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tabRatio="782" activeTab="2"/>
  </bookViews>
  <sheets>
    <sheet name="Inputs" sheetId="2" r:id="rId1"/>
    <sheet name="Power Curves" sheetId="4" r:id="rId2"/>
    <sheet name="Gas Curves" sheetId="5" r:id="rId3"/>
    <sheet name="Calculations" sheetId="3" r:id="rId4"/>
    <sheet name="Pricing Inputs" sheetId="6" r:id="rId5"/>
    <sheet name="Output" sheetId="8" r:id="rId6"/>
    <sheet name="WIP" sheetId="7" r:id="rId7"/>
  </sheets>
  <externalReferences>
    <externalReference r:id="rId8"/>
    <externalReference r:id="rId9"/>
  </externalReferences>
  <definedNames>
    <definedName name="_Order1" hidden="1">255</definedName>
    <definedName name="_Order2" hidden="1">0</definedName>
    <definedName name="Availability">Inputs!$F$30</definedName>
    <definedName name="Basischeck">'Pricing Inputs'!$AX$10</definedName>
    <definedName name="BasisIndex">'Power Curves'!$DV$15:$DV$28</definedName>
    <definedName name="BasisNumber">'Power Curves'!$DV$13</definedName>
    <definedName name="BMO">'Pricing Inputs'!$AT$3</definedName>
    <definedName name="CC">'Pricing Inputs'!$AN$8</definedName>
    <definedName name="CorrelationTable">'Power Curves'!$DH$19:$DI$420</definedName>
    <definedName name="Curveadj">Inputs!$A$28:$C$39</definedName>
    <definedName name="CurveCode" localSheetId="2">OFFSET('Gas Curves'!$B$13,0,0,1,COUNT('Gas Curves'!$17:$17))</definedName>
    <definedName name="CurveDate">Inputs!$D$2</definedName>
    <definedName name="CurveRange">'Gas Curves'!$C$11</definedName>
    <definedName name="CurveValues">Gas [2]Curves!$B$11:$M$377</definedName>
    <definedName name="curvevalues2" localSheetId="2">OFFSET('Gas Curves'!$B$11,0,0,COUNT('Gas Curves'!$B:$B)+5,COUNT('Gas Curves'!$17:$17))</definedName>
    <definedName name="DateToday">Inputs!$D$1</definedName>
    <definedName name="Dayrun">'Pricing Inputs'!$AQ$3</definedName>
    <definedName name="DBase">'Gas Curves'!$B$3</definedName>
    <definedName name="Gasbmo">Inputs!$F$25</definedName>
    <definedName name="GasCurves">'Gas Curves'!$B$17:$P$310</definedName>
    <definedName name="Gasesc">Inputs!$F$23</definedName>
    <definedName name="GasVolTable">'Gas Curves'!$B$10:$H$353</definedName>
    <definedName name="Hrtable">Inputs!$A$53:$C$64</definedName>
    <definedName name="InterestRatesTable">'Gas Curves'!$B$10:$C$377</definedName>
    <definedName name="IntraPowerVol">'Power Curves'!$CY$17:$DB$420</definedName>
    <definedName name="IRFirstMonth">'Power Curves'!$A$13</definedName>
    <definedName name="IRTable">'Power Curves'!$A$13:$B$289</definedName>
    <definedName name="LastDateOfMonthlyVol">'Power Curves'!$W$12</definedName>
    <definedName name="ManualTable">Inputs!$R$12:$AA$23</definedName>
    <definedName name="NumberofDaysTable">'Pricing Inputs'!$AF$2:$AK$446</definedName>
    <definedName name="OmicronCurveDate">Inputs!$D$5</definedName>
    <definedName name="OmicronVol">'Gas Curves'!$R$14:$U$310</definedName>
    <definedName name="OPPowerPrices">'Power Curves'!$D$19:$K$274</definedName>
    <definedName name="Password">'Gas Curves'!$B$2</definedName>
    <definedName name="PeakPowerCurves">'Power Curves'!$D$19:$G$372</definedName>
    <definedName name="Perstart">Inputs!$F$9</definedName>
    <definedName name="PositionRegion">'Power Curves'!$D$13</definedName>
    <definedName name="PowerVolTable">'Power Curves'!$CY$19:$DF$420</definedName>
    <definedName name="Pricetype">'Pricing Inputs'!$AN$3</definedName>
    <definedName name="_xlnm.Print_Area" localSheetId="3">Calculations!$BM$1:$BW$27</definedName>
    <definedName name="_xlnm.Print_Area" localSheetId="2">'Gas Curves'!$B$10:$P$137</definedName>
    <definedName name="_xlnm.Print_Titles" localSheetId="2">'Gas Curves'!$13:$13</definedName>
    <definedName name="PV">'Pricing Inputs'!$AW$3</definedName>
    <definedName name="Pwresc">Inputs!$F$19</definedName>
    <definedName name="RegionIndex">'Power Curves'!$DS$19:$DS$47</definedName>
    <definedName name="RegionNumber">'Power Curves'!$DS$18</definedName>
    <definedName name="SatSunPeakPwr">'Power Curves'!$M$15:$T$242</definedName>
    <definedName name="ScalarTable">'Pricing Inputs'!$B$5:$M$32</definedName>
    <definedName name="ScaledPrice">'Pricing Inputs'!$A$36:$J$420</definedName>
    <definedName name="Smile">'Pricing Inputs'!$AX$7</definedName>
    <definedName name="Today">'Gas Curves'!$A$6</definedName>
    <definedName name="UpperLeftOfCurveTable">'Gas Curves'!$B$11</definedName>
    <definedName name="UserName">'Gas Curves'!$B$1</definedName>
    <definedName name="Volscale">Inputs!$A$28:$B$39</definedName>
    <definedName name="Volsmile">'Power Curves'!$AS$47:$AT$67</definedName>
    <definedName name="VOM">Inputs!$F$5</definedName>
    <definedName name="VOMesc">Inputs!$F$7</definedName>
  </definedNames>
  <calcPr calcId="0" fullCalcOnLoad="1"/>
</workbook>
</file>

<file path=xl/calcChain.xml><?xml version="1.0" encoding="utf-8"?>
<calcChain xmlns="http://schemas.openxmlformats.org/spreadsheetml/2006/main">
  <c r="A4" i="3" l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C4" i="3"/>
  <c r="BD4" i="3"/>
  <c r="BE4" i="3"/>
  <c r="BF4" i="3"/>
  <c r="BG4" i="3"/>
  <c r="BH4" i="3"/>
  <c r="BI4" i="3"/>
  <c r="BJ4" i="3"/>
  <c r="BK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HD4" i="3"/>
  <c r="HE4" i="3"/>
  <c r="HF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C5" i="3"/>
  <c r="BD5" i="3"/>
  <c r="BE5" i="3"/>
  <c r="BF5" i="3"/>
  <c r="BG5" i="3"/>
  <c r="BH5" i="3"/>
  <c r="BI5" i="3"/>
  <c r="BJ5" i="3"/>
  <c r="BK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HD5" i="3"/>
  <c r="HE5" i="3"/>
  <c r="HF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C6" i="3"/>
  <c r="BD6" i="3"/>
  <c r="BE6" i="3"/>
  <c r="BF6" i="3"/>
  <c r="BG6" i="3"/>
  <c r="BH6" i="3"/>
  <c r="BI6" i="3"/>
  <c r="BJ6" i="3"/>
  <c r="BK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HD6" i="3"/>
  <c r="HE6" i="3"/>
  <c r="HF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C7" i="3"/>
  <c r="BD7" i="3"/>
  <c r="BE7" i="3"/>
  <c r="BF7" i="3"/>
  <c r="BG7" i="3"/>
  <c r="BH7" i="3"/>
  <c r="BI7" i="3"/>
  <c r="BJ7" i="3"/>
  <c r="BK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HD7" i="3"/>
  <c r="HE7" i="3"/>
  <c r="HF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C8" i="3"/>
  <c r="BD8" i="3"/>
  <c r="BE8" i="3"/>
  <c r="BF8" i="3"/>
  <c r="BG8" i="3"/>
  <c r="BH8" i="3"/>
  <c r="BI8" i="3"/>
  <c r="BJ8" i="3"/>
  <c r="BK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HD8" i="3"/>
  <c r="HE8" i="3"/>
  <c r="HF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C9" i="3"/>
  <c r="BD9" i="3"/>
  <c r="BE9" i="3"/>
  <c r="BF9" i="3"/>
  <c r="BG9" i="3"/>
  <c r="BH9" i="3"/>
  <c r="BI9" i="3"/>
  <c r="BJ9" i="3"/>
  <c r="BK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HD9" i="3"/>
  <c r="HE9" i="3"/>
  <c r="HF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C10" i="3"/>
  <c r="BD10" i="3"/>
  <c r="BE10" i="3"/>
  <c r="BF10" i="3"/>
  <c r="BG10" i="3"/>
  <c r="BH10" i="3"/>
  <c r="BI10" i="3"/>
  <c r="BJ10" i="3"/>
  <c r="BK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HD10" i="3"/>
  <c r="HE10" i="3"/>
  <c r="HF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C11" i="3"/>
  <c r="BD11" i="3"/>
  <c r="BE11" i="3"/>
  <c r="BF11" i="3"/>
  <c r="BG11" i="3"/>
  <c r="BH11" i="3"/>
  <c r="BI11" i="3"/>
  <c r="BJ11" i="3"/>
  <c r="BK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HD11" i="3"/>
  <c r="HE11" i="3"/>
  <c r="HF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C12" i="3"/>
  <c r="BD12" i="3"/>
  <c r="BE12" i="3"/>
  <c r="BF12" i="3"/>
  <c r="BG12" i="3"/>
  <c r="BH12" i="3"/>
  <c r="BI12" i="3"/>
  <c r="BJ12" i="3"/>
  <c r="BK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HD12" i="3"/>
  <c r="HE12" i="3"/>
  <c r="HF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C13" i="3"/>
  <c r="BD13" i="3"/>
  <c r="BE13" i="3"/>
  <c r="BF13" i="3"/>
  <c r="BG13" i="3"/>
  <c r="BH13" i="3"/>
  <c r="BI13" i="3"/>
  <c r="BJ13" i="3"/>
  <c r="BK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HD13" i="3"/>
  <c r="HE13" i="3"/>
  <c r="HF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HD14" i="3"/>
  <c r="HE14" i="3"/>
  <c r="HF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HD15" i="3"/>
  <c r="HE15" i="3"/>
  <c r="HF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C16" i="3"/>
  <c r="BD16" i="3"/>
  <c r="BE16" i="3"/>
  <c r="BF16" i="3"/>
  <c r="BG16" i="3"/>
  <c r="BH16" i="3"/>
  <c r="BI16" i="3"/>
  <c r="BJ16" i="3"/>
  <c r="BK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HD16" i="3"/>
  <c r="HE16" i="3"/>
  <c r="HF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C17" i="3"/>
  <c r="BD17" i="3"/>
  <c r="BE17" i="3"/>
  <c r="BF17" i="3"/>
  <c r="BG17" i="3"/>
  <c r="BH17" i="3"/>
  <c r="BI17" i="3"/>
  <c r="BJ17" i="3"/>
  <c r="BK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HD17" i="3"/>
  <c r="HE17" i="3"/>
  <c r="HF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C18" i="3"/>
  <c r="BD18" i="3"/>
  <c r="BE18" i="3"/>
  <c r="BF18" i="3"/>
  <c r="BG18" i="3"/>
  <c r="BH18" i="3"/>
  <c r="BI18" i="3"/>
  <c r="BJ18" i="3"/>
  <c r="BK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HD18" i="3"/>
  <c r="HE18" i="3"/>
  <c r="HF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C19" i="3"/>
  <c r="BD19" i="3"/>
  <c r="BE19" i="3"/>
  <c r="BF19" i="3"/>
  <c r="BG19" i="3"/>
  <c r="BH19" i="3"/>
  <c r="BI19" i="3"/>
  <c r="BJ19" i="3"/>
  <c r="BK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HD19" i="3"/>
  <c r="HE19" i="3"/>
  <c r="HF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C20" i="3"/>
  <c r="BD20" i="3"/>
  <c r="BE20" i="3"/>
  <c r="BF20" i="3"/>
  <c r="BG20" i="3"/>
  <c r="BH20" i="3"/>
  <c r="BI20" i="3"/>
  <c r="BJ20" i="3"/>
  <c r="BK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HD20" i="3"/>
  <c r="HE20" i="3"/>
  <c r="HF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C21" i="3"/>
  <c r="BD21" i="3"/>
  <c r="BE21" i="3"/>
  <c r="BF21" i="3"/>
  <c r="BG21" i="3"/>
  <c r="BH21" i="3"/>
  <c r="BI21" i="3"/>
  <c r="BJ21" i="3"/>
  <c r="BK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HD21" i="3"/>
  <c r="HE21" i="3"/>
  <c r="HF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C22" i="3"/>
  <c r="BD22" i="3"/>
  <c r="BE22" i="3"/>
  <c r="BF22" i="3"/>
  <c r="BG22" i="3"/>
  <c r="BH22" i="3"/>
  <c r="BI22" i="3"/>
  <c r="BJ22" i="3"/>
  <c r="BK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HD22" i="3"/>
  <c r="HE22" i="3"/>
  <c r="HF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C23" i="3"/>
  <c r="BD23" i="3"/>
  <c r="BE23" i="3"/>
  <c r="BF23" i="3"/>
  <c r="BG23" i="3"/>
  <c r="BH23" i="3"/>
  <c r="BI23" i="3"/>
  <c r="BJ23" i="3"/>
  <c r="BK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HD23" i="3"/>
  <c r="HE23" i="3"/>
  <c r="HF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C24" i="3"/>
  <c r="BD24" i="3"/>
  <c r="BE24" i="3"/>
  <c r="BF24" i="3"/>
  <c r="BG24" i="3"/>
  <c r="BH24" i="3"/>
  <c r="BI24" i="3"/>
  <c r="BJ24" i="3"/>
  <c r="BK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HD24" i="3"/>
  <c r="HE24" i="3"/>
  <c r="HF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C25" i="3"/>
  <c r="BD25" i="3"/>
  <c r="BE25" i="3"/>
  <c r="BF25" i="3"/>
  <c r="BG25" i="3"/>
  <c r="BH25" i="3"/>
  <c r="BI25" i="3"/>
  <c r="BJ25" i="3"/>
  <c r="BK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HD25" i="3"/>
  <c r="HE25" i="3"/>
  <c r="HF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HD26" i="3"/>
  <c r="HE26" i="3"/>
  <c r="HF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HD27" i="3"/>
  <c r="HE27" i="3"/>
  <c r="HF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C28" i="3"/>
  <c r="BD28" i="3"/>
  <c r="BE28" i="3"/>
  <c r="BF28" i="3"/>
  <c r="BG28" i="3"/>
  <c r="BH28" i="3"/>
  <c r="BI28" i="3"/>
  <c r="BJ28" i="3"/>
  <c r="BK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HD28" i="3"/>
  <c r="HE28" i="3"/>
  <c r="HF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C29" i="3"/>
  <c r="BD29" i="3"/>
  <c r="BE29" i="3"/>
  <c r="BF29" i="3"/>
  <c r="BG29" i="3"/>
  <c r="BH29" i="3"/>
  <c r="BI29" i="3"/>
  <c r="BJ29" i="3"/>
  <c r="BK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HD29" i="3"/>
  <c r="HE29" i="3"/>
  <c r="HF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C30" i="3"/>
  <c r="BD30" i="3"/>
  <c r="BE30" i="3"/>
  <c r="BF30" i="3"/>
  <c r="BG30" i="3"/>
  <c r="BH30" i="3"/>
  <c r="BI30" i="3"/>
  <c r="BJ30" i="3"/>
  <c r="BK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HD30" i="3"/>
  <c r="HE30" i="3"/>
  <c r="HF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C31" i="3"/>
  <c r="BD31" i="3"/>
  <c r="BE31" i="3"/>
  <c r="BF31" i="3"/>
  <c r="BG31" i="3"/>
  <c r="BH31" i="3"/>
  <c r="BI31" i="3"/>
  <c r="BJ31" i="3"/>
  <c r="BK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HD31" i="3"/>
  <c r="HE31" i="3"/>
  <c r="HF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C32" i="3"/>
  <c r="BD32" i="3"/>
  <c r="BE32" i="3"/>
  <c r="BF32" i="3"/>
  <c r="BG32" i="3"/>
  <c r="BH32" i="3"/>
  <c r="BI32" i="3"/>
  <c r="BJ32" i="3"/>
  <c r="BK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HD32" i="3"/>
  <c r="HE32" i="3"/>
  <c r="HF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C33" i="3"/>
  <c r="BD33" i="3"/>
  <c r="BE33" i="3"/>
  <c r="BF33" i="3"/>
  <c r="BG33" i="3"/>
  <c r="BH33" i="3"/>
  <c r="BI33" i="3"/>
  <c r="BJ33" i="3"/>
  <c r="BK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HD33" i="3"/>
  <c r="HE33" i="3"/>
  <c r="HF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C34" i="3"/>
  <c r="BD34" i="3"/>
  <c r="BE34" i="3"/>
  <c r="BF34" i="3"/>
  <c r="BG34" i="3"/>
  <c r="BH34" i="3"/>
  <c r="BI34" i="3"/>
  <c r="BJ34" i="3"/>
  <c r="BK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HD34" i="3"/>
  <c r="HE34" i="3"/>
  <c r="HF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C35" i="3"/>
  <c r="BD35" i="3"/>
  <c r="BE35" i="3"/>
  <c r="BF35" i="3"/>
  <c r="BG35" i="3"/>
  <c r="BH35" i="3"/>
  <c r="BI35" i="3"/>
  <c r="BJ35" i="3"/>
  <c r="BK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HD35" i="3"/>
  <c r="HE35" i="3"/>
  <c r="HF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C36" i="3"/>
  <c r="BD36" i="3"/>
  <c r="BE36" i="3"/>
  <c r="BF36" i="3"/>
  <c r="BG36" i="3"/>
  <c r="BH36" i="3"/>
  <c r="BI36" i="3"/>
  <c r="BJ36" i="3"/>
  <c r="BK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HD36" i="3"/>
  <c r="HE36" i="3"/>
  <c r="HF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C37" i="3"/>
  <c r="BD37" i="3"/>
  <c r="BE37" i="3"/>
  <c r="BF37" i="3"/>
  <c r="BG37" i="3"/>
  <c r="BH37" i="3"/>
  <c r="BI37" i="3"/>
  <c r="BJ37" i="3"/>
  <c r="BK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HD37" i="3"/>
  <c r="HE37" i="3"/>
  <c r="HF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HD38" i="3"/>
  <c r="HE38" i="3"/>
  <c r="HF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HD39" i="3"/>
  <c r="HE39" i="3"/>
  <c r="HF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C40" i="3"/>
  <c r="BD40" i="3"/>
  <c r="BE40" i="3"/>
  <c r="BF40" i="3"/>
  <c r="BG40" i="3"/>
  <c r="BH40" i="3"/>
  <c r="BI40" i="3"/>
  <c r="BJ40" i="3"/>
  <c r="BK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HD40" i="3"/>
  <c r="HE40" i="3"/>
  <c r="HF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C41" i="3"/>
  <c r="BD41" i="3"/>
  <c r="BE41" i="3"/>
  <c r="BF41" i="3"/>
  <c r="BG41" i="3"/>
  <c r="BH41" i="3"/>
  <c r="BI41" i="3"/>
  <c r="BJ41" i="3"/>
  <c r="BK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HD41" i="3"/>
  <c r="HE41" i="3"/>
  <c r="HF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C42" i="3"/>
  <c r="BD42" i="3"/>
  <c r="BE42" i="3"/>
  <c r="BF42" i="3"/>
  <c r="BG42" i="3"/>
  <c r="BH42" i="3"/>
  <c r="BI42" i="3"/>
  <c r="BJ42" i="3"/>
  <c r="BK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HD42" i="3"/>
  <c r="HE42" i="3"/>
  <c r="HF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C43" i="3"/>
  <c r="BD43" i="3"/>
  <c r="BE43" i="3"/>
  <c r="BF43" i="3"/>
  <c r="BG43" i="3"/>
  <c r="BH43" i="3"/>
  <c r="BI43" i="3"/>
  <c r="BJ43" i="3"/>
  <c r="BK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HD43" i="3"/>
  <c r="HE43" i="3"/>
  <c r="HF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C44" i="3"/>
  <c r="BD44" i="3"/>
  <c r="BE44" i="3"/>
  <c r="BF44" i="3"/>
  <c r="BG44" i="3"/>
  <c r="BH44" i="3"/>
  <c r="BI44" i="3"/>
  <c r="BJ44" i="3"/>
  <c r="BK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HD44" i="3"/>
  <c r="HE44" i="3"/>
  <c r="HF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C45" i="3"/>
  <c r="BD45" i="3"/>
  <c r="BE45" i="3"/>
  <c r="BF45" i="3"/>
  <c r="BG45" i="3"/>
  <c r="BH45" i="3"/>
  <c r="BI45" i="3"/>
  <c r="BJ45" i="3"/>
  <c r="BK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HD45" i="3"/>
  <c r="HE45" i="3"/>
  <c r="HF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C46" i="3"/>
  <c r="BD46" i="3"/>
  <c r="BE46" i="3"/>
  <c r="BF46" i="3"/>
  <c r="BG46" i="3"/>
  <c r="BH46" i="3"/>
  <c r="BI46" i="3"/>
  <c r="BJ46" i="3"/>
  <c r="BK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HD46" i="3"/>
  <c r="HE46" i="3"/>
  <c r="HF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C47" i="3"/>
  <c r="BD47" i="3"/>
  <c r="BE47" i="3"/>
  <c r="BF47" i="3"/>
  <c r="BG47" i="3"/>
  <c r="BH47" i="3"/>
  <c r="BI47" i="3"/>
  <c r="BJ47" i="3"/>
  <c r="BK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HD47" i="3"/>
  <c r="HE47" i="3"/>
  <c r="HF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C48" i="3"/>
  <c r="BD48" i="3"/>
  <c r="BE48" i="3"/>
  <c r="BF48" i="3"/>
  <c r="BG48" i="3"/>
  <c r="BH48" i="3"/>
  <c r="BI48" i="3"/>
  <c r="BJ48" i="3"/>
  <c r="BK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HD48" i="3"/>
  <c r="HE48" i="3"/>
  <c r="HF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C49" i="3"/>
  <c r="BD49" i="3"/>
  <c r="BE49" i="3"/>
  <c r="BF49" i="3"/>
  <c r="BG49" i="3"/>
  <c r="BH49" i="3"/>
  <c r="BI49" i="3"/>
  <c r="BJ49" i="3"/>
  <c r="BK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HD49" i="3"/>
  <c r="HE49" i="3"/>
  <c r="HF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HD50" i="3"/>
  <c r="HE50" i="3"/>
  <c r="HF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HD51" i="3"/>
  <c r="HE51" i="3"/>
  <c r="HF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C52" i="3"/>
  <c r="BD52" i="3"/>
  <c r="BE52" i="3"/>
  <c r="BF52" i="3"/>
  <c r="BG52" i="3"/>
  <c r="BH52" i="3"/>
  <c r="BI52" i="3"/>
  <c r="BJ52" i="3"/>
  <c r="BK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HD52" i="3"/>
  <c r="HE52" i="3"/>
  <c r="HF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C53" i="3"/>
  <c r="BD53" i="3"/>
  <c r="BE53" i="3"/>
  <c r="BF53" i="3"/>
  <c r="BG53" i="3"/>
  <c r="BH53" i="3"/>
  <c r="BI53" i="3"/>
  <c r="BJ53" i="3"/>
  <c r="BK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HD53" i="3"/>
  <c r="HE53" i="3"/>
  <c r="HF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C54" i="3"/>
  <c r="BD54" i="3"/>
  <c r="BE54" i="3"/>
  <c r="BF54" i="3"/>
  <c r="BG54" i="3"/>
  <c r="BH54" i="3"/>
  <c r="BI54" i="3"/>
  <c r="BJ54" i="3"/>
  <c r="BK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HD54" i="3"/>
  <c r="HE54" i="3"/>
  <c r="HF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C55" i="3"/>
  <c r="BD55" i="3"/>
  <c r="BE55" i="3"/>
  <c r="BF55" i="3"/>
  <c r="BG55" i="3"/>
  <c r="BH55" i="3"/>
  <c r="BI55" i="3"/>
  <c r="BJ55" i="3"/>
  <c r="BK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HD55" i="3"/>
  <c r="HE55" i="3"/>
  <c r="HF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C56" i="3"/>
  <c r="BD56" i="3"/>
  <c r="BE56" i="3"/>
  <c r="BF56" i="3"/>
  <c r="BG56" i="3"/>
  <c r="BH56" i="3"/>
  <c r="BI56" i="3"/>
  <c r="BJ56" i="3"/>
  <c r="BK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HD56" i="3"/>
  <c r="HE56" i="3"/>
  <c r="HF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C57" i="3"/>
  <c r="BD57" i="3"/>
  <c r="BE57" i="3"/>
  <c r="BF57" i="3"/>
  <c r="BG57" i="3"/>
  <c r="BH57" i="3"/>
  <c r="BI57" i="3"/>
  <c r="BJ57" i="3"/>
  <c r="BK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HD57" i="3"/>
  <c r="HE57" i="3"/>
  <c r="HF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C58" i="3"/>
  <c r="BD58" i="3"/>
  <c r="BE58" i="3"/>
  <c r="BF58" i="3"/>
  <c r="BG58" i="3"/>
  <c r="BH58" i="3"/>
  <c r="BI58" i="3"/>
  <c r="BJ58" i="3"/>
  <c r="BK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HD58" i="3"/>
  <c r="HE58" i="3"/>
  <c r="HF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C59" i="3"/>
  <c r="BD59" i="3"/>
  <c r="BE59" i="3"/>
  <c r="BF59" i="3"/>
  <c r="BG59" i="3"/>
  <c r="BH59" i="3"/>
  <c r="BI59" i="3"/>
  <c r="BJ59" i="3"/>
  <c r="BK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HD59" i="3"/>
  <c r="HE59" i="3"/>
  <c r="HF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C60" i="3"/>
  <c r="BD60" i="3"/>
  <c r="BE60" i="3"/>
  <c r="BF60" i="3"/>
  <c r="BG60" i="3"/>
  <c r="BH60" i="3"/>
  <c r="BI60" i="3"/>
  <c r="BJ60" i="3"/>
  <c r="BK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HD60" i="3"/>
  <c r="HE60" i="3"/>
  <c r="HF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C61" i="3"/>
  <c r="BD61" i="3"/>
  <c r="BE61" i="3"/>
  <c r="BF61" i="3"/>
  <c r="BG61" i="3"/>
  <c r="BH61" i="3"/>
  <c r="BI61" i="3"/>
  <c r="BJ61" i="3"/>
  <c r="BK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HD61" i="3"/>
  <c r="HE61" i="3"/>
  <c r="HF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HD62" i="3"/>
  <c r="HE62" i="3"/>
  <c r="HF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HD63" i="3"/>
  <c r="HE63" i="3"/>
  <c r="HF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C64" i="3"/>
  <c r="BD64" i="3"/>
  <c r="BE64" i="3"/>
  <c r="BF64" i="3"/>
  <c r="BG64" i="3"/>
  <c r="BH64" i="3"/>
  <c r="BI64" i="3"/>
  <c r="BJ64" i="3"/>
  <c r="BK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HD64" i="3"/>
  <c r="HE64" i="3"/>
  <c r="HF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C65" i="3"/>
  <c r="BD65" i="3"/>
  <c r="BE65" i="3"/>
  <c r="BF65" i="3"/>
  <c r="BG65" i="3"/>
  <c r="BH65" i="3"/>
  <c r="BI65" i="3"/>
  <c r="BJ65" i="3"/>
  <c r="BK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HD65" i="3"/>
  <c r="HE65" i="3"/>
  <c r="HF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C66" i="3"/>
  <c r="BD66" i="3"/>
  <c r="BE66" i="3"/>
  <c r="BF66" i="3"/>
  <c r="BG66" i="3"/>
  <c r="BH66" i="3"/>
  <c r="BI66" i="3"/>
  <c r="BJ66" i="3"/>
  <c r="BK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HD66" i="3"/>
  <c r="HE66" i="3"/>
  <c r="HF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C67" i="3"/>
  <c r="BD67" i="3"/>
  <c r="BE67" i="3"/>
  <c r="BF67" i="3"/>
  <c r="BG67" i="3"/>
  <c r="BH67" i="3"/>
  <c r="BI67" i="3"/>
  <c r="BJ67" i="3"/>
  <c r="BK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HD67" i="3"/>
  <c r="HE67" i="3"/>
  <c r="HF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C68" i="3"/>
  <c r="BD68" i="3"/>
  <c r="BE68" i="3"/>
  <c r="BF68" i="3"/>
  <c r="BG68" i="3"/>
  <c r="BH68" i="3"/>
  <c r="BI68" i="3"/>
  <c r="BJ68" i="3"/>
  <c r="BK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HD68" i="3"/>
  <c r="HE68" i="3"/>
  <c r="HF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C69" i="3"/>
  <c r="BD69" i="3"/>
  <c r="BE69" i="3"/>
  <c r="BF69" i="3"/>
  <c r="BG69" i="3"/>
  <c r="BH69" i="3"/>
  <c r="BI69" i="3"/>
  <c r="BJ69" i="3"/>
  <c r="BK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HD69" i="3"/>
  <c r="HE69" i="3"/>
  <c r="HF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C70" i="3"/>
  <c r="BD70" i="3"/>
  <c r="BE70" i="3"/>
  <c r="BF70" i="3"/>
  <c r="BG70" i="3"/>
  <c r="BH70" i="3"/>
  <c r="BI70" i="3"/>
  <c r="BJ70" i="3"/>
  <c r="BK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HD70" i="3"/>
  <c r="HE70" i="3"/>
  <c r="HF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C71" i="3"/>
  <c r="BD71" i="3"/>
  <c r="BE71" i="3"/>
  <c r="BF71" i="3"/>
  <c r="BG71" i="3"/>
  <c r="BH71" i="3"/>
  <c r="BI71" i="3"/>
  <c r="BJ71" i="3"/>
  <c r="BK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HD71" i="3"/>
  <c r="HE71" i="3"/>
  <c r="HF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C72" i="3"/>
  <c r="BD72" i="3"/>
  <c r="BE72" i="3"/>
  <c r="BF72" i="3"/>
  <c r="BG72" i="3"/>
  <c r="BH72" i="3"/>
  <c r="BI72" i="3"/>
  <c r="BJ72" i="3"/>
  <c r="BK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HD72" i="3"/>
  <c r="HE72" i="3"/>
  <c r="HF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C73" i="3"/>
  <c r="BD73" i="3"/>
  <c r="BE73" i="3"/>
  <c r="BF73" i="3"/>
  <c r="BG73" i="3"/>
  <c r="BH73" i="3"/>
  <c r="BI73" i="3"/>
  <c r="BJ73" i="3"/>
  <c r="BK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HD73" i="3"/>
  <c r="HE73" i="3"/>
  <c r="HF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HD74" i="3"/>
  <c r="HE74" i="3"/>
  <c r="HF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HD75" i="3"/>
  <c r="HE75" i="3"/>
  <c r="HF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C76" i="3"/>
  <c r="BD76" i="3"/>
  <c r="BE76" i="3"/>
  <c r="BF76" i="3"/>
  <c r="BG76" i="3"/>
  <c r="BH76" i="3"/>
  <c r="BI76" i="3"/>
  <c r="BJ76" i="3"/>
  <c r="BK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HD76" i="3"/>
  <c r="HE76" i="3"/>
  <c r="HF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C77" i="3"/>
  <c r="BD77" i="3"/>
  <c r="BE77" i="3"/>
  <c r="BF77" i="3"/>
  <c r="BG77" i="3"/>
  <c r="BH77" i="3"/>
  <c r="BI77" i="3"/>
  <c r="BJ77" i="3"/>
  <c r="BK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HD77" i="3"/>
  <c r="HE77" i="3"/>
  <c r="HF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C78" i="3"/>
  <c r="BD78" i="3"/>
  <c r="BE78" i="3"/>
  <c r="BF78" i="3"/>
  <c r="BG78" i="3"/>
  <c r="BH78" i="3"/>
  <c r="BI78" i="3"/>
  <c r="BJ78" i="3"/>
  <c r="BK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HD78" i="3"/>
  <c r="HE78" i="3"/>
  <c r="HF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C79" i="3"/>
  <c r="BD79" i="3"/>
  <c r="BE79" i="3"/>
  <c r="BF79" i="3"/>
  <c r="BG79" i="3"/>
  <c r="BH79" i="3"/>
  <c r="BI79" i="3"/>
  <c r="BJ79" i="3"/>
  <c r="BK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HD79" i="3"/>
  <c r="HE79" i="3"/>
  <c r="HF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C80" i="3"/>
  <c r="BD80" i="3"/>
  <c r="BE80" i="3"/>
  <c r="BF80" i="3"/>
  <c r="BG80" i="3"/>
  <c r="BH80" i="3"/>
  <c r="BI80" i="3"/>
  <c r="BJ80" i="3"/>
  <c r="BK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HD80" i="3"/>
  <c r="HE80" i="3"/>
  <c r="HF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C81" i="3"/>
  <c r="BD81" i="3"/>
  <c r="BE81" i="3"/>
  <c r="BF81" i="3"/>
  <c r="BG81" i="3"/>
  <c r="BH81" i="3"/>
  <c r="BI81" i="3"/>
  <c r="BJ81" i="3"/>
  <c r="BK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HD81" i="3"/>
  <c r="HE81" i="3"/>
  <c r="HF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C82" i="3"/>
  <c r="BD82" i="3"/>
  <c r="BE82" i="3"/>
  <c r="BF82" i="3"/>
  <c r="BG82" i="3"/>
  <c r="BH82" i="3"/>
  <c r="BI82" i="3"/>
  <c r="BJ82" i="3"/>
  <c r="BK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HD82" i="3"/>
  <c r="HE82" i="3"/>
  <c r="HF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C83" i="3"/>
  <c r="BD83" i="3"/>
  <c r="BE83" i="3"/>
  <c r="BF83" i="3"/>
  <c r="BG83" i="3"/>
  <c r="BH83" i="3"/>
  <c r="BI83" i="3"/>
  <c r="BJ83" i="3"/>
  <c r="BK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HD83" i="3"/>
  <c r="HE83" i="3"/>
  <c r="HF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C84" i="3"/>
  <c r="BD84" i="3"/>
  <c r="BE84" i="3"/>
  <c r="BF84" i="3"/>
  <c r="BG84" i="3"/>
  <c r="BH84" i="3"/>
  <c r="BI84" i="3"/>
  <c r="BJ84" i="3"/>
  <c r="BK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HD84" i="3"/>
  <c r="HE84" i="3"/>
  <c r="HF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C85" i="3"/>
  <c r="BD85" i="3"/>
  <c r="BE85" i="3"/>
  <c r="BF85" i="3"/>
  <c r="BG85" i="3"/>
  <c r="BH85" i="3"/>
  <c r="BI85" i="3"/>
  <c r="BJ85" i="3"/>
  <c r="BK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HD85" i="3"/>
  <c r="HE85" i="3"/>
  <c r="HF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HD86" i="3"/>
  <c r="HE86" i="3"/>
  <c r="HF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HD87" i="3"/>
  <c r="HE87" i="3"/>
  <c r="HF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C88" i="3"/>
  <c r="BD88" i="3"/>
  <c r="BE88" i="3"/>
  <c r="BF88" i="3"/>
  <c r="BG88" i="3"/>
  <c r="BH88" i="3"/>
  <c r="BI88" i="3"/>
  <c r="BJ88" i="3"/>
  <c r="BK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HD88" i="3"/>
  <c r="HE88" i="3"/>
  <c r="HF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C89" i="3"/>
  <c r="BD89" i="3"/>
  <c r="BE89" i="3"/>
  <c r="BF89" i="3"/>
  <c r="BG89" i="3"/>
  <c r="BH89" i="3"/>
  <c r="BI89" i="3"/>
  <c r="BJ89" i="3"/>
  <c r="BK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HD89" i="3"/>
  <c r="HE89" i="3"/>
  <c r="HF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C90" i="3"/>
  <c r="BD90" i="3"/>
  <c r="BE90" i="3"/>
  <c r="BF90" i="3"/>
  <c r="BG90" i="3"/>
  <c r="BH90" i="3"/>
  <c r="BI90" i="3"/>
  <c r="BJ90" i="3"/>
  <c r="BK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HD90" i="3"/>
  <c r="HE90" i="3"/>
  <c r="HF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C91" i="3"/>
  <c r="BD91" i="3"/>
  <c r="BE91" i="3"/>
  <c r="BF91" i="3"/>
  <c r="BG91" i="3"/>
  <c r="BH91" i="3"/>
  <c r="BI91" i="3"/>
  <c r="BJ91" i="3"/>
  <c r="BK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HD91" i="3"/>
  <c r="HE91" i="3"/>
  <c r="HF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C92" i="3"/>
  <c r="BD92" i="3"/>
  <c r="BE92" i="3"/>
  <c r="BF92" i="3"/>
  <c r="BG92" i="3"/>
  <c r="BH92" i="3"/>
  <c r="BI92" i="3"/>
  <c r="BJ92" i="3"/>
  <c r="BK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HD92" i="3"/>
  <c r="HE92" i="3"/>
  <c r="HF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C93" i="3"/>
  <c r="BD93" i="3"/>
  <c r="BE93" i="3"/>
  <c r="BF93" i="3"/>
  <c r="BG93" i="3"/>
  <c r="BH93" i="3"/>
  <c r="BI93" i="3"/>
  <c r="BJ93" i="3"/>
  <c r="BK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HD93" i="3"/>
  <c r="HE93" i="3"/>
  <c r="HF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C94" i="3"/>
  <c r="BD94" i="3"/>
  <c r="BE94" i="3"/>
  <c r="BF94" i="3"/>
  <c r="BG94" i="3"/>
  <c r="BH94" i="3"/>
  <c r="BI94" i="3"/>
  <c r="BJ94" i="3"/>
  <c r="BK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HD94" i="3"/>
  <c r="HE94" i="3"/>
  <c r="HF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C95" i="3"/>
  <c r="BD95" i="3"/>
  <c r="BE95" i="3"/>
  <c r="BF95" i="3"/>
  <c r="BG95" i="3"/>
  <c r="BH95" i="3"/>
  <c r="BI95" i="3"/>
  <c r="BJ95" i="3"/>
  <c r="BK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HD95" i="3"/>
  <c r="HE95" i="3"/>
  <c r="HF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C96" i="3"/>
  <c r="BD96" i="3"/>
  <c r="BE96" i="3"/>
  <c r="BF96" i="3"/>
  <c r="BG96" i="3"/>
  <c r="BH96" i="3"/>
  <c r="BI96" i="3"/>
  <c r="BJ96" i="3"/>
  <c r="BK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HD96" i="3"/>
  <c r="HE96" i="3"/>
  <c r="HF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C97" i="3"/>
  <c r="BD97" i="3"/>
  <c r="BE97" i="3"/>
  <c r="BF97" i="3"/>
  <c r="BG97" i="3"/>
  <c r="BH97" i="3"/>
  <c r="BI97" i="3"/>
  <c r="BJ97" i="3"/>
  <c r="BK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HD97" i="3"/>
  <c r="HE97" i="3"/>
  <c r="HF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HD98" i="3"/>
  <c r="HE98" i="3"/>
  <c r="HF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HD99" i="3"/>
  <c r="HE99" i="3"/>
  <c r="HF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C100" i="3"/>
  <c r="BD100" i="3"/>
  <c r="BE100" i="3"/>
  <c r="BF100" i="3"/>
  <c r="BG100" i="3"/>
  <c r="BH100" i="3"/>
  <c r="BI100" i="3"/>
  <c r="BJ100" i="3"/>
  <c r="BK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HD100" i="3"/>
  <c r="HE100" i="3"/>
  <c r="HF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C101" i="3"/>
  <c r="BD101" i="3"/>
  <c r="BE101" i="3"/>
  <c r="BF101" i="3"/>
  <c r="BG101" i="3"/>
  <c r="BH101" i="3"/>
  <c r="BI101" i="3"/>
  <c r="BJ101" i="3"/>
  <c r="BK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HD101" i="3"/>
  <c r="HE101" i="3"/>
  <c r="HF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C102" i="3"/>
  <c r="BD102" i="3"/>
  <c r="BE102" i="3"/>
  <c r="BF102" i="3"/>
  <c r="BG102" i="3"/>
  <c r="BH102" i="3"/>
  <c r="BI102" i="3"/>
  <c r="BJ102" i="3"/>
  <c r="BK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HD102" i="3"/>
  <c r="HE102" i="3"/>
  <c r="HF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C103" i="3"/>
  <c r="BD103" i="3"/>
  <c r="BE103" i="3"/>
  <c r="BF103" i="3"/>
  <c r="BG103" i="3"/>
  <c r="BH103" i="3"/>
  <c r="BI103" i="3"/>
  <c r="BJ103" i="3"/>
  <c r="BK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HD103" i="3"/>
  <c r="HE103" i="3"/>
  <c r="HF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C104" i="3"/>
  <c r="BD104" i="3"/>
  <c r="BE104" i="3"/>
  <c r="BF104" i="3"/>
  <c r="BG104" i="3"/>
  <c r="BH104" i="3"/>
  <c r="BI104" i="3"/>
  <c r="BJ104" i="3"/>
  <c r="BK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HD104" i="3"/>
  <c r="HE104" i="3"/>
  <c r="HF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C105" i="3"/>
  <c r="BD105" i="3"/>
  <c r="BE105" i="3"/>
  <c r="BF105" i="3"/>
  <c r="BG105" i="3"/>
  <c r="BH105" i="3"/>
  <c r="BI105" i="3"/>
  <c r="BJ105" i="3"/>
  <c r="BK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HD105" i="3"/>
  <c r="HE105" i="3"/>
  <c r="HF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C106" i="3"/>
  <c r="BD106" i="3"/>
  <c r="BE106" i="3"/>
  <c r="BF106" i="3"/>
  <c r="BG106" i="3"/>
  <c r="BH106" i="3"/>
  <c r="BI106" i="3"/>
  <c r="BJ106" i="3"/>
  <c r="BK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HD106" i="3"/>
  <c r="HE106" i="3"/>
  <c r="HF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C107" i="3"/>
  <c r="BD107" i="3"/>
  <c r="BE107" i="3"/>
  <c r="BF107" i="3"/>
  <c r="BG107" i="3"/>
  <c r="BH107" i="3"/>
  <c r="BI107" i="3"/>
  <c r="BJ107" i="3"/>
  <c r="BK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HD107" i="3"/>
  <c r="HE107" i="3"/>
  <c r="HF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C108" i="3"/>
  <c r="BD108" i="3"/>
  <c r="BE108" i="3"/>
  <c r="BF108" i="3"/>
  <c r="BG108" i="3"/>
  <c r="BH108" i="3"/>
  <c r="BI108" i="3"/>
  <c r="BJ108" i="3"/>
  <c r="BK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HD108" i="3"/>
  <c r="HE108" i="3"/>
  <c r="HF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C109" i="3"/>
  <c r="BD109" i="3"/>
  <c r="BE109" i="3"/>
  <c r="BF109" i="3"/>
  <c r="BG109" i="3"/>
  <c r="BH109" i="3"/>
  <c r="BI109" i="3"/>
  <c r="BJ109" i="3"/>
  <c r="BK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HD109" i="3"/>
  <c r="HE109" i="3"/>
  <c r="HF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HD110" i="3"/>
  <c r="HE110" i="3"/>
  <c r="HF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HD111" i="3"/>
  <c r="HE111" i="3"/>
  <c r="HF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C112" i="3"/>
  <c r="BD112" i="3"/>
  <c r="BE112" i="3"/>
  <c r="BF112" i="3"/>
  <c r="BG112" i="3"/>
  <c r="BH112" i="3"/>
  <c r="BI112" i="3"/>
  <c r="BJ112" i="3"/>
  <c r="BK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HD112" i="3"/>
  <c r="HE112" i="3"/>
  <c r="HF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C113" i="3"/>
  <c r="BD113" i="3"/>
  <c r="BE113" i="3"/>
  <c r="BF113" i="3"/>
  <c r="BG113" i="3"/>
  <c r="BH113" i="3"/>
  <c r="BI113" i="3"/>
  <c r="BJ113" i="3"/>
  <c r="BK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HD113" i="3"/>
  <c r="HE113" i="3"/>
  <c r="HF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C114" i="3"/>
  <c r="BD114" i="3"/>
  <c r="BE114" i="3"/>
  <c r="BF114" i="3"/>
  <c r="BG114" i="3"/>
  <c r="BH114" i="3"/>
  <c r="BI114" i="3"/>
  <c r="BJ114" i="3"/>
  <c r="BK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HD114" i="3"/>
  <c r="HE114" i="3"/>
  <c r="HF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C115" i="3"/>
  <c r="BD115" i="3"/>
  <c r="BE115" i="3"/>
  <c r="BF115" i="3"/>
  <c r="BG115" i="3"/>
  <c r="BH115" i="3"/>
  <c r="BI115" i="3"/>
  <c r="BJ115" i="3"/>
  <c r="BK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HD115" i="3"/>
  <c r="HE115" i="3"/>
  <c r="HF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C116" i="3"/>
  <c r="BD116" i="3"/>
  <c r="BE116" i="3"/>
  <c r="BF116" i="3"/>
  <c r="BG116" i="3"/>
  <c r="BH116" i="3"/>
  <c r="BI116" i="3"/>
  <c r="BJ116" i="3"/>
  <c r="BK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HD116" i="3"/>
  <c r="HE116" i="3"/>
  <c r="HF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C117" i="3"/>
  <c r="BD117" i="3"/>
  <c r="BE117" i="3"/>
  <c r="BF117" i="3"/>
  <c r="BG117" i="3"/>
  <c r="BH117" i="3"/>
  <c r="BI117" i="3"/>
  <c r="BJ117" i="3"/>
  <c r="BK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HD117" i="3"/>
  <c r="HE117" i="3"/>
  <c r="HF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C118" i="3"/>
  <c r="BD118" i="3"/>
  <c r="BE118" i="3"/>
  <c r="BF118" i="3"/>
  <c r="BG118" i="3"/>
  <c r="BH118" i="3"/>
  <c r="BI118" i="3"/>
  <c r="BJ118" i="3"/>
  <c r="BK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HD118" i="3"/>
  <c r="HE118" i="3"/>
  <c r="HF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C119" i="3"/>
  <c r="BD119" i="3"/>
  <c r="BE119" i="3"/>
  <c r="BF119" i="3"/>
  <c r="BG119" i="3"/>
  <c r="BH119" i="3"/>
  <c r="BI119" i="3"/>
  <c r="BJ119" i="3"/>
  <c r="BK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HD119" i="3"/>
  <c r="HE119" i="3"/>
  <c r="HF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C120" i="3"/>
  <c r="BD120" i="3"/>
  <c r="BE120" i="3"/>
  <c r="BF120" i="3"/>
  <c r="BG120" i="3"/>
  <c r="BH120" i="3"/>
  <c r="BI120" i="3"/>
  <c r="BJ120" i="3"/>
  <c r="BK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HD120" i="3"/>
  <c r="HE120" i="3"/>
  <c r="HF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C121" i="3"/>
  <c r="BD121" i="3"/>
  <c r="BE121" i="3"/>
  <c r="BF121" i="3"/>
  <c r="BG121" i="3"/>
  <c r="BH121" i="3"/>
  <c r="BI121" i="3"/>
  <c r="BJ121" i="3"/>
  <c r="BK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HD121" i="3"/>
  <c r="HE121" i="3"/>
  <c r="HF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HD122" i="3"/>
  <c r="HE122" i="3"/>
  <c r="HF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HD123" i="3"/>
  <c r="HE123" i="3"/>
  <c r="HF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C124" i="3"/>
  <c r="BD124" i="3"/>
  <c r="BE124" i="3"/>
  <c r="BF124" i="3"/>
  <c r="BG124" i="3"/>
  <c r="BH124" i="3"/>
  <c r="BI124" i="3"/>
  <c r="BJ124" i="3"/>
  <c r="BK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HD124" i="3"/>
  <c r="HE124" i="3"/>
  <c r="HF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C125" i="3"/>
  <c r="BD125" i="3"/>
  <c r="BE125" i="3"/>
  <c r="BF125" i="3"/>
  <c r="BG125" i="3"/>
  <c r="BH125" i="3"/>
  <c r="BI125" i="3"/>
  <c r="BJ125" i="3"/>
  <c r="BK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HD125" i="3"/>
  <c r="HE125" i="3"/>
  <c r="HF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C126" i="3"/>
  <c r="BD126" i="3"/>
  <c r="BE126" i="3"/>
  <c r="BF126" i="3"/>
  <c r="BG126" i="3"/>
  <c r="BH126" i="3"/>
  <c r="BI126" i="3"/>
  <c r="BJ126" i="3"/>
  <c r="BK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HD126" i="3"/>
  <c r="HE126" i="3"/>
  <c r="HF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C127" i="3"/>
  <c r="BD127" i="3"/>
  <c r="BE127" i="3"/>
  <c r="BF127" i="3"/>
  <c r="BG127" i="3"/>
  <c r="BH127" i="3"/>
  <c r="BI127" i="3"/>
  <c r="BJ127" i="3"/>
  <c r="BK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HD127" i="3"/>
  <c r="HE127" i="3"/>
  <c r="HF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C128" i="3"/>
  <c r="BD128" i="3"/>
  <c r="BE128" i="3"/>
  <c r="BF128" i="3"/>
  <c r="BG128" i="3"/>
  <c r="BH128" i="3"/>
  <c r="BI128" i="3"/>
  <c r="BJ128" i="3"/>
  <c r="BK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HD128" i="3"/>
  <c r="HE128" i="3"/>
  <c r="HF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C129" i="3"/>
  <c r="BD129" i="3"/>
  <c r="BE129" i="3"/>
  <c r="BF129" i="3"/>
  <c r="BG129" i="3"/>
  <c r="BH129" i="3"/>
  <c r="BI129" i="3"/>
  <c r="BJ129" i="3"/>
  <c r="BK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HD129" i="3"/>
  <c r="HE129" i="3"/>
  <c r="HF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C130" i="3"/>
  <c r="BD130" i="3"/>
  <c r="BE130" i="3"/>
  <c r="BF130" i="3"/>
  <c r="BG130" i="3"/>
  <c r="BH130" i="3"/>
  <c r="BI130" i="3"/>
  <c r="BJ130" i="3"/>
  <c r="BK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HD130" i="3"/>
  <c r="HE130" i="3"/>
  <c r="HF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C131" i="3"/>
  <c r="BD131" i="3"/>
  <c r="BE131" i="3"/>
  <c r="BF131" i="3"/>
  <c r="BG131" i="3"/>
  <c r="BH131" i="3"/>
  <c r="BI131" i="3"/>
  <c r="BJ131" i="3"/>
  <c r="BK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HD131" i="3"/>
  <c r="HE131" i="3"/>
  <c r="HF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C132" i="3"/>
  <c r="BD132" i="3"/>
  <c r="BE132" i="3"/>
  <c r="BF132" i="3"/>
  <c r="BG132" i="3"/>
  <c r="BH132" i="3"/>
  <c r="BI132" i="3"/>
  <c r="BJ132" i="3"/>
  <c r="BK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HD132" i="3"/>
  <c r="HE132" i="3"/>
  <c r="HF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C133" i="3"/>
  <c r="BD133" i="3"/>
  <c r="BE133" i="3"/>
  <c r="BF133" i="3"/>
  <c r="BG133" i="3"/>
  <c r="BH133" i="3"/>
  <c r="BI133" i="3"/>
  <c r="BJ133" i="3"/>
  <c r="BK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HD133" i="3"/>
  <c r="HE133" i="3"/>
  <c r="HF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HD134" i="3"/>
  <c r="HE134" i="3"/>
  <c r="HF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HD135" i="3"/>
  <c r="HE135" i="3"/>
  <c r="HF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C136" i="3"/>
  <c r="BD136" i="3"/>
  <c r="BE136" i="3"/>
  <c r="BF136" i="3"/>
  <c r="BG136" i="3"/>
  <c r="BH136" i="3"/>
  <c r="BI136" i="3"/>
  <c r="BJ136" i="3"/>
  <c r="BK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HD136" i="3"/>
  <c r="HE136" i="3"/>
  <c r="HF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C137" i="3"/>
  <c r="BD137" i="3"/>
  <c r="BE137" i="3"/>
  <c r="BF137" i="3"/>
  <c r="BG137" i="3"/>
  <c r="BH137" i="3"/>
  <c r="BI137" i="3"/>
  <c r="BJ137" i="3"/>
  <c r="BK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HD137" i="3"/>
  <c r="HE137" i="3"/>
  <c r="HF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C138" i="3"/>
  <c r="BD138" i="3"/>
  <c r="BE138" i="3"/>
  <c r="BF138" i="3"/>
  <c r="BG138" i="3"/>
  <c r="BH138" i="3"/>
  <c r="BI138" i="3"/>
  <c r="BJ138" i="3"/>
  <c r="BK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HD138" i="3"/>
  <c r="HE138" i="3"/>
  <c r="HF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C139" i="3"/>
  <c r="BD139" i="3"/>
  <c r="BE139" i="3"/>
  <c r="BF139" i="3"/>
  <c r="BG139" i="3"/>
  <c r="BH139" i="3"/>
  <c r="BI139" i="3"/>
  <c r="BJ139" i="3"/>
  <c r="BK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HD139" i="3"/>
  <c r="HE139" i="3"/>
  <c r="HF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C140" i="3"/>
  <c r="BD140" i="3"/>
  <c r="BE140" i="3"/>
  <c r="BF140" i="3"/>
  <c r="BG140" i="3"/>
  <c r="BH140" i="3"/>
  <c r="BI140" i="3"/>
  <c r="BJ140" i="3"/>
  <c r="BK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HD140" i="3"/>
  <c r="HE140" i="3"/>
  <c r="HF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C141" i="3"/>
  <c r="BD141" i="3"/>
  <c r="BE141" i="3"/>
  <c r="BF141" i="3"/>
  <c r="BG141" i="3"/>
  <c r="BH141" i="3"/>
  <c r="BI141" i="3"/>
  <c r="BJ141" i="3"/>
  <c r="BK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HD141" i="3"/>
  <c r="HE141" i="3"/>
  <c r="HF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C142" i="3"/>
  <c r="BD142" i="3"/>
  <c r="BE142" i="3"/>
  <c r="BF142" i="3"/>
  <c r="BG142" i="3"/>
  <c r="BH142" i="3"/>
  <c r="BI142" i="3"/>
  <c r="BJ142" i="3"/>
  <c r="BK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HD142" i="3"/>
  <c r="HE142" i="3"/>
  <c r="HF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C143" i="3"/>
  <c r="BD143" i="3"/>
  <c r="BE143" i="3"/>
  <c r="BF143" i="3"/>
  <c r="BG143" i="3"/>
  <c r="BH143" i="3"/>
  <c r="BI143" i="3"/>
  <c r="BJ143" i="3"/>
  <c r="BK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HD143" i="3"/>
  <c r="HE143" i="3"/>
  <c r="HF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C144" i="3"/>
  <c r="BD144" i="3"/>
  <c r="BE144" i="3"/>
  <c r="BF144" i="3"/>
  <c r="BG144" i="3"/>
  <c r="BH144" i="3"/>
  <c r="BI144" i="3"/>
  <c r="BJ144" i="3"/>
  <c r="BK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HD144" i="3"/>
  <c r="HE144" i="3"/>
  <c r="HF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C145" i="3"/>
  <c r="BD145" i="3"/>
  <c r="BE145" i="3"/>
  <c r="BF145" i="3"/>
  <c r="BG145" i="3"/>
  <c r="BH145" i="3"/>
  <c r="BI145" i="3"/>
  <c r="BJ145" i="3"/>
  <c r="BK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HD145" i="3"/>
  <c r="HE145" i="3"/>
  <c r="HF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HD146" i="3"/>
  <c r="HE146" i="3"/>
  <c r="HF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HD147" i="3"/>
  <c r="HE147" i="3"/>
  <c r="HF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C148" i="3"/>
  <c r="BD148" i="3"/>
  <c r="BE148" i="3"/>
  <c r="BF148" i="3"/>
  <c r="BG148" i="3"/>
  <c r="BH148" i="3"/>
  <c r="BI148" i="3"/>
  <c r="BJ148" i="3"/>
  <c r="BK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HD148" i="3"/>
  <c r="HE148" i="3"/>
  <c r="HF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C149" i="3"/>
  <c r="BD149" i="3"/>
  <c r="BE149" i="3"/>
  <c r="BF149" i="3"/>
  <c r="BG149" i="3"/>
  <c r="BH149" i="3"/>
  <c r="BI149" i="3"/>
  <c r="BJ149" i="3"/>
  <c r="BK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HD149" i="3"/>
  <c r="HE149" i="3"/>
  <c r="HF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C150" i="3"/>
  <c r="BD150" i="3"/>
  <c r="BE150" i="3"/>
  <c r="BF150" i="3"/>
  <c r="BG150" i="3"/>
  <c r="BH150" i="3"/>
  <c r="BI150" i="3"/>
  <c r="BJ150" i="3"/>
  <c r="BK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HD150" i="3"/>
  <c r="HE150" i="3"/>
  <c r="HF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C151" i="3"/>
  <c r="BD151" i="3"/>
  <c r="BE151" i="3"/>
  <c r="BF151" i="3"/>
  <c r="BG151" i="3"/>
  <c r="BH151" i="3"/>
  <c r="BI151" i="3"/>
  <c r="BJ151" i="3"/>
  <c r="BK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HD151" i="3"/>
  <c r="HE151" i="3"/>
  <c r="HF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C152" i="3"/>
  <c r="BD152" i="3"/>
  <c r="BE152" i="3"/>
  <c r="BF152" i="3"/>
  <c r="BG152" i="3"/>
  <c r="BH152" i="3"/>
  <c r="BI152" i="3"/>
  <c r="BJ152" i="3"/>
  <c r="BK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HD152" i="3"/>
  <c r="HE152" i="3"/>
  <c r="HF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C153" i="3"/>
  <c r="BD153" i="3"/>
  <c r="BE153" i="3"/>
  <c r="BF153" i="3"/>
  <c r="BG153" i="3"/>
  <c r="BH153" i="3"/>
  <c r="BI153" i="3"/>
  <c r="BJ153" i="3"/>
  <c r="BK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HD153" i="3"/>
  <c r="HE153" i="3"/>
  <c r="HF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C154" i="3"/>
  <c r="BD154" i="3"/>
  <c r="BE154" i="3"/>
  <c r="BF154" i="3"/>
  <c r="BG154" i="3"/>
  <c r="BH154" i="3"/>
  <c r="BI154" i="3"/>
  <c r="BJ154" i="3"/>
  <c r="BK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HD154" i="3"/>
  <c r="HE154" i="3"/>
  <c r="HF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C155" i="3"/>
  <c r="BD155" i="3"/>
  <c r="BE155" i="3"/>
  <c r="BF155" i="3"/>
  <c r="BG155" i="3"/>
  <c r="BH155" i="3"/>
  <c r="BI155" i="3"/>
  <c r="BJ155" i="3"/>
  <c r="BK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HD155" i="3"/>
  <c r="HE155" i="3"/>
  <c r="HF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C156" i="3"/>
  <c r="BD156" i="3"/>
  <c r="BE156" i="3"/>
  <c r="BF156" i="3"/>
  <c r="BG156" i="3"/>
  <c r="BH156" i="3"/>
  <c r="BI156" i="3"/>
  <c r="BJ156" i="3"/>
  <c r="BK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HD156" i="3"/>
  <c r="HE156" i="3"/>
  <c r="HF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C157" i="3"/>
  <c r="BD157" i="3"/>
  <c r="BE157" i="3"/>
  <c r="BF157" i="3"/>
  <c r="BG157" i="3"/>
  <c r="BH157" i="3"/>
  <c r="BI157" i="3"/>
  <c r="BJ157" i="3"/>
  <c r="BK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HD157" i="3"/>
  <c r="HE157" i="3"/>
  <c r="HF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HD158" i="3"/>
  <c r="HE158" i="3"/>
  <c r="HF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HD159" i="3"/>
  <c r="HE159" i="3"/>
  <c r="HF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C160" i="3"/>
  <c r="BD160" i="3"/>
  <c r="BE160" i="3"/>
  <c r="BF160" i="3"/>
  <c r="BG160" i="3"/>
  <c r="BH160" i="3"/>
  <c r="BI160" i="3"/>
  <c r="BJ160" i="3"/>
  <c r="BK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HD160" i="3"/>
  <c r="HE160" i="3"/>
  <c r="HF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C161" i="3"/>
  <c r="BD161" i="3"/>
  <c r="BE161" i="3"/>
  <c r="BF161" i="3"/>
  <c r="BG161" i="3"/>
  <c r="BH161" i="3"/>
  <c r="BI161" i="3"/>
  <c r="BJ161" i="3"/>
  <c r="BK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HD161" i="3"/>
  <c r="HE161" i="3"/>
  <c r="HF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C162" i="3"/>
  <c r="BD162" i="3"/>
  <c r="BE162" i="3"/>
  <c r="BF162" i="3"/>
  <c r="BG162" i="3"/>
  <c r="BH162" i="3"/>
  <c r="BI162" i="3"/>
  <c r="BJ162" i="3"/>
  <c r="BK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HD162" i="3"/>
  <c r="HE162" i="3"/>
  <c r="HF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C163" i="3"/>
  <c r="BD163" i="3"/>
  <c r="BE163" i="3"/>
  <c r="BF163" i="3"/>
  <c r="BG163" i="3"/>
  <c r="BH163" i="3"/>
  <c r="BI163" i="3"/>
  <c r="BJ163" i="3"/>
  <c r="BK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HD163" i="3"/>
  <c r="HE163" i="3"/>
  <c r="HF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C164" i="3"/>
  <c r="BD164" i="3"/>
  <c r="BE164" i="3"/>
  <c r="BF164" i="3"/>
  <c r="BG164" i="3"/>
  <c r="BH164" i="3"/>
  <c r="BI164" i="3"/>
  <c r="BJ164" i="3"/>
  <c r="BK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HD164" i="3"/>
  <c r="HE164" i="3"/>
  <c r="HF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C165" i="3"/>
  <c r="BD165" i="3"/>
  <c r="BE165" i="3"/>
  <c r="BF165" i="3"/>
  <c r="BG165" i="3"/>
  <c r="BH165" i="3"/>
  <c r="BI165" i="3"/>
  <c r="BJ165" i="3"/>
  <c r="BK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HD165" i="3"/>
  <c r="HE165" i="3"/>
  <c r="HF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C166" i="3"/>
  <c r="BD166" i="3"/>
  <c r="BE166" i="3"/>
  <c r="BF166" i="3"/>
  <c r="BG166" i="3"/>
  <c r="BH166" i="3"/>
  <c r="BI166" i="3"/>
  <c r="BJ166" i="3"/>
  <c r="BK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HD166" i="3"/>
  <c r="HE166" i="3"/>
  <c r="HF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C167" i="3"/>
  <c r="BD167" i="3"/>
  <c r="BE167" i="3"/>
  <c r="BF167" i="3"/>
  <c r="BG167" i="3"/>
  <c r="BH167" i="3"/>
  <c r="BI167" i="3"/>
  <c r="BJ167" i="3"/>
  <c r="BK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HD167" i="3"/>
  <c r="HE167" i="3"/>
  <c r="HF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C168" i="3"/>
  <c r="BD168" i="3"/>
  <c r="BE168" i="3"/>
  <c r="BF168" i="3"/>
  <c r="BG168" i="3"/>
  <c r="BH168" i="3"/>
  <c r="BI168" i="3"/>
  <c r="BJ168" i="3"/>
  <c r="BK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HD168" i="3"/>
  <c r="HE168" i="3"/>
  <c r="HF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C169" i="3"/>
  <c r="BD169" i="3"/>
  <c r="BE169" i="3"/>
  <c r="BF169" i="3"/>
  <c r="BG169" i="3"/>
  <c r="BH169" i="3"/>
  <c r="BI169" i="3"/>
  <c r="BJ169" i="3"/>
  <c r="BK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HD169" i="3"/>
  <c r="HE169" i="3"/>
  <c r="HF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HD170" i="3"/>
  <c r="HE170" i="3"/>
  <c r="HF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HD171" i="3"/>
  <c r="HE171" i="3"/>
  <c r="HF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C172" i="3"/>
  <c r="BD172" i="3"/>
  <c r="BE172" i="3"/>
  <c r="BF172" i="3"/>
  <c r="BG172" i="3"/>
  <c r="BH172" i="3"/>
  <c r="BI172" i="3"/>
  <c r="BJ172" i="3"/>
  <c r="BK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HD172" i="3"/>
  <c r="HE172" i="3"/>
  <c r="HF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C173" i="3"/>
  <c r="BD173" i="3"/>
  <c r="BE173" i="3"/>
  <c r="BF173" i="3"/>
  <c r="BG173" i="3"/>
  <c r="BH173" i="3"/>
  <c r="BI173" i="3"/>
  <c r="BJ173" i="3"/>
  <c r="BK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HD173" i="3"/>
  <c r="HE173" i="3"/>
  <c r="HF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C174" i="3"/>
  <c r="BD174" i="3"/>
  <c r="BE174" i="3"/>
  <c r="BF174" i="3"/>
  <c r="BG174" i="3"/>
  <c r="BH174" i="3"/>
  <c r="BI174" i="3"/>
  <c r="BJ174" i="3"/>
  <c r="BK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HD174" i="3"/>
  <c r="HE174" i="3"/>
  <c r="HF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C175" i="3"/>
  <c r="BD175" i="3"/>
  <c r="BE175" i="3"/>
  <c r="BF175" i="3"/>
  <c r="BG175" i="3"/>
  <c r="BH175" i="3"/>
  <c r="BI175" i="3"/>
  <c r="BJ175" i="3"/>
  <c r="BK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HD175" i="3"/>
  <c r="HE175" i="3"/>
  <c r="HF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C176" i="3"/>
  <c r="BD176" i="3"/>
  <c r="BE176" i="3"/>
  <c r="BF176" i="3"/>
  <c r="BG176" i="3"/>
  <c r="BH176" i="3"/>
  <c r="BI176" i="3"/>
  <c r="BJ176" i="3"/>
  <c r="BK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HD176" i="3"/>
  <c r="HE176" i="3"/>
  <c r="HF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C177" i="3"/>
  <c r="BD177" i="3"/>
  <c r="BE177" i="3"/>
  <c r="BF177" i="3"/>
  <c r="BG177" i="3"/>
  <c r="BH177" i="3"/>
  <c r="BI177" i="3"/>
  <c r="BJ177" i="3"/>
  <c r="BK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HD177" i="3"/>
  <c r="HE177" i="3"/>
  <c r="HF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C178" i="3"/>
  <c r="BD178" i="3"/>
  <c r="BE178" i="3"/>
  <c r="BF178" i="3"/>
  <c r="BG178" i="3"/>
  <c r="BH178" i="3"/>
  <c r="BI178" i="3"/>
  <c r="BJ178" i="3"/>
  <c r="BK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HD178" i="3"/>
  <c r="HE178" i="3"/>
  <c r="HF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C179" i="3"/>
  <c r="BD179" i="3"/>
  <c r="BE179" i="3"/>
  <c r="BF179" i="3"/>
  <c r="BG179" i="3"/>
  <c r="BH179" i="3"/>
  <c r="BI179" i="3"/>
  <c r="BJ179" i="3"/>
  <c r="BK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HD179" i="3"/>
  <c r="HE179" i="3"/>
  <c r="HF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C180" i="3"/>
  <c r="BD180" i="3"/>
  <c r="BE180" i="3"/>
  <c r="BF180" i="3"/>
  <c r="BG180" i="3"/>
  <c r="BH180" i="3"/>
  <c r="BI180" i="3"/>
  <c r="BJ180" i="3"/>
  <c r="BK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HD180" i="3"/>
  <c r="HE180" i="3"/>
  <c r="HF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C181" i="3"/>
  <c r="BD181" i="3"/>
  <c r="BE181" i="3"/>
  <c r="BF181" i="3"/>
  <c r="BG181" i="3"/>
  <c r="BH181" i="3"/>
  <c r="BI181" i="3"/>
  <c r="BJ181" i="3"/>
  <c r="BK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HD181" i="3"/>
  <c r="HE181" i="3"/>
  <c r="HF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HD182" i="3"/>
  <c r="HE182" i="3"/>
  <c r="HF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HD183" i="3"/>
  <c r="HE183" i="3"/>
  <c r="HF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C184" i="3"/>
  <c r="BD184" i="3"/>
  <c r="BE184" i="3"/>
  <c r="BF184" i="3"/>
  <c r="BG184" i="3"/>
  <c r="BH184" i="3"/>
  <c r="BI184" i="3"/>
  <c r="BJ184" i="3"/>
  <c r="BK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HD184" i="3"/>
  <c r="HE184" i="3"/>
  <c r="HF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C185" i="3"/>
  <c r="BD185" i="3"/>
  <c r="BE185" i="3"/>
  <c r="BF185" i="3"/>
  <c r="BG185" i="3"/>
  <c r="BH185" i="3"/>
  <c r="BI185" i="3"/>
  <c r="BJ185" i="3"/>
  <c r="BK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HD185" i="3"/>
  <c r="HE185" i="3"/>
  <c r="HF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C186" i="3"/>
  <c r="BD186" i="3"/>
  <c r="BE186" i="3"/>
  <c r="BF186" i="3"/>
  <c r="BG186" i="3"/>
  <c r="BH186" i="3"/>
  <c r="BI186" i="3"/>
  <c r="BJ186" i="3"/>
  <c r="BK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HD186" i="3"/>
  <c r="HE186" i="3"/>
  <c r="HF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C187" i="3"/>
  <c r="BD187" i="3"/>
  <c r="BE187" i="3"/>
  <c r="BF187" i="3"/>
  <c r="BG187" i="3"/>
  <c r="BH187" i="3"/>
  <c r="BI187" i="3"/>
  <c r="BJ187" i="3"/>
  <c r="BK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HD187" i="3"/>
  <c r="HE187" i="3"/>
  <c r="HF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C188" i="3"/>
  <c r="BD188" i="3"/>
  <c r="BE188" i="3"/>
  <c r="BF188" i="3"/>
  <c r="BG188" i="3"/>
  <c r="BH188" i="3"/>
  <c r="BI188" i="3"/>
  <c r="BJ188" i="3"/>
  <c r="BK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HD188" i="3"/>
  <c r="HE188" i="3"/>
  <c r="HF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C189" i="3"/>
  <c r="BD189" i="3"/>
  <c r="BE189" i="3"/>
  <c r="BF189" i="3"/>
  <c r="BG189" i="3"/>
  <c r="BH189" i="3"/>
  <c r="BI189" i="3"/>
  <c r="BJ189" i="3"/>
  <c r="BK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HD189" i="3"/>
  <c r="HE189" i="3"/>
  <c r="HF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C190" i="3"/>
  <c r="BD190" i="3"/>
  <c r="BE190" i="3"/>
  <c r="BF190" i="3"/>
  <c r="BG190" i="3"/>
  <c r="BH190" i="3"/>
  <c r="BI190" i="3"/>
  <c r="BJ190" i="3"/>
  <c r="BK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HD190" i="3"/>
  <c r="HE190" i="3"/>
  <c r="HF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C191" i="3"/>
  <c r="BD191" i="3"/>
  <c r="BE191" i="3"/>
  <c r="BF191" i="3"/>
  <c r="BG191" i="3"/>
  <c r="BH191" i="3"/>
  <c r="BI191" i="3"/>
  <c r="BJ191" i="3"/>
  <c r="BK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HD191" i="3"/>
  <c r="HE191" i="3"/>
  <c r="HF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C192" i="3"/>
  <c r="BD192" i="3"/>
  <c r="BE192" i="3"/>
  <c r="BF192" i="3"/>
  <c r="BG192" i="3"/>
  <c r="BH192" i="3"/>
  <c r="BI192" i="3"/>
  <c r="BJ192" i="3"/>
  <c r="BK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HD192" i="3"/>
  <c r="HE192" i="3"/>
  <c r="HF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C193" i="3"/>
  <c r="BD193" i="3"/>
  <c r="BE193" i="3"/>
  <c r="BF193" i="3"/>
  <c r="BG193" i="3"/>
  <c r="BH193" i="3"/>
  <c r="BI193" i="3"/>
  <c r="BJ193" i="3"/>
  <c r="BK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HD193" i="3"/>
  <c r="HE193" i="3"/>
  <c r="HF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HD194" i="3"/>
  <c r="HE194" i="3"/>
  <c r="HF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HD195" i="3"/>
  <c r="HE195" i="3"/>
  <c r="HF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C196" i="3"/>
  <c r="BD196" i="3"/>
  <c r="BE196" i="3"/>
  <c r="BF196" i="3"/>
  <c r="BG196" i="3"/>
  <c r="BH196" i="3"/>
  <c r="BI196" i="3"/>
  <c r="BJ196" i="3"/>
  <c r="BK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HD196" i="3"/>
  <c r="HE196" i="3"/>
  <c r="HF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C197" i="3"/>
  <c r="BD197" i="3"/>
  <c r="BE197" i="3"/>
  <c r="BF197" i="3"/>
  <c r="BG197" i="3"/>
  <c r="BH197" i="3"/>
  <c r="BI197" i="3"/>
  <c r="BJ197" i="3"/>
  <c r="BK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HD197" i="3"/>
  <c r="HE197" i="3"/>
  <c r="HF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C198" i="3"/>
  <c r="BD198" i="3"/>
  <c r="BE198" i="3"/>
  <c r="BF198" i="3"/>
  <c r="BG198" i="3"/>
  <c r="BH198" i="3"/>
  <c r="BI198" i="3"/>
  <c r="BJ198" i="3"/>
  <c r="BK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HD198" i="3"/>
  <c r="HE198" i="3"/>
  <c r="HF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C199" i="3"/>
  <c r="BD199" i="3"/>
  <c r="BE199" i="3"/>
  <c r="BF199" i="3"/>
  <c r="BG199" i="3"/>
  <c r="BH199" i="3"/>
  <c r="BI199" i="3"/>
  <c r="BJ199" i="3"/>
  <c r="BK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HD199" i="3"/>
  <c r="HE199" i="3"/>
  <c r="HF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C200" i="3"/>
  <c r="BD200" i="3"/>
  <c r="BE200" i="3"/>
  <c r="BF200" i="3"/>
  <c r="BG200" i="3"/>
  <c r="BH200" i="3"/>
  <c r="BI200" i="3"/>
  <c r="BJ200" i="3"/>
  <c r="BK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HD200" i="3"/>
  <c r="HE200" i="3"/>
  <c r="HF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C201" i="3"/>
  <c r="BD201" i="3"/>
  <c r="BE201" i="3"/>
  <c r="BF201" i="3"/>
  <c r="BG201" i="3"/>
  <c r="BH201" i="3"/>
  <c r="BI201" i="3"/>
  <c r="BJ201" i="3"/>
  <c r="BK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HD201" i="3"/>
  <c r="HE201" i="3"/>
  <c r="HF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C202" i="3"/>
  <c r="BD202" i="3"/>
  <c r="BE202" i="3"/>
  <c r="BF202" i="3"/>
  <c r="BG202" i="3"/>
  <c r="BH202" i="3"/>
  <c r="BI202" i="3"/>
  <c r="BJ202" i="3"/>
  <c r="BK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HD202" i="3"/>
  <c r="HE202" i="3"/>
  <c r="HF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C203" i="3"/>
  <c r="BD203" i="3"/>
  <c r="BE203" i="3"/>
  <c r="BF203" i="3"/>
  <c r="BG203" i="3"/>
  <c r="BH203" i="3"/>
  <c r="BI203" i="3"/>
  <c r="BJ203" i="3"/>
  <c r="BK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HD203" i="3"/>
  <c r="HE203" i="3"/>
  <c r="HF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C204" i="3"/>
  <c r="BD204" i="3"/>
  <c r="BE204" i="3"/>
  <c r="BF204" i="3"/>
  <c r="BG204" i="3"/>
  <c r="BH204" i="3"/>
  <c r="BI204" i="3"/>
  <c r="BJ204" i="3"/>
  <c r="BK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HD204" i="3"/>
  <c r="HE204" i="3"/>
  <c r="HF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C205" i="3"/>
  <c r="BD205" i="3"/>
  <c r="BE205" i="3"/>
  <c r="BF205" i="3"/>
  <c r="BG205" i="3"/>
  <c r="BH205" i="3"/>
  <c r="BI205" i="3"/>
  <c r="BJ205" i="3"/>
  <c r="BK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HD205" i="3"/>
  <c r="HE205" i="3"/>
  <c r="HF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HD206" i="3"/>
  <c r="HE206" i="3"/>
  <c r="HF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HD207" i="3"/>
  <c r="HE207" i="3"/>
  <c r="HF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C208" i="3"/>
  <c r="BD208" i="3"/>
  <c r="BE208" i="3"/>
  <c r="BF208" i="3"/>
  <c r="BG208" i="3"/>
  <c r="BH208" i="3"/>
  <c r="BI208" i="3"/>
  <c r="BJ208" i="3"/>
  <c r="BK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HD208" i="3"/>
  <c r="HE208" i="3"/>
  <c r="HF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C209" i="3"/>
  <c r="BD209" i="3"/>
  <c r="BE209" i="3"/>
  <c r="BF209" i="3"/>
  <c r="BG209" i="3"/>
  <c r="BH209" i="3"/>
  <c r="BI209" i="3"/>
  <c r="BJ209" i="3"/>
  <c r="BK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HD209" i="3"/>
  <c r="HE209" i="3"/>
  <c r="HF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C210" i="3"/>
  <c r="BD210" i="3"/>
  <c r="BE210" i="3"/>
  <c r="BF210" i="3"/>
  <c r="BG210" i="3"/>
  <c r="BH210" i="3"/>
  <c r="BI210" i="3"/>
  <c r="BJ210" i="3"/>
  <c r="BK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HD210" i="3"/>
  <c r="HE210" i="3"/>
  <c r="HF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C211" i="3"/>
  <c r="BD211" i="3"/>
  <c r="BE211" i="3"/>
  <c r="BF211" i="3"/>
  <c r="BG211" i="3"/>
  <c r="BH211" i="3"/>
  <c r="BI211" i="3"/>
  <c r="BJ211" i="3"/>
  <c r="BK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HD211" i="3"/>
  <c r="HE211" i="3"/>
  <c r="HF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C212" i="3"/>
  <c r="BD212" i="3"/>
  <c r="BE212" i="3"/>
  <c r="BF212" i="3"/>
  <c r="BG212" i="3"/>
  <c r="BH212" i="3"/>
  <c r="BI212" i="3"/>
  <c r="BJ212" i="3"/>
  <c r="BK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HD212" i="3"/>
  <c r="HE212" i="3"/>
  <c r="HF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C213" i="3"/>
  <c r="BD213" i="3"/>
  <c r="BE213" i="3"/>
  <c r="BF213" i="3"/>
  <c r="BG213" i="3"/>
  <c r="BH213" i="3"/>
  <c r="BI213" i="3"/>
  <c r="BJ213" i="3"/>
  <c r="BK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HD213" i="3"/>
  <c r="HE213" i="3"/>
  <c r="HF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C214" i="3"/>
  <c r="BD214" i="3"/>
  <c r="BE214" i="3"/>
  <c r="BF214" i="3"/>
  <c r="BG214" i="3"/>
  <c r="BH214" i="3"/>
  <c r="BI214" i="3"/>
  <c r="BJ214" i="3"/>
  <c r="BK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HD214" i="3"/>
  <c r="HE214" i="3"/>
  <c r="HF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C215" i="3"/>
  <c r="BD215" i="3"/>
  <c r="BE215" i="3"/>
  <c r="BF215" i="3"/>
  <c r="BG215" i="3"/>
  <c r="BH215" i="3"/>
  <c r="BI215" i="3"/>
  <c r="BJ215" i="3"/>
  <c r="BK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HD215" i="3"/>
  <c r="HE215" i="3"/>
  <c r="HF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C216" i="3"/>
  <c r="BD216" i="3"/>
  <c r="BE216" i="3"/>
  <c r="BF216" i="3"/>
  <c r="BG216" i="3"/>
  <c r="BH216" i="3"/>
  <c r="BI216" i="3"/>
  <c r="BJ216" i="3"/>
  <c r="BK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HD216" i="3"/>
  <c r="HE216" i="3"/>
  <c r="HF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C217" i="3"/>
  <c r="BD217" i="3"/>
  <c r="BE217" i="3"/>
  <c r="BF217" i="3"/>
  <c r="BG217" i="3"/>
  <c r="BH217" i="3"/>
  <c r="BI217" i="3"/>
  <c r="BJ217" i="3"/>
  <c r="BK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HD217" i="3"/>
  <c r="HE217" i="3"/>
  <c r="HF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HD218" i="3"/>
  <c r="HE218" i="3"/>
  <c r="HF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HD219" i="3"/>
  <c r="HE219" i="3"/>
  <c r="HF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C220" i="3"/>
  <c r="BD220" i="3"/>
  <c r="BE220" i="3"/>
  <c r="BF220" i="3"/>
  <c r="BG220" i="3"/>
  <c r="BH220" i="3"/>
  <c r="BI220" i="3"/>
  <c r="BJ220" i="3"/>
  <c r="BK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HD220" i="3"/>
  <c r="HE220" i="3"/>
  <c r="HF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C221" i="3"/>
  <c r="BD221" i="3"/>
  <c r="BE221" i="3"/>
  <c r="BF221" i="3"/>
  <c r="BG221" i="3"/>
  <c r="BH221" i="3"/>
  <c r="BI221" i="3"/>
  <c r="BJ221" i="3"/>
  <c r="BK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HD221" i="3"/>
  <c r="HE221" i="3"/>
  <c r="HF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C222" i="3"/>
  <c r="BD222" i="3"/>
  <c r="BE222" i="3"/>
  <c r="BF222" i="3"/>
  <c r="BG222" i="3"/>
  <c r="BH222" i="3"/>
  <c r="BI222" i="3"/>
  <c r="BJ222" i="3"/>
  <c r="BK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HD222" i="3"/>
  <c r="HE222" i="3"/>
  <c r="HF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C223" i="3"/>
  <c r="BD223" i="3"/>
  <c r="BE223" i="3"/>
  <c r="BF223" i="3"/>
  <c r="BG223" i="3"/>
  <c r="BH223" i="3"/>
  <c r="BI223" i="3"/>
  <c r="BJ223" i="3"/>
  <c r="BK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HD223" i="3"/>
  <c r="HE223" i="3"/>
  <c r="HF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C224" i="3"/>
  <c r="BD224" i="3"/>
  <c r="BE224" i="3"/>
  <c r="BF224" i="3"/>
  <c r="BG224" i="3"/>
  <c r="BH224" i="3"/>
  <c r="BI224" i="3"/>
  <c r="BJ224" i="3"/>
  <c r="BK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HD224" i="3"/>
  <c r="HE224" i="3"/>
  <c r="HF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C225" i="3"/>
  <c r="BD225" i="3"/>
  <c r="BE225" i="3"/>
  <c r="BF225" i="3"/>
  <c r="BG225" i="3"/>
  <c r="BH225" i="3"/>
  <c r="BI225" i="3"/>
  <c r="BJ225" i="3"/>
  <c r="BK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HD225" i="3"/>
  <c r="HE225" i="3"/>
  <c r="HF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C226" i="3"/>
  <c r="BD226" i="3"/>
  <c r="BE226" i="3"/>
  <c r="BF226" i="3"/>
  <c r="BG226" i="3"/>
  <c r="BH226" i="3"/>
  <c r="BI226" i="3"/>
  <c r="BJ226" i="3"/>
  <c r="BK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HD226" i="3"/>
  <c r="HE226" i="3"/>
  <c r="HF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C227" i="3"/>
  <c r="BD227" i="3"/>
  <c r="BE227" i="3"/>
  <c r="BF227" i="3"/>
  <c r="BG227" i="3"/>
  <c r="BH227" i="3"/>
  <c r="BI227" i="3"/>
  <c r="BJ227" i="3"/>
  <c r="BK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HD227" i="3"/>
  <c r="HE227" i="3"/>
  <c r="HF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C228" i="3"/>
  <c r="BD228" i="3"/>
  <c r="BE228" i="3"/>
  <c r="BF228" i="3"/>
  <c r="BG228" i="3"/>
  <c r="BH228" i="3"/>
  <c r="BI228" i="3"/>
  <c r="BJ228" i="3"/>
  <c r="BK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HD228" i="3"/>
  <c r="HE228" i="3"/>
  <c r="HF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C229" i="3"/>
  <c r="BD229" i="3"/>
  <c r="BE229" i="3"/>
  <c r="BF229" i="3"/>
  <c r="BG229" i="3"/>
  <c r="BH229" i="3"/>
  <c r="BI229" i="3"/>
  <c r="BJ229" i="3"/>
  <c r="BK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HD229" i="3"/>
  <c r="HE229" i="3"/>
  <c r="HF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HD230" i="3"/>
  <c r="HE230" i="3"/>
  <c r="HF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HD231" i="3"/>
  <c r="HE231" i="3"/>
  <c r="HF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C232" i="3"/>
  <c r="BD232" i="3"/>
  <c r="BE232" i="3"/>
  <c r="BF232" i="3"/>
  <c r="BG232" i="3"/>
  <c r="BH232" i="3"/>
  <c r="BI232" i="3"/>
  <c r="BJ232" i="3"/>
  <c r="BK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HD232" i="3"/>
  <c r="HE232" i="3"/>
  <c r="HF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C233" i="3"/>
  <c r="BD233" i="3"/>
  <c r="BE233" i="3"/>
  <c r="BF233" i="3"/>
  <c r="BG233" i="3"/>
  <c r="BH233" i="3"/>
  <c r="BI233" i="3"/>
  <c r="BJ233" i="3"/>
  <c r="BK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HD233" i="3"/>
  <c r="HE233" i="3"/>
  <c r="HF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C234" i="3"/>
  <c r="BD234" i="3"/>
  <c r="BE234" i="3"/>
  <c r="BF234" i="3"/>
  <c r="BG234" i="3"/>
  <c r="BH234" i="3"/>
  <c r="BI234" i="3"/>
  <c r="BJ234" i="3"/>
  <c r="BK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HD234" i="3"/>
  <c r="HE234" i="3"/>
  <c r="HF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C235" i="3"/>
  <c r="BD235" i="3"/>
  <c r="BE235" i="3"/>
  <c r="BF235" i="3"/>
  <c r="BG235" i="3"/>
  <c r="BH235" i="3"/>
  <c r="BI235" i="3"/>
  <c r="BJ235" i="3"/>
  <c r="BK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HD235" i="3"/>
  <c r="HE235" i="3"/>
  <c r="HF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C236" i="3"/>
  <c r="BD236" i="3"/>
  <c r="BE236" i="3"/>
  <c r="BF236" i="3"/>
  <c r="BG236" i="3"/>
  <c r="BH236" i="3"/>
  <c r="BI236" i="3"/>
  <c r="BJ236" i="3"/>
  <c r="BK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HD236" i="3"/>
  <c r="HE236" i="3"/>
  <c r="HF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C237" i="3"/>
  <c r="BD237" i="3"/>
  <c r="BE237" i="3"/>
  <c r="BF237" i="3"/>
  <c r="BG237" i="3"/>
  <c r="BH237" i="3"/>
  <c r="BI237" i="3"/>
  <c r="BJ237" i="3"/>
  <c r="BK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HD237" i="3"/>
  <c r="HE237" i="3"/>
  <c r="HF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C238" i="3"/>
  <c r="BD238" i="3"/>
  <c r="BE238" i="3"/>
  <c r="BF238" i="3"/>
  <c r="BG238" i="3"/>
  <c r="BH238" i="3"/>
  <c r="BI238" i="3"/>
  <c r="BJ238" i="3"/>
  <c r="BK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HD238" i="3"/>
  <c r="HE238" i="3"/>
  <c r="HF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C239" i="3"/>
  <c r="BD239" i="3"/>
  <c r="BE239" i="3"/>
  <c r="BF239" i="3"/>
  <c r="BG239" i="3"/>
  <c r="BH239" i="3"/>
  <c r="BI239" i="3"/>
  <c r="BJ239" i="3"/>
  <c r="BK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HD239" i="3"/>
  <c r="HE239" i="3"/>
  <c r="HF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C240" i="3"/>
  <c r="BD240" i="3"/>
  <c r="BE240" i="3"/>
  <c r="BF240" i="3"/>
  <c r="BG240" i="3"/>
  <c r="BH240" i="3"/>
  <c r="BI240" i="3"/>
  <c r="BJ240" i="3"/>
  <c r="BK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HD240" i="3"/>
  <c r="HE240" i="3"/>
  <c r="HF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C241" i="3"/>
  <c r="BD241" i="3"/>
  <c r="BE241" i="3"/>
  <c r="BF241" i="3"/>
  <c r="BG241" i="3"/>
  <c r="BH241" i="3"/>
  <c r="BI241" i="3"/>
  <c r="BJ241" i="3"/>
  <c r="BK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HD241" i="3"/>
  <c r="HE241" i="3"/>
  <c r="HF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HD242" i="3"/>
  <c r="HE242" i="3"/>
  <c r="HF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HD243" i="3"/>
  <c r="HE243" i="3"/>
  <c r="HF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C244" i="3"/>
  <c r="BD244" i="3"/>
  <c r="BE244" i="3"/>
  <c r="BF244" i="3"/>
  <c r="BG244" i="3"/>
  <c r="BH244" i="3"/>
  <c r="BI244" i="3"/>
  <c r="BJ244" i="3"/>
  <c r="BK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HD244" i="3"/>
  <c r="HE244" i="3"/>
  <c r="HF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C245" i="3"/>
  <c r="BD245" i="3"/>
  <c r="BE245" i="3"/>
  <c r="BF245" i="3"/>
  <c r="BG245" i="3"/>
  <c r="BH245" i="3"/>
  <c r="BI245" i="3"/>
  <c r="BJ245" i="3"/>
  <c r="BK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HD245" i="3"/>
  <c r="HE245" i="3"/>
  <c r="HF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C246" i="3"/>
  <c r="BD246" i="3"/>
  <c r="BE246" i="3"/>
  <c r="BF246" i="3"/>
  <c r="BG246" i="3"/>
  <c r="BH246" i="3"/>
  <c r="BI246" i="3"/>
  <c r="BJ246" i="3"/>
  <c r="BK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HD246" i="3"/>
  <c r="HE246" i="3"/>
  <c r="HF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C247" i="3"/>
  <c r="BD247" i="3"/>
  <c r="BE247" i="3"/>
  <c r="BF247" i="3"/>
  <c r="BG247" i="3"/>
  <c r="BH247" i="3"/>
  <c r="BI247" i="3"/>
  <c r="BJ247" i="3"/>
  <c r="BK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HD247" i="3"/>
  <c r="HE247" i="3"/>
  <c r="HF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C248" i="3"/>
  <c r="BD248" i="3"/>
  <c r="BE248" i="3"/>
  <c r="BF248" i="3"/>
  <c r="BG248" i="3"/>
  <c r="BH248" i="3"/>
  <c r="BI248" i="3"/>
  <c r="BJ248" i="3"/>
  <c r="BK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HD248" i="3"/>
  <c r="HE248" i="3"/>
  <c r="HF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C249" i="3"/>
  <c r="BD249" i="3"/>
  <c r="BE249" i="3"/>
  <c r="BF249" i="3"/>
  <c r="BG249" i="3"/>
  <c r="BH249" i="3"/>
  <c r="BI249" i="3"/>
  <c r="BJ249" i="3"/>
  <c r="BK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HD249" i="3"/>
  <c r="HE249" i="3"/>
  <c r="HF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C250" i="3"/>
  <c r="BD250" i="3"/>
  <c r="BE250" i="3"/>
  <c r="BF250" i="3"/>
  <c r="BG250" i="3"/>
  <c r="BH250" i="3"/>
  <c r="BI250" i="3"/>
  <c r="BJ250" i="3"/>
  <c r="BK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HD250" i="3"/>
  <c r="HE250" i="3"/>
  <c r="HF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C251" i="3"/>
  <c r="BD251" i="3"/>
  <c r="BE251" i="3"/>
  <c r="BF251" i="3"/>
  <c r="BG251" i="3"/>
  <c r="BH251" i="3"/>
  <c r="BI251" i="3"/>
  <c r="BJ251" i="3"/>
  <c r="BK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HD251" i="3"/>
  <c r="HE251" i="3"/>
  <c r="HF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C252" i="3"/>
  <c r="BD252" i="3"/>
  <c r="BE252" i="3"/>
  <c r="BF252" i="3"/>
  <c r="BG252" i="3"/>
  <c r="BH252" i="3"/>
  <c r="BI252" i="3"/>
  <c r="BJ252" i="3"/>
  <c r="BK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HD252" i="3"/>
  <c r="HE252" i="3"/>
  <c r="HF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C253" i="3"/>
  <c r="BD253" i="3"/>
  <c r="BE253" i="3"/>
  <c r="BF253" i="3"/>
  <c r="BG253" i="3"/>
  <c r="BH253" i="3"/>
  <c r="BI253" i="3"/>
  <c r="BJ253" i="3"/>
  <c r="BK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HD253" i="3"/>
  <c r="HE253" i="3"/>
  <c r="HF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HD254" i="3"/>
  <c r="HE254" i="3"/>
  <c r="HF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HD255" i="3"/>
  <c r="HE255" i="3"/>
  <c r="HF255" i="3"/>
  <c r="BP2" i="5"/>
  <c r="BZ2" i="5"/>
  <c r="BP3" i="5"/>
  <c r="BZ3" i="5"/>
  <c r="BP4" i="5"/>
  <c r="BZ4" i="5"/>
  <c r="BP5" i="5"/>
  <c r="BZ5" i="5"/>
  <c r="A6" i="5"/>
  <c r="BP6" i="5"/>
  <c r="BZ6" i="5"/>
  <c r="BP7" i="5"/>
  <c r="BZ7" i="5"/>
  <c r="BP8" i="5"/>
  <c r="BZ8" i="5"/>
  <c r="BP9" i="5"/>
  <c r="BZ9" i="5"/>
  <c r="BP10" i="5"/>
  <c r="BZ10" i="5"/>
  <c r="C11" i="5"/>
  <c r="D11" i="5"/>
  <c r="E11" i="5"/>
  <c r="F11" i="5"/>
  <c r="G11" i="5"/>
  <c r="H11" i="5"/>
  <c r="I11" i="5"/>
  <c r="J11" i="5"/>
  <c r="K11" i="5"/>
  <c r="L11" i="5"/>
  <c r="M11" i="5"/>
  <c r="BP11" i="5"/>
  <c r="BZ11" i="5"/>
  <c r="C12" i="5"/>
  <c r="D12" i="5"/>
  <c r="E12" i="5"/>
  <c r="F12" i="5"/>
  <c r="G12" i="5"/>
  <c r="H12" i="5"/>
  <c r="I12" i="5"/>
  <c r="J12" i="5"/>
  <c r="K12" i="5"/>
  <c r="L12" i="5"/>
  <c r="M12" i="5"/>
  <c r="BP12" i="5"/>
  <c r="BZ12" i="5"/>
  <c r="D13" i="5"/>
  <c r="E13" i="5"/>
  <c r="L13" i="5"/>
  <c r="M13" i="5"/>
  <c r="BP13" i="5"/>
  <c r="BZ13" i="5"/>
  <c r="BP14" i="5"/>
  <c r="BZ14" i="5"/>
  <c r="BP15" i="5"/>
  <c r="BZ15" i="5"/>
  <c r="BP16" i="5"/>
  <c r="BZ16" i="5"/>
  <c r="B17" i="5"/>
  <c r="R17" i="5"/>
  <c r="S17" i="5"/>
  <c r="T17" i="5"/>
  <c r="U17" i="5"/>
  <c r="BP17" i="5"/>
  <c r="BZ17" i="5"/>
  <c r="B18" i="5"/>
  <c r="R18" i="5"/>
  <c r="S18" i="5"/>
  <c r="T18" i="5"/>
  <c r="U18" i="5"/>
  <c r="BP18" i="5"/>
  <c r="BZ18" i="5"/>
  <c r="B19" i="5"/>
  <c r="R19" i="5"/>
  <c r="S19" i="5"/>
  <c r="T19" i="5"/>
  <c r="U19" i="5"/>
  <c r="BP19" i="5"/>
  <c r="BZ19" i="5"/>
  <c r="B20" i="5"/>
  <c r="R20" i="5"/>
  <c r="S20" i="5"/>
  <c r="T20" i="5"/>
  <c r="U20" i="5"/>
  <c r="BP20" i="5"/>
  <c r="BZ20" i="5"/>
  <c r="B21" i="5"/>
  <c r="R21" i="5"/>
  <c r="S21" i="5"/>
  <c r="T21" i="5"/>
  <c r="U21" i="5"/>
  <c r="BP21" i="5"/>
  <c r="BZ21" i="5"/>
  <c r="B22" i="5"/>
  <c r="R22" i="5"/>
  <c r="S22" i="5"/>
  <c r="T22" i="5"/>
  <c r="U22" i="5"/>
  <c r="BP22" i="5"/>
  <c r="BZ22" i="5"/>
  <c r="B23" i="5"/>
  <c r="R23" i="5"/>
  <c r="S23" i="5"/>
  <c r="T23" i="5"/>
  <c r="U23" i="5"/>
  <c r="BP23" i="5"/>
  <c r="BZ23" i="5"/>
  <c r="B24" i="5"/>
  <c r="R24" i="5"/>
  <c r="S24" i="5"/>
  <c r="T24" i="5"/>
  <c r="U24" i="5"/>
  <c r="BP24" i="5"/>
  <c r="BZ24" i="5"/>
  <c r="B25" i="5"/>
  <c r="R25" i="5"/>
  <c r="S25" i="5"/>
  <c r="T25" i="5"/>
  <c r="U25" i="5"/>
  <c r="BP25" i="5"/>
  <c r="BZ25" i="5"/>
  <c r="B26" i="5"/>
  <c r="R26" i="5"/>
  <c r="S26" i="5"/>
  <c r="T26" i="5"/>
  <c r="U26" i="5"/>
  <c r="BP26" i="5"/>
  <c r="BZ26" i="5"/>
  <c r="B27" i="5"/>
  <c r="R27" i="5"/>
  <c r="S27" i="5"/>
  <c r="T27" i="5"/>
  <c r="U27" i="5"/>
  <c r="BP27" i="5"/>
  <c r="BZ27" i="5"/>
  <c r="B28" i="5"/>
  <c r="R28" i="5"/>
  <c r="S28" i="5"/>
  <c r="T28" i="5"/>
  <c r="U28" i="5"/>
  <c r="BP28" i="5"/>
  <c r="BZ28" i="5"/>
  <c r="B29" i="5"/>
  <c r="R29" i="5"/>
  <c r="S29" i="5"/>
  <c r="T29" i="5"/>
  <c r="U29" i="5"/>
  <c r="BP29" i="5"/>
  <c r="BZ29" i="5"/>
  <c r="B30" i="5"/>
  <c r="R30" i="5"/>
  <c r="S30" i="5"/>
  <c r="T30" i="5"/>
  <c r="U30" i="5"/>
  <c r="BP30" i="5"/>
  <c r="BZ30" i="5"/>
  <c r="B31" i="5"/>
  <c r="R31" i="5"/>
  <c r="S31" i="5"/>
  <c r="T31" i="5"/>
  <c r="U31" i="5"/>
  <c r="BP31" i="5"/>
  <c r="BZ31" i="5"/>
  <c r="B32" i="5"/>
  <c r="R32" i="5"/>
  <c r="S32" i="5"/>
  <c r="T32" i="5"/>
  <c r="U32" i="5"/>
  <c r="BP32" i="5"/>
  <c r="BZ32" i="5"/>
  <c r="B33" i="5"/>
  <c r="R33" i="5"/>
  <c r="S33" i="5"/>
  <c r="T33" i="5"/>
  <c r="U33" i="5"/>
  <c r="BP33" i="5"/>
  <c r="BZ33" i="5"/>
  <c r="B34" i="5"/>
  <c r="R34" i="5"/>
  <c r="S34" i="5"/>
  <c r="T34" i="5"/>
  <c r="U34" i="5"/>
  <c r="BP34" i="5"/>
  <c r="BZ34" i="5"/>
  <c r="B35" i="5"/>
  <c r="R35" i="5"/>
  <c r="S35" i="5"/>
  <c r="T35" i="5"/>
  <c r="U35" i="5"/>
  <c r="BP35" i="5"/>
  <c r="BZ35" i="5"/>
  <c r="B36" i="5"/>
  <c r="R36" i="5"/>
  <c r="S36" i="5"/>
  <c r="T36" i="5"/>
  <c r="U36" i="5"/>
  <c r="BP36" i="5"/>
  <c r="BZ36" i="5"/>
  <c r="B37" i="5"/>
  <c r="R37" i="5"/>
  <c r="S37" i="5"/>
  <c r="T37" i="5"/>
  <c r="U37" i="5"/>
  <c r="BP37" i="5"/>
  <c r="BZ37" i="5"/>
  <c r="B38" i="5"/>
  <c r="R38" i="5"/>
  <c r="S38" i="5"/>
  <c r="T38" i="5"/>
  <c r="U38" i="5"/>
  <c r="BP38" i="5"/>
  <c r="BZ38" i="5"/>
  <c r="B39" i="5"/>
  <c r="R39" i="5"/>
  <c r="S39" i="5"/>
  <c r="T39" i="5"/>
  <c r="U39" i="5"/>
  <c r="BP39" i="5"/>
  <c r="BZ39" i="5"/>
  <c r="B40" i="5"/>
  <c r="R40" i="5"/>
  <c r="S40" i="5"/>
  <c r="T40" i="5"/>
  <c r="U40" i="5"/>
  <c r="BP40" i="5"/>
  <c r="BZ40" i="5"/>
  <c r="B41" i="5"/>
  <c r="R41" i="5"/>
  <c r="S41" i="5"/>
  <c r="T41" i="5"/>
  <c r="U41" i="5"/>
  <c r="BP41" i="5"/>
  <c r="BZ41" i="5"/>
  <c r="B42" i="5"/>
  <c r="R42" i="5"/>
  <c r="S42" i="5"/>
  <c r="T42" i="5"/>
  <c r="U42" i="5"/>
  <c r="BP42" i="5"/>
  <c r="BZ42" i="5"/>
  <c r="B43" i="5"/>
  <c r="R43" i="5"/>
  <c r="S43" i="5"/>
  <c r="T43" i="5"/>
  <c r="U43" i="5"/>
  <c r="BP43" i="5"/>
  <c r="BZ43" i="5"/>
  <c r="B44" i="5"/>
  <c r="R44" i="5"/>
  <c r="S44" i="5"/>
  <c r="T44" i="5"/>
  <c r="U44" i="5"/>
  <c r="BP44" i="5"/>
  <c r="BZ44" i="5"/>
  <c r="B45" i="5"/>
  <c r="R45" i="5"/>
  <c r="S45" i="5"/>
  <c r="T45" i="5"/>
  <c r="U45" i="5"/>
  <c r="BP45" i="5"/>
  <c r="BZ45" i="5"/>
  <c r="B46" i="5"/>
  <c r="R46" i="5"/>
  <c r="S46" i="5"/>
  <c r="T46" i="5"/>
  <c r="U46" i="5"/>
  <c r="BP46" i="5"/>
  <c r="BZ46" i="5"/>
  <c r="B47" i="5"/>
  <c r="R47" i="5"/>
  <c r="S47" i="5"/>
  <c r="T47" i="5"/>
  <c r="U47" i="5"/>
  <c r="BP47" i="5"/>
  <c r="BZ47" i="5"/>
  <c r="B48" i="5"/>
  <c r="R48" i="5"/>
  <c r="S48" i="5"/>
  <c r="T48" i="5"/>
  <c r="U48" i="5"/>
  <c r="BP48" i="5"/>
  <c r="BZ48" i="5"/>
  <c r="B49" i="5"/>
  <c r="R49" i="5"/>
  <c r="S49" i="5"/>
  <c r="T49" i="5"/>
  <c r="U49" i="5"/>
  <c r="BP49" i="5"/>
  <c r="BZ49" i="5"/>
  <c r="B50" i="5"/>
  <c r="R50" i="5"/>
  <c r="S50" i="5"/>
  <c r="T50" i="5"/>
  <c r="U50" i="5"/>
  <c r="BP50" i="5"/>
  <c r="BZ50" i="5"/>
  <c r="B51" i="5"/>
  <c r="R51" i="5"/>
  <c r="S51" i="5"/>
  <c r="T51" i="5"/>
  <c r="U51" i="5"/>
  <c r="BP51" i="5"/>
  <c r="BZ51" i="5"/>
  <c r="B52" i="5"/>
  <c r="R52" i="5"/>
  <c r="S52" i="5"/>
  <c r="T52" i="5"/>
  <c r="U52" i="5"/>
  <c r="BP52" i="5"/>
  <c r="BZ52" i="5"/>
  <c r="B53" i="5"/>
  <c r="R53" i="5"/>
  <c r="S53" i="5"/>
  <c r="T53" i="5"/>
  <c r="U53" i="5"/>
  <c r="BP53" i="5"/>
  <c r="BZ53" i="5"/>
  <c r="B54" i="5"/>
  <c r="R54" i="5"/>
  <c r="S54" i="5"/>
  <c r="T54" i="5"/>
  <c r="U54" i="5"/>
  <c r="BP54" i="5"/>
  <c r="BZ54" i="5"/>
  <c r="B55" i="5"/>
  <c r="R55" i="5"/>
  <c r="S55" i="5"/>
  <c r="T55" i="5"/>
  <c r="U55" i="5"/>
  <c r="BP55" i="5"/>
  <c r="BZ55" i="5"/>
  <c r="B56" i="5"/>
  <c r="R56" i="5"/>
  <c r="S56" i="5"/>
  <c r="T56" i="5"/>
  <c r="U56" i="5"/>
  <c r="BP56" i="5"/>
  <c r="BZ56" i="5"/>
  <c r="B57" i="5"/>
  <c r="R57" i="5"/>
  <c r="S57" i="5"/>
  <c r="T57" i="5"/>
  <c r="U57" i="5"/>
  <c r="BP57" i="5"/>
  <c r="BZ57" i="5"/>
  <c r="B58" i="5"/>
  <c r="R58" i="5"/>
  <c r="S58" i="5"/>
  <c r="T58" i="5"/>
  <c r="U58" i="5"/>
  <c r="BP58" i="5"/>
  <c r="BZ58" i="5"/>
  <c r="B59" i="5"/>
  <c r="R59" i="5"/>
  <c r="S59" i="5"/>
  <c r="T59" i="5"/>
  <c r="U59" i="5"/>
  <c r="BP59" i="5"/>
  <c r="BZ59" i="5"/>
  <c r="B60" i="5"/>
  <c r="R60" i="5"/>
  <c r="S60" i="5"/>
  <c r="T60" i="5"/>
  <c r="U60" i="5"/>
  <c r="BP60" i="5"/>
  <c r="BZ60" i="5"/>
  <c r="B61" i="5"/>
  <c r="R61" i="5"/>
  <c r="S61" i="5"/>
  <c r="T61" i="5"/>
  <c r="U61" i="5"/>
  <c r="BP61" i="5"/>
  <c r="BZ61" i="5"/>
  <c r="B62" i="5"/>
  <c r="R62" i="5"/>
  <c r="S62" i="5"/>
  <c r="T62" i="5"/>
  <c r="U62" i="5"/>
  <c r="BP62" i="5"/>
  <c r="BZ62" i="5"/>
  <c r="B63" i="5"/>
  <c r="R63" i="5"/>
  <c r="S63" i="5"/>
  <c r="T63" i="5"/>
  <c r="U63" i="5"/>
  <c r="BP63" i="5"/>
  <c r="BZ63" i="5"/>
  <c r="B64" i="5"/>
  <c r="R64" i="5"/>
  <c r="S64" i="5"/>
  <c r="T64" i="5"/>
  <c r="U64" i="5"/>
  <c r="BP64" i="5"/>
  <c r="BZ64" i="5"/>
  <c r="B65" i="5"/>
  <c r="R65" i="5"/>
  <c r="S65" i="5"/>
  <c r="T65" i="5"/>
  <c r="U65" i="5"/>
  <c r="BP65" i="5"/>
  <c r="BZ65" i="5"/>
  <c r="B66" i="5"/>
  <c r="R66" i="5"/>
  <c r="S66" i="5"/>
  <c r="T66" i="5"/>
  <c r="U66" i="5"/>
  <c r="BP66" i="5"/>
  <c r="BZ66" i="5"/>
  <c r="B67" i="5"/>
  <c r="R67" i="5"/>
  <c r="S67" i="5"/>
  <c r="T67" i="5"/>
  <c r="U67" i="5"/>
  <c r="BP67" i="5"/>
  <c r="BZ67" i="5"/>
  <c r="B68" i="5"/>
  <c r="R68" i="5"/>
  <c r="S68" i="5"/>
  <c r="T68" i="5"/>
  <c r="U68" i="5"/>
  <c r="BP68" i="5"/>
  <c r="BZ68" i="5"/>
  <c r="B69" i="5"/>
  <c r="R69" i="5"/>
  <c r="S69" i="5"/>
  <c r="T69" i="5"/>
  <c r="U69" i="5"/>
  <c r="BP69" i="5"/>
  <c r="BZ69" i="5"/>
  <c r="B70" i="5"/>
  <c r="R70" i="5"/>
  <c r="S70" i="5"/>
  <c r="T70" i="5"/>
  <c r="U70" i="5"/>
  <c r="BP70" i="5"/>
  <c r="BZ70" i="5"/>
  <c r="B71" i="5"/>
  <c r="R71" i="5"/>
  <c r="S71" i="5"/>
  <c r="T71" i="5"/>
  <c r="U71" i="5"/>
  <c r="BP71" i="5"/>
  <c r="BZ71" i="5"/>
  <c r="B72" i="5"/>
  <c r="R72" i="5"/>
  <c r="S72" i="5"/>
  <c r="T72" i="5"/>
  <c r="U72" i="5"/>
  <c r="BP72" i="5"/>
  <c r="BZ72" i="5"/>
  <c r="B73" i="5"/>
  <c r="R73" i="5"/>
  <c r="S73" i="5"/>
  <c r="T73" i="5"/>
  <c r="U73" i="5"/>
  <c r="BP73" i="5"/>
  <c r="BZ73" i="5"/>
  <c r="B74" i="5"/>
  <c r="R74" i="5"/>
  <c r="S74" i="5"/>
  <c r="T74" i="5"/>
  <c r="U74" i="5"/>
  <c r="BP74" i="5"/>
  <c r="BZ74" i="5"/>
  <c r="B75" i="5"/>
  <c r="R75" i="5"/>
  <c r="S75" i="5"/>
  <c r="T75" i="5"/>
  <c r="U75" i="5"/>
  <c r="BP75" i="5"/>
  <c r="BZ75" i="5"/>
  <c r="B76" i="5"/>
  <c r="R76" i="5"/>
  <c r="S76" i="5"/>
  <c r="T76" i="5"/>
  <c r="U76" i="5"/>
  <c r="BP76" i="5"/>
  <c r="BZ76" i="5"/>
  <c r="B77" i="5"/>
  <c r="R77" i="5"/>
  <c r="S77" i="5"/>
  <c r="T77" i="5"/>
  <c r="U77" i="5"/>
  <c r="BP77" i="5"/>
  <c r="BZ77" i="5"/>
  <c r="B78" i="5"/>
  <c r="R78" i="5"/>
  <c r="S78" i="5"/>
  <c r="T78" i="5"/>
  <c r="U78" i="5"/>
  <c r="BP78" i="5"/>
  <c r="BZ78" i="5"/>
  <c r="B79" i="5"/>
  <c r="R79" i="5"/>
  <c r="S79" i="5"/>
  <c r="T79" i="5"/>
  <c r="U79" i="5"/>
  <c r="BP79" i="5"/>
  <c r="BZ79" i="5"/>
  <c r="B80" i="5"/>
  <c r="R80" i="5"/>
  <c r="S80" i="5"/>
  <c r="T80" i="5"/>
  <c r="U80" i="5"/>
  <c r="BP80" i="5"/>
  <c r="BZ80" i="5"/>
  <c r="B81" i="5"/>
  <c r="R81" i="5"/>
  <c r="S81" i="5"/>
  <c r="T81" i="5"/>
  <c r="U81" i="5"/>
  <c r="BP81" i="5"/>
  <c r="BZ81" i="5"/>
  <c r="B82" i="5"/>
  <c r="R82" i="5"/>
  <c r="S82" i="5"/>
  <c r="T82" i="5"/>
  <c r="U82" i="5"/>
  <c r="BP82" i="5"/>
  <c r="BZ82" i="5"/>
  <c r="B83" i="5"/>
  <c r="R83" i="5"/>
  <c r="S83" i="5"/>
  <c r="T83" i="5"/>
  <c r="U83" i="5"/>
  <c r="BP83" i="5"/>
  <c r="BZ83" i="5"/>
  <c r="B84" i="5"/>
  <c r="R84" i="5"/>
  <c r="S84" i="5"/>
  <c r="T84" i="5"/>
  <c r="U84" i="5"/>
  <c r="BP84" i="5"/>
  <c r="BZ84" i="5"/>
  <c r="B85" i="5"/>
  <c r="R85" i="5"/>
  <c r="S85" i="5"/>
  <c r="T85" i="5"/>
  <c r="U85" i="5"/>
  <c r="BP85" i="5"/>
  <c r="BZ85" i="5"/>
  <c r="B86" i="5"/>
  <c r="R86" i="5"/>
  <c r="S86" i="5"/>
  <c r="T86" i="5"/>
  <c r="U86" i="5"/>
  <c r="BP86" i="5"/>
  <c r="BZ86" i="5"/>
  <c r="B87" i="5"/>
  <c r="R87" i="5"/>
  <c r="S87" i="5"/>
  <c r="T87" i="5"/>
  <c r="U87" i="5"/>
  <c r="BP87" i="5"/>
  <c r="BZ87" i="5"/>
  <c r="B88" i="5"/>
  <c r="R88" i="5"/>
  <c r="S88" i="5"/>
  <c r="T88" i="5"/>
  <c r="U88" i="5"/>
  <c r="BP88" i="5"/>
  <c r="BZ88" i="5"/>
  <c r="B89" i="5"/>
  <c r="R89" i="5"/>
  <c r="S89" i="5"/>
  <c r="T89" i="5"/>
  <c r="U89" i="5"/>
  <c r="BP89" i="5"/>
  <c r="BZ89" i="5"/>
  <c r="B90" i="5"/>
  <c r="R90" i="5"/>
  <c r="S90" i="5"/>
  <c r="T90" i="5"/>
  <c r="U90" i="5"/>
  <c r="BP90" i="5"/>
  <c r="BZ90" i="5"/>
  <c r="B91" i="5"/>
  <c r="R91" i="5"/>
  <c r="S91" i="5"/>
  <c r="T91" i="5"/>
  <c r="U91" i="5"/>
  <c r="BP91" i="5"/>
  <c r="BZ91" i="5"/>
  <c r="B92" i="5"/>
  <c r="R92" i="5"/>
  <c r="S92" i="5"/>
  <c r="T92" i="5"/>
  <c r="U92" i="5"/>
  <c r="BP92" i="5"/>
  <c r="BZ92" i="5"/>
  <c r="B93" i="5"/>
  <c r="R93" i="5"/>
  <c r="S93" i="5"/>
  <c r="T93" i="5"/>
  <c r="U93" i="5"/>
  <c r="BP93" i="5"/>
  <c r="BZ93" i="5"/>
  <c r="B94" i="5"/>
  <c r="R94" i="5"/>
  <c r="S94" i="5"/>
  <c r="T94" i="5"/>
  <c r="U94" i="5"/>
  <c r="BP94" i="5"/>
  <c r="BZ94" i="5"/>
  <c r="B95" i="5"/>
  <c r="R95" i="5"/>
  <c r="S95" i="5"/>
  <c r="T95" i="5"/>
  <c r="U95" i="5"/>
  <c r="BP95" i="5"/>
  <c r="BZ95" i="5"/>
  <c r="B96" i="5"/>
  <c r="R96" i="5"/>
  <c r="S96" i="5"/>
  <c r="T96" i="5"/>
  <c r="U96" i="5"/>
  <c r="BP96" i="5"/>
  <c r="BZ96" i="5"/>
  <c r="B97" i="5"/>
  <c r="R97" i="5"/>
  <c r="S97" i="5"/>
  <c r="T97" i="5"/>
  <c r="U97" i="5"/>
  <c r="BP97" i="5"/>
  <c r="BZ97" i="5"/>
  <c r="B98" i="5"/>
  <c r="R98" i="5"/>
  <c r="S98" i="5"/>
  <c r="T98" i="5"/>
  <c r="U98" i="5"/>
  <c r="BP98" i="5"/>
  <c r="BZ98" i="5"/>
  <c r="B99" i="5"/>
  <c r="R99" i="5"/>
  <c r="S99" i="5"/>
  <c r="T99" i="5"/>
  <c r="U99" i="5"/>
  <c r="BP99" i="5"/>
  <c r="BZ99" i="5"/>
  <c r="B100" i="5"/>
  <c r="R100" i="5"/>
  <c r="S100" i="5"/>
  <c r="T100" i="5"/>
  <c r="U100" i="5"/>
  <c r="BP100" i="5"/>
  <c r="BZ100" i="5"/>
  <c r="B101" i="5"/>
  <c r="R101" i="5"/>
  <c r="S101" i="5"/>
  <c r="T101" i="5"/>
  <c r="U101" i="5"/>
  <c r="BP101" i="5"/>
  <c r="BZ101" i="5"/>
  <c r="B102" i="5"/>
  <c r="R102" i="5"/>
  <c r="S102" i="5"/>
  <c r="T102" i="5"/>
  <c r="U102" i="5"/>
  <c r="BP102" i="5"/>
  <c r="BZ102" i="5"/>
  <c r="B103" i="5"/>
  <c r="R103" i="5"/>
  <c r="S103" i="5"/>
  <c r="T103" i="5"/>
  <c r="U103" i="5"/>
  <c r="BP103" i="5"/>
  <c r="BZ103" i="5"/>
  <c r="B104" i="5"/>
  <c r="R104" i="5"/>
  <c r="S104" i="5"/>
  <c r="T104" i="5"/>
  <c r="U104" i="5"/>
  <c r="BP104" i="5"/>
  <c r="BZ104" i="5"/>
  <c r="B105" i="5"/>
  <c r="R105" i="5"/>
  <c r="S105" i="5"/>
  <c r="T105" i="5"/>
  <c r="U105" i="5"/>
  <c r="BP105" i="5"/>
  <c r="BZ105" i="5"/>
  <c r="B106" i="5"/>
  <c r="R106" i="5"/>
  <c r="S106" i="5"/>
  <c r="T106" i="5"/>
  <c r="U106" i="5"/>
  <c r="BP106" i="5"/>
  <c r="BZ106" i="5"/>
  <c r="B107" i="5"/>
  <c r="R107" i="5"/>
  <c r="S107" i="5"/>
  <c r="T107" i="5"/>
  <c r="U107" i="5"/>
  <c r="BP107" i="5"/>
  <c r="BZ107" i="5"/>
  <c r="B108" i="5"/>
  <c r="R108" i="5"/>
  <c r="S108" i="5"/>
  <c r="T108" i="5"/>
  <c r="U108" i="5"/>
  <c r="BP108" i="5"/>
  <c r="BZ108" i="5"/>
  <c r="B109" i="5"/>
  <c r="R109" i="5"/>
  <c r="S109" i="5"/>
  <c r="T109" i="5"/>
  <c r="U109" i="5"/>
  <c r="BP109" i="5"/>
  <c r="BZ109" i="5"/>
  <c r="B110" i="5"/>
  <c r="R110" i="5"/>
  <c r="S110" i="5"/>
  <c r="T110" i="5"/>
  <c r="U110" i="5"/>
  <c r="BP110" i="5"/>
  <c r="BZ110" i="5"/>
  <c r="B111" i="5"/>
  <c r="R111" i="5"/>
  <c r="S111" i="5"/>
  <c r="T111" i="5"/>
  <c r="U111" i="5"/>
  <c r="BP111" i="5"/>
  <c r="BZ111" i="5"/>
  <c r="B112" i="5"/>
  <c r="R112" i="5"/>
  <c r="S112" i="5"/>
  <c r="T112" i="5"/>
  <c r="U112" i="5"/>
  <c r="BP112" i="5"/>
  <c r="BZ112" i="5"/>
  <c r="B113" i="5"/>
  <c r="R113" i="5"/>
  <c r="S113" i="5"/>
  <c r="T113" i="5"/>
  <c r="U113" i="5"/>
  <c r="BP113" i="5"/>
  <c r="BZ113" i="5"/>
  <c r="B114" i="5"/>
  <c r="R114" i="5"/>
  <c r="S114" i="5"/>
  <c r="T114" i="5"/>
  <c r="U114" i="5"/>
  <c r="BP114" i="5"/>
  <c r="BZ114" i="5"/>
  <c r="B115" i="5"/>
  <c r="R115" i="5"/>
  <c r="S115" i="5"/>
  <c r="T115" i="5"/>
  <c r="U115" i="5"/>
  <c r="BP115" i="5"/>
  <c r="BZ115" i="5"/>
  <c r="B116" i="5"/>
  <c r="R116" i="5"/>
  <c r="S116" i="5"/>
  <c r="T116" i="5"/>
  <c r="U116" i="5"/>
  <c r="BP116" i="5"/>
  <c r="BZ116" i="5"/>
  <c r="B117" i="5"/>
  <c r="R117" i="5"/>
  <c r="S117" i="5"/>
  <c r="T117" i="5"/>
  <c r="U117" i="5"/>
  <c r="BP117" i="5"/>
  <c r="BZ117" i="5"/>
  <c r="B118" i="5"/>
  <c r="R118" i="5"/>
  <c r="S118" i="5"/>
  <c r="T118" i="5"/>
  <c r="U118" i="5"/>
  <c r="BP118" i="5"/>
  <c r="BZ118" i="5"/>
  <c r="B119" i="5"/>
  <c r="R119" i="5"/>
  <c r="S119" i="5"/>
  <c r="T119" i="5"/>
  <c r="U119" i="5"/>
  <c r="BP119" i="5"/>
  <c r="BZ119" i="5"/>
  <c r="B120" i="5"/>
  <c r="R120" i="5"/>
  <c r="S120" i="5"/>
  <c r="T120" i="5"/>
  <c r="U120" i="5"/>
  <c r="BP120" i="5"/>
  <c r="BZ120" i="5"/>
  <c r="B121" i="5"/>
  <c r="R121" i="5"/>
  <c r="S121" i="5"/>
  <c r="T121" i="5"/>
  <c r="U121" i="5"/>
  <c r="BP121" i="5"/>
  <c r="BZ121" i="5"/>
  <c r="B122" i="5"/>
  <c r="R122" i="5"/>
  <c r="S122" i="5"/>
  <c r="T122" i="5"/>
  <c r="U122" i="5"/>
  <c r="BP122" i="5"/>
  <c r="BZ122" i="5"/>
  <c r="B123" i="5"/>
  <c r="R123" i="5"/>
  <c r="S123" i="5"/>
  <c r="T123" i="5"/>
  <c r="U123" i="5"/>
  <c r="BP123" i="5"/>
  <c r="BZ123" i="5"/>
  <c r="B124" i="5"/>
  <c r="R124" i="5"/>
  <c r="S124" i="5"/>
  <c r="T124" i="5"/>
  <c r="U124" i="5"/>
  <c r="BP124" i="5"/>
  <c r="BZ124" i="5"/>
  <c r="B125" i="5"/>
  <c r="R125" i="5"/>
  <c r="S125" i="5"/>
  <c r="T125" i="5"/>
  <c r="U125" i="5"/>
  <c r="BP125" i="5"/>
  <c r="BZ125" i="5"/>
  <c r="B126" i="5"/>
  <c r="R126" i="5"/>
  <c r="S126" i="5"/>
  <c r="T126" i="5"/>
  <c r="U126" i="5"/>
  <c r="BP126" i="5"/>
  <c r="BZ126" i="5"/>
  <c r="B127" i="5"/>
  <c r="R127" i="5"/>
  <c r="S127" i="5"/>
  <c r="T127" i="5"/>
  <c r="U127" i="5"/>
  <c r="BP127" i="5"/>
  <c r="BZ127" i="5"/>
  <c r="B128" i="5"/>
  <c r="R128" i="5"/>
  <c r="S128" i="5"/>
  <c r="T128" i="5"/>
  <c r="U128" i="5"/>
  <c r="BP128" i="5"/>
  <c r="BZ128" i="5"/>
  <c r="B129" i="5"/>
  <c r="R129" i="5"/>
  <c r="S129" i="5"/>
  <c r="T129" i="5"/>
  <c r="U129" i="5"/>
  <c r="BP129" i="5"/>
  <c r="BZ129" i="5"/>
  <c r="B130" i="5"/>
  <c r="R130" i="5"/>
  <c r="S130" i="5"/>
  <c r="T130" i="5"/>
  <c r="U130" i="5"/>
  <c r="BP130" i="5"/>
  <c r="BZ130" i="5"/>
  <c r="B131" i="5"/>
  <c r="R131" i="5"/>
  <c r="S131" i="5"/>
  <c r="T131" i="5"/>
  <c r="U131" i="5"/>
  <c r="BP131" i="5"/>
  <c r="BZ131" i="5"/>
  <c r="B132" i="5"/>
  <c r="R132" i="5"/>
  <c r="S132" i="5"/>
  <c r="T132" i="5"/>
  <c r="U132" i="5"/>
  <c r="BP132" i="5"/>
  <c r="BZ132" i="5"/>
  <c r="B133" i="5"/>
  <c r="R133" i="5"/>
  <c r="S133" i="5"/>
  <c r="T133" i="5"/>
  <c r="U133" i="5"/>
  <c r="BP133" i="5"/>
  <c r="BZ133" i="5"/>
  <c r="B134" i="5"/>
  <c r="R134" i="5"/>
  <c r="S134" i="5"/>
  <c r="T134" i="5"/>
  <c r="U134" i="5"/>
  <c r="BP134" i="5"/>
  <c r="BZ134" i="5"/>
  <c r="B135" i="5"/>
  <c r="R135" i="5"/>
  <c r="S135" i="5"/>
  <c r="T135" i="5"/>
  <c r="U135" i="5"/>
  <c r="BP135" i="5"/>
  <c r="BZ135" i="5"/>
  <c r="B136" i="5"/>
  <c r="R136" i="5"/>
  <c r="S136" i="5"/>
  <c r="T136" i="5"/>
  <c r="U136" i="5"/>
  <c r="BP136" i="5"/>
  <c r="BZ136" i="5"/>
  <c r="B137" i="5"/>
  <c r="R137" i="5"/>
  <c r="S137" i="5"/>
  <c r="T137" i="5"/>
  <c r="U137" i="5"/>
  <c r="BP137" i="5"/>
  <c r="BZ137" i="5"/>
  <c r="B138" i="5"/>
  <c r="R138" i="5"/>
  <c r="S138" i="5"/>
  <c r="T138" i="5"/>
  <c r="U138" i="5"/>
  <c r="BP138" i="5"/>
  <c r="BZ138" i="5"/>
  <c r="B139" i="5"/>
  <c r="R139" i="5"/>
  <c r="S139" i="5"/>
  <c r="T139" i="5"/>
  <c r="U139" i="5"/>
  <c r="BP139" i="5"/>
  <c r="BZ139" i="5"/>
  <c r="B140" i="5"/>
  <c r="R140" i="5"/>
  <c r="S140" i="5"/>
  <c r="T140" i="5"/>
  <c r="U140" i="5"/>
  <c r="BP140" i="5"/>
  <c r="BZ140" i="5"/>
  <c r="B141" i="5"/>
  <c r="R141" i="5"/>
  <c r="S141" i="5"/>
  <c r="T141" i="5"/>
  <c r="U141" i="5"/>
  <c r="BP141" i="5"/>
  <c r="BZ141" i="5"/>
  <c r="B142" i="5"/>
  <c r="R142" i="5"/>
  <c r="S142" i="5"/>
  <c r="T142" i="5"/>
  <c r="U142" i="5"/>
  <c r="BP142" i="5"/>
  <c r="BZ142" i="5"/>
  <c r="B143" i="5"/>
  <c r="R143" i="5"/>
  <c r="S143" i="5"/>
  <c r="T143" i="5"/>
  <c r="U143" i="5"/>
  <c r="BP143" i="5"/>
  <c r="BZ143" i="5"/>
  <c r="B144" i="5"/>
  <c r="R144" i="5"/>
  <c r="S144" i="5"/>
  <c r="T144" i="5"/>
  <c r="U144" i="5"/>
  <c r="BP144" i="5"/>
  <c r="BZ144" i="5"/>
  <c r="B145" i="5"/>
  <c r="R145" i="5"/>
  <c r="S145" i="5"/>
  <c r="T145" i="5"/>
  <c r="U145" i="5"/>
  <c r="BP145" i="5"/>
  <c r="BZ145" i="5"/>
  <c r="B146" i="5"/>
  <c r="R146" i="5"/>
  <c r="S146" i="5"/>
  <c r="T146" i="5"/>
  <c r="U146" i="5"/>
  <c r="BP146" i="5"/>
  <c r="BZ146" i="5"/>
  <c r="B147" i="5"/>
  <c r="R147" i="5"/>
  <c r="S147" i="5"/>
  <c r="T147" i="5"/>
  <c r="U147" i="5"/>
  <c r="BP147" i="5"/>
  <c r="BZ147" i="5"/>
  <c r="B148" i="5"/>
  <c r="R148" i="5"/>
  <c r="S148" i="5"/>
  <c r="T148" i="5"/>
  <c r="U148" i="5"/>
  <c r="BP148" i="5"/>
  <c r="BZ148" i="5"/>
  <c r="B149" i="5"/>
  <c r="R149" i="5"/>
  <c r="S149" i="5"/>
  <c r="T149" i="5"/>
  <c r="U149" i="5"/>
  <c r="BP149" i="5"/>
  <c r="BZ149" i="5"/>
  <c r="B150" i="5"/>
  <c r="R150" i="5"/>
  <c r="S150" i="5"/>
  <c r="T150" i="5"/>
  <c r="U150" i="5"/>
  <c r="BP150" i="5"/>
  <c r="BZ150" i="5"/>
  <c r="B151" i="5"/>
  <c r="R151" i="5"/>
  <c r="S151" i="5"/>
  <c r="T151" i="5"/>
  <c r="U151" i="5"/>
  <c r="BP151" i="5"/>
  <c r="BZ151" i="5"/>
  <c r="B152" i="5"/>
  <c r="R152" i="5"/>
  <c r="S152" i="5"/>
  <c r="T152" i="5"/>
  <c r="U152" i="5"/>
  <c r="BP152" i="5"/>
  <c r="BZ152" i="5"/>
  <c r="B153" i="5"/>
  <c r="R153" i="5"/>
  <c r="S153" i="5"/>
  <c r="T153" i="5"/>
  <c r="U153" i="5"/>
  <c r="BP153" i="5"/>
  <c r="BZ153" i="5"/>
  <c r="B154" i="5"/>
  <c r="R154" i="5"/>
  <c r="S154" i="5"/>
  <c r="T154" i="5"/>
  <c r="U154" i="5"/>
  <c r="BP154" i="5"/>
  <c r="BZ154" i="5"/>
  <c r="B155" i="5"/>
  <c r="R155" i="5"/>
  <c r="S155" i="5"/>
  <c r="T155" i="5"/>
  <c r="U155" i="5"/>
  <c r="BP155" i="5"/>
  <c r="BZ155" i="5"/>
  <c r="B156" i="5"/>
  <c r="R156" i="5"/>
  <c r="S156" i="5"/>
  <c r="T156" i="5"/>
  <c r="U156" i="5"/>
  <c r="BP156" i="5"/>
  <c r="BZ156" i="5"/>
  <c r="B157" i="5"/>
  <c r="R157" i="5"/>
  <c r="S157" i="5"/>
  <c r="T157" i="5"/>
  <c r="U157" i="5"/>
  <c r="BP157" i="5"/>
  <c r="BZ157" i="5"/>
  <c r="B158" i="5"/>
  <c r="R158" i="5"/>
  <c r="S158" i="5"/>
  <c r="T158" i="5"/>
  <c r="U158" i="5"/>
  <c r="BP158" i="5"/>
  <c r="BZ158" i="5"/>
  <c r="B159" i="5"/>
  <c r="R159" i="5"/>
  <c r="S159" i="5"/>
  <c r="T159" i="5"/>
  <c r="U159" i="5"/>
  <c r="BP159" i="5"/>
  <c r="BZ159" i="5"/>
  <c r="B160" i="5"/>
  <c r="R160" i="5"/>
  <c r="S160" i="5"/>
  <c r="T160" i="5"/>
  <c r="U160" i="5"/>
  <c r="BP160" i="5"/>
  <c r="BZ160" i="5"/>
  <c r="B161" i="5"/>
  <c r="R161" i="5"/>
  <c r="S161" i="5"/>
  <c r="T161" i="5"/>
  <c r="U161" i="5"/>
  <c r="BP161" i="5"/>
  <c r="BZ161" i="5"/>
  <c r="B162" i="5"/>
  <c r="R162" i="5"/>
  <c r="S162" i="5"/>
  <c r="T162" i="5"/>
  <c r="U162" i="5"/>
  <c r="BP162" i="5"/>
  <c r="BZ162" i="5"/>
  <c r="B163" i="5"/>
  <c r="R163" i="5"/>
  <c r="S163" i="5"/>
  <c r="T163" i="5"/>
  <c r="U163" i="5"/>
  <c r="BP163" i="5"/>
  <c r="BZ163" i="5"/>
  <c r="B164" i="5"/>
  <c r="R164" i="5"/>
  <c r="S164" i="5"/>
  <c r="T164" i="5"/>
  <c r="U164" i="5"/>
  <c r="BP164" i="5"/>
  <c r="BZ164" i="5"/>
  <c r="B165" i="5"/>
  <c r="R165" i="5"/>
  <c r="S165" i="5"/>
  <c r="T165" i="5"/>
  <c r="U165" i="5"/>
  <c r="BP165" i="5"/>
  <c r="BZ165" i="5"/>
  <c r="B166" i="5"/>
  <c r="R166" i="5"/>
  <c r="S166" i="5"/>
  <c r="T166" i="5"/>
  <c r="U166" i="5"/>
  <c r="BP166" i="5"/>
  <c r="BZ166" i="5"/>
  <c r="B167" i="5"/>
  <c r="R167" i="5"/>
  <c r="S167" i="5"/>
  <c r="T167" i="5"/>
  <c r="U167" i="5"/>
  <c r="BP167" i="5"/>
  <c r="BZ167" i="5"/>
  <c r="B168" i="5"/>
  <c r="R168" i="5"/>
  <c r="S168" i="5"/>
  <c r="T168" i="5"/>
  <c r="U168" i="5"/>
  <c r="BP168" i="5"/>
  <c r="BZ168" i="5"/>
  <c r="B169" i="5"/>
  <c r="R169" i="5"/>
  <c r="S169" i="5"/>
  <c r="T169" i="5"/>
  <c r="U169" i="5"/>
  <c r="BP169" i="5"/>
  <c r="BZ169" i="5"/>
  <c r="B170" i="5"/>
  <c r="R170" i="5"/>
  <c r="S170" i="5"/>
  <c r="T170" i="5"/>
  <c r="U170" i="5"/>
  <c r="BP170" i="5"/>
  <c r="BZ170" i="5"/>
  <c r="B171" i="5"/>
  <c r="R171" i="5"/>
  <c r="S171" i="5"/>
  <c r="T171" i="5"/>
  <c r="U171" i="5"/>
  <c r="BP171" i="5"/>
  <c r="BZ171" i="5"/>
  <c r="B172" i="5"/>
  <c r="R172" i="5"/>
  <c r="S172" i="5"/>
  <c r="T172" i="5"/>
  <c r="U172" i="5"/>
  <c r="BP172" i="5"/>
  <c r="BZ172" i="5"/>
  <c r="B173" i="5"/>
  <c r="R173" i="5"/>
  <c r="S173" i="5"/>
  <c r="T173" i="5"/>
  <c r="U173" i="5"/>
  <c r="BP173" i="5"/>
  <c r="BZ173" i="5"/>
  <c r="B174" i="5"/>
  <c r="R174" i="5"/>
  <c r="S174" i="5"/>
  <c r="T174" i="5"/>
  <c r="U174" i="5"/>
  <c r="BP174" i="5"/>
  <c r="BZ174" i="5"/>
  <c r="B175" i="5"/>
  <c r="R175" i="5"/>
  <c r="S175" i="5"/>
  <c r="T175" i="5"/>
  <c r="U175" i="5"/>
  <c r="BP175" i="5"/>
  <c r="BZ175" i="5"/>
  <c r="B176" i="5"/>
  <c r="R176" i="5"/>
  <c r="S176" i="5"/>
  <c r="T176" i="5"/>
  <c r="U176" i="5"/>
  <c r="BP176" i="5"/>
  <c r="BZ176" i="5"/>
  <c r="B177" i="5"/>
  <c r="R177" i="5"/>
  <c r="S177" i="5"/>
  <c r="T177" i="5"/>
  <c r="U177" i="5"/>
  <c r="BP177" i="5"/>
  <c r="BZ177" i="5"/>
  <c r="B178" i="5"/>
  <c r="R178" i="5"/>
  <c r="S178" i="5"/>
  <c r="T178" i="5"/>
  <c r="U178" i="5"/>
  <c r="BP178" i="5"/>
  <c r="BZ178" i="5"/>
  <c r="B179" i="5"/>
  <c r="R179" i="5"/>
  <c r="S179" i="5"/>
  <c r="T179" i="5"/>
  <c r="U179" i="5"/>
  <c r="BP179" i="5"/>
  <c r="BZ179" i="5"/>
  <c r="B180" i="5"/>
  <c r="R180" i="5"/>
  <c r="S180" i="5"/>
  <c r="T180" i="5"/>
  <c r="U180" i="5"/>
  <c r="BP180" i="5"/>
  <c r="BZ180" i="5"/>
  <c r="B181" i="5"/>
  <c r="R181" i="5"/>
  <c r="S181" i="5"/>
  <c r="T181" i="5"/>
  <c r="U181" i="5"/>
  <c r="BP181" i="5"/>
  <c r="BZ181" i="5"/>
  <c r="B182" i="5"/>
  <c r="R182" i="5"/>
  <c r="S182" i="5"/>
  <c r="T182" i="5"/>
  <c r="U182" i="5"/>
  <c r="BP182" i="5"/>
  <c r="BZ182" i="5"/>
  <c r="B183" i="5"/>
  <c r="R183" i="5"/>
  <c r="S183" i="5"/>
  <c r="T183" i="5"/>
  <c r="U183" i="5"/>
  <c r="BP183" i="5"/>
  <c r="BZ183" i="5"/>
  <c r="B184" i="5"/>
  <c r="R184" i="5"/>
  <c r="S184" i="5"/>
  <c r="T184" i="5"/>
  <c r="U184" i="5"/>
  <c r="BP184" i="5"/>
  <c r="BZ184" i="5"/>
  <c r="B185" i="5"/>
  <c r="R185" i="5"/>
  <c r="S185" i="5"/>
  <c r="T185" i="5"/>
  <c r="U185" i="5"/>
  <c r="BP185" i="5"/>
  <c r="BZ185" i="5"/>
  <c r="B186" i="5"/>
  <c r="R186" i="5"/>
  <c r="S186" i="5"/>
  <c r="T186" i="5"/>
  <c r="U186" i="5"/>
  <c r="BP186" i="5"/>
  <c r="BZ186" i="5"/>
  <c r="B187" i="5"/>
  <c r="R187" i="5"/>
  <c r="S187" i="5"/>
  <c r="T187" i="5"/>
  <c r="U187" i="5"/>
  <c r="BP187" i="5"/>
  <c r="B188" i="5"/>
  <c r="R188" i="5"/>
  <c r="S188" i="5"/>
  <c r="T188" i="5"/>
  <c r="U188" i="5"/>
  <c r="BP188" i="5"/>
  <c r="B189" i="5"/>
  <c r="R189" i="5"/>
  <c r="S189" i="5"/>
  <c r="T189" i="5"/>
  <c r="U189" i="5"/>
  <c r="BP189" i="5"/>
  <c r="B190" i="5"/>
  <c r="R190" i="5"/>
  <c r="S190" i="5"/>
  <c r="T190" i="5"/>
  <c r="U190" i="5"/>
  <c r="BP190" i="5"/>
  <c r="B191" i="5"/>
  <c r="R191" i="5"/>
  <c r="S191" i="5"/>
  <c r="T191" i="5"/>
  <c r="U191" i="5"/>
  <c r="BP191" i="5"/>
  <c r="B192" i="5"/>
  <c r="R192" i="5"/>
  <c r="S192" i="5"/>
  <c r="T192" i="5"/>
  <c r="U192" i="5"/>
  <c r="BP192" i="5"/>
  <c r="B193" i="5"/>
  <c r="R193" i="5"/>
  <c r="S193" i="5"/>
  <c r="T193" i="5"/>
  <c r="U193" i="5"/>
  <c r="BP193" i="5"/>
  <c r="B194" i="5"/>
  <c r="R194" i="5"/>
  <c r="S194" i="5"/>
  <c r="T194" i="5"/>
  <c r="U194" i="5"/>
  <c r="BP194" i="5"/>
  <c r="B195" i="5"/>
  <c r="R195" i="5"/>
  <c r="S195" i="5"/>
  <c r="T195" i="5"/>
  <c r="U195" i="5"/>
  <c r="BP195" i="5"/>
  <c r="B196" i="5"/>
  <c r="R196" i="5"/>
  <c r="S196" i="5"/>
  <c r="T196" i="5"/>
  <c r="U196" i="5"/>
  <c r="BP196" i="5"/>
  <c r="B197" i="5"/>
  <c r="R197" i="5"/>
  <c r="S197" i="5"/>
  <c r="T197" i="5"/>
  <c r="U197" i="5"/>
  <c r="BP197" i="5"/>
  <c r="B198" i="5"/>
  <c r="R198" i="5"/>
  <c r="S198" i="5"/>
  <c r="T198" i="5"/>
  <c r="U198" i="5"/>
  <c r="BP198" i="5"/>
  <c r="B199" i="5"/>
  <c r="R199" i="5"/>
  <c r="S199" i="5"/>
  <c r="T199" i="5"/>
  <c r="U199" i="5"/>
  <c r="BP199" i="5"/>
  <c r="B200" i="5"/>
  <c r="R200" i="5"/>
  <c r="S200" i="5"/>
  <c r="T200" i="5"/>
  <c r="U200" i="5"/>
  <c r="BP200" i="5"/>
  <c r="B201" i="5"/>
  <c r="R201" i="5"/>
  <c r="S201" i="5"/>
  <c r="T201" i="5"/>
  <c r="U201" i="5"/>
  <c r="BP201" i="5"/>
  <c r="B202" i="5"/>
  <c r="R202" i="5"/>
  <c r="S202" i="5"/>
  <c r="T202" i="5"/>
  <c r="U202" i="5"/>
  <c r="BP202" i="5"/>
  <c r="B203" i="5"/>
  <c r="R203" i="5"/>
  <c r="S203" i="5"/>
  <c r="T203" i="5"/>
  <c r="U203" i="5"/>
  <c r="BP203" i="5"/>
  <c r="B204" i="5"/>
  <c r="R204" i="5"/>
  <c r="S204" i="5"/>
  <c r="T204" i="5"/>
  <c r="U204" i="5"/>
  <c r="BP204" i="5"/>
  <c r="B205" i="5"/>
  <c r="R205" i="5"/>
  <c r="S205" i="5"/>
  <c r="T205" i="5"/>
  <c r="U205" i="5"/>
  <c r="BP205" i="5"/>
  <c r="B206" i="5"/>
  <c r="R206" i="5"/>
  <c r="S206" i="5"/>
  <c r="T206" i="5"/>
  <c r="U206" i="5"/>
  <c r="BP206" i="5"/>
  <c r="B207" i="5"/>
  <c r="R207" i="5"/>
  <c r="S207" i="5"/>
  <c r="T207" i="5"/>
  <c r="U207" i="5"/>
  <c r="BP207" i="5"/>
  <c r="B208" i="5"/>
  <c r="R208" i="5"/>
  <c r="S208" i="5"/>
  <c r="T208" i="5"/>
  <c r="U208" i="5"/>
  <c r="BP208" i="5"/>
  <c r="B209" i="5"/>
  <c r="R209" i="5"/>
  <c r="S209" i="5"/>
  <c r="T209" i="5"/>
  <c r="U209" i="5"/>
  <c r="BP209" i="5"/>
  <c r="B210" i="5"/>
  <c r="R210" i="5"/>
  <c r="S210" i="5"/>
  <c r="T210" i="5"/>
  <c r="U210" i="5"/>
  <c r="BP210" i="5"/>
  <c r="B211" i="5"/>
  <c r="R211" i="5"/>
  <c r="S211" i="5"/>
  <c r="T211" i="5"/>
  <c r="U211" i="5"/>
  <c r="BP211" i="5"/>
  <c r="B212" i="5"/>
  <c r="R212" i="5"/>
  <c r="S212" i="5"/>
  <c r="T212" i="5"/>
  <c r="U212" i="5"/>
  <c r="BP212" i="5"/>
  <c r="B213" i="5"/>
  <c r="R213" i="5"/>
  <c r="S213" i="5"/>
  <c r="T213" i="5"/>
  <c r="U213" i="5"/>
  <c r="BP213" i="5"/>
  <c r="B214" i="5"/>
  <c r="R214" i="5"/>
  <c r="S214" i="5"/>
  <c r="T214" i="5"/>
  <c r="U214" i="5"/>
  <c r="BP214" i="5"/>
  <c r="B215" i="5"/>
  <c r="R215" i="5"/>
  <c r="S215" i="5"/>
  <c r="T215" i="5"/>
  <c r="U215" i="5"/>
  <c r="BP215" i="5"/>
  <c r="B216" i="5"/>
  <c r="R216" i="5"/>
  <c r="S216" i="5"/>
  <c r="T216" i="5"/>
  <c r="U216" i="5"/>
  <c r="BP216" i="5"/>
  <c r="B217" i="5"/>
  <c r="R217" i="5"/>
  <c r="S217" i="5"/>
  <c r="T217" i="5"/>
  <c r="U217" i="5"/>
  <c r="BP217" i="5"/>
  <c r="B218" i="5"/>
  <c r="R218" i="5"/>
  <c r="S218" i="5"/>
  <c r="T218" i="5"/>
  <c r="U218" i="5"/>
  <c r="BP218" i="5"/>
  <c r="B219" i="5"/>
  <c r="R219" i="5"/>
  <c r="S219" i="5"/>
  <c r="T219" i="5"/>
  <c r="U219" i="5"/>
  <c r="BP219" i="5"/>
  <c r="B220" i="5"/>
  <c r="R220" i="5"/>
  <c r="S220" i="5"/>
  <c r="T220" i="5"/>
  <c r="U220" i="5"/>
  <c r="BP220" i="5"/>
  <c r="B221" i="5"/>
  <c r="R221" i="5"/>
  <c r="S221" i="5"/>
  <c r="T221" i="5"/>
  <c r="U221" i="5"/>
  <c r="BP221" i="5"/>
  <c r="B222" i="5"/>
  <c r="R222" i="5"/>
  <c r="S222" i="5"/>
  <c r="T222" i="5"/>
  <c r="U222" i="5"/>
  <c r="BP222" i="5"/>
  <c r="B223" i="5"/>
  <c r="R223" i="5"/>
  <c r="S223" i="5"/>
  <c r="T223" i="5"/>
  <c r="U223" i="5"/>
  <c r="BP223" i="5"/>
  <c r="B224" i="5"/>
  <c r="R224" i="5"/>
  <c r="S224" i="5"/>
  <c r="T224" i="5"/>
  <c r="U224" i="5"/>
  <c r="BP224" i="5"/>
  <c r="B225" i="5"/>
  <c r="R225" i="5"/>
  <c r="S225" i="5"/>
  <c r="T225" i="5"/>
  <c r="U225" i="5"/>
  <c r="BP225" i="5"/>
  <c r="B226" i="5"/>
  <c r="R226" i="5"/>
  <c r="S226" i="5"/>
  <c r="T226" i="5"/>
  <c r="U226" i="5"/>
  <c r="BP226" i="5"/>
  <c r="B227" i="5"/>
  <c r="R227" i="5"/>
  <c r="S227" i="5"/>
  <c r="T227" i="5"/>
  <c r="U227" i="5"/>
  <c r="BP227" i="5"/>
  <c r="B228" i="5"/>
  <c r="R228" i="5"/>
  <c r="S228" i="5"/>
  <c r="T228" i="5"/>
  <c r="U228" i="5"/>
  <c r="BP228" i="5"/>
  <c r="B229" i="5"/>
  <c r="R229" i="5"/>
  <c r="S229" i="5"/>
  <c r="T229" i="5"/>
  <c r="U229" i="5"/>
  <c r="BP229" i="5"/>
  <c r="B230" i="5"/>
  <c r="R230" i="5"/>
  <c r="S230" i="5"/>
  <c r="T230" i="5"/>
  <c r="U230" i="5"/>
  <c r="BP230" i="5"/>
  <c r="B231" i="5"/>
  <c r="R231" i="5"/>
  <c r="S231" i="5"/>
  <c r="T231" i="5"/>
  <c r="U231" i="5"/>
  <c r="BP231" i="5"/>
  <c r="B232" i="5"/>
  <c r="R232" i="5"/>
  <c r="S232" i="5"/>
  <c r="T232" i="5"/>
  <c r="U232" i="5"/>
  <c r="BP232" i="5"/>
  <c r="B233" i="5"/>
  <c r="R233" i="5"/>
  <c r="S233" i="5"/>
  <c r="T233" i="5"/>
  <c r="U233" i="5"/>
  <c r="BP233" i="5"/>
  <c r="B234" i="5"/>
  <c r="R234" i="5"/>
  <c r="S234" i="5"/>
  <c r="T234" i="5"/>
  <c r="U234" i="5"/>
  <c r="BP234" i="5"/>
  <c r="B235" i="5"/>
  <c r="R235" i="5"/>
  <c r="S235" i="5"/>
  <c r="T235" i="5"/>
  <c r="U235" i="5"/>
  <c r="BP235" i="5"/>
  <c r="B236" i="5"/>
  <c r="R236" i="5"/>
  <c r="S236" i="5"/>
  <c r="T236" i="5"/>
  <c r="U236" i="5"/>
  <c r="BP236" i="5"/>
  <c r="B237" i="5"/>
  <c r="R237" i="5"/>
  <c r="S237" i="5"/>
  <c r="T237" i="5"/>
  <c r="U237" i="5"/>
  <c r="BP237" i="5"/>
  <c r="B238" i="5"/>
  <c r="R238" i="5"/>
  <c r="S238" i="5"/>
  <c r="T238" i="5"/>
  <c r="U238" i="5"/>
  <c r="BP238" i="5"/>
  <c r="B239" i="5"/>
  <c r="R239" i="5"/>
  <c r="S239" i="5"/>
  <c r="T239" i="5"/>
  <c r="U239" i="5"/>
  <c r="BP239" i="5"/>
  <c r="B240" i="5"/>
  <c r="R240" i="5"/>
  <c r="S240" i="5"/>
  <c r="T240" i="5"/>
  <c r="U240" i="5"/>
  <c r="BP240" i="5"/>
  <c r="B241" i="5"/>
  <c r="R241" i="5"/>
  <c r="S241" i="5"/>
  <c r="T241" i="5"/>
  <c r="U241" i="5"/>
  <c r="BP241" i="5"/>
  <c r="B242" i="5"/>
  <c r="R242" i="5"/>
  <c r="S242" i="5"/>
  <c r="T242" i="5"/>
  <c r="U242" i="5"/>
  <c r="BP242" i="5"/>
  <c r="B243" i="5"/>
  <c r="R243" i="5"/>
  <c r="S243" i="5"/>
  <c r="T243" i="5"/>
  <c r="U243" i="5"/>
  <c r="BP243" i="5"/>
  <c r="B244" i="5"/>
  <c r="R244" i="5"/>
  <c r="S244" i="5"/>
  <c r="T244" i="5"/>
  <c r="U244" i="5"/>
  <c r="BP244" i="5"/>
  <c r="B245" i="5"/>
  <c r="R245" i="5"/>
  <c r="S245" i="5"/>
  <c r="T245" i="5"/>
  <c r="U245" i="5"/>
  <c r="BP245" i="5"/>
  <c r="B246" i="5"/>
  <c r="R246" i="5"/>
  <c r="S246" i="5"/>
  <c r="T246" i="5"/>
  <c r="U246" i="5"/>
  <c r="BP246" i="5"/>
  <c r="B247" i="5"/>
  <c r="R247" i="5"/>
  <c r="S247" i="5"/>
  <c r="T247" i="5"/>
  <c r="U247" i="5"/>
  <c r="BP247" i="5"/>
  <c r="B248" i="5"/>
  <c r="R248" i="5"/>
  <c r="S248" i="5"/>
  <c r="T248" i="5"/>
  <c r="U248" i="5"/>
  <c r="BP248" i="5"/>
  <c r="B249" i="5"/>
  <c r="R249" i="5"/>
  <c r="S249" i="5"/>
  <c r="T249" i="5"/>
  <c r="U249" i="5"/>
  <c r="BP249" i="5"/>
  <c r="B250" i="5"/>
  <c r="R250" i="5"/>
  <c r="S250" i="5"/>
  <c r="T250" i="5"/>
  <c r="U250" i="5"/>
  <c r="BP250" i="5"/>
  <c r="B251" i="5"/>
  <c r="R251" i="5"/>
  <c r="S251" i="5"/>
  <c r="T251" i="5"/>
  <c r="U251" i="5"/>
  <c r="BP251" i="5"/>
  <c r="B252" i="5"/>
  <c r="R252" i="5"/>
  <c r="S252" i="5"/>
  <c r="T252" i="5"/>
  <c r="U252" i="5"/>
  <c r="BP252" i="5"/>
  <c r="B253" i="5"/>
  <c r="R253" i="5"/>
  <c r="S253" i="5"/>
  <c r="T253" i="5"/>
  <c r="U253" i="5"/>
  <c r="BP253" i="5"/>
  <c r="B254" i="5"/>
  <c r="R254" i="5"/>
  <c r="S254" i="5"/>
  <c r="T254" i="5"/>
  <c r="U254" i="5"/>
  <c r="BP254" i="5"/>
  <c r="B255" i="5"/>
  <c r="R255" i="5"/>
  <c r="S255" i="5"/>
  <c r="T255" i="5"/>
  <c r="U255" i="5"/>
  <c r="BP255" i="5"/>
  <c r="B256" i="5"/>
  <c r="R256" i="5"/>
  <c r="S256" i="5"/>
  <c r="T256" i="5"/>
  <c r="U256" i="5"/>
  <c r="BP256" i="5"/>
  <c r="B257" i="5"/>
  <c r="R257" i="5"/>
  <c r="S257" i="5"/>
  <c r="T257" i="5"/>
  <c r="U257" i="5"/>
  <c r="BP257" i="5"/>
  <c r="B258" i="5"/>
  <c r="R258" i="5"/>
  <c r="S258" i="5"/>
  <c r="T258" i="5"/>
  <c r="U258" i="5"/>
  <c r="BP258" i="5"/>
  <c r="B259" i="5"/>
  <c r="R259" i="5"/>
  <c r="S259" i="5"/>
  <c r="T259" i="5"/>
  <c r="U259" i="5"/>
  <c r="BP259" i="5"/>
  <c r="B260" i="5"/>
  <c r="R260" i="5"/>
  <c r="S260" i="5"/>
  <c r="T260" i="5"/>
  <c r="U260" i="5"/>
  <c r="BP260" i="5"/>
  <c r="B261" i="5"/>
  <c r="R261" i="5"/>
  <c r="S261" i="5"/>
  <c r="T261" i="5"/>
  <c r="U261" i="5"/>
  <c r="BP261" i="5"/>
  <c r="B262" i="5"/>
  <c r="R262" i="5"/>
  <c r="S262" i="5"/>
  <c r="T262" i="5"/>
  <c r="U262" i="5"/>
  <c r="BP262" i="5"/>
  <c r="B263" i="5"/>
  <c r="R263" i="5"/>
  <c r="S263" i="5"/>
  <c r="T263" i="5"/>
  <c r="U263" i="5"/>
  <c r="BP263" i="5"/>
  <c r="B264" i="5"/>
  <c r="R264" i="5"/>
  <c r="S264" i="5"/>
  <c r="T264" i="5"/>
  <c r="U264" i="5"/>
  <c r="BP264" i="5"/>
  <c r="B265" i="5"/>
  <c r="R265" i="5"/>
  <c r="S265" i="5"/>
  <c r="T265" i="5"/>
  <c r="U265" i="5"/>
  <c r="BP265" i="5"/>
  <c r="B266" i="5"/>
  <c r="R266" i="5"/>
  <c r="S266" i="5"/>
  <c r="T266" i="5"/>
  <c r="U266" i="5"/>
  <c r="BP266" i="5"/>
  <c r="B267" i="5"/>
  <c r="R267" i="5"/>
  <c r="S267" i="5"/>
  <c r="T267" i="5"/>
  <c r="U267" i="5"/>
  <c r="BP267" i="5"/>
  <c r="B268" i="5"/>
  <c r="R268" i="5"/>
  <c r="S268" i="5"/>
  <c r="T268" i="5"/>
  <c r="U268" i="5"/>
  <c r="BP268" i="5"/>
  <c r="B269" i="5"/>
  <c r="R269" i="5"/>
  <c r="S269" i="5"/>
  <c r="T269" i="5"/>
  <c r="U269" i="5"/>
  <c r="BP269" i="5"/>
  <c r="B270" i="5"/>
  <c r="R270" i="5"/>
  <c r="S270" i="5"/>
  <c r="T270" i="5"/>
  <c r="U270" i="5"/>
  <c r="BP270" i="5"/>
  <c r="B271" i="5"/>
  <c r="R271" i="5"/>
  <c r="S271" i="5"/>
  <c r="T271" i="5"/>
  <c r="U271" i="5"/>
  <c r="BP271" i="5"/>
  <c r="B272" i="5"/>
  <c r="R272" i="5"/>
  <c r="S272" i="5"/>
  <c r="T272" i="5"/>
  <c r="U272" i="5"/>
  <c r="BP272" i="5"/>
  <c r="B273" i="5"/>
  <c r="R273" i="5"/>
  <c r="S273" i="5"/>
  <c r="T273" i="5"/>
  <c r="U273" i="5"/>
  <c r="BP273" i="5"/>
  <c r="B274" i="5"/>
  <c r="R274" i="5"/>
  <c r="S274" i="5"/>
  <c r="T274" i="5"/>
  <c r="U274" i="5"/>
  <c r="BP274" i="5"/>
  <c r="B275" i="5"/>
  <c r="R275" i="5"/>
  <c r="S275" i="5"/>
  <c r="T275" i="5"/>
  <c r="U275" i="5"/>
  <c r="BP275" i="5"/>
  <c r="B276" i="5"/>
  <c r="R276" i="5"/>
  <c r="S276" i="5"/>
  <c r="T276" i="5"/>
  <c r="U276" i="5"/>
  <c r="BP276" i="5"/>
  <c r="B277" i="5"/>
  <c r="R277" i="5"/>
  <c r="S277" i="5"/>
  <c r="T277" i="5"/>
  <c r="U277" i="5"/>
  <c r="BP277" i="5"/>
  <c r="B278" i="5"/>
  <c r="R278" i="5"/>
  <c r="S278" i="5"/>
  <c r="T278" i="5"/>
  <c r="U278" i="5"/>
  <c r="BP278" i="5"/>
  <c r="B279" i="5"/>
  <c r="R279" i="5"/>
  <c r="S279" i="5"/>
  <c r="T279" i="5"/>
  <c r="U279" i="5"/>
  <c r="BP279" i="5"/>
  <c r="B280" i="5"/>
  <c r="R280" i="5"/>
  <c r="S280" i="5"/>
  <c r="T280" i="5"/>
  <c r="U280" i="5"/>
  <c r="BP280" i="5"/>
  <c r="B281" i="5"/>
  <c r="R281" i="5"/>
  <c r="S281" i="5"/>
  <c r="T281" i="5"/>
  <c r="U281" i="5"/>
  <c r="BP281" i="5"/>
  <c r="B282" i="5"/>
  <c r="R282" i="5"/>
  <c r="S282" i="5"/>
  <c r="T282" i="5"/>
  <c r="U282" i="5"/>
  <c r="BP282" i="5"/>
  <c r="B283" i="5"/>
  <c r="R283" i="5"/>
  <c r="S283" i="5"/>
  <c r="T283" i="5"/>
  <c r="U283" i="5"/>
  <c r="BP283" i="5"/>
  <c r="B284" i="5"/>
  <c r="R284" i="5"/>
  <c r="S284" i="5"/>
  <c r="T284" i="5"/>
  <c r="U284" i="5"/>
  <c r="BP284" i="5"/>
  <c r="B285" i="5"/>
  <c r="R285" i="5"/>
  <c r="S285" i="5"/>
  <c r="T285" i="5"/>
  <c r="U285" i="5"/>
  <c r="BP285" i="5"/>
  <c r="B286" i="5"/>
  <c r="R286" i="5"/>
  <c r="S286" i="5"/>
  <c r="T286" i="5"/>
  <c r="U286" i="5"/>
  <c r="BP286" i="5"/>
  <c r="B287" i="5"/>
  <c r="R287" i="5"/>
  <c r="S287" i="5"/>
  <c r="T287" i="5"/>
  <c r="U287" i="5"/>
  <c r="BP287" i="5"/>
  <c r="B288" i="5"/>
  <c r="R288" i="5"/>
  <c r="S288" i="5"/>
  <c r="T288" i="5"/>
  <c r="U288" i="5"/>
  <c r="BP288" i="5"/>
  <c r="B289" i="5"/>
  <c r="R289" i="5"/>
  <c r="S289" i="5"/>
  <c r="T289" i="5"/>
  <c r="U289" i="5"/>
  <c r="BP289" i="5"/>
  <c r="B290" i="5"/>
  <c r="R290" i="5"/>
  <c r="S290" i="5"/>
  <c r="T290" i="5"/>
  <c r="U290" i="5"/>
  <c r="BP290" i="5"/>
  <c r="B291" i="5"/>
  <c r="R291" i="5"/>
  <c r="S291" i="5"/>
  <c r="T291" i="5"/>
  <c r="U291" i="5"/>
  <c r="BP291" i="5"/>
  <c r="B292" i="5"/>
  <c r="R292" i="5"/>
  <c r="S292" i="5"/>
  <c r="T292" i="5"/>
  <c r="U292" i="5"/>
  <c r="BP292" i="5"/>
  <c r="B293" i="5"/>
  <c r="R293" i="5"/>
  <c r="S293" i="5"/>
  <c r="T293" i="5"/>
  <c r="U293" i="5"/>
  <c r="BP293" i="5"/>
  <c r="B294" i="5"/>
  <c r="R294" i="5"/>
  <c r="S294" i="5"/>
  <c r="T294" i="5"/>
  <c r="U294" i="5"/>
  <c r="BP294" i="5"/>
  <c r="B295" i="5"/>
  <c r="R295" i="5"/>
  <c r="S295" i="5"/>
  <c r="T295" i="5"/>
  <c r="U295" i="5"/>
  <c r="BP295" i="5"/>
  <c r="B296" i="5"/>
  <c r="R296" i="5"/>
  <c r="S296" i="5"/>
  <c r="T296" i="5"/>
  <c r="U296" i="5"/>
  <c r="BP296" i="5"/>
  <c r="B297" i="5"/>
  <c r="R297" i="5"/>
  <c r="S297" i="5"/>
  <c r="T297" i="5"/>
  <c r="U297" i="5"/>
  <c r="BP297" i="5"/>
  <c r="B298" i="5"/>
  <c r="R298" i="5"/>
  <c r="S298" i="5"/>
  <c r="T298" i="5"/>
  <c r="U298" i="5"/>
  <c r="BP298" i="5"/>
  <c r="B299" i="5"/>
  <c r="R299" i="5"/>
  <c r="S299" i="5"/>
  <c r="T299" i="5"/>
  <c r="U299" i="5"/>
  <c r="BP299" i="5"/>
  <c r="B300" i="5"/>
  <c r="R300" i="5"/>
  <c r="S300" i="5"/>
  <c r="T300" i="5"/>
  <c r="U300" i="5"/>
  <c r="BP300" i="5"/>
  <c r="B301" i="5"/>
  <c r="R301" i="5"/>
  <c r="S301" i="5"/>
  <c r="T301" i="5"/>
  <c r="U301" i="5"/>
  <c r="BP301" i="5"/>
  <c r="B302" i="5"/>
  <c r="R302" i="5"/>
  <c r="S302" i="5"/>
  <c r="T302" i="5"/>
  <c r="U302" i="5"/>
  <c r="BP302" i="5"/>
  <c r="B303" i="5"/>
  <c r="R303" i="5"/>
  <c r="S303" i="5"/>
  <c r="T303" i="5"/>
  <c r="U303" i="5"/>
  <c r="BP303" i="5"/>
  <c r="B304" i="5"/>
  <c r="R304" i="5"/>
  <c r="S304" i="5"/>
  <c r="T304" i="5"/>
  <c r="U304" i="5"/>
  <c r="BP304" i="5"/>
  <c r="B305" i="5"/>
  <c r="R305" i="5"/>
  <c r="S305" i="5"/>
  <c r="T305" i="5"/>
  <c r="U305" i="5"/>
  <c r="BP305" i="5"/>
  <c r="B306" i="5"/>
  <c r="R306" i="5"/>
  <c r="S306" i="5"/>
  <c r="T306" i="5"/>
  <c r="U306" i="5"/>
  <c r="BP306" i="5"/>
  <c r="B307" i="5"/>
  <c r="R307" i="5"/>
  <c r="S307" i="5"/>
  <c r="T307" i="5"/>
  <c r="U307" i="5"/>
  <c r="BP307" i="5"/>
  <c r="B308" i="5"/>
  <c r="R308" i="5"/>
  <c r="S308" i="5"/>
  <c r="T308" i="5"/>
  <c r="U308" i="5"/>
  <c r="BP308" i="5"/>
  <c r="B309" i="5"/>
  <c r="R309" i="5"/>
  <c r="S309" i="5"/>
  <c r="T309" i="5"/>
  <c r="U309" i="5"/>
  <c r="BP309" i="5"/>
  <c r="B310" i="5"/>
  <c r="R310" i="5"/>
  <c r="S310" i="5"/>
  <c r="T310" i="5"/>
  <c r="U310" i="5"/>
  <c r="BP310" i="5"/>
  <c r="B311" i="5"/>
  <c r="R311" i="5"/>
  <c r="BP311" i="5"/>
  <c r="B312" i="5"/>
  <c r="R312" i="5"/>
  <c r="BP312" i="5"/>
  <c r="B313" i="5"/>
  <c r="R313" i="5"/>
  <c r="BP313" i="5"/>
  <c r="B314" i="5"/>
  <c r="R314" i="5"/>
  <c r="BP314" i="5"/>
  <c r="B315" i="5"/>
  <c r="R315" i="5"/>
  <c r="BP315" i="5"/>
  <c r="B316" i="5"/>
  <c r="R316" i="5"/>
  <c r="BP316" i="5"/>
  <c r="B317" i="5"/>
  <c r="R317" i="5"/>
  <c r="BP317" i="5"/>
  <c r="B318" i="5"/>
  <c r="R318" i="5"/>
  <c r="BP318" i="5"/>
  <c r="B319" i="5"/>
  <c r="R319" i="5"/>
  <c r="BP319" i="5"/>
  <c r="B320" i="5"/>
  <c r="R320" i="5"/>
  <c r="BP320" i="5"/>
  <c r="B321" i="5"/>
  <c r="R321" i="5"/>
  <c r="BP321" i="5"/>
  <c r="B322" i="5"/>
  <c r="R322" i="5"/>
  <c r="BP322" i="5"/>
  <c r="B323" i="5"/>
  <c r="R323" i="5"/>
  <c r="BP323" i="5"/>
  <c r="B324" i="5"/>
  <c r="R324" i="5"/>
  <c r="BP324" i="5"/>
  <c r="B325" i="5"/>
  <c r="R325" i="5"/>
  <c r="BP325" i="5"/>
  <c r="B326" i="5"/>
  <c r="R326" i="5"/>
  <c r="BP326" i="5"/>
  <c r="B327" i="5"/>
  <c r="R327" i="5"/>
  <c r="BP327" i="5"/>
  <c r="B328" i="5"/>
  <c r="R328" i="5"/>
  <c r="BP328" i="5"/>
  <c r="B329" i="5"/>
  <c r="R329" i="5"/>
  <c r="BP329" i="5"/>
  <c r="B330" i="5"/>
  <c r="R330" i="5"/>
  <c r="BP330" i="5"/>
  <c r="B331" i="5"/>
  <c r="R331" i="5"/>
  <c r="BP331" i="5"/>
  <c r="B332" i="5"/>
  <c r="R332" i="5"/>
  <c r="BP332" i="5"/>
  <c r="B333" i="5"/>
  <c r="R333" i="5"/>
  <c r="BP333" i="5"/>
  <c r="B334" i="5"/>
  <c r="R334" i="5"/>
  <c r="BP334" i="5"/>
  <c r="B335" i="5"/>
  <c r="R335" i="5"/>
  <c r="BP335" i="5"/>
  <c r="B336" i="5"/>
  <c r="R336" i="5"/>
  <c r="BP336" i="5"/>
  <c r="B337" i="5"/>
  <c r="R337" i="5"/>
  <c r="BP337" i="5"/>
  <c r="B338" i="5"/>
  <c r="R338" i="5"/>
  <c r="BP338" i="5"/>
  <c r="B339" i="5"/>
  <c r="R339" i="5"/>
  <c r="BP339" i="5"/>
  <c r="B340" i="5"/>
  <c r="R340" i="5"/>
  <c r="BP340" i="5"/>
  <c r="B341" i="5"/>
  <c r="R341" i="5"/>
  <c r="BP341" i="5"/>
  <c r="B342" i="5"/>
  <c r="R342" i="5"/>
  <c r="BP342" i="5"/>
  <c r="B343" i="5"/>
  <c r="R343" i="5"/>
  <c r="BP343" i="5"/>
  <c r="B344" i="5"/>
  <c r="R344" i="5"/>
  <c r="BP344" i="5"/>
  <c r="B345" i="5"/>
  <c r="R345" i="5"/>
  <c r="BP345" i="5"/>
  <c r="B346" i="5"/>
  <c r="R346" i="5"/>
  <c r="BP346" i="5"/>
  <c r="B347" i="5"/>
  <c r="R347" i="5"/>
  <c r="BP347" i="5"/>
  <c r="B348" i="5"/>
  <c r="R348" i="5"/>
  <c r="BP348" i="5"/>
  <c r="B349" i="5"/>
  <c r="R349" i="5"/>
  <c r="BP349" i="5"/>
  <c r="B350" i="5"/>
  <c r="R350" i="5"/>
  <c r="BP350" i="5"/>
  <c r="B351" i="5"/>
  <c r="R351" i="5"/>
  <c r="BP351" i="5"/>
  <c r="B352" i="5"/>
  <c r="R352" i="5"/>
  <c r="BP352" i="5"/>
  <c r="B353" i="5"/>
  <c r="R353" i="5"/>
  <c r="BP353" i="5"/>
  <c r="B354" i="5"/>
  <c r="R354" i="5"/>
  <c r="BP354" i="5"/>
  <c r="B355" i="5"/>
  <c r="R355" i="5"/>
  <c r="BP355" i="5"/>
  <c r="B356" i="5"/>
  <c r="R356" i="5"/>
  <c r="BP356" i="5"/>
  <c r="B357" i="5"/>
  <c r="R357" i="5"/>
  <c r="BP357" i="5"/>
  <c r="B358" i="5"/>
  <c r="R358" i="5"/>
  <c r="BP358" i="5"/>
  <c r="B359" i="5"/>
  <c r="R359" i="5"/>
  <c r="BP359" i="5"/>
  <c r="B360" i="5"/>
  <c r="R360" i="5"/>
  <c r="BP360" i="5"/>
  <c r="B361" i="5"/>
  <c r="R361" i="5"/>
  <c r="BP361" i="5"/>
  <c r="B362" i="5"/>
  <c r="R362" i="5"/>
  <c r="BP362" i="5"/>
  <c r="B363" i="5"/>
  <c r="R363" i="5"/>
  <c r="BP363" i="5"/>
  <c r="B364" i="5"/>
  <c r="R364" i="5"/>
  <c r="BP364" i="5"/>
  <c r="B365" i="5"/>
  <c r="R365" i="5"/>
  <c r="BP365" i="5"/>
  <c r="B366" i="5"/>
  <c r="R366" i="5"/>
  <c r="BP366" i="5"/>
  <c r="B367" i="5"/>
  <c r="R367" i="5"/>
  <c r="BP367" i="5"/>
  <c r="B368" i="5"/>
  <c r="R368" i="5"/>
  <c r="BP368" i="5"/>
  <c r="B369" i="5"/>
  <c r="R369" i="5"/>
  <c r="BP369" i="5"/>
  <c r="B370" i="5"/>
  <c r="R370" i="5"/>
  <c r="BP370" i="5"/>
  <c r="B371" i="5"/>
  <c r="R371" i="5"/>
  <c r="BP371" i="5"/>
  <c r="B372" i="5"/>
  <c r="R372" i="5"/>
  <c r="BP372" i="5"/>
  <c r="B373" i="5"/>
  <c r="R373" i="5"/>
  <c r="BP373" i="5"/>
  <c r="B374" i="5"/>
  <c r="R374" i="5"/>
  <c r="BP374" i="5"/>
  <c r="B375" i="5"/>
  <c r="R375" i="5"/>
  <c r="BP375" i="5"/>
  <c r="B376" i="5"/>
  <c r="R376" i="5"/>
  <c r="BP376" i="5"/>
  <c r="B377" i="5"/>
  <c r="R377" i="5"/>
  <c r="BP377" i="5"/>
  <c r="R378" i="5"/>
  <c r="BP378" i="5"/>
  <c r="R379" i="5"/>
  <c r="BP379" i="5"/>
  <c r="R380" i="5"/>
  <c r="BP380" i="5"/>
  <c r="R381" i="5"/>
  <c r="BP381" i="5"/>
  <c r="R382" i="5"/>
  <c r="BP382" i="5"/>
  <c r="R383" i="5"/>
  <c r="BP383" i="5"/>
  <c r="R384" i="5"/>
  <c r="BP384" i="5"/>
  <c r="R385" i="5"/>
  <c r="BP385" i="5"/>
  <c r="R386" i="5"/>
  <c r="BP386" i="5"/>
  <c r="R387" i="5"/>
  <c r="BP387" i="5"/>
  <c r="R388" i="5"/>
  <c r="BP388" i="5"/>
  <c r="R389" i="5"/>
  <c r="BP389" i="5"/>
  <c r="R390" i="5"/>
  <c r="BP390" i="5"/>
  <c r="R391" i="5"/>
  <c r="BP391" i="5"/>
  <c r="R392" i="5"/>
  <c r="BP392" i="5"/>
  <c r="R393" i="5"/>
  <c r="BP393" i="5"/>
  <c r="R394" i="5"/>
  <c r="BP394" i="5"/>
  <c r="R395" i="5"/>
  <c r="BP395" i="5"/>
  <c r="R396" i="5"/>
  <c r="BP396" i="5"/>
  <c r="R397" i="5"/>
  <c r="BP397" i="5"/>
  <c r="R398" i="5"/>
  <c r="BP398" i="5"/>
  <c r="BP399" i="5"/>
  <c r="BP400" i="5"/>
  <c r="BP401" i="5"/>
  <c r="BP402" i="5"/>
  <c r="BP403" i="5"/>
  <c r="BP404" i="5"/>
  <c r="BP405" i="5"/>
  <c r="BP406" i="5"/>
  <c r="BP407" i="5"/>
  <c r="BP408" i="5"/>
  <c r="BP409" i="5"/>
  <c r="D1" i="2"/>
  <c r="D2" i="2"/>
  <c r="D5" i="2"/>
  <c r="K5" i="2"/>
  <c r="D7" i="2"/>
  <c r="B29" i="2"/>
  <c r="B30" i="2"/>
  <c r="J30" i="2"/>
  <c r="B31" i="2"/>
  <c r="J31" i="2"/>
  <c r="B32" i="2"/>
  <c r="B33" i="2"/>
  <c r="J33" i="2"/>
  <c r="B34" i="2"/>
  <c r="B35" i="2"/>
  <c r="B36" i="2"/>
  <c r="B37" i="2"/>
  <c r="B38" i="2"/>
  <c r="B39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W12" i="4"/>
  <c r="A13" i="4"/>
  <c r="B13" i="4"/>
  <c r="DU13" i="4"/>
  <c r="A14" i="4"/>
  <c r="B14" i="4"/>
  <c r="A15" i="4"/>
  <c r="B15" i="4"/>
  <c r="A16" i="4"/>
  <c r="B16" i="4"/>
  <c r="A17" i="4"/>
  <c r="B17" i="4"/>
  <c r="A18" i="4"/>
  <c r="B18" i="4"/>
  <c r="A19" i="4"/>
  <c r="B19" i="4"/>
  <c r="CY19" i="4"/>
  <c r="CZ19" i="4"/>
  <c r="DA19" i="4"/>
  <c r="DB19" i="4"/>
  <c r="DD19" i="4"/>
  <c r="DE19" i="4"/>
  <c r="DF19" i="4"/>
  <c r="DH19" i="4"/>
  <c r="DI19" i="4"/>
  <c r="A20" i="4"/>
  <c r="B20" i="4"/>
  <c r="CY20" i="4"/>
  <c r="CZ20" i="4"/>
  <c r="DA20" i="4"/>
  <c r="DB20" i="4"/>
  <c r="DD20" i="4"/>
  <c r="DE20" i="4"/>
  <c r="DF20" i="4"/>
  <c r="DH20" i="4"/>
  <c r="DI20" i="4"/>
  <c r="A21" i="4"/>
  <c r="B21" i="4"/>
  <c r="CY21" i="4"/>
  <c r="CZ21" i="4"/>
  <c r="DA21" i="4"/>
  <c r="DB21" i="4"/>
  <c r="DD21" i="4"/>
  <c r="DE21" i="4"/>
  <c r="DF21" i="4"/>
  <c r="DH21" i="4"/>
  <c r="DI21" i="4"/>
  <c r="A22" i="4"/>
  <c r="B22" i="4"/>
  <c r="CY22" i="4"/>
  <c r="CZ22" i="4"/>
  <c r="DA22" i="4"/>
  <c r="DB22" i="4"/>
  <c r="DD22" i="4"/>
  <c r="DE22" i="4"/>
  <c r="DF22" i="4"/>
  <c r="DH22" i="4"/>
  <c r="DI22" i="4"/>
  <c r="A23" i="4"/>
  <c r="B23" i="4"/>
  <c r="CY23" i="4"/>
  <c r="CZ23" i="4"/>
  <c r="DA23" i="4"/>
  <c r="DB23" i="4"/>
  <c r="DD23" i="4"/>
  <c r="DE23" i="4"/>
  <c r="DF23" i="4"/>
  <c r="DH23" i="4"/>
  <c r="DI23" i="4"/>
  <c r="A24" i="4"/>
  <c r="B24" i="4"/>
  <c r="CY24" i="4"/>
  <c r="CZ24" i="4"/>
  <c r="DA24" i="4"/>
  <c r="DB24" i="4"/>
  <c r="DD24" i="4"/>
  <c r="DE24" i="4"/>
  <c r="DF24" i="4"/>
  <c r="DH24" i="4"/>
  <c r="DI24" i="4"/>
  <c r="A25" i="4"/>
  <c r="B25" i="4"/>
  <c r="CY25" i="4"/>
  <c r="CZ25" i="4"/>
  <c r="DA25" i="4"/>
  <c r="DB25" i="4"/>
  <c r="DD25" i="4"/>
  <c r="DE25" i="4"/>
  <c r="DF25" i="4"/>
  <c r="DH25" i="4"/>
  <c r="DI25" i="4"/>
  <c r="A26" i="4"/>
  <c r="B26" i="4"/>
  <c r="CY26" i="4"/>
  <c r="CZ26" i="4"/>
  <c r="DA26" i="4"/>
  <c r="DB26" i="4"/>
  <c r="DD26" i="4"/>
  <c r="DE26" i="4"/>
  <c r="DF26" i="4"/>
  <c r="DH26" i="4"/>
  <c r="DI26" i="4"/>
  <c r="A27" i="4"/>
  <c r="B27" i="4"/>
  <c r="CY27" i="4"/>
  <c r="CZ27" i="4"/>
  <c r="DA27" i="4"/>
  <c r="DB27" i="4"/>
  <c r="DD27" i="4"/>
  <c r="DE27" i="4"/>
  <c r="DF27" i="4"/>
  <c r="DH27" i="4"/>
  <c r="DI27" i="4"/>
  <c r="A28" i="4"/>
  <c r="B28" i="4"/>
  <c r="CY28" i="4"/>
  <c r="CZ28" i="4"/>
  <c r="DA28" i="4"/>
  <c r="DB28" i="4"/>
  <c r="DD28" i="4"/>
  <c r="DE28" i="4"/>
  <c r="DF28" i="4"/>
  <c r="DH28" i="4"/>
  <c r="DI28" i="4"/>
  <c r="A29" i="4"/>
  <c r="B29" i="4"/>
  <c r="CY29" i="4"/>
  <c r="CZ29" i="4"/>
  <c r="DA29" i="4"/>
  <c r="DB29" i="4"/>
  <c r="DD29" i="4"/>
  <c r="DE29" i="4"/>
  <c r="DF29" i="4"/>
  <c r="DH29" i="4"/>
  <c r="DI29" i="4"/>
  <c r="A30" i="4"/>
  <c r="B30" i="4"/>
  <c r="CY30" i="4"/>
  <c r="CZ30" i="4"/>
  <c r="DA30" i="4"/>
  <c r="DB30" i="4"/>
  <c r="DD30" i="4"/>
  <c r="DE30" i="4"/>
  <c r="DF30" i="4"/>
  <c r="DH30" i="4"/>
  <c r="DI30" i="4"/>
  <c r="A31" i="4"/>
  <c r="B31" i="4"/>
  <c r="CY31" i="4"/>
  <c r="CZ31" i="4"/>
  <c r="DA31" i="4"/>
  <c r="DB31" i="4"/>
  <c r="DD31" i="4"/>
  <c r="DE31" i="4"/>
  <c r="DF31" i="4"/>
  <c r="DH31" i="4"/>
  <c r="DI31" i="4"/>
  <c r="A32" i="4"/>
  <c r="B32" i="4"/>
  <c r="CY32" i="4"/>
  <c r="CZ32" i="4"/>
  <c r="DA32" i="4"/>
  <c r="DB32" i="4"/>
  <c r="DD32" i="4"/>
  <c r="DE32" i="4"/>
  <c r="DF32" i="4"/>
  <c r="DH32" i="4"/>
  <c r="DI32" i="4"/>
  <c r="A33" i="4"/>
  <c r="B33" i="4"/>
  <c r="CY33" i="4"/>
  <c r="CZ33" i="4"/>
  <c r="DA33" i="4"/>
  <c r="DB33" i="4"/>
  <c r="DD33" i="4"/>
  <c r="DE33" i="4"/>
  <c r="DF33" i="4"/>
  <c r="DH33" i="4"/>
  <c r="DI33" i="4"/>
  <c r="A34" i="4"/>
  <c r="B34" i="4"/>
  <c r="CY34" i="4"/>
  <c r="CZ34" i="4"/>
  <c r="DA34" i="4"/>
  <c r="DB34" i="4"/>
  <c r="DD34" i="4"/>
  <c r="DE34" i="4"/>
  <c r="DF34" i="4"/>
  <c r="DH34" i="4"/>
  <c r="DI34" i="4"/>
  <c r="A35" i="4"/>
  <c r="B35" i="4"/>
  <c r="CY35" i="4"/>
  <c r="CZ35" i="4"/>
  <c r="DA35" i="4"/>
  <c r="DB35" i="4"/>
  <c r="DD35" i="4"/>
  <c r="DE35" i="4"/>
  <c r="DF35" i="4"/>
  <c r="DH35" i="4"/>
  <c r="DI35" i="4"/>
  <c r="A36" i="4"/>
  <c r="B36" i="4"/>
  <c r="CY36" i="4"/>
  <c r="CZ36" i="4"/>
  <c r="DA36" i="4"/>
  <c r="DB36" i="4"/>
  <c r="DD36" i="4"/>
  <c r="DE36" i="4"/>
  <c r="DF36" i="4"/>
  <c r="DH36" i="4"/>
  <c r="DI36" i="4"/>
  <c r="A37" i="4"/>
  <c r="B37" i="4"/>
  <c r="CY37" i="4"/>
  <c r="CZ37" i="4"/>
  <c r="DA37" i="4"/>
  <c r="DB37" i="4"/>
  <c r="DD37" i="4"/>
  <c r="DE37" i="4"/>
  <c r="DF37" i="4"/>
  <c r="DH37" i="4"/>
  <c r="DI37" i="4"/>
  <c r="A38" i="4"/>
  <c r="B38" i="4"/>
  <c r="CY38" i="4"/>
  <c r="CZ38" i="4"/>
  <c r="DA38" i="4"/>
  <c r="DB38" i="4"/>
  <c r="DD38" i="4"/>
  <c r="DE38" i="4"/>
  <c r="DF38" i="4"/>
  <c r="DH38" i="4"/>
  <c r="DI38" i="4"/>
  <c r="A39" i="4"/>
  <c r="B39" i="4"/>
  <c r="CY39" i="4"/>
  <c r="CZ39" i="4"/>
  <c r="DA39" i="4"/>
  <c r="DB39" i="4"/>
  <c r="DD39" i="4"/>
  <c r="DE39" i="4"/>
  <c r="DF39" i="4"/>
  <c r="DH39" i="4"/>
  <c r="DI39" i="4"/>
  <c r="A40" i="4"/>
  <c r="B40" i="4"/>
  <c r="CY40" i="4"/>
  <c r="CZ40" i="4"/>
  <c r="DA40" i="4"/>
  <c r="DB40" i="4"/>
  <c r="DD40" i="4"/>
  <c r="DE40" i="4"/>
  <c r="DF40" i="4"/>
  <c r="DH40" i="4"/>
  <c r="DI40" i="4"/>
  <c r="A41" i="4"/>
  <c r="B41" i="4"/>
  <c r="CY41" i="4"/>
  <c r="CZ41" i="4"/>
  <c r="DA41" i="4"/>
  <c r="DB41" i="4"/>
  <c r="DD41" i="4"/>
  <c r="DE41" i="4"/>
  <c r="DF41" i="4"/>
  <c r="DH41" i="4"/>
  <c r="DI41" i="4"/>
  <c r="A42" i="4"/>
  <c r="B42" i="4"/>
  <c r="CY42" i="4"/>
  <c r="CZ42" i="4"/>
  <c r="DA42" i="4"/>
  <c r="DB42" i="4"/>
  <c r="DD42" i="4"/>
  <c r="DE42" i="4"/>
  <c r="DF42" i="4"/>
  <c r="DH42" i="4"/>
  <c r="DI42" i="4"/>
  <c r="A43" i="4"/>
  <c r="B43" i="4"/>
  <c r="CY43" i="4"/>
  <c r="CZ43" i="4"/>
  <c r="DA43" i="4"/>
  <c r="DB43" i="4"/>
  <c r="DD43" i="4"/>
  <c r="DE43" i="4"/>
  <c r="DF43" i="4"/>
  <c r="DH43" i="4"/>
  <c r="DI43" i="4"/>
  <c r="A44" i="4"/>
  <c r="B44" i="4"/>
  <c r="CY44" i="4"/>
  <c r="CZ44" i="4"/>
  <c r="DA44" i="4"/>
  <c r="DB44" i="4"/>
  <c r="DD44" i="4"/>
  <c r="DE44" i="4"/>
  <c r="DF44" i="4"/>
  <c r="DH44" i="4"/>
  <c r="DI44" i="4"/>
  <c r="A45" i="4"/>
  <c r="B45" i="4"/>
  <c r="CY45" i="4"/>
  <c r="CZ45" i="4"/>
  <c r="DA45" i="4"/>
  <c r="DB45" i="4"/>
  <c r="DD45" i="4"/>
  <c r="DE45" i="4"/>
  <c r="DF45" i="4"/>
  <c r="DH45" i="4"/>
  <c r="DI45" i="4"/>
  <c r="A46" i="4"/>
  <c r="B46" i="4"/>
  <c r="CY46" i="4"/>
  <c r="CZ46" i="4"/>
  <c r="DA46" i="4"/>
  <c r="DB46" i="4"/>
  <c r="DD46" i="4"/>
  <c r="DE46" i="4"/>
  <c r="DF46" i="4"/>
  <c r="DH46" i="4"/>
  <c r="DI46" i="4"/>
  <c r="A47" i="4"/>
  <c r="B47" i="4"/>
  <c r="CY47" i="4"/>
  <c r="CZ47" i="4"/>
  <c r="DA47" i="4"/>
  <c r="DB47" i="4"/>
  <c r="DD47" i="4"/>
  <c r="DE47" i="4"/>
  <c r="DF47" i="4"/>
  <c r="DH47" i="4"/>
  <c r="DI47" i="4"/>
  <c r="A48" i="4"/>
  <c r="B48" i="4"/>
  <c r="CY48" i="4"/>
  <c r="CZ48" i="4"/>
  <c r="DA48" i="4"/>
  <c r="DB48" i="4"/>
  <c r="DD48" i="4"/>
  <c r="DE48" i="4"/>
  <c r="DF48" i="4"/>
  <c r="DH48" i="4"/>
  <c r="DI48" i="4"/>
  <c r="A49" i="4"/>
  <c r="B49" i="4"/>
  <c r="CY49" i="4"/>
  <c r="CZ49" i="4"/>
  <c r="DA49" i="4"/>
  <c r="DB49" i="4"/>
  <c r="DD49" i="4"/>
  <c r="DE49" i="4"/>
  <c r="DF49" i="4"/>
  <c r="DH49" i="4"/>
  <c r="DI49" i="4"/>
  <c r="A50" i="4"/>
  <c r="B50" i="4"/>
  <c r="CY50" i="4"/>
  <c r="CZ50" i="4"/>
  <c r="DA50" i="4"/>
  <c r="DB50" i="4"/>
  <c r="DD50" i="4"/>
  <c r="DE50" i="4"/>
  <c r="DF50" i="4"/>
  <c r="DH50" i="4"/>
  <c r="DI50" i="4"/>
  <c r="A51" i="4"/>
  <c r="B51" i="4"/>
  <c r="CY51" i="4"/>
  <c r="CZ51" i="4"/>
  <c r="DA51" i="4"/>
  <c r="DB51" i="4"/>
  <c r="DD51" i="4"/>
  <c r="DE51" i="4"/>
  <c r="DF51" i="4"/>
  <c r="DH51" i="4"/>
  <c r="DI51" i="4"/>
  <c r="A52" i="4"/>
  <c r="B52" i="4"/>
  <c r="CY52" i="4"/>
  <c r="CZ52" i="4"/>
  <c r="DA52" i="4"/>
  <c r="DB52" i="4"/>
  <c r="DD52" i="4"/>
  <c r="DE52" i="4"/>
  <c r="DF52" i="4"/>
  <c r="DH52" i="4"/>
  <c r="DI52" i="4"/>
  <c r="A53" i="4"/>
  <c r="B53" i="4"/>
  <c r="CY53" i="4"/>
  <c r="CZ53" i="4"/>
  <c r="DA53" i="4"/>
  <c r="DB53" i="4"/>
  <c r="DD53" i="4"/>
  <c r="DE53" i="4"/>
  <c r="DF53" i="4"/>
  <c r="DH53" i="4"/>
  <c r="DI53" i="4"/>
  <c r="A54" i="4"/>
  <c r="B54" i="4"/>
  <c r="CY54" i="4"/>
  <c r="CZ54" i="4"/>
  <c r="DA54" i="4"/>
  <c r="DB54" i="4"/>
  <c r="DD54" i="4"/>
  <c r="DE54" i="4"/>
  <c r="DF54" i="4"/>
  <c r="DH54" i="4"/>
  <c r="DI54" i="4"/>
  <c r="A55" i="4"/>
  <c r="B55" i="4"/>
  <c r="CY55" i="4"/>
  <c r="CZ55" i="4"/>
  <c r="DA55" i="4"/>
  <c r="DB55" i="4"/>
  <c r="DD55" i="4"/>
  <c r="DE55" i="4"/>
  <c r="DF55" i="4"/>
  <c r="DH55" i="4"/>
  <c r="DI55" i="4"/>
  <c r="A56" i="4"/>
  <c r="B56" i="4"/>
  <c r="CY56" i="4"/>
  <c r="CZ56" i="4"/>
  <c r="DA56" i="4"/>
  <c r="DB56" i="4"/>
  <c r="DD56" i="4"/>
  <c r="DE56" i="4"/>
  <c r="DF56" i="4"/>
  <c r="DH56" i="4"/>
  <c r="DI56" i="4"/>
  <c r="A57" i="4"/>
  <c r="B57" i="4"/>
  <c r="CY57" i="4"/>
  <c r="CZ57" i="4"/>
  <c r="DA57" i="4"/>
  <c r="DB57" i="4"/>
  <c r="DD57" i="4"/>
  <c r="DE57" i="4"/>
  <c r="DF57" i="4"/>
  <c r="DH57" i="4"/>
  <c r="DI57" i="4"/>
  <c r="A58" i="4"/>
  <c r="B58" i="4"/>
  <c r="CY58" i="4"/>
  <c r="CZ58" i="4"/>
  <c r="DA58" i="4"/>
  <c r="DB58" i="4"/>
  <c r="DD58" i="4"/>
  <c r="DE58" i="4"/>
  <c r="DF58" i="4"/>
  <c r="DH58" i="4"/>
  <c r="DI58" i="4"/>
  <c r="A59" i="4"/>
  <c r="B59" i="4"/>
  <c r="CY59" i="4"/>
  <c r="CZ59" i="4"/>
  <c r="DA59" i="4"/>
  <c r="DB59" i="4"/>
  <c r="DD59" i="4"/>
  <c r="DE59" i="4"/>
  <c r="DF59" i="4"/>
  <c r="DH59" i="4"/>
  <c r="DI59" i="4"/>
  <c r="A60" i="4"/>
  <c r="B60" i="4"/>
  <c r="CY60" i="4"/>
  <c r="CZ60" i="4"/>
  <c r="DA60" i="4"/>
  <c r="DB60" i="4"/>
  <c r="DD60" i="4"/>
  <c r="DE60" i="4"/>
  <c r="DF60" i="4"/>
  <c r="DH60" i="4"/>
  <c r="DI60" i="4"/>
  <c r="A61" i="4"/>
  <c r="B61" i="4"/>
  <c r="CY61" i="4"/>
  <c r="CZ61" i="4"/>
  <c r="DA61" i="4"/>
  <c r="DB61" i="4"/>
  <c r="DD61" i="4"/>
  <c r="DE61" i="4"/>
  <c r="DF61" i="4"/>
  <c r="DH61" i="4"/>
  <c r="DI61" i="4"/>
  <c r="A62" i="4"/>
  <c r="B62" i="4"/>
  <c r="CY62" i="4"/>
  <c r="CZ62" i="4"/>
  <c r="DA62" i="4"/>
  <c r="DB62" i="4"/>
  <c r="DD62" i="4"/>
  <c r="DE62" i="4"/>
  <c r="DF62" i="4"/>
  <c r="DH62" i="4"/>
  <c r="DI62" i="4"/>
  <c r="A63" i="4"/>
  <c r="B63" i="4"/>
  <c r="CY63" i="4"/>
  <c r="CZ63" i="4"/>
  <c r="DA63" i="4"/>
  <c r="DB63" i="4"/>
  <c r="DD63" i="4"/>
  <c r="DE63" i="4"/>
  <c r="DF63" i="4"/>
  <c r="DH63" i="4"/>
  <c r="DI63" i="4"/>
  <c r="A64" i="4"/>
  <c r="B64" i="4"/>
  <c r="CY64" i="4"/>
  <c r="CZ64" i="4"/>
  <c r="DA64" i="4"/>
  <c r="DB64" i="4"/>
  <c r="DD64" i="4"/>
  <c r="DE64" i="4"/>
  <c r="DF64" i="4"/>
  <c r="DH64" i="4"/>
  <c r="DI64" i="4"/>
  <c r="A65" i="4"/>
  <c r="B65" i="4"/>
  <c r="CY65" i="4"/>
  <c r="CZ65" i="4"/>
  <c r="DA65" i="4"/>
  <c r="DB65" i="4"/>
  <c r="DD65" i="4"/>
  <c r="DE65" i="4"/>
  <c r="DF65" i="4"/>
  <c r="DH65" i="4"/>
  <c r="DI65" i="4"/>
  <c r="A66" i="4"/>
  <c r="B66" i="4"/>
  <c r="CY66" i="4"/>
  <c r="CZ66" i="4"/>
  <c r="DA66" i="4"/>
  <c r="DB66" i="4"/>
  <c r="DD66" i="4"/>
  <c r="DE66" i="4"/>
  <c r="DF66" i="4"/>
  <c r="DH66" i="4"/>
  <c r="DI66" i="4"/>
  <c r="A67" i="4"/>
  <c r="B67" i="4"/>
  <c r="CY67" i="4"/>
  <c r="CZ67" i="4"/>
  <c r="DA67" i="4"/>
  <c r="DB67" i="4"/>
  <c r="DD67" i="4"/>
  <c r="DE67" i="4"/>
  <c r="DF67" i="4"/>
  <c r="DH67" i="4"/>
  <c r="DI67" i="4"/>
  <c r="A68" i="4"/>
  <c r="B68" i="4"/>
  <c r="CY68" i="4"/>
  <c r="CZ68" i="4"/>
  <c r="DA68" i="4"/>
  <c r="DB68" i="4"/>
  <c r="DD68" i="4"/>
  <c r="DE68" i="4"/>
  <c r="DF68" i="4"/>
  <c r="DH68" i="4"/>
  <c r="DI68" i="4"/>
  <c r="A69" i="4"/>
  <c r="B69" i="4"/>
  <c r="CY69" i="4"/>
  <c r="CZ69" i="4"/>
  <c r="DA69" i="4"/>
  <c r="DB69" i="4"/>
  <c r="DD69" i="4"/>
  <c r="DE69" i="4"/>
  <c r="DF69" i="4"/>
  <c r="DH69" i="4"/>
  <c r="DI69" i="4"/>
  <c r="A70" i="4"/>
  <c r="B70" i="4"/>
  <c r="CY70" i="4"/>
  <c r="CZ70" i="4"/>
  <c r="DA70" i="4"/>
  <c r="DB70" i="4"/>
  <c r="DD70" i="4"/>
  <c r="DE70" i="4"/>
  <c r="DF70" i="4"/>
  <c r="DH70" i="4"/>
  <c r="DI70" i="4"/>
  <c r="A71" i="4"/>
  <c r="B71" i="4"/>
  <c r="CY71" i="4"/>
  <c r="CZ71" i="4"/>
  <c r="DA71" i="4"/>
  <c r="DB71" i="4"/>
  <c r="DD71" i="4"/>
  <c r="DE71" i="4"/>
  <c r="DF71" i="4"/>
  <c r="DH71" i="4"/>
  <c r="DI71" i="4"/>
  <c r="A72" i="4"/>
  <c r="B72" i="4"/>
  <c r="CY72" i="4"/>
  <c r="CZ72" i="4"/>
  <c r="DA72" i="4"/>
  <c r="DB72" i="4"/>
  <c r="DD72" i="4"/>
  <c r="DE72" i="4"/>
  <c r="DF72" i="4"/>
  <c r="DH72" i="4"/>
  <c r="DI72" i="4"/>
  <c r="A73" i="4"/>
  <c r="B73" i="4"/>
  <c r="CY73" i="4"/>
  <c r="CZ73" i="4"/>
  <c r="DA73" i="4"/>
  <c r="DB73" i="4"/>
  <c r="DD73" i="4"/>
  <c r="DE73" i="4"/>
  <c r="DF73" i="4"/>
  <c r="DH73" i="4"/>
  <c r="DI73" i="4"/>
  <c r="A74" i="4"/>
  <c r="B74" i="4"/>
  <c r="CY74" i="4"/>
  <c r="CZ74" i="4"/>
  <c r="DA74" i="4"/>
  <c r="DB74" i="4"/>
  <c r="DD74" i="4"/>
  <c r="DE74" i="4"/>
  <c r="DF74" i="4"/>
  <c r="DH74" i="4"/>
  <c r="DI74" i="4"/>
  <c r="A75" i="4"/>
  <c r="B75" i="4"/>
  <c r="CY75" i="4"/>
  <c r="CZ75" i="4"/>
  <c r="DA75" i="4"/>
  <c r="DB75" i="4"/>
  <c r="DD75" i="4"/>
  <c r="DE75" i="4"/>
  <c r="DF75" i="4"/>
  <c r="DH75" i="4"/>
  <c r="DI75" i="4"/>
  <c r="A76" i="4"/>
  <c r="B76" i="4"/>
  <c r="CY76" i="4"/>
  <c r="CZ76" i="4"/>
  <c r="DA76" i="4"/>
  <c r="DB76" i="4"/>
  <c r="DD76" i="4"/>
  <c r="DE76" i="4"/>
  <c r="DF76" i="4"/>
  <c r="DH76" i="4"/>
  <c r="DI76" i="4"/>
  <c r="A77" i="4"/>
  <c r="B77" i="4"/>
  <c r="CY77" i="4"/>
  <c r="CZ77" i="4"/>
  <c r="DA77" i="4"/>
  <c r="DB77" i="4"/>
  <c r="DD77" i="4"/>
  <c r="DE77" i="4"/>
  <c r="DF77" i="4"/>
  <c r="DH77" i="4"/>
  <c r="DI77" i="4"/>
  <c r="A78" i="4"/>
  <c r="B78" i="4"/>
  <c r="CY78" i="4"/>
  <c r="CZ78" i="4"/>
  <c r="DA78" i="4"/>
  <c r="DB78" i="4"/>
  <c r="DD78" i="4"/>
  <c r="DE78" i="4"/>
  <c r="DF78" i="4"/>
  <c r="DH78" i="4"/>
  <c r="DI78" i="4"/>
  <c r="A79" i="4"/>
  <c r="B79" i="4"/>
  <c r="CY79" i="4"/>
  <c r="CZ79" i="4"/>
  <c r="DA79" i="4"/>
  <c r="DB79" i="4"/>
  <c r="DD79" i="4"/>
  <c r="DE79" i="4"/>
  <c r="DF79" i="4"/>
  <c r="DH79" i="4"/>
  <c r="DI79" i="4"/>
  <c r="A80" i="4"/>
  <c r="B80" i="4"/>
  <c r="CY80" i="4"/>
  <c r="CZ80" i="4"/>
  <c r="DA80" i="4"/>
  <c r="DB80" i="4"/>
  <c r="DD80" i="4"/>
  <c r="DE80" i="4"/>
  <c r="DF80" i="4"/>
  <c r="DH80" i="4"/>
  <c r="DI80" i="4"/>
  <c r="A81" i="4"/>
  <c r="B81" i="4"/>
  <c r="CY81" i="4"/>
  <c r="CZ81" i="4"/>
  <c r="DA81" i="4"/>
  <c r="DB81" i="4"/>
  <c r="DD81" i="4"/>
  <c r="DE81" i="4"/>
  <c r="DF81" i="4"/>
  <c r="DH81" i="4"/>
  <c r="DI81" i="4"/>
  <c r="A82" i="4"/>
  <c r="B82" i="4"/>
  <c r="CY82" i="4"/>
  <c r="CZ82" i="4"/>
  <c r="DA82" i="4"/>
  <c r="DB82" i="4"/>
  <c r="DD82" i="4"/>
  <c r="DE82" i="4"/>
  <c r="DF82" i="4"/>
  <c r="DH82" i="4"/>
  <c r="DI82" i="4"/>
  <c r="A83" i="4"/>
  <c r="B83" i="4"/>
  <c r="CY83" i="4"/>
  <c r="CZ83" i="4"/>
  <c r="DA83" i="4"/>
  <c r="DB83" i="4"/>
  <c r="DD83" i="4"/>
  <c r="DE83" i="4"/>
  <c r="DF83" i="4"/>
  <c r="DH83" i="4"/>
  <c r="DI83" i="4"/>
  <c r="A84" i="4"/>
  <c r="B84" i="4"/>
  <c r="CY84" i="4"/>
  <c r="CZ84" i="4"/>
  <c r="DA84" i="4"/>
  <c r="DB84" i="4"/>
  <c r="DD84" i="4"/>
  <c r="DE84" i="4"/>
  <c r="DF84" i="4"/>
  <c r="DH84" i="4"/>
  <c r="DI84" i="4"/>
  <c r="A85" i="4"/>
  <c r="B85" i="4"/>
  <c r="CY85" i="4"/>
  <c r="CZ85" i="4"/>
  <c r="DA85" i="4"/>
  <c r="DB85" i="4"/>
  <c r="DD85" i="4"/>
  <c r="DE85" i="4"/>
  <c r="DF85" i="4"/>
  <c r="DH85" i="4"/>
  <c r="DI85" i="4"/>
  <c r="A86" i="4"/>
  <c r="B86" i="4"/>
  <c r="CY86" i="4"/>
  <c r="CZ86" i="4"/>
  <c r="DA86" i="4"/>
  <c r="DB86" i="4"/>
  <c r="DD86" i="4"/>
  <c r="DE86" i="4"/>
  <c r="DF86" i="4"/>
  <c r="DH86" i="4"/>
  <c r="DI86" i="4"/>
  <c r="A87" i="4"/>
  <c r="B87" i="4"/>
  <c r="CY87" i="4"/>
  <c r="CZ87" i="4"/>
  <c r="DA87" i="4"/>
  <c r="DB87" i="4"/>
  <c r="DD87" i="4"/>
  <c r="DE87" i="4"/>
  <c r="DF87" i="4"/>
  <c r="DH87" i="4"/>
  <c r="DI87" i="4"/>
  <c r="A88" i="4"/>
  <c r="B88" i="4"/>
  <c r="CY88" i="4"/>
  <c r="CZ88" i="4"/>
  <c r="DA88" i="4"/>
  <c r="DB88" i="4"/>
  <c r="DD88" i="4"/>
  <c r="DE88" i="4"/>
  <c r="DF88" i="4"/>
  <c r="DH88" i="4"/>
  <c r="DI88" i="4"/>
  <c r="A89" i="4"/>
  <c r="B89" i="4"/>
  <c r="CY89" i="4"/>
  <c r="CZ89" i="4"/>
  <c r="DA89" i="4"/>
  <c r="DB89" i="4"/>
  <c r="DD89" i="4"/>
  <c r="DE89" i="4"/>
  <c r="DF89" i="4"/>
  <c r="DH89" i="4"/>
  <c r="DI89" i="4"/>
  <c r="A90" i="4"/>
  <c r="B90" i="4"/>
  <c r="CY90" i="4"/>
  <c r="CZ90" i="4"/>
  <c r="DA90" i="4"/>
  <c r="DB90" i="4"/>
  <c r="DD90" i="4"/>
  <c r="DE90" i="4"/>
  <c r="DF90" i="4"/>
  <c r="DH90" i="4"/>
  <c r="DI90" i="4"/>
  <c r="A91" i="4"/>
  <c r="B91" i="4"/>
  <c r="CY91" i="4"/>
  <c r="CZ91" i="4"/>
  <c r="DA91" i="4"/>
  <c r="DB91" i="4"/>
  <c r="DD91" i="4"/>
  <c r="DE91" i="4"/>
  <c r="DF91" i="4"/>
  <c r="DH91" i="4"/>
  <c r="DI91" i="4"/>
  <c r="A92" i="4"/>
  <c r="B92" i="4"/>
  <c r="CY92" i="4"/>
  <c r="CZ92" i="4"/>
  <c r="DA92" i="4"/>
  <c r="DB92" i="4"/>
  <c r="DD92" i="4"/>
  <c r="DE92" i="4"/>
  <c r="DF92" i="4"/>
  <c r="DH92" i="4"/>
  <c r="DI92" i="4"/>
  <c r="A93" i="4"/>
  <c r="B93" i="4"/>
  <c r="CY93" i="4"/>
  <c r="CZ93" i="4"/>
  <c r="DA93" i="4"/>
  <c r="DB93" i="4"/>
  <c r="DD93" i="4"/>
  <c r="DE93" i="4"/>
  <c r="DF93" i="4"/>
  <c r="DH93" i="4"/>
  <c r="DI93" i="4"/>
  <c r="A94" i="4"/>
  <c r="B94" i="4"/>
  <c r="CY94" i="4"/>
  <c r="CZ94" i="4"/>
  <c r="DA94" i="4"/>
  <c r="DB94" i="4"/>
  <c r="DD94" i="4"/>
  <c r="DE94" i="4"/>
  <c r="DF94" i="4"/>
  <c r="DH94" i="4"/>
  <c r="DI94" i="4"/>
  <c r="A95" i="4"/>
  <c r="B95" i="4"/>
  <c r="CY95" i="4"/>
  <c r="CZ95" i="4"/>
  <c r="DA95" i="4"/>
  <c r="DB95" i="4"/>
  <c r="DD95" i="4"/>
  <c r="DE95" i="4"/>
  <c r="DF95" i="4"/>
  <c r="DH95" i="4"/>
  <c r="DI95" i="4"/>
  <c r="A96" i="4"/>
  <c r="B96" i="4"/>
  <c r="CY96" i="4"/>
  <c r="CZ96" i="4"/>
  <c r="DA96" i="4"/>
  <c r="DB96" i="4"/>
  <c r="DD96" i="4"/>
  <c r="DE96" i="4"/>
  <c r="DF96" i="4"/>
  <c r="DH96" i="4"/>
  <c r="DI96" i="4"/>
  <c r="A97" i="4"/>
  <c r="B97" i="4"/>
  <c r="CY97" i="4"/>
  <c r="CZ97" i="4"/>
  <c r="DA97" i="4"/>
  <c r="DB97" i="4"/>
  <c r="DD97" i="4"/>
  <c r="DE97" i="4"/>
  <c r="DF97" i="4"/>
  <c r="DH97" i="4"/>
  <c r="DI97" i="4"/>
  <c r="A98" i="4"/>
  <c r="B98" i="4"/>
  <c r="CY98" i="4"/>
  <c r="CZ98" i="4"/>
  <c r="DA98" i="4"/>
  <c r="DB98" i="4"/>
  <c r="DD98" i="4"/>
  <c r="DE98" i="4"/>
  <c r="DF98" i="4"/>
  <c r="DH98" i="4"/>
  <c r="DI98" i="4"/>
  <c r="A99" i="4"/>
  <c r="B99" i="4"/>
  <c r="CY99" i="4"/>
  <c r="CZ99" i="4"/>
  <c r="DA99" i="4"/>
  <c r="DB99" i="4"/>
  <c r="DD99" i="4"/>
  <c r="DE99" i="4"/>
  <c r="DF99" i="4"/>
  <c r="DH99" i="4"/>
  <c r="DI99" i="4"/>
  <c r="A100" i="4"/>
  <c r="B100" i="4"/>
  <c r="CY100" i="4"/>
  <c r="CZ100" i="4"/>
  <c r="DA100" i="4"/>
  <c r="DB100" i="4"/>
  <c r="DD100" i="4"/>
  <c r="DE100" i="4"/>
  <c r="DF100" i="4"/>
  <c r="DH100" i="4"/>
  <c r="DI100" i="4"/>
  <c r="A101" i="4"/>
  <c r="B101" i="4"/>
  <c r="CY101" i="4"/>
  <c r="CZ101" i="4"/>
  <c r="DA101" i="4"/>
  <c r="DB101" i="4"/>
  <c r="DD101" i="4"/>
  <c r="DE101" i="4"/>
  <c r="DF101" i="4"/>
  <c r="DH101" i="4"/>
  <c r="DI101" i="4"/>
  <c r="A102" i="4"/>
  <c r="B102" i="4"/>
  <c r="CY102" i="4"/>
  <c r="CZ102" i="4"/>
  <c r="DA102" i="4"/>
  <c r="DB102" i="4"/>
  <c r="DD102" i="4"/>
  <c r="DE102" i="4"/>
  <c r="DF102" i="4"/>
  <c r="DH102" i="4"/>
  <c r="DI102" i="4"/>
  <c r="A103" i="4"/>
  <c r="B103" i="4"/>
  <c r="CY103" i="4"/>
  <c r="CZ103" i="4"/>
  <c r="DA103" i="4"/>
  <c r="DB103" i="4"/>
  <c r="DD103" i="4"/>
  <c r="DE103" i="4"/>
  <c r="DF103" i="4"/>
  <c r="DH103" i="4"/>
  <c r="DI103" i="4"/>
  <c r="A104" i="4"/>
  <c r="B104" i="4"/>
  <c r="CY104" i="4"/>
  <c r="CZ104" i="4"/>
  <c r="DA104" i="4"/>
  <c r="DB104" i="4"/>
  <c r="DD104" i="4"/>
  <c r="DE104" i="4"/>
  <c r="DF104" i="4"/>
  <c r="DH104" i="4"/>
  <c r="DI104" i="4"/>
  <c r="A105" i="4"/>
  <c r="B105" i="4"/>
  <c r="CY105" i="4"/>
  <c r="CZ105" i="4"/>
  <c r="DA105" i="4"/>
  <c r="DB105" i="4"/>
  <c r="DD105" i="4"/>
  <c r="DE105" i="4"/>
  <c r="DF105" i="4"/>
  <c r="DH105" i="4"/>
  <c r="DI105" i="4"/>
  <c r="A106" i="4"/>
  <c r="B106" i="4"/>
  <c r="CY106" i="4"/>
  <c r="CZ106" i="4"/>
  <c r="DA106" i="4"/>
  <c r="DB106" i="4"/>
  <c r="DD106" i="4"/>
  <c r="DE106" i="4"/>
  <c r="DF106" i="4"/>
  <c r="DH106" i="4"/>
  <c r="DI106" i="4"/>
  <c r="A107" i="4"/>
  <c r="B107" i="4"/>
  <c r="CY107" i="4"/>
  <c r="CZ107" i="4"/>
  <c r="DA107" i="4"/>
  <c r="DB107" i="4"/>
  <c r="DD107" i="4"/>
  <c r="DE107" i="4"/>
  <c r="DF107" i="4"/>
  <c r="DH107" i="4"/>
  <c r="DI107" i="4"/>
  <c r="A108" i="4"/>
  <c r="B108" i="4"/>
  <c r="CY108" i="4"/>
  <c r="CZ108" i="4"/>
  <c r="DA108" i="4"/>
  <c r="DB108" i="4"/>
  <c r="DD108" i="4"/>
  <c r="DE108" i="4"/>
  <c r="DF108" i="4"/>
  <c r="DH108" i="4"/>
  <c r="DI108" i="4"/>
  <c r="A109" i="4"/>
  <c r="B109" i="4"/>
  <c r="CY109" i="4"/>
  <c r="CZ109" i="4"/>
  <c r="DA109" i="4"/>
  <c r="DB109" i="4"/>
  <c r="DD109" i="4"/>
  <c r="DE109" i="4"/>
  <c r="DF109" i="4"/>
  <c r="DH109" i="4"/>
  <c r="DI109" i="4"/>
  <c r="A110" i="4"/>
  <c r="B110" i="4"/>
  <c r="CY110" i="4"/>
  <c r="CZ110" i="4"/>
  <c r="DA110" i="4"/>
  <c r="DB110" i="4"/>
  <c r="DD110" i="4"/>
  <c r="DE110" i="4"/>
  <c r="DF110" i="4"/>
  <c r="DH110" i="4"/>
  <c r="DI110" i="4"/>
  <c r="A111" i="4"/>
  <c r="B111" i="4"/>
  <c r="CY111" i="4"/>
  <c r="CZ111" i="4"/>
  <c r="DA111" i="4"/>
  <c r="DB111" i="4"/>
  <c r="DD111" i="4"/>
  <c r="DE111" i="4"/>
  <c r="DF111" i="4"/>
  <c r="DH111" i="4"/>
  <c r="DI111" i="4"/>
  <c r="A112" i="4"/>
  <c r="B112" i="4"/>
  <c r="CY112" i="4"/>
  <c r="CZ112" i="4"/>
  <c r="DA112" i="4"/>
  <c r="DB112" i="4"/>
  <c r="DD112" i="4"/>
  <c r="DE112" i="4"/>
  <c r="DF112" i="4"/>
  <c r="DH112" i="4"/>
  <c r="DI112" i="4"/>
  <c r="A113" i="4"/>
  <c r="B113" i="4"/>
  <c r="CY113" i="4"/>
  <c r="CZ113" i="4"/>
  <c r="DA113" i="4"/>
  <c r="DB113" i="4"/>
  <c r="DD113" i="4"/>
  <c r="DE113" i="4"/>
  <c r="DF113" i="4"/>
  <c r="DH113" i="4"/>
  <c r="DI113" i="4"/>
  <c r="A114" i="4"/>
  <c r="B114" i="4"/>
  <c r="CY114" i="4"/>
  <c r="CZ114" i="4"/>
  <c r="DA114" i="4"/>
  <c r="DB114" i="4"/>
  <c r="DD114" i="4"/>
  <c r="DE114" i="4"/>
  <c r="DF114" i="4"/>
  <c r="DH114" i="4"/>
  <c r="DI114" i="4"/>
  <c r="A115" i="4"/>
  <c r="B115" i="4"/>
  <c r="CY115" i="4"/>
  <c r="CZ115" i="4"/>
  <c r="DA115" i="4"/>
  <c r="DB115" i="4"/>
  <c r="DD115" i="4"/>
  <c r="DE115" i="4"/>
  <c r="DF115" i="4"/>
  <c r="DH115" i="4"/>
  <c r="DI115" i="4"/>
  <c r="A116" i="4"/>
  <c r="B116" i="4"/>
  <c r="CY116" i="4"/>
  <c r="CZ116" i="4"/>
  <c r="DA116" i="4"/>
  <c r="DB116" i="4"/>
  <c r="DD116" i="4"/>
  <c r="DE116" i="4"/>
  <c r="DF116" i="4"/>
  <c r="DH116" i="4"/>
  <c r="DI116" i="4"/>
  <c r="A117" i="4"/>
  <c r="B117" i="4"/>
  <c r="CY117" i="4"/>
  <c r="CZ117" i="4"/>
  <c r="DA117" i="4"/>
  <c r="DB117" i="4"/>
  <c r="DD117" i="4"/>
  <c r="DE117" i="4"/>
  <c r="DF117" i="4"/>
  <c r="DH117" i="4"/>
  <c r="DI117" i="4"/>
  <c r="A118" i="4"/>
  <c r="B118" i="4"/>
  <c r="CY118" i="4"/>
  <c r="CZ118" i="4"/>
  <c r="DA118" i="4"/>
  <c r="DB118" i="4"/>
  <c r="DD118" i="4"/>
  <c r="DE118" i="4"/>
  <c r="DF118" i="4"/>
  <c r="DH118" i="4"/>
  <c r="DI118" i="4"/>
  <c r="A119" i="4"/>
  <c r="B119" i="4"/>
  <c r="CY119" i="4"/>
  <c r="CZ119" i="4"/>
  <c r="DA119" i="4"/>
  <c r="DB119" i="4"/>
  <c r="DD119" i="4"/>
  <c r="DE119" i="4"/>
  <c r="DF119" i="4"/>
  <c r="DH119" i="4"/>
  <c r="DI119" i="4"/>
  <c r="A120" i="4"/>
  <c r="B120" i="4"/>
  <c r="CY120" i="4"/>
  <c r="CZ120" i="4"/>
  <c r="DA120" i="4"/>
  <c r="DB120" i="4"/>
  <c r="DD120" i="4"/>
  <c r="DE120" i="4"/>
  <c r="DF120" i="4"/>
  <c r="DH120" i="4"/>
  <c r="DI120" i="4"/>
  <c r="A121" i="4"/>
  <c r="B121" i="4"/>
  <c r="CY121" i="4"/>
  <c r="CZ121" i="4"/>
  <c r="DA121" i="4"/>
  <c r="DB121" i="4"/>
  <c r="DD121" i="4"/>
  <c r="DE121" i="4"/>
  <c r="DF121" i="4"/>
  <c r="DH121" i="4"/>
  <c r="DI121" i="4"/>
  <c r="A122" i="4"/>
  <c r="B122" i="4"/>
  <c r="CY122" i="4"/>
  <c r="CZ122" i="4"/>
  <c r="DA122" i="4"/>
  <c r="DB122" i="4"/>
  <c r="DD122" i="4"/>
  <c r="DE122" i="4"/>
  <c r="DF122" i="4"/>
  <c r="DH122" i="4"/>
  <c r="DI122" i="4"/>
  <c r="A123" i="4"/>
  <c r="B123" i="4"/>
  <c r="CY123" i="4"/>
  <c r="CZ123" i="4"/>
  <c r="DA123" i="4"/>
  <c r="DB123" i="4"/>
  <c r="DD123" i="4"/>
  <c r="DE123" i="4"/>
  <c r="DF123" i="4"/>
  <c r="DH123" i="4"/>
  <c r="DI123" i="4"/>
  <c r="A124" i="4"/>
  <c r="B124" i="4"/>
  <c r="CY124" i="4"/>
  <c r="CZ124" i="4"/>
  <c r="DA124" i="4"/>
  <c r="DB124" i="4"/>
  <c r="DD124" i="4"/>
  <c r="DE124" i="4"/>
  <c r="DF124" i="4"/>
  <c r="DH124" i="4"/>
  <c r="DI124" i="4"/>
  <c r="A125" i="4"/>
  <c r="B125" i="4"/>
  <c r="CY125" i="4"/>
  <c r="CZ125" i="4"/>
  <c r="DA125" i="4"/>
  <c r="DB125" i="4"/>
  <c r="DD125" i="4"/>
  <c r="DE125" i="4"/>
  <c r="DF125" i="4"/>
  <c r="DH125" i="4"/>
  <c r="DI125" i="4"/>
  <c r="A126" i="4"/>
  <c r="B126" i="4"/>
  <c r="CY126" i="4"/>
  <c r="CZ126" i="4"/>
  <c r="DA126" i="4"/>
  <c r="DB126" i="4"/>
  <c r="DD126" i="4"/>
  <c r="DE126" i="4"/>
  <c r="DF126" i="4"/>
  <c r="DH126" i="4"/>
  <c r="DI126" i="4"/>
  <c r="A127" i="4"/>
  <c r="B127" i="4"/>
  <c r="CY127" i="4"/>
  <c r="CZ127" i="4"/>
  <c r="DA127" i="4"/>
  <c r="DB127" i="4"/>
  <c r="DD127" i="4"/>
  <c r="DE127" i="4"/>
  <c r="DF127" i="4"/>
  <c r="DH127" i="4"/>
  <c r="DI127" i="4"/>
  <c r="A128" i="4"/>
  <c r="B128" i="4"/>
  <c r="CY128" i="4"/>
  <c r="CZ128" i="4"/>
  <c r="DA128" i="4"/>
  <c r="DB128" i="4"/>
  <c r="DD128" i="4"/>
  <c r="DE128" i="4"/>
  <c r="DF128" i="4"/>
  <c r="DH128" i="4"/>
  <c r="DI128" i="4"/>
  <c r="A129" i="4"/>
  <c r="B129" i="4"/>
  <c r="CY129" i="4"/>
  <c r="CZ129" i="4"/>
  <c r="DA129" i="4"/>
  <c r="DB129" i="4"/>
  <c r="DD129" i="4"/>
  <c r="DE129" i="4"/>
  <c r="DF129" i="4"/>
  <c r="DH129" i="4"/>
  <c r="DI129" i="4"/>
  <c r="A130" i="4"/>
  <c r="B130" i="4"/>
  <c r="CY130" i="4"/>
  <c r="CZ130" i="4"/>
  <c r="DA130" i="4"/>
  <c r="DB130" i="4"/>
  <c r="DD130" i="4"/>
  <c r="DE130" i="4"/>
  <c r="DF130" i="4"/>
  <c r="DH130" i="4"/>
  <c r="DI130" i="4"/>
  <c r="A131" i="4"/>
  <c r="B131" i="4"/>
  <c r="CY131" i="4"/>
  <c r="CZ131" i="4"/>
  <c r="DA131" i="4"/>
  <c r="DB131" i="4"/>
  <c r="DD131" i="4"/>
  <c r="DE131" i="4"/>
  <c r="DF131" i="4"/>
  <c r="DH131" i="4"/>
  <c r="DI131" i="4"/>
  <c r="A132" i="4"/>
  <c r="B132" i="4"/>
  <c r="CY132" i="4"/>
  <c r="CZ132" i="4"/>
  <c r="DA132" i="4"/>
  <c r="DB132" i="4"/>
  <c r="DD132" i="4"/>
  <c r="DE132" i="4"/>
  <c r="DF132" i="4"/>
  <c r="DH132" i="4"/>
  <c r="DI132" i="4"/>
  <c r="A133" i="4"/>
  <c r="B133" i="4"/>
  <c r="CY133" i="4"/>
  <c r="CZ133" i="4"/>
  <c r="DA133" i="4"/>
  <c r="DB133" i="4"/>
  <c r="DD133" i="4"/>
  <c r="DE133" i="4"/>
  <c r="DF133" i="4"/>
  <c r="DH133" i="4"/>
  <c r="DI133" i="4"/>
  <c r="A134" i="4"/>
  <c r="B134" i="4"/>
  <c r="CY134" i="4"/>
  <c r="CZ134" i="4"/>
  <c r="DA134" i="4"/>
  <c r="DB134" i="4"/>
  <c r="DD134" i="4"/>
  <c r="DE134" i="4"/>
  <c r="DF134" i="4"/>
  <c r="DH134" i="4"/>
  <c r="DI134" i="4"/>
  <c r="A135" i="4"/>
  <c r="B135" i="4"/>
  <c r="CY135" i="4"/>
  <c r="CZ135" i="4"/>
  <c r="DA135" i="4"/>
  <c r="DB135" i="4"/>
  <c r="DD135" i="4"/>
  <c r="DE135" i="4"/>
  <c r="DF135" i="4"/>
  <c r="DH135" i="4"/>
  <c r="DI135" i="4"/>
  <c r="A136" i="4"/>
  <c r="B136" i="4"/>
  <c r="CY136" i="4"/>
  <c r="CZ136" i="4"/>
  <c r="DA136" i="4"/>
  <c r="DB136" i="4"/>
  <c r="DD136" i="4"/>
  <c r="DE136" i="4"/>
  <c r="DF136" i="4"/>
  <c r="DH136" i="4"/>
  <c r="DI136" i="4"/>
  <c r="A137" i="4"/>
  <c r="B137" i="4"/>
  <c r="CY137" i="4"/>
  <c r="CZ137" i="4"/>
  <c r="DA137" i="4"/>
  <c r="DB137" i="4"/>
  <c r="DD137" i="4"/>
  <c r="DE137" i="4"/>
  <c r="DF137" i="4"/>
  <c r="DH137" i="4"/>
  <c r="DI137" i="4"/>
  <c r="A138" i="4"/>
  <c r="B138" i="4"/>
  <c r="CY138" i="4"/>
  <c r="CZ138" i="4"/>
  <c r="DA138" i="4"/>
  <c r="DB138" i="4"/>
  <c r="DD138" i="4"/>
  <c r="DE138" i="4"/>
  <c r="DF138" i="4"/>
  <c r="DH138" i="4"/>
  <c r="DI138" i="4"/>
  <c r="A139" i="4"/>
  <c r="B139" i="4"/>
  <c r="CY139" i="4"/>
  <c r="CZ139" i="4"/>
  <c r="DA139" i="4"/>
  <c r="DB139" i="4"/>
  <c r="DD139" i="4"/>
  <c r="DE139" i="4"/>
  <c r="DF139" i="4"/>
  <c r="DH139" i="4"/>
  <c r="DI139" i="4"/>
  <c r="A140" i="4"/>
  <c r="B140" i="4"/>
  <c r="CY140" i="4"/>
  <c r="CZ140" i="4"/>
  <c r="DA140" i="4"/>
  <c r="DB140" i="4"/>
  <c r="DD140" i="4"/>
  <c r="DE140" i="4"/>
  <c r="DF140" i="4"/>
  <c r="DH140" i="4"/>
  <c r="DI140" i="4"/>
  <c r="A141" i="4"/>
  <c r="B141" i="4"/>
  <c r="CY141" i="4"/>
  <c r="CZ141" i="4"/>
  <c r="DA141" i="4"/>
  <c r="DB141" i="4"/>
  <c r="DD141" i="4"/>
  <c r="DE141" i="4"/>
  <c r="DF141" i="4"/>
  <c r="DH141" i="4"/>
  <c r="DI141" i="4"/>
  <c r="A142" i="4"/>
  <c r="B142" i="4"/>
  <c r="CY142" i="4"/>
  <c r="CZ142" i="4"/>
  <c r="DA142" i="4"/>
  <c r="DB142" i="4"/>
  <c r="DD142" i="4"/>
  <c r="DE142" i="4"/>
  <c r="DF142" i="4"/>
  <c r="DH142" i="4"/>
  <c r="DI142" i="4"/>
  <c r="A143" i="4"/>
  <c r="B143" i="4"/>
  <c r="CY143" i="4"/>
  <c r="CZ143" i="4"/>
  <c r="DA143" i="4"/>
  <c r="DB143" i="4"/>
  <c r="DD143" i="4"/>
  <c r="DE143" i="4"/>
  <c r="DF143" i="4"/>
  <c r="DH143" i="4"/>
  <c r="DI143" i="4"/>
  <c r="A144" i="4"/>
  <c r="B144" i="4"/>
  <c r="CY144" i="4"/>
  <c r="CZ144" i="4"/>
  <c r="DA144" i="4"/>
  <c r="DB144" i="4"/>
  <c r="DD144" i="4"/>
  <c r="DE144" i="4"/>
  <c r="DF144" i="4"/>
  <c r="DH144" i="4"/>
  <c r="DI144" i="4"/>
  <c r="A145" i="4"/>
  <c r="B145" i="4"/>
  <c r="CY145" i="4"/>
  <c r="CZ145" i="4"/>
  <c r="DA145" i="4"/>
  <c r="DB145" i="4"/>
  <c r="DD145" i="4"/>
  <c r="DE145" i="4"/>
  <c r="DF145" i="4"/>
  <c r="DH145" i="4"/>
  <c r="DI145" i="4"/>
  <c r="A146" i="4"/>
  <c r="B146" i="4"/>
  <c r="CY146" i="4"/>
  <c r="CZ146" i="4"/>
  <c r="DA146" i="4"/>
  <c r="DB146" i="4"/>
  <c r="DD146" i="4"/>
  <c r="DE146" i="4"/>
  <c r="DF146" i="4"/>
  <c r="DH146" i="4"/>
  <c r="DI146" i="4"/>
  <c r="A147" i="4"/>
  <c r="B147" i="4"/>
  <c r="CY147" i="4"/>
  <c r="CZ147" i="4"/>
  <c r="DA147" i="4"/>
  <c r="DB147" i="4"/>
  <c r="DD147" i="4"/>
  <c r="DE147" i="4"/>
  <c r="DF147" i="4"/>
  <c r="DH147" i="4"/>
  <c r="DI147" i="4"/>
  <c r="A148" i="4"/>
  <c r="B148" i="4"/>
  <c r="CY148" i="4"/>
  <c r="CZ148" i="4"/>
  <c r="DA148" i="4"/>
  <c r="DB148" i="4"/>
  <c r="DD148" i="4"/>
  <c r="DE148" i="4"/>
  <c r="DF148" i="4"/>
  <c r="DH148" i="4"/>
  <c r="DI148" i="4"/>
  <c r="A149" i="4"/>
  <c r="B149" i="4"/>
  <c r="CY149" i="4"/>
  <c r="CZ149" i="4"/>
  <c r="DA149" i="4"/>
  <c r="DB149" i="4"/>
  <c r="DD149" i="4"/>
  <c r="DE149" i="4"/>
  <c r="DF149" i="4"/>
  <c r="DH149" i="4"/>
  <c r="DI149" i="4"/>
  <c r="A150" i="4"/>
  <c r="B150" i="4"/>
  <c r="CY150" i="4"/>
  <c r="CZ150" i="4"/>
  <c r="DA150" i="4"/>
  <c r="DB150" i="4"/>
  <c r="DD150" i="4"/>
  <c r="DE150" i="4"/>
  <c r="DF150" i="4"/>
  <c r="DH150" i="4"/>
  <c r="DI150" i="4"/>
  <c r="A151" i="4"/>
  <c r="B151" i="4"/>
  <c r="CY151" i="4"/>
  <c r="CZ151" i="4"/>
  <c r="DA151" i="4"/>
  <c r="DB151" i="4"/>
  <c r="DD151" i="4"/>
  <c r="DE151" i="4"/>
  <c r="DF151" i="4"/>
  <c r="DH151" i="4"/>
  <c r="DI151" i="4"/>
  <c r="A152" i="4"/>
  <c r="B152" i="4"/>
  <c r="CY152" i="4"/>
  <c r="CZ152" i="4"/>
  <c r="DA152" i="4"/>
  <c r="DB152" i="4"/>
  <c r="DD152" i="4"/>
  <c r="DE152" i="4"/>
  <c r="DF152" i="4"/>
  <c r="DH152" i="4"/>
  <c r="DI152" i="4"/>
  <c r="A153" i="4"/>
  <c r="B153" i="4"/>
  <c r="CY153" i="4"/>
  <c r="CZ153" i="4"/>
  <c r="DA153" i="4"/>
  <c r="DB153" i="4"/>
  <c r="DD153" i="4"/>
  <c r="DE153" i="4"/>
  <c r="DF153" i="4"/>
  <c r="DH153" i="4"/>
  <c r="DI153" i="4"/>
  <c r="A154" i="4"/>
  <c r="B154" i="4"/>
  <c r="CY154" i="4"/>
  <c r="CZ154" i="4"/>
  <c r="DA154" i="4"/>
  <c r="DB154" i="4"/>
  <c r="DD154" i="4"/>
  <c r="DE154" i="4"/>
  <c r="DF154" i="4"/>
  <c r="DH154" i="4"/>
  <c r="DI154" i="4"/>
  <c r="A155" i="4"/>
  <c r="B155" i="4"/>
  <c r="CY155" i="4"/>
  <c r="CZ155" i="4"/>
  <c r="DA155" i="4"/>
  <c r="DB155" i="4"/>
  <c r="DD155" i="4"/>
  <c r="DE155" i="4"/>
  <c r="DF155" i="4"/>
  <c r="DH155" i="4"/>
  <c r="DI155" i="4"/>
  <c r="A156" i="4"/>
  <c r="B156" i="4"/>
  <c r="CY156" i="4"/>
  <c r="CZ156" i="4"/>
  <c r="DA156" i="4"/>
  <c r="DB156" i="4"/>
  <c r="DD156" i="4"/>
  <c r="DE156" i="4"/>
  <c r="DF156" i="4"/>
  <c r="DH156" i="4"/>
  <c r="DI156" i="4"/>
  <c r="A157" i="4"/>
  <c r="B157" i="4"/>
  <c r="CY157" i="4"/>
  <c r="CZ157" i="4"/>
  <c r="DA157" i="4"/>
  <c r="DB157" i="4"/>
  <c r="DD157" i="4"/>
  <c r="DE157" i="4"/>
  <c r="DF157" i="4"/>
  <c r="DH157" i="4"/>
  <c r="DI157" i="4"/>
  <c r="A158" i="4"/>
  <c r="B158" i="4"/>
  <c r="CY158" i="4"/>
  <c r="CZ158" i="4"/>
  <c r="DA158" i="4"/>
  <c r="DB158" i="4"/>
  <c r="DD158" i="4"/>
  <c r="DE158" i="4"/>
  <c r="DF158" i="4"/>
  <c r="DH158" i="4"/>
  <c r="DI158" i="4"/>
  <c r="A159" i="4"/>
  <c r="B159" i="4"/>
  <c r="CY159" i="4"/>
  <c r="CZ159" i="4"/>
  <c r="DA159" i="4"/>
  <c r="DB159" i="4"/>
  <c r="DD159" i="4"/>
  <c r="DE159" i="4"/>
  <c r="DF159" i="4"/>
  <c r="DH159" i="4"/>
  <c r="DI159" i="4"/>
  <c r="A160" i="4"/>
  <c r="B160" i="4"/>
  <c r="CY160" i="4"/>
  <c r="CZ160" i="4"/>
  <c r="DA160" i="4"/>
  <c r="DB160" i="4"/>
  <c r="DD160" i="4"/>
  <c r="DE160" i="4"/>
  <c r="DF160" i="4"/>
  <c r="DH160" i="4"/>
  <c r="DI160" i="4"/>
  <c r="A161" i="4"/>
  <c r="B161" i="4"/>
  <c r="CY161" i="4"/>
  <c r="CZ161" i="4"/>
  <c r="DA161" i="4"/>
  <c r="DB161" i="4"/>
  <c r="DD161" i="4"/>
  <c r="DE161" i="4"/>
  <c r="DF161" i="4"/>
  <c r="DH161" i="4"/>
  <c r="DI161" i="4"/>
  <c r="A162" i="4"/>
  <c r="B162" i="4"/>
  <c r="CY162" i="4"/>
  <c r="CZ162" i="4"/>
  <c r="DA162" i="4"/>
  <c r="DB162" i="4"/>
  <c r="DD162" i="4"/>
  <c r="DE162" i="4"/>
  <c r="DF162" i="4"/>
  <c r="DH162" i="4"/>
  <c r="DI162" i="4"/>
  <c r="A163" i="4"/>
  <c r="B163" i="4"/>
  <c r="CY163" i="4"/>
  <c r="CZ163" i="4"/>
  <c r="DA163" i="4"/>
  <c r="DB163" i="4"/>
  <c r="DD163" i="4"/>
  <c r="DE163" i="4"/>
  <c r="DF163" i="4"/>
  <c r="DH163" i="4"/>
  <c r="DI163" i="4"/>
  <c r="A164" i="4"/>
  <c r="B164" i="4"/>
  <c r="CY164" i="4"/>
  <c r="CZ164" i="4"/>
  <c r="DA164" i="4"/>
  <c r="DB164" i="4"/>
  <c r="DD164" i="4"/>
  <c r="DE164" i="4"/>
  <c r="DF164" i="4"/>
  <c r="DH164" i="4"/>
  <c r="DI164" i="4"/>
  <c r="A165" i="4"/>
  <c r="B165" i="4"/>
  <c r="CY165" i="4"/>
  <c r="CZ165" i="4"/>
  <c r="DA165" i="4"/>
  <c r="DB165" i="4"/>
  <c r="DD165" i="4"/>
  <c r="DE165" i="4"/>
  <c r="DF165" i="4"/>
  <c r="DH165" i="4"/>
  <c r="DI165" i="4"/>
  <c r="A166" i="4"/>
  <c r="B166" i="4"/>
  <c r="CY166" i="4"/>
  <c r="CZ166" i="4"/>
  <c r="DA166" i="4"/>
  <c r="DB166" i="4"/>
  <c r="DD166" i="4"/>
  <c r="DE166" i="4"/>
  <c r="DF166" i="4"/>
  <c r="DH166" i="4"/>
  <c r="DI166" i="4"/>
  <c r="A167" i="4"/>
  <c r="B167" i="4"/>
  <c r="CY167" i="4"/>
  <c r="CZ167" i="4"/>
  <c r="DA167" i="4"/>
  <c r="DB167" i="4"/>
  <c r="DD167" i="4"/>
  <c r="DE167" i="4"/>
  <c r="DF167" i="4"/>
  <c r="DH167" i="4"/>
  <c r="DI167" i="4"/>
  <c r="A168" i="4"/>
  <c r="B168" i="4"/>
  <c r="CY168" i="4"/>
  <c r="CZ168" i="4"/>
  <c r="DA168" i="4"/>
  <c r="DB168" i="4"/>
  <c r="DD168" i="4"/>
  <c r="DE168" i="4"/>
  <c r="DF168" i="4"/>
  <c r="DH168" i="4"/>
  <c r="DI168" i="4"/>
  <c r="A169" i="4"/>
  <c r="B169" i="4"/>
  <c r="CY169" i="4"/>
  <c r="CZ169" i="4"/>
  <c r="DA169" i="4"/>
  <c r="DB169" i="4"/>
  <c r="DD169" i="4"/>
  <c r="DE169" i="4"/>
  <c r="DF169" i="4"/>
  <c r="DH169" i="4"/>
  <c r="DI169" i="4"/>
  <c r="A170" i="4"/>
  <c r="B170" i="4"/>
  <c r="CY170" i="4"/>
  <c r="CZ170" i="4"/>
  <c r="DA170" i="4"/>
  <c r="DB170" i="4"/>
  <c r="DD170" i="4"/>
  <c r="DE170" i="4"/>
  <c r="DF170" i="4"/>
  <c r="DH170" i="4"/>
  <c r="DI170" i="4"/>
  <c r="A171" i="4"/>
  <c r="B171" i="4"/>
  <c r="CY171" i="4"/>
  <c r="CZ171" i="4"/>
  <c r="DA171" i="4"/>
  <c r="DB171" i="4"/>
  <c r="DD171" i="4"/>
  <c r="DE171" i="4"/>
  <c r="DF171" i="4"/>
  <c r="DH171" i="4"/>
  <c r="DI171" i="4"/>
  <c r="A172" i="4"/>
  <c r="B172" i="4"/>
  <c r="CY172" i="4"/>
  <c r="CZ172" i="4"/>
  <c r="DA172" i="4"/>
  <c r="DB172" i="4"/>
  <c r="DD172" i="4"/>
  <c r="DE172" i="4"/>
  <c r="DF172" i="4"/>
  <c r="DH172" i="4"/>
  <c r="DI172" i="4"/>
  <c r="A173" i="4"/>
  <c r="B173" i="4"/>
  <c r="CY173" i="4"/>
  <c r="CZ173" i="4"/>
  <c r="DA173" i="4"/>
  <c r="DB173" i="4"/>
  <c r="DD173" i="4"/>
  <c r="DE173" i="4"/>
  <c r="DF173" i="4"/>
  <c r="DH173" i="4"/>
  <c r="DI173" i="4"/>
  <c r="A174" i="4"/>
  <c r="B174" i="4"/>
  <c r="CY174" i="4"/>
  <c r="CZ174" i="4"/>
  <c r="DA174" i="4"/>
  <c r="DB174" i="4"/>
  <c r="DD174" i="4"/>
  <c r="DE174" i="4"/>
  <c r="DF174" i="4"/>
  <c r="DH174" i="4"/>
  <c r="DI174" i="4"/>
  <c r="A175" i="4"/>
  <c r="B175" i="4"/>
  <c r="CY175" i="4"/>
  <c r="CZ175" i="4"/>
  <c r="DA175" i="4"/>
  <c r="DB175" i="4"/>
  <c r="DD175" i="4"/>
  <c r="DE175" i="4"/>
  <c r="DF175" i="4"/>
  <c r="DH175" i="4"/>
  <c r="DI175" i="4"/>
  <c r="A176" i="4"/>
  <c r="B176" i="4"/>
  <c r="CY176" i="4"/>
  <c r="CZ176" i="4"/>
  <c r="DA176" i="4"/>
  <c r="DB176" i="4"/>
  <c r="DD176" i="4"/>
  <c r="DE176" i="4"/>
  <c r="DF176" i="4"/>
  <c r="DH176" i="4"/>
  <c r="DI176" i="4"/>
  <c r="A177" i="4"/>
  <c r="B177" i="4"/>
  <c r="CY177" i="4"/>
  <c r="CZ177" i="4"/>
  <c r="DA177" i="4"/>
  <c r="DB177" i="4"/>
  <c r="DD177" i="4"/>
  <c r="DE177" i="4"/>
  <c r="DF177" i="4"/>
  <c r="DH177" i="4"/>
  <c r="DI177" i="4"/>
  <c r="A178" i="4"/>
  <c r="B178" i="4"/>
  <c r="CY178" i="4"/>
  <c r="CZ178" i="4"/>
  <c r="DA178" i="4"/>
  <c r="DB178" i="4"/>
  <c r="DD178" i="4"/>
  <c r="DE178" i="4"/>
  <c r="DF178" i="4"/>
  <c r="DH178" i="4"/>
  <c r="DI178" i="4"/>
  <c r="A179" i="4"/>
  <c r="B179" i="4"/>
  <c r="CY179" i="4"/>
  <c r="CZ179" i="4"/>
  <c r="DA179" i="4"/>
  <c r="DB179" i="4"/>
  <c r="DD179" i="4"/>
  <c r="DE179" i="4"/>
  <c r="DF179" i="4"/>
  <c r="DH179" i="4"/>
  <c r="DI179" i="4"/>
  <c r="A180" i="4"/>
  <c r="B180" i="4"/>
  <c r="CY180" i="4"/>
  <c r="CZ180" i="4"/>
  <c r="DA180" i="4"/>
  <c r="DB180" i="4"/>
  <c r="DD180" i="4"/>
  <c r="DE180" i="4"/>
  <c r="DF180" i="4"/>
  <c r="DH180" i="4"/>
  <c r="DI180" i="4"/>
  <c r="A181" i="4"/>
  <c r="B181" i="4"/>
  <c r="CY181" i="4"/>
  <c r="CZ181" i="4"/>
  <c r="DA181" i="4"/>
  <c r="DB181" i="4"/>
  <c r="DD181" i="4"/>
  <c r="DE181" i="4"/>
  <c r="DF181" i="4"/>
  <c r="DH181" i="4"/>
  <c r="DI181" i="4"/>
  <c r="A182" i="4"/>
  <c r="B182" i="4"/>
  <c r="CY182" i="4"/>
  <c r="CZ182" i="4"/>
  <c r="DA182" i="4"/>
  <c r="DB182" i="4"/>
  <c r="DD182" i="4"/>
  <c r="DE182" i="4"/>
  <c r="DF182" i="4"/>
  <c r="DH182" i="4"/>
  <c r="DI182" i="4"/>
  <c r="A183" i="4"/>
  <c r="B183" i="4"/>
  <c r="CY183" i="4"/>
  <c r="CZ183" i="4"/>
  <c r="DA183" i="4"/>
  <c r="DB183" i="4"/>
  <c r="DD183" i="4"/>
  <c r="DE183" i="4"/>
  <c r="DF183" i="4"/>
  <c r="DH183" i="4"/>
  <c r="DI183" i="4"/>
  <c r="A184" i="4"/>
  <c r="B184" i="4"/>
  <c r="CY184" i="4"/>
  <c r="CZ184" i="4"/>
  <c r="DA184" i="4"/>
  <c r="DB184" i="4"/>
  <c r="DD184" i="4"/>
  <c r="DE184" i="4"/>
  <c r="DF184" i="4"/>
  <c r="DH184" i="4"/>
  <c r="DI184" i="4"/>
  <c r="A185" i="4"/>
  <c r="B185" i="4"/>
  <c r="CY185" i="4"/>
  <c r="CZ185" i="4"/>
  <c r="DA185" i="4"/>
  <c r="DB185" i="4"/>
  <c r="DD185" i="4"/>
  <c r="DE185" i="4"/>
  <c r="DF185" i="4"/>
  <c r="DH185" i="4"/>
  <c r="DI185" i="4"/>
  <c r="A186" i="4"/>
  <c r="B186" i="4"/>
  <c r="CY186" i="4"/>
  <c r="CZ186" i="4"/>
  <c r="DA186" i="4"/>
  <c r="DB186" i="4"/>
  <c r="DD186" i="4"/>
  <c r="DE186" i="4"/>
  <c r="DF186" i="4"/>
  <c r="DH186" i="4"/>
  <c r="DI186" i="4"/>
  <c r="A187" i="4"/>
  <c r="B187" i="4"/>
  <c r="CY187" i="4"/>
  <c r="CZ187" i="4"/>
  <c r="DA187" i="4"/>
  <c r="DB187" i="4"/>
  <c r="DD187" i="4"/>
  <c r="DE187" i="4"/>
  <c r="DF187" i="4"/>
  <c r="DH187" i="4"/>
  <c r="DI187" i="4"/>
  <c r="A188" i="4"/>
  <c r="B188" i="4"/>
  <c r="CY188" i="4"/>
  <c r="CZ188" i="4"/>
  <c r="DA188" i="4"/>
  <c r="DB188" i="4"/>
  <c r="DD188" i="4"/>
  <c r="DE188" i="4"/>
  <c r="DF188" i="4"/>
  <c r="DH188" i="4"/>
  <c r="DI188" i="4"/>
  <c r="A189" i="4"/>
  <c r="B189" i="4"/>
  <c r="CY189" i="4"/>
  <c r="CZ189" i="4"/>
  <c r="DA189" i="4"/>
  <c r="DB189" i="4"/>
  <c r="DD189" i="4"/>
  <c r="DE189" i="4"/>
  <c r="DF189" i="4"/>
  <c r="DH189" i="4"/>
  <c r="DI189" i="4"/>
  <c r="A190" i="4"/>
  <c r="B190" i="4"/>
  <c r="CY190" i="4"/>
  <c r="CZ190" i="4"/>
  <c r="DA190" i="4"/>
  <c r="DB190" i="4"/>
  <c r="DD190" i="4"/>
  <c r="DE190" i="4"/>
  <c r="DF190" i="4"/>
  <c r="DH190" i="4"/>
  <c r="DI190" i="4"/>
  <c r="A191" i="4"/>
  <c r="B191" i="4"/>
  <c r="CY191" i="4"/>
  <c r="CZ191" i="4"/>
  <c r="DA191" i="4"/>
  <c r="DB191" i="4"/>
  <c r="DD191" i="4"/>
  <c r="DE191" i="4"/>
  <c r="DF191" i="4"/>
  <c r="DH191" i="4"/>
  <c r="DI191" i="4"/>
  <c r="A192" i="4"/>
  <c r="B192" i="4"/>
  <c r="CY192" i="4"/>
  <c r="CZ192" i="4"/>
  <c r="DA192" i="4"/>
  <c r="DB192" i="4"/>
  <c r="DD192" i="4"/>
  <c r="DE192" i="4"/>
  <c r="DF192" i="4"/>
  <c r="DH192" i="4"/>
  <c r="DI192" i="4"/>
  <c r="A193" i="4"/>
  <c r="B193" i="4"/>
  <c r="CY193" i="4"/>
  <c r="CZ193" i="4"/>
  <c r="DA193" i="4"/>
  <c r="DB193" i="4"/>
  <c r="DD193" i="4"/>
  <c r="DE193" i="4"/>
  <c r="DF193" i="4"/>
  <c r="DH193" i="4"/>
  <c r="DI193" i="4"/>
  <c r="A194" i="4"/>
  <c r="B194" i="4"/>
  <c r="CY194" i="4"/>
  <c r="CZ194" i="4"/>
  <c r="DA194" i="4"/>
  <c r="DB194" i="4"/>
  <c r="DD194" i="4"/>
  <c r="DE194" i="4"/>
  <c r="DF194" i="4"/>
  <c r="DH194" i="4"/>
  <c r="DI194" i="4"/>
  <c r="A195" i="4"/>
  <c r="B195" i="4"/>
  <c r="CY195" i="4"/>
  <c r="CZ195" i="4"/>
  <c r="DA195" i="4"/>
  <c r="DB195" i="4"/>
  <c r="DD195" i="4"/>
  <c r="DE195" i="4"/>
  <c r="DF195" i="4"/>
  <c r="DH195" i="4"/>
  <c r="DI195" i="4"/>
  <c r="A196" i="4"/>
  <c r="B196" i="4"/>
  <c r="CY196" i="4"/>
  <c r="CZ196" i="4"/>
  <c r="DA196" i="4"/>
  <c r="DB196" i="4"/>
  <c r="DD196" i="4"/>
  <c r="DE196" i="4"/>
  <c r="DF196" i="4"/>
  <c r="DH196" i="4"/>
  <c r="DI196" i="4"/>
  <c r="A197" i="4"/>
  <c r="B197" i="4"/>
  <c r="CY197" i="4"/>
  <c r="CZ197" i="4"/>
  <c r="DA197" i="4"/>
  <c r="DB197" i="4"/>
  <c r="DD197" i="4"/>
  <c r="DE197" i="4"/>
  <c r="DF197" i="4"/>
  <c r="DH197" i="4"/>
  <c r="DI197" i="4"/>
  <c r="A198" i="4"/>
  <c r="B198" i="4"/>
  <c r="CY198" i="4"/>
  <c r="CZ198" i="4"/>
  <c r="DA198" i="4"/>
  <c r="DB198" i="4"/>
  <c r="DD198" i="4"/>
  <c r="DE198" i="4"/>
  <c r="DF198" i="4"/>
  <c r="DH198" i="4"/>
  <c r="DI198" i="4"/>
  <c r="A199" i="4"/>
  <c r="B199" i="4"/>
  <c r="CY199" i="4"/>
  <c r="CZ199" i="4"/>
  <c r="DA199" i="4"/>
  <c r="DB199" i="4"/>
  <c r="DD199" i="4"/>
  <c r="DE199" i="4"/>
  <c r="DF199" i="4"/>
  <c r="DH199" i="4"/>
  <c r="DI199" i="4"/>
  <c r="A200" i="4"/>
  <c r="B200" i="4"/>
  <c r="CY200" i="4"/>
  <c r="CZ200" i="4"/>
  <c r="DA200" i="4"/>
  <c r="DB200" i="4"/>
  <c r="DD200" i="4"/>
  <c r="DE200" i="4"/>
  <c r="DF200" i="4"/>
  <c r="DH200" i="4"/>
  <c r="DI200" i="4"/>
  <c r="A201" i="4"/>
  <c r="B201" i="4"/>
  <c r="CY201" i="4"/>
  <c r="CZ201" i="4"/>
  <c r="DA201" i="4"/>
  <c r="DB201" i="4"/>
  <c r="DD201" i="4"/>
  <c r="DE201" i="4"/>
  <c r="DF201" i="4"/>
  <c r="DH201" i="4"/>
  <c r="DI201" i="4"/>
  <c r="A202" i="4"/>
  <c r="B202" i="4"/>
  <c r="CY202" i="4"/>
  <c r="CZ202" i="4"/>
  <c r="DA202" i="4"/>
  <c r="DB202" i="4"/>
  <c r="DD202" i="4"/>
  <c r="DE202" i="4"/>
  <c r="DF202" i="4"/>
  <c r="DH202" i="4"/>
  <c r="DI202" i="4"/>
  <c r="A203" i="4"/>
  <c r="B203" i="4"/>
  <c r="CY203" i="4"/>
  <c r="CZ203" i="4"/>
  <c r="DA203" i="4"/>
  <c r="DB203" i="4"/>
  <c r="DD203" i="4"/>
  <c r="DE203" i="4"/>
  <c r="DF203" i="4"/>
  <c r="DH203" i="4"/>
  <c r="DI203" i="4"/>
  <c r="A204" i="4"/>
  <c r="B204" i="4"/>
  <c r="CY204" i="4"/>
  <c r="CZ204" i="4"/>
  <c r="DA204" i="4"/>
  <c r="DB204" i="4"/>
  <c r="DD204" i="4"/>
  <c r="DE204" i="4"/>
  <c r="DF204" i="4"/>
  <c r="DH204" i="4"/>
  <c r="DI204" i="4"/>
  <c r="A205" i="4"/>
  <c r="B205" i="4"/>
  <c r="CY205" i="4"/>
  <c r="CZ205" i="4"/>
  <c r="DA205" i="4"/>
  <c r="DB205" i="4"/>
  <c r="DD205" i="4"/>
  <c r="DE205" i="4"/>
  <c r="DF205" i="4"/>
  <c r="DH205" i="4"/>
  <c r="DI205" i="4"/>
  <c r="A206" i="4"/>
  <c r="B206" i="4"/>
  <c r="CY206" i="4"/>
  <c r="CZ206" i="4"/>
  <c r="DA206" i="4"/>
  <c r="DB206" i="4"/>
  <c r="DD206" i="4"/>
  <c r="DE206" i="4"/>
  <c r="DF206" i="4"/>
  <c r="DH206" i="4"/>
  <c r="DI206" i="4"/>
  <c r="A207" i="4"/>
  <c r="B207" i="4"/>
  <c r="CY207" i="4"/>
  <c r="CZ207" i="4"/>
  <c r="DA207" i="4"/>
  <c r="DB207" i="4"/>
  <c r="DD207" i="4"/>
  <c r="DE207" i="4"/>
  <c r="DF207" i="4"/>
  <c r="DH207" i="4"/>
  <c r="DI207" i="4"/>
  <c r="A208" i="4"/>
  <c r="B208" i="4"/>
  <c r="CY208" i="4"/>
  <c r="CZ208" i="4"/>
  <c r="DA208" i="4"/>
  <c r="DB208" i="4"/>
  <c r="DD208" i="4"/>
  <c r="DE208" i="4"/>
  <c r="DF208" i="4"/>
  <c r="DH208" i="4"/>
  <c r="DI208" i="4"/>
  <c r="A209" i="4"/>
  <c r="B209" i="4"/>
  <c r="CY209" i="4"/>
  <c r="CZ209" i="4"/>
  <c r="DA209" i="4"/>
  <c r="DB209" i="4"/>
  <c r="DD209" i="4"/>
  <c r="DE209" i="4"/>
  <c r="DF209" i="4"/>
  <c r="DH209" i="4"/>
  <c r="DI209" i="4"/>
  <c r="A210" i="4"/>
  <c r="B210" i="4"/>
  <c r="CY210" i="4"/>
  <c r="CZ210" i="4"/>
  <c r="DA210" i="4"/>
  <c r="DB210" i="4"/>
  <c r="DD210" i="4"/>
  <c r="DE210" i="4"/>
  <c r="DF210" i="4"/>
  <c r="DH210" i="4"/>
  <c r="DI210" i="4"/>
  <c r="A211" i="4"/>
  <c r="B211" i="4"/>
  <c r="CY211" i="4"/>
  <c r="CZ211" i="4"/>
  <c r="DA211" i="4"/>
  <c r="DB211" i="4"/>
  <c r="DD211" i="4"/>
  <c r="DE211" i="4"/>
  <c r="DF211" i="4"/>
  <c r="DH211" i="4"/>
  <c r="DI211" i="4"/>
  <c r="A212" i="4"/>
  <c r="B212" i="4"/>
  <c r="CY212" i="4"/>
  <c r="CZ212" i="4"/>
  <c r="DA212" i="4"/>
  <c r="DB212" i="4"/>
  <c r="DD212" i="4"/>
  <c r="DE212" i="4"/>
  <c r="DF212" i="4"/>
  <c r="DH212" i="4"/>
  <c r="DI212" i="4"/>
  <c r="A213" i="4"/>
  <c r="B213" i="4"/>
  <c r="CY213" i="4"/>
  <c r="CZ213" i="4"/>
  <c r="DA213" i="4"/>
  <c r="DB213" i="4"/>
  <c r="DD213" i="4"/>
  <c r="DE213" i="4"/>
  <c r="DF213" i="4"/>
  <c r="DH213" i="4"/>
  <c r="DI213" i="4"/>
  <c r="A214" i="4"/>
  <c r="B214" i="4"/>
  <c r="CY214" i="4"/>
  <c r="CZ214" i="4"/>
  <c r="DA214" i="4"/>
  <c r="DB214" i="4"/>
  <c r="DD214" i="4"/>
  <c r="DE214" i="4"/>
  <c r="DF214" i="4"/>
  <c r="DH214" i="4"/>
  <c r="DI214" i="4"/>
  <c r="A215" i="4"/>
  <c r="B215" i="4"/>
  <c r="CY215" i="4"/>
  <c r="CZ215" i="4"/>
  <c r="DA215" i="4"/>
  <c r="DB215" i="4"/>
  <c r="DD215" i="4"/>
  <c r="DE215" i="4"/>
  <c r="DF215" i="4"/>
  <c r="DH215" i="4"/>
  <c r="DI215" i="4"/>
  <c r="A216" i="4"/>
  <c r="B216" i="4"/>
  <c r="CY216" i="4"/>
  <c r="CZ216" i="4"/>
  <c r="DA216" i="4"/>
  <c r="DB216" i="4"/>
  <c r="DD216" i="4"/>
  <c r="DE216" i="4"/>
  <c r="DF216" i="4"/>
  <c r="DH216" i="4"/>
  <c r="DI216" i="4"/>
  <c r="A217" i="4"/>
  <c r="B217" i="4"/>
  <c r="CY217" i="4"/>
  <c r="CZ217" i="4"/>
  <c r="DA217" i="4"/>
  <c r="DB217" i="4"/>
  <c r="DD217" i="4"/>
  <c r="DE217" i="4"/>
  <c r="DF217" i="4"/>
  <c r="DH217" i="4"/>
  <c r="DI217" i="4"/>
  <c r="A218" i="4"/>
  <c r="B218" i="4"/>
  <c r="CY218" i="4"/>
  <c r="CZ218" i="4"/>
  <c r="DA218" i="4"/>
  <c r="DB218" i="4"/>
  <c r="DD218" i="4"/>
  <c r="DE218" i="4"/>
  <c r="DF218" i="4"/>
  <c r="DH218" i="4"/>
  <c r="DI218" i="4"/>
  <c r="A219" i="4"/>
  <c r="B219" i="4"/>
  <c r="CY219" i="4"/>
  <c r="CZ219" i="4"/>
  <c r="DA219" i="4"/>
  <c r="DB219" i="4"/>
  <c r="DD219" i="4"/>
  <c r="DE219" i="4"/>
  <c r="DF219" i="4"/>
  <c r="DH219" i="4"/>
  <c r="DI219" i="4"/>
  <c r="A220" i="4"/>
  <c r="B220" i="4"/>
  <c r="CY220" i="4"/>
  <c r="CZ220" i="4"/>
  <c r="DA220" i="4"/>
  <c r="DB220" i="4"/>
  <c r="DD220" i="4"/>
  <c r="DE220" i="4"/>
  <c r="DF220" i="4"/>
  <c r="DH220" i="4"/>
  <c r="DI220" i="4"/>
  <c r="A221" i="4"/>
  <c r="B221" i="4"/>
  <c r="CY221" i="4"/>
  <c r="CZ221" i="4"/>
  <c r="DA221" i="4"/>
  <c r="DB221" i="4"/>
  <c r="DD221" i="4"/>
  <c r="DE221" i="4"/>
  <c r="DF221" i="4"/>
  <c r="DH221" i="4"/>
  <c r="DI221" i="4"/>
  <c r="A222" i="4"/>
  <c r="B222" i="4"/>
  <c r="CY222" i="4"/>
  <c r="CZ222" i="4"/>
  <c r="DA222" i="4"/>
  <c r="DB222" i="4"/>
  <c r="DD222" i="4"/>
  <c r="DE222" i="4"/>
  <c r="DF222" i="4"/>
  <c r="DH222" i="4"/>
  <c r="DI222" i="4"/>
  <c r="A223" i="4"/>
  <c r="B223" i="4"/>
  <c r="CY223" i="4"/>
  <c r="CZ223" i="4"/>
  <c r="DA223" i="4"/>
  <c r="DB223" i="4"/>
  <c r="DD223" i="4"/>
  <c r="DE223" i="4"/>
  <c r="DF223" i="4"/>
  <c r="DH223" i="4"/>
  <c r="DI223" i="4"/>
  <c r="A224" i="4"/>
  <c r="B224" i="4"/>
  <c r="CY224" i="4"/>
  <c r="CZ224" i="4"/>
  <c r="DA224" i="4"/>
  <c r="DB224" i="4"/>
  <c r="DD224" i="4"/>
  <c r="DE224" i="4"/>
  <c r="DF224" i="4"/>
  <c r="DH224" i="4"/>
  <c r="DI224" i="4"/>
  <c r="A225" i="4"/>
  <c r="B225" i="4"/>
  <c r="CY225" i="4"/>
  <c r="CZ225" i="4"/>
  <c r="DA225" i="4"/>
  <c r="DB225" i="4"/>
  <c r="DD225" i="4"/>
  <c r="DE225" i="4"/>
  <c r="DF225" i="4"/>
  <c r="DH225" i="4"/>
  <c r="DI225" i="4"/>
  <c r="A226" i="4"/>
  <c r="B226" i="4"/>
  <c r="CY226" i="4"/>
  <c r="CZ226" i="4"/>
  <c r="DA226" i="4"/>
  <c r="DB226" i="4"/>
  <c r="DD226" i="4"/>
  <c r="DE226" i="4"/>
  <c r="DF226" i="4"/>
  <c r="DH226" i="4"/>
  <c r="DI226" i="4"/>
  <c r="A227" i="4"/>
  <c r="B227" i="4"/>
  <c r="CY227" i="4"/>
  <c r="CZ227" i="4"/>
  <c r="DA227" i="4"/>
  <c r="DB227" i="4"/>
  <c r="DD227" i="4"/>
  <c r="DE227" i="4"/>
  <c r="DF227" i="4"/>
  <c r="DH227" i="4"/>
  <c r="DI227" i="4"/>
  <c r="A228" i="4"/>
  <c r="B228" i="4"/>
  <c r="CY228" i="4"/>
  <c r="CZ228" i="4"/>
  <c r="DA228" i="4"/>
  <c r="DB228" i="4"/>
  <c r="DD228" i="4"/>
  <c r="DE228" i="4"/>
  <c r="DF228" i="4"/>
  <c r="DH228" i="4"/>
  <c r="DI228" i="4"/>
  <c r="A229" i="4"/>
  <c r="B229" i="4"/>
  <c r="CY229" i="4"/>
  <c r="CZ229" i="4"/>
  <c r="DA229" i="4"/>
  <c r="DB229" i="4"/>
  <c r="DD229" i="4"/>
  <c r="DE229" i="4"/>
  <c r="DF229" i="4"/>
  <c r="DH229" i="4"/>
  <c r="DI229" i="4"/>
  <c r="A230" i="4"/>
  <c r="B230" i="4"/>
  <c r="CY230" i="4"/>
  <c r="CZ230" i="4"/>
  <c r="DA230" i="4"/>
  <c r="DB230" i="4"/>
  <c r="DD230" i="4"/>
  <c r="DE230" i="4"/>
  <c r="DF230" i="4"/>
  <c r="DH230" i="4"/>
  <c r="DI230" i="4"/>
  <c r="A231" i="4"/>
  <c r="B231" i="4"/>
  <c r="CY231" i="4"/>
  <c r="CZ231" i="4"/>
  <c r="DA231" i="4"/>
  <c r="DB231" i="4"/>
  <c r="DD231" i="4"/>
  <c r="DE231" i="4"/>
  <c r="DF231" i="4"/>
  <c r="DH231" i="4"/>
  <c r="DI231" i="4"/>
  <c r="A232" i="4"/>
  <c r="B232" i="4"/>
  <c r="CY232" i="4"/>
  <c r="CZ232" i="4"/>
  <c r="DA232" i="4"/>
  <c r="DB232" i="4"/>
  <c r="DD232" i="4"/>
  <c r="DE232" i="4"/>
  <c r="DF232" i="4"/>
  <c r="DH232" i="4"/>
  <c r="DI232" i="4"/>
  <c r="A233" i="4"/>
  <c r="B233" i="4"/>
  <c r="CY233" i="4"/>
  <c r="CZ233" i="4"/>
  <c r="DA233" i="4"/>
  <c r="DB233" i="4"/>
  <c r="DD233" i="4"/>
  <c r="DE233" i="4"/>
  <c r="DF233" i="4"/>
  <c r="DH233" i="4"/>
  <c r="DI233" i="4"/>
  <c r="A234" i="4"/>
  <c r="B234" i="4"/>
  <c r="CY234" i="4"/>
  <c r="CZ234" i="4"/>
  <c r="DA234" i="4"/>
  <c r="DB234" i="4"/>
  <c r="DD234" i="4"/>
  <c r="DE234" i="4"/>
  <c r="DF234" i="4"/>
  <c r="DH234" i="4"/>
  <c r="DI234" i="4"/>
  <c r="A235" i="4"/>
  <c r="B235" i="4"/>
  <c r="CY235" i="4"/>
  <c r="CZ235" i="4"/>
  <c r="DA235" i="4"/>
  <c r="DB235" i="4"/>
  <c r="DD235" i="4"/>
  <c r="DE235" i="4"/>
  <c r="DF235" i="4"/>
  <c r="DH235" i="4"/>
  <c r="DI235" i="4"/>
  <c r="A236" i="4"/>
  <c r="B236" i="4"/>
  <c r="CY236" i="4"/>
  <c r="CZ236" i="4"/>
  <c r="DA236" i="4"/>
  <c r="DB236" i="4"/>
  <c r="DD236" i="4"/>
  <c r="DE236" i="4"/>
  <c r="DF236" i="4"/>
  <c r="DH236" i="4"/>
  <c r="DI236" i="4"/>
  <c r="A237" i="4"/>
  <c r="B237" i="4"/>
  <c r="CY237" i="4"/>
  <c r="CZ237" i="4"/>
  <c r="DA237" i="4"/>
  <c r="DB237" i="4"/>
  <c r="DD237" i="4"/>
  <c r="DE237" i="4"/>
  <c r="DF237" i="4"/>
  <c r="DH237" i="4"/>
  <c r="DI237" i="4"/>
  <c r="A238" i="4"/>
  <c r="B238" i="4"/>
  <c r="CY238" i="4"/>
  <c r="CZ238" i="4"/>
  <c r="DA238" i="4"/>
  <c r="DB238" i="4"/>
  <c r="DD238" i="4"/>
  <c r="DE238" i="4"/>
  <c r="DF238" i="4"/>
  <c r="DH238" i="4"/>
  <c r="DI238" i="4"/>
  <c r="A239" i="4"/>
  <c r="B239" i="4"/>
  <c r="CY239" i="4"/>
  <c r="CZ239" i="4"/>
  <c r="DA239" i="4"/>
  <c r="DB239" i="4"/>
  <c r="DD239" i="4"/>
  <c r="DE239" i="4"/>
  <c r="DF239" i="4"/>
  <c r="DH239" i="4"/>
  <c r="DI239" i="4"/>
  <c r="A240" i="4"/>
  <c r="B240" i="4"/>
  <c r="CY240" i="4"/>
  <c r="CZ240" i="4"/>
  <c r="DA240" i="4"/>
  <c r="DB240" i="4"/>
  <c r="DD240" i="4"/>
  <c r="DE240" i="4"/>
  <c r="DF240" i="4"/>
  <c r="DH240" i="4"/>
  <c r="DI240" i="4"/>
  <c r="A241" i="4"/>
  <c r="B241" i="4"/>
  <c r="CY241" i="4"/>
  <c r="CZ241" i="4"/>
  <c r="DA241" i="4"/>
  <c r="DB241" i="4"/>
  <c r="DD241" i="4"/>
  <c r="DE241" i="4"/>
  <c r="DF241" i="4"/>
  <c r="DH241" i="4"/>
  <c r="DI241" i="4"/>
  <c r="A242" i="4"/>
  <c r="B242" i="4"/>
  <c r="CY242" i="4"/>
  <c r="CZ242" i="4"/>
  <c r="DA242" i="4"/>
  <c r="DB242" i="4"/>
  <c r="DD242" i="4"/>
  <c r="DE242" i="4"/>
  <c r="DF242" i="4"/>
  <c r="DH242" i="4"/>
  <c r="DI242" i="4"/>
  <c r="A243" i="4"/>
  <c r="B243" i="4"/>
  <c r="CY243" i="4"/>
  <c r="CZ243" i="4"/>
  <c r="DA243" i="4"/>
  <c r="DB243" i="4"/>
  <c r="DD243" i="4"/>
  <c r="DE243" i="4"/>
  <c r="DF243" i="4"/>
  <c r="DH243" i="4"/>
  <c r="DI243" i="4"/>
  <c r="A244" i="4"/>
  <c r="B244" i="4"/>
  <c r="CY244" i="4"/>
  <c r="CZ244" i="4"/>
  <c r="DA244" i="4"/>
  <c r="DB244" i="4"/>
  <c r="DD244" i="4"/>
  <c r="DE244" i="4"/>
  <c r="DF244" i="4"/>
  <c r="DH244" i="4"/>
  <c r="DI244" i="4"/>
  <c r="A245" i="4"/>
  <c r="B245" i="4"/>
  <c r="CY245" i="4"/>
  <c r="CZ245" i="4"/>
  <c r="DA245" i="4"/>
  <c r="DB245" i="4"/>
  <c r="DD245" i="4"/>
  <c r="DE245" i="4"/>
  <c r="DF245" i="4"/>
  <c r="DH245" i="4"/>
  <c r="DI245" i="4"/>
  <c r="A246" i="4"/>
  <c r="B246" i="4"/>
  <c r="CY246" i="4"/>
  <c r="CZ246" i="4"/>
  <c r="DA246" i="4"/>
  <c r="DB246" i="4"/>
  <c r="DD246" i="4"/>
  <c r="DE246" i="4"/>
  <c r="DF246" i="4"/>
  <c r="DH246" i="4"/>
  <c r="DI246" i="4"/>
  <c r="A247" i="4"/>
  <c r="B247" i="4"/>
  <c r="CY247" i="4"/>
  <c r="CZ247" i="4"/>
  <c r="DA247" i="4"/>
  <c r="DB247" i="4"/>
  <c r="DD247" i="4"/>
  <c r="DE247" i="4"/>
  <c r="DF247" i="4"/>
  <c r="DH247" i="4"/>
  <c r="DI247" i="4"/>
  <c r="A248" i="4"/>
  <c r="B248" i="4"/>
  <c r="CY248" i="4"/>
  <c r="CZ248" i="4"/>
  <c r="DA248" i="4"/>
  <c r="DB248" i="4"/>
  <c r="DD248" i="4"/>
  <c r="DE248" i="4"/>
  <c r="DF248" i="4"/>
  <c r="DH248" i="4"/>
  <c r="DI248" i="4"/>
  <c r="A249" i="4"/>
  <c r="B249" i="4"/>
  <c r="CY249" i="4"/>
  <c r="CZ249" i="4"/>
  <c r="DA249" i="4"/>
  <c r="DB249" i="4"/>
  <c r="DD249" i="4"/>
  <c r="DE249" i="4"/>
  <c r="DF249" i="4"/>
  <c r="DH249" i="4"/>
  <c r="DI249" i="4"/>
  <c r="A250" i="4"/>
  <c r="B250" i="4"/>
  <c r="CY250" i="4"/>
  <c r="CZ250" i="4"/>
  <c r="DA250" i="4"/>
  <c r="DB250" i="4"/>
  <c r="DD250" i="4"/>
  <c r="DE250" i="4"/>
  <c r="DF250" i="4"/>
  <c r="DH250" i="4"/>
  <c r="DI250" i="4"/>
  <c r="A251" i="4"/>
  <c r="B251" i="4"/>
  <c r="CY251" i="4"/>
  <c r="CZ251" i="4"/>
  <c r="DA251" i="4"/>
  <c r="DB251" i="4"/>
  <c r="DD251" i="4"/>
  <c r="DE251" i="4"/>
  <c r="DF251" i="4"/>
  <c r="DH251" i="4"/>
  <c r="DI251" i="4"/>
  <c r="A252" i="4"/>
  <c r="B252" i="4"/>
  <c r="CY252" i="4"/>
  <c r="CZ252" i="4"/>
  <c r="DA252" i="4"/>
  <c r="DB252" i="4"/>
  <c r="DD252" i="4"/>
  <c r="DE252" i="4"/>
  <c r="DF252" i="4"/>
  <c r="DH252" i="4"/>
  <c r="DI252" i="4"/>
  <c r="A253" i="4"/>
  <c r="B253" i="4"/>
  <c r="CY253" i="4"/>
  <c r="CZ253" i="4"/>
  <c r="DA253" i="4"/>
  <c r="DB253" i="4"/>
  <c r="DD253" i="4"/>
  <c r="DE253" i="4"/>
  <c r="DF253" i="4"/>
  <c r="DH253" i="4"/>
  <c r="DI253" i="4"/>
  <c r="A254" i="4"/>
  <c r="B254" i="4"/>
  <c r="CY254" i="4"/>
  <c r="CZ254" i="4"/>
  <c r="DA254" i="4"/>
  <c r="DB254" i="4"/>
  <c r="DD254" i="4"/>
  <c r="DE254" i="4"/>
  <c r="DF254" i="4"/>
  <c r="DH254" i="4"/>
  <c r="DI254" i="4"/>
  <c r="A255" i="4"/>
  <c r="B255" i="4"/>
  <c r="CY255" i="4"/>
  <c r="CZ255" i="4"/>
  <c r="DA255" i="4"/>
  <c r="DB255" i="4"/>
  <c r="DD255" i="4"/>
  <c r="DE255" i="4"/>
  <c r="DF255" i="4"/>
  <c r="DH255" i="4"/>
  <c r="DI255" i="4"/>
  <c r="A256" i="4"/>
  <c r="B256" i="4"/>
  <c r="CY256" i="4"/>
  <c r="CZ256" i="4"/>
  <c r="DA256" i="4"/>
  <c r="DB256" i="4"/>
  <c r="DD256" i="4"/>
  <c r="DE256" i="4"/>
  <c r="DF256" i="4"/>
  <c r="DH256" i="4"/>
  <c r="DI256" i="4"/>
  <c r="A257" i="4"/>
  <c r="B257" i="4"/>
  <c r="CY257" i="4"/>
  <c r="CZ257" i="4"/>
  <c r="DA257" i="4"/>
  <c r="DB257" i="4"/>
  <c r="DD257" i="4"/>
  <c r="DE257" i="4"/>
  <c r="DF257" i="4"/>
  <c r="DH257" i="4"/>
  <c r="DI257" i="4"/>
  <c r="A258" i="4"/>
  <c r="B258" i="4"/>
  <c r="CY258" i="4"/>
  <c r="CZ258" i="4"/>
  <c r="DA258" i="4"/>
  <c r="DB258" i="4"/>
  <c r="DD258" i="4"/>
  <c r="DE258" i="4"/>
  <c r="DF258" i="4"/>
  <c r="DH258" i="4"/>
  <c r="DI258" i="4"/>
  <c r="A259" i="4"/>
  <c r="B259" i="4"/>
  <c r="CY259" i="4"/>
  <c r="CZ259" i="4"/>
  <c r="DA259" i="4"/>
  <c r="DB259" i="4"/>
  <c r="DD259" i="4"/>
  <c r="DE259" i="4"/>
  <c r="DF259" i="4"/>
  <c r="DH259" i="4"/>
  <c r="DI259" i="4"/>
  <c r="A260" i="4"/>
  <c r="B260" i="4"/>
  <c r="CY260" i="4"/>
  <c r="CZ260" i="4"/>
  <c r="DA260" i="4"/>
  <c r="DB260" i="4"/>
  <c r="DD260" i="4"/>
  <c r="DE260" i="4"/>
  <c r="DF260" i="4"/>
  <c r="DH260" i="4"/>
  <c r="DI260" i="4"/>
  <c r="A261" i="4"/>
  <c r="B261" i="4"/>
  <c r="CY261" i="4"/>
  <c r="CZ261" i="4"/>
  <c r="DA261" i="4"/>
  <c r="DB261" i="4"/>
  <c r="DD261" i="4"/>
  <c r="DE261" i="4"/>
  <c r="DF261" i="4"/>
  <c r="DH261" i="4"/>
  <c r="DI261" i="4"/>
  <c r="A262" i="4"/>
  <c r="B262" i="4"/>
  <c r="CY262" i="4"/>
  <c r="CZ262" i="4"/>
  <c r="DA262" i="4"/>
  <c r="DB262" i="4"/>
  <c r="DD262" i="4"/>
  <c r="DE262" i="4"/>
  <c r="DF262" i="4"/>
  <c r="DH262" i="4"/>
  <c r="DI262" i="4"/>
  <c r="A263" i="4"/>
  <c r="B263" i="4"/>
  <c r="CY263" i="4"/>
  <c r="CZ263" i="4"/>
  <c r="DA263" i="4"/>
  <c r="DB263" i="4"/>
  <c r="DD263" i="4"/>
  <c r="DE263" i="4"/>
  <c r="DF263" i="4"/>
  <c r="DH263" i="4"/>
  <c r="DI263" i="4"/>
  <c r="A264" i="4"/>
  <c r="B264" i="4"/>
  <c r="CY264" i="4"/>
  <c r="CZ264" i="4"/>
  <c r="DA264" i="4"/>
  <c r="DB264" i="4"/>
  <c r="DD264" i="4"/>
  <c r="DE264" i="4"/>
  <c r="DF264" i="4"/>
  <c r="DH264" i="4"/>
  <c r="DI264" i="4"/>
  <c r="A265" i="4"/>
  <c r="B265" i="4"/>
  <c r="CY265" i="4"/>
  <c r="CZ265" i="4"/>
  <c r="DA265" i="4"/>
  <c r="DB265" i="4"/>
  <c r="DD265" i="4"/>
  <c r="DE265" i="4"/>
  <c r="DF265" i="4"/>
  <c r="DH265" i="4"/>
  <c r="DI265" i="4"/>
  <c r="A266" i="4"/>
  <c r="B266" i="4"/>
  <c r="CY266" i="4"/>
  <c r="CZ266" i="4"/>
  <c r="DA266" i="4"/>
  <c r="DB266" i="4"/>
  <c r="DD266" i="4"/>
  <c r="DE266" i="4"/>
  <c r="DF266" i="4"/>
  <c r="DH266" i="4"/>
  <c r="DI266" i="4"/>
  <c r="A267" i="4"/>
  <c r="B267" i="4"/>
  <c r="CY267" i="4"/>
  <c r="CZ267" i="4"/>
  <c r="DA267" i="4"/>
  <c r="DB267" i="4"/>
  <c r="DD267" i="4"/>
  <c r="DE267" i="4"/>
  <c r="DF267" i="4"/>
  <c r="DH267" i="4"/>
  <c r="DI267" i="4"/>
  <c r="A268" i="4"/>
  <c r="B268" i="4"/>
  <c r="CY268" i="4"/>
  <c r="CZ268" i="4"/>
  <c r="DA268" i="4"/>
  <c r="DB268" i="4"/>
  <c r="DD268" i="4"/>
  <c r="DE268" i="4"/>
  <c r="DF268" i="4"/>
  <c r="DH268" i="4"/>
  <c r="DI268" i="4"/>
  <c r="A269" i="4"/>
  <c r="B269" i="4"/>
  <c r="CY269" i="4"/>
  <c r="CZ269" i="4"/>
  <c r="DA269" i="4"/>
  <c r="DB269" i="4"/>
  <c r="DD269" i="4"/>
  <c r="DE269" i="4"/>
  <c r="DF269" i="4"/>
  <c r="DH269" i="4"/>
  <c r="DI269" i="4"/>
  <c r="A270" i="4"/>
  <c r="B270" i="4"/>
  <c r="CY270" i="4"/>
  <c r="CZ270" i="4"/>
  <c r="DA270" i="4"/>
  <c r="DB270" i="4"/>
  <c r="DD270" i="4"/>
  <c r="DE270" i="4"/>
  <c r="DF270" i="4"/>
  <c r="DH270" i="4"/>
  <c r="DI270" i="4"/>
  <c r="A271" i="4"/>
  <c r="B271" i="4"/>
  <c r="CY271" i="4"/>
  <c r="CZ271" i="4"/>
  <c r="DA271" i="4"/>
  <c r="DB271" i="4"/>
  <c r="DD271" i="4"/>
  <c r="DE271" i="4"/>
  <c r="DF271" i="4"/>
  <c r="DH271" i="4"/>
  <c r="DI271" i="4"/>
  <c r="A272" i="4"/>
  <c r="B272" i="4"/>
  <c r="CY272" i="4"/>
  <c r="CZ272" i="4"/>
  <c r="DA272" i="4"/>
  <c r="DB272" i="4"/>
  <c r="DD272" i="4"/>
  <c r="DE272" i="4"/>
  <c r="DF272" i="4"/>
  <c r="DH272" i="4"/>
  <c r="DI272" i="4"/>
  <c r="A273" i="4"/>
  <c r="B273" i="4"/>
  <c r="CY273" i="4"/>
  <c r="CZ273" i="4"/>
  <c r="DA273" i="4"/>
  <c r="DB273" i="4"/>
  <c r="DD273" i="4"/>
  <c r="DE273" i="4"/>
  <c r="DF273" i="4"/>
  <c r="DH273" i="4"/>
  <c r="DI273" i="4"/>
  <c r="A274" i="4"/>
  <c r="B274" i="4"/>
  <c r="CY274" i="4"/>
  <c r="CZ274" i="4"/>
  <c r="DA274" i="4"/>
  <c r="DB274" i="4"/>
  <c r="DD274" i="4"/>
  <c r="DE274" i="4"/>
  <c r="DF274" i="4"/>
  <c r="DH274" i="4"/>
  <c r="DI274" i="4"/>
  <c r="A275" i="4"/>
  <c r="B275" i="4"/>
  <c r="CY275" i="4"/>
  <c r="CZ275" i="4"/>
  <c r="DA275" i="4"/>
  <c r="DB275" i="4"/>
  <c r="DD275" i="4"/>
  <c r="DE275" i="4"/>
  <c r="DF275" i="4"/>
  <c r="DH275" i="4"/>
  <c r="DI275" i="4"/>
  <c r="A276" i="4"/>
  <c r="B276" i="4"/>
  <c r="CY276" i="4"/>
  <c r="CZ276" i="4"/>
  <c r="DA276" i="4"/>
  <c r="DB276" i="4"/>
  <c r="DD276" i="4"/>
  <c r="DE276" i="4"/>
  <c r="DF276" i="4"/>
  <c r="DH276" i="4"/>
  <c r="DI276" i="4"/>
  <c r="A277" i="4"/>
  <c r="B277" i="4"/>
  <c r="CY277" i="4"/>
  <c r="CZ277" i="4"/>
  <c r="DA277" i="4"/>
  <c r="DB277" i="4"/>
  <c r="DD277" i="4"/>
  <c r="DE277" i="4"/>
  <c r="DF277" i="4"/>
  <c r="DH277" i="4"/>
  <c r="DI277" i="4"/>
  <c r="A278" i="4"/>
  <c r="B278" i="4"/>
  <c r="CY278" i="4"/>
  <c r="CZ278" i="4"/>
  <c r="DA278" i="4"/>
  <c r="DB278" i="4"/>
  <c r="DD278" i="4"/>
  <c r="DE278" i="4"/>
  <c r="DF278" i="4"/>
  <c r="DH278" i="4"/>
  <c r="DI278" i="4"/>
  <c r="A279" i="4"/>
  <c r="B279" i="4"/>
  <c r="CY279" i="4"/>
  <c r="CZ279" i="4"/>
  <c r="DA279" i="4"/>
  <c r="DB279" i="4"/>
  <c r="DD279" i="4"/>
  <c r="DE279" i="4"/>
  <c r="DF279" i="4"/>
  <c r="DH279" i="4"/>
  <c r="DI279" i="4"/>
  <c r="A280" i="4"/>
  <c r="B280" i="4"/>
  <c r="CY280" i="4"/>
  <c r="CZ280" i="4"/>
  <c r="DA280" i="4"/>
  <c r="DB280" i="4"/>
  <c r="DD280" i="4"/>
  <c r="DE280" i="4"/>
  <c r="DF280" i="4"/>
  <c r="DH280" i="4"/>
  <c r="DI280" i="4"/>
  <c r="A281" i="4"/>
  <c r="B281" i="4"/>
  <c r="CY281" i="4"/>
  <c r="CZ281" i="4"/>
  <c r="DA281" i="4"/>
  <c r="DB281" i="4"/>
  <c r="DD281" i="4"/>
  <c r="DE281" i="4"/>
  <c r="DF281" i="4"/>
  <c r="DH281" i="4"/>
  <c r="DI281" i="4"/>
  <c r="A282" i="4"/>
  <c r="B282" i="4"/>
  <c r="CY282" i="4"/>
  <c r="CZ282" i="4"/>
  <c r="DA282" i="4"/>
  <c r="DB282" i="4"/>
  <c r="DD282" i="4"/>
  <c r="DE282" i="4"/>
  <c r="DF282" i="4"/>
  <c r="DH282" i="4"/>
  <c r="DI282" i="4"/>
  <c r="A283" i="4"/>
  <c r="B283" i="4"/>
  <c r="CY283" i="4"/>
  <c r="CZ283" i="4"/>
  <c r="DA283" i="4"/>
  <c r="DB283" i="4"/>
  <c r="DD283" i="4"/>
  <c r="DE283" i="4"/>
  <c r="DF283" i="4"/>
  <c r="DH283" i="4"/>
  <c r="DI283" i="4"/>
  <c r="A284" i="4"/>
  <c r="B284" i="4"/>
  <c r="CY284" i="4"/>
  <c r="CZ284" i="4"/>
  <c r="DA284" i="4"/>
  <c r="DB284" i="4"/>
  <c r="DD284" i="4"/>
  <c r="DE284" i="4"/>
  <c r="DF284" i="4"/>
  <c r="DH284" i="4"/>
  <c r="DI284" i="4"/>
  <c r="A285" i="4"/>
  <c r="B285" i="4"/>
  <c r="CY285" i="4"/>
  <c r="CZ285" i="4"/>
  <c r="DA285" i="4"/>
  <c r="DB285" i="4"/>
  <c r="DD285" i="4"/>
  <c r="DE285" i="4"/>
  <c r="DF285" i="4"/>
  <c r="DH285" i="4"/>
  <c r="DI285" i="4"/>
  <c r="A286" i="4"/>
  <c r="B286" i="4"/>
  <c r="CY286" i="4"/>
  <c r="CZ286" i="4"/>
  <c r="DA286" i="4"/>
  <c r="DB286" i="4"/>
  <c r="DD286" i="4"/>
  <c r="DE286" i="4"/>
  <c r="DF286" i="4"/>
  <c r="DH286" i="4"/>
  <c r="DI286" i="4"/>
  <c r="A287" i="4"/>
  <c r="B287" i="4"/>
  <c r="CY287" i="4"/>
  <c r="CZ287" i="4"/>
  <c r="DA287" i="4"/>
  <c r="DB287" i="4"/>
  <c r="DD287" i="4"/>
  <c r="DE287" i="4"/>
  <c r="DF287" i="4"/>
  <c r="DH287" i="4"/>
  <c r="DI287" i="4"/>
  <c r="A288" i="4"/>
  <c r="B288" i="4"/>
  <c r="CY288" i="4"/>
  <c r="CZ288" i="4"/>
  <c r="DA288" i="4"/>
  <c r="DB288" i="4"/>
  <c r="DD288" i="4"/>
  <c r="DE288" i="4"/>
  <c r="DF288" i="4"/>
  <c r="DH288" i="4"/>
  <c r="DI288" i="4"/>
  <c r="A289" i="4"/>
  <c r="B289" i="4"/>
  <c r="CY289" i="4"/>
  <c r="CZ289" i="4"/>
  <c r="DA289" i="4"/>
  <c r="DB289" i="4"/>
  <c r="DD289" i="4"/>
  <c r="DE289" i="4"/>
  <c r="DF289" i="4"/>
  <c r="DH289" i="4"/>
  <c r="DI289" i="4"/>
  <c r="A290" i="4"/>
  <c r="B290" i="4"/>
  <c r="CY290" i="4"/>
  <c r="CZ290" i="4"/>
  <c r="DA290" i="4"/>
  <c r="DB290" i="4"/>
  <c r="DD290" i="4"/>
  <c r="DE290" i="4"/>
  <c r="DF290" i="4"/>
  <c r="DH290" i="4"/>
  <c r="DI290" i="4"/>
  <c r="A291" i="4"/>
  <c r="B291" i="4"/>
  <c r="CY291" i="4"/>
  <c r="CZ291" i="4"/>
  <c r="DA291" i="4"/>
  <c r="DB291" i="4"/>
  <c r="DD291" i="4"/>
  <c r="DE291" i="4"/>
  <c r="DF291" i="4"/>
  <c r="DH291" i="4"/>
  <c r="DI291" i="4"/>
  <c r="A292" i="4"/>
  <c r="B292" i="4"/>
  <c r="CY292" i="4"/>
  <c r="CZ292" i="4"/>
  <c r="DA292" i="4"/>
  <c r="DB292" i="4"/>
  <c r="DD292" i="4"/>
  <c r="DE292" i="4"/>
  <c r="DF292" i="4"/>
  <c r="DH292" i="4"/>
  <c r="DI292" i="4"/>
  <c r="A293" i="4"/>
  <c r="B293" i="4"/>
  <c r="CY293" i="4"/>
  <c r="CZ293" i="4"/>
  <c r="DA293" i="4"/>
  <c r="DB293" i="4"/>
  <c r="DD293" i="4"/>
  <c r="DE293" i="4"/>
  <c r="DF293" i="4"/>
  <c r="DH293" i="4"/>
  <c r="DI293" i="4"/>
  <c r="A294" i="4"/>
  <c r="B294" i="4"/>
  <c r="CY294" i="4"/>
  <c r="CZ294" i="4"/>
  <c r="DA294" i="4"/>
  <c r="DB294" i="4"/>
  <c r="DD294" i="4"/>
  <c r="DE294" i="4"/>
  <c r="DF294" i="4"/>
  <c r="DH294" i="4"/>
  <c r="DI294" i="4"/>
  <c r="A295" i="4"/>
  <c r="B295" i="4"/>
  <c r="CY295" i="4"/>
  <c r="CZ295" i="4"/>
  <c r="DA295" i="4"/>
  <c r="DB295" i="4"/>
  <c r="DD295" i="4"/>
  <c r="DE295" i="4"/>
  <c r="DF295" i="4"/>
  <c r="DH295" i="4"/>
  <c r="DI295" i="4"/>
  <c r="A296" i="4"/>
  <c r="B296" i="4"/>
  <c r="CY296" i="4"/>
  <c r="CZ296" i="4"/>
  <c r="DA296" i="4"/>
  <c r="DB296" i="4"/>
  <c r="DD296" i="4"/>
  <c r="DE296" i="4"/>
  <c r="DF296" i="4"/>
  <c r="DH296" i="4"/>
  <c r="DI296" i="4"/>
  <c r="A297" i="4"/>
  <c r="B297" i="4"/>
  <c r="CY297" i="4"/>
  <c r="CZ297" i="4"/>
  <c r="DA297" i="4"/>
  <c r="DB297" i="4"/>
  <c r="DD297" i="4"/>
  <c r="DE297" i="4"/>
  <c r="DF297" i="4"/>
  <c r="DH297" i="4"/>
  <c r="DI297" i="4"/>
  <c r="A298" i="4"/>
  <c r="B298" i="4"/>
  <c r="CY298" i="4"/>
  <c r="CZ298" i="4"/>
  <c r="DA298" i="4"/>
  <c r="DB298" i="4"/>
  <c r="DD298" i="4"/>
  <c r="DE298" i="4"/>
  <c r="DF298" i="4"/>
  <c r="DH298" i="4"/>
  <c r="DI298" i="4"/>
  <c r="A299" i="4"/>
  <c r="B299" i="4"/>
  <c r="CY299" i="4"/>
  <c r="CZ299" i="4"/>
  <c r="DA299" i="4"/>
  <c r="DB299" i="4"/>
  <c r="DD299" i="4"/>
  <c r="DE299" i="4"/>
  <c r="DF299" i="4"/>
  <c r="DH299" i="4"/>
  <c r="DI299" i="4"/>
  <c r="A300" i="4"/>
  <c r="B300" i="4"/>
  <c r="CY300" i="4"/>
  <c r="CZ300" i="4"/>
  <c r="DA300" i="4"/>
  <c r="DB300" i="4"/>
  <c r="DD300" i="4"/>
  <c r="DE300" i="4"/>
  <c r="DF300" i="4"/>
  <c r="DH300" i="4"/>
  <c r="DI300" i="4"/>
  <c r="A301" i="4"/>
  <c r="B301" i="4"/>
  <c r="CY301" i="4"/>
  <c r="CZ301" i="4"/>
  <c r="DA301" i="4"/>
  <c r="DB301" i="4"/>
  <c r="DD301" i="4"/>
  <c r="DE301" i="4"/>
  <c r="DF301" i="4"/>
  <c r="DH301" i="4"/>
  <c r="DI301" i="4"/>
  <c r="A302" i="4"/>
  <c r="B302" i="4"/>
  <c r="CY302" i="4"/>
  <c r="CZ302" i="4"/>
  <c r="DA302" i="4"/>
  <c r="DB302" i="4"/>
  <c r="DD302" i="4"/>
  <c r="DE302" i="4"/>
  <c r="DF302" i="4"/>
  <c r="DH302" i="4"/>
  <c r="DI302" i="4"/>
  <c r="A303" i="4"/>
  <c r="B303" i="4"/>
  <c r="CY303" i="4"/>
  <c r="CZ303" i="4"/>
  <c r="DA303" i="4"/>
  <c r="DB303" i="4"/>
  <c r="DD303" i="4"/>
  <c r="DE303" i="4"/>
  <c r="DF303" i="4"/>
  <c r="DH303" i="4"/>
  <c r="DI303" i="4"/>
  <c r="A304" i="4"/>
  <c r="B304" i="4"/>
  <c r="CY304" i="4"/>
  <c r="CZ304" i="4"/>
  <c r="DA304" i="4"/>
  <c r="DB304" i="4"/>
  <c r="DD304" i="4"/>
  <c r="DE304" i="4"/>
  <c r="DF304" i="4"/>
  <c r="DH304" i="4"/>
  <c r="DI304" i="4"/>
  <c r="A305" i="4"/>
  <c r="B305" i="4"/>
  <c r="CY305" i="4"/>
  <c r="CZ305" i="4"/>
  <c r="DA305" i="4"/>
  <c r="DB305" i="4"/>
  <c r="DD305" i="4"/>
  <c r="DE305" i="4"/>
  <c r="DF305" i="4"/>
  <c r="DH305" i="4"/>
  <c r="DI305" i="4"/>
  <c r="A306" i="4"/>
  <c r="B306" i="4"/>
  <c r="CY306" i="4"/>
  <c r="CZ306" i="4"/>
  <c r="DA306" i="4"/>
  <c r="DB306" i="4"/>
  <c r="DD306" i="4"/>
  <c r="DE306" i="4"/>
  <c r="DF306" i="4"/>
  <c r="DH306" i="4"/>
  <c r="DI306" i="4"/>
  <c r="A307" i="4"/>
  <c r="B307" i="4"/>
  <c r="CY307" i="4"/>
  <c r="CZ307" i="4"/>
  <c r="DA307" i="4"/>
  <c r="DB307" i="4"/>
  <c r="DD307" i="4"/>
  <c r="DE307" i="4"/>
  <c r="DF307" i="4"/>
  <c r="DH307" i="4"/>
  <c r="DI307" i="4"/>
  <c r="A308" i="4"/>
  <c r="B308" i="4"/>
  <c r="CY308" i="4"/>
  <c r="CZ308" i="4"/>
  <c r="DA308" i="4"/>
  <c r="DB308" i="4"/>
  <c r="DD308" i="4"/>
  <c r="DE308" i="4"/>
  <c r="DF308" i="4"/>
  <c r="DH308" i="4"/>
  <c r="DI308" i="4"/>
  <c r="A309" i="4"/>
  <c r="B309" i="4"/>
  <c r="CY309" i="4"/>
  <c r="CZ309" i="4"/>
  <c r="DA309" i="4"/>
  <c r="DB309" i="4"/>
  <c r="DD309" i="4"/>
  <c r="DE309" i="4"/>
  <c r="DF309" i="4"/>
  <c r="DH309" i="4"/>
  <c r="DI309" i="4"/>
  <c r="A310" i="4"/>
  <c r="B310" i="4"/>
  <c r="CY310" i="4"/>
  <c r="CZ310" i="4"/>
  <c r="DA310" i="4"/>
  <c r="DB310" i="4"/>
  <c r="DD310" i="4"/>
  <c r="DE310" i="4"/>
  <c r="DF310" i="4"/>
  <c r="DH310" i="4"/>
  <c r="DI310" i="4"/>
  <c r="A311" i="4"/>
  <c r="B311" i="4"/>
  <c r="CY311" i="4"/>
  <c r="CZ311" i="4"/>
  <c r="DA311" i="4"/>
  <c r="DB311" i="4"/>
  <c r="DD311" i="4"/>
  <c r="DE311" i="4"/>
  <c r="DF311" i="4"/>
  <c r="DH311" i="4"/>
  <c r="DI311" i="4"/>
  <c r="A312" i="4"/>
  <c r="B312" i="4"/>
  <c r="CY312" i="4"/>
  <c r="CZ312" i="4"/>
  <c r="DA312" i="4"/>
  <c r="DB312" i="4"/>
  <c r="DD312" i="4"/>
  <c r="DE312" i="4"/>
  <c r="DF312" i="4"/>
  <c r="DH312" i="4"/>
  <c r="DI312" i="4"/>
  <c r="A313" i="4"/>
  <c r="B313" i="4"/>
  <c r="CY313" i="4"/>
  <c r="CZ313" i="4"/>
  <c r="DA313" i="4"/>
  <c r="DB313" i="4"/>
  <c r="DD313" i="4"/>
  <c r="DE313" i="4"/>
  <c r="DF313" i="4"/>
  <c r="DH313" i="4"/>
  <c r="DI313" i="4"/>
  <c r="A314" i="4"/>
  <c r="B314" i="4"/>
  <c r="CY314" i="4"/>
  <c r="CZ314" i="4"/>
  <c r="DA314" i="4"/>
  <c r="DB314" i="4"/>
  <c r="DD314" i="4"/>
  <c r="DE314" i="4"/>
  <c r="DF314" i="4"/>
  <c r="DH314" i="4"/>
  <c r="DI314" i="4"/>
  <c r="A315" i="4"/>
  <c r="B315" i="4"/>
  <c r="CY315" i="4"/>
  <c r="CZ315" i="4"/>
  <c r="DA315" i="4"/>
  <c r="DB315" i="4"/>
  <c r="DD315" i="4"/>
  <c r="DE315" i="4"/>
  <c r="DF315" i="4"/>
  <c r="DH315" i="4"/>
  <c r="DI315" i="4"/>
  <c r="A316" i="4"/>
  <c r="B316" i="4"/>
  <c r="CY316" i="4"/>
  <c r="CZ316" i="4"/>
  <c r="DA316" i="4"/>
  <c r="DB316" i="4"/>
  <c r="DD316" i="4"/>
  <c r="DE316" i="4"/>
  <c r="DF316" i="4"/>
  <c r="DH316" i="4"/>
  <c r="DI316" i="4"/>
  <c r="A317" i="4"/>
  <c r="B317" i="4"/>
  <c r="CY317" i="4"/>
  <c r="CZ317" i="4"/>
  <c r="DA317" i="4"/>
  <c r="DB317" i="4"/>
  <c r="DD317" i="4"/>
  <c r="DE317" i="4"/>
  <c r="DF317" i="4"/>
  <c r="DH317" i="4"/>
  <c r="DI317" i="4"/>
  <c r="A318" i="4"/>
  <c r="B318" i="4"/>
  <c r="CY318" i="4"/>
  <c r="CZ318" i="4"/>
  <c r="DA318" i="4"/>
  <c r="DB318" i="4"/>
  <c r="DD318" i="4"/>
  <c r="DE318" i="4"/>
  <c r="DF318" i="4"/>
  <c r="DH318" i="4"/>
  <c r="DI318" i="4"/>
  <c r="A319" i="4"/>
  <c r="B319" i="4"/>
  <c r="CY319" i="4"/>
  <c r="CZ319" i="4"/>
  <c r="DA319" i="4"/>
  <c r="DB319" i="4"/>
  <c r="DD319" i="4"/>
  <c r="DE319" i="4"/>
  <c r="DF319" i="4"/>
  <c r="DH319" i="4"/>
  <c r="DI319" i="4"/>
  <c r="A320" i="4"/>
  <c r="B320" i="4"/>
  <c r="CY320" i="4"/>
  <c r="CZ320" i="4"/>
  <c r="DA320" i="4"/>
  <c r="DB320" i="4"/>
  <c r="DD320" i="4"/>
  <c r="DE320" i="4"/>
  <c r="DF320" i="4"/>
  <c r="DH320" i="4"/>
  <c r="DI320" i="4"/>
  <c r="A321" i="4"/>
  <c r="B321" i="4"/>
  <c r="CY321" i="4"/>
  <c r="CZ321" i="4"/>
  <c r="DA321" i="4"/>
  <c r="DB321" i="4"/>
  <c r="DD321" i="4"/>
  <c r="DE321" i="4"/>
  <c r="DF321" i="4"/>
  <c r="DH321" i="4"/>
  <c r="DI321" i="4"/>
  <c r="A322" i="4"/>
  <c r="B322" i="4"/>
  <c r="CY322" i="4"/>
  <c r="CZ322" i="4"/>
  <c r="DA322" i="4"/>
  <c r="DB322" i="4"/>
  <c r="DD322" i="4"/>
  <c r="DE322" i="4"/>
  <c r="DF322" i="4"/>
  <c r="DH322" i="4"/>
  <c r="DI322" i="4"/>
  <c r="A323" i="4"/>
  <c r="B323" i="4"/>
  <c r="CY323" i="4"/>
  <c r="CZ323" i="4"/>
  <c r="DA323" i="4"/>
  <c r="DB323" i="4"/>
  <c r="DD323" i="4"/>
  <c r="DE323" i="4"/>
  <c r="DF323" i="4"/>
  <c r="DH323" i="4"/>
  <c r="DI323" i="4"/>
  <c r="A324" i="4"/>
  <c r="B324" i="4"/>
  <c r="CY324" i="4"/>
  <c r="CZ324" i="4"/>
  <c r="DA324" i="4"/>
  <c r="DB324" i="4"/>
  <c r="DD324" i="4"/>
  <c r="DE324" i="4"/>
  <c r="DF324" i="4"/>
  <c r="DH324" i="4"/>
  <c r="DI324" i="4"/>
  <c r="A325" i="4"/>
  <c r="B325" i="4"/>
  <c r="CY325" i="4"/>
  <c r="CZ325" i="4"/>
  <c r="DA325" i="4"/>
  <c r="DB325" i="4"/>
  <c r="DD325" i="4"/>
  <c r="DE325" i="4"/>
  <c r="DF325" i="4"/>
  <c r="DH325" i="4"/>
  <c r="DI325" i="4"/>
  <c r="A326" i="4"/>
  <c r="B326" i="4"/>
  <c r="CY326" i="4"/>
  <c r="CZ326" i="4"/>
  <c r="DA326" i="4"/>
  <c r="DB326" i="4"/>
  <c r="DD326" i="4"/>
  <c r="DE326" i="4"/>
  <c r="DF326" i="4"/>
  <c r="DH326" i="4"/>
  <c r="DI326" i="4"/>
  <c r="A327" i="4"/>
  <c r="B327" i="4"/>
  <c r="CY327" i="4"/>
  <c r="CZ327" i="4"/>
  <c r="DA327" i="4"/>
  <c r="DB327" i="4"/>
  <c r="DD327" i="4"/>
  <c r="DE327" i="4"/>
  <c r="DF327" i="4"/>
  <c r="DH327" i="4"/>
  <c r="DI327" i="4"/>
  <c r="A328" i="4"/>
  <c r="B328" i="4"/>
  <c r="CY328" i="4"/>
  <c r="CZ328" i="4"/>
  <c r="DA328" i="4"/>
  <c r="DB328" i="4"/>
  <c r="DD328" i="4"/>
  <c r="DE328" i="4"/>
  <c r="DF328" i="4"/>
  <c r="DH328" i="4"/>
  <c r="DI328" i="4"/>
  <c r="A329" i="4"/>
  <c r="B329" i="4"/>
  <c r="CY329" i="4"/>
  <c r="CZ329" i="4"/>
  <c r="DA329" i="4"/>
  <c r="DB329" i="4"/>
  <c r="DD329" i="4"/>
  <c r="DE329" i="4"/>
  <c r="DF329" i="4"/>
  <c r="DH329" i="4"/>
  <c r="DI329" i="4"/>
  <c r="A330" i="4"/>
  <c r="B330" i="4"/>
  <c r="CY330" i="4"/>
  <c r="CZ330" i="4"/>
  <c r="DA330" i="4"/>
  <c r="DB330" i="4"/>
  <c r="DD330" i="4"/>
  <c r="DE330" i="4"/>
  <c r="DF330" i="4"/>
  <c r="DH330" i="4"/>
  <c r="DI330" i="4"/>
  <c r="A331" i="4"/>
  <c r="B331" i="4"/>
  <c r="CY331" i="4"/>
  <c r="CZ331" i="4"/>
  <c r="DA331" i="4"/>
  <c r="DB331" i="4"/>
  <c r="DD331" i="4"/>
  <c r="DE331" i="4"/>
  <c r="DF331" i="4"/>
  <c r="DH331" i="4"/>
  <c r="DI331" i="4"/>
  <c r="A332" i="4"/>
  <c r="B332" i="4"/>
  <c r="CY332" i="4"/>
  <c r="CZ332" i="4"/>
  <c r="DA332" i="4"/>
  <c r="DB332" i="4"/>
  <c r="DD332" i="4"/>
  <c r="DE332" i="4"/>
  <c r="DF332" i="4"/>
  <c r="DH332" i="4"/>
  <c r="DI332" i="4"/>
  <c r="A333" i="4"/>
  <c r="B333" i="4"/>
  <c r="CY333" i="4"/>
  <c r="CZ333" i="4"/>
  <c r="DA333" i="4"/>
  <c r="DB333" i="4"/>
  <c r="DD333" i="4"/>
  <c r="DE333" i="4"/>
  <c r="DF333" i="4"/>
  <c r="DH333" i="4"/>
  <c r="DI333" i="4"/>
  <c r="A334" i="4"/>
  <c r="B334" i="4"/>
  <c r="CY334" i="4"/>
  <c r="CZ334" i="4"/>
  <c r="DA334" i="4"/>
  <c r="DB334" i="4"/>
  <c r="DD334" i="4"/>
  <c r="DE334" i="4"/>
  <c r="DF334" i="4"/>
  <c r="DH334" i="4"/>
  <c r="DI334" i="4"/>
  <c r="A335" i="4"/>
  <c r="B335" i="4"/>
  <c r="CY335" i="4"/>
  <c r="CZ335" i="4"/>
  <c r="DA335" i="4"/>
  <c r="DB335" i="4"/>
  <c r="DD335" i="4"/>
  <c r="DE335" i="4"/>
  <c r="DF335" i="4"/>
  <c r="DH335" i="4"/>
  <c r="DI335" i="4"/>
  <c r="A336" i="4"/>
  <c r="B336" i="4"/>
  <c r="CY336" i="4"/>
  <c r="CZ336" i="4"/>
  <c r="DA336" i="4"/>
  <c r="DB336" i="4"/>
  <c r="DD336" i="4"/>
  <c r="DE336" i="4"/>
  <c r="DF336" i="4"/>
  <c r="DH336" i="4"/>
  <c r="DI336" i="4"/>
  <c r="A337" i="4"/>
  <c r="B337" i="4"/>
  <c r="CY337" i="4"/>
  <c r="CZ337" i="4"/>
  <c r="DA337" i="4"/>
  <c r="DB337" i="4"/>
  <c r="DD337" i="4"/>
  <c r="DE337" i="4"/>
  <c r="DF337" i="4"/>
  <c r="DH337" i="4"/>
  <c r="DI337" i="4"/>
  <c r="A338" i="4"/>
  <c r="B338" i="4"/>
  <c r="CY338" i="4"/>
  <c r="CZ338" i="4"/>
  <c r="DA338" i="4"/>
  <c r="DB338" i="4"/>
  <c r="DD338" i="4"/>
  <c r="DE338" i="4"/>
  <c r="DF338" i="4"/>
  <c r="DH338" i="4"/>
  <c r="DI338" i="4"/>
  <c r="A339" i="4"/>
  <c r="B339" i="4"/>
  <c r="CY339" i="4"/>
  <c r="CZ339" i="4"/>
  <c r="DA339" i="4"/>
  <c r="DB339" i="4"/>
  <c r="DD339" i="4"/>
  <c r="DE339" i="4"/>
  <c r="DF339" i="4"/>
  <c r="DH339" i="4"/>
  <c r="DI339" i="4"/>
  <c r="A340" i="4"/>
  <c r="B340" i="4"/>
  <c r="CY340" i="4"/>
  <c r="CZ340" i="4"/>
  <c r="DA340" i="4"/>
  <c r="DB340" i="4"/>
  <c r="DD340" i="4"/>
  <c r="DE340" i="4"/>
  <c r="DF340" i="4"/>
  <c r="DH340" i="4"/>
  <c r="DI340" i="4"/>
  <c r="A341" i="4"/>
  <c r="B341" i="4"/>
  <c r="CY341" i="4"/>
  <c r="CZ341" i="4"/>
  <c r="DA341" i="4"/>
  <c r="DB341" i="4"/>
  <c r="DD341" i="4"/>
  <c r="DE341" i="4"/>
  <c r="DF341" i="4"/>
  <c r="DH341" i="4"/>
  <c r="DI341" i="4"/>
  <c r="A342" i="4"/>
  <c r="B342" i="4"/>
  <c r="CY342" i="4"/>
  <c r="CZ342" i="4"/>
  <c r="DA342" i="4"/>
  <c r="DB342" i="4"/>
  <c r="DD342" i="4"/>
  <c r="DE342" i="4"/>
  <c r="DF342" i="4"/>
  <c r="DH342" i="4"/>
  <c r="DI342" i="4"/>
  <c r="A343" i="4"/>
  <c r="B343" i="4"/>
  <c r="CY343" i="4"/>
  <c r="CZ343" i="4"/>
  <c r="DA343" i="4"/>
  <c r="DB343" i="4"/>
  <c r="DD343" i="4"/>
  <c r="DE343" i="4"/>
  <c r="DF343" i="4"/>
  <c r="DH343" i="4"/>
  <c r="DI343" i="4"/>
  <c r="A344" i="4"/>
  <c r="B344" i="4"/>
  <c r="CY344" i="4"/>
  <c r="CZ344" i="4"/>
  <c r="DA344" i="4"/>
  <c r="DB344" i="4"/>
  <c r="DD344" i="4"/>
  <c r="DE344" i="4"/>
  <c r="DF344" i="4"/>
  <c r="DH344" i="4"/>
  <c r="DI344" i="4"/>
  <c r="A345" i="4"/>
  <c r="B345" i="4"/>
  <c r="CY345" i="4"/>
  <c r="CZ345" i="4"/>
  <c r="DA345" i="4"/>
  <c r="DB345" i="4"/>
  <c r="DD345" i="4"/>
  <c r="DE345" i="4"/>
  <c r="DF345" i="4"/>
  <c r="DH345" i="4"/>
  <c r="DI345" i="4"/>
  <c r="A346" i="4"/>
  <c r="B346" i="4"/>
  <c r="CY346" i="4"/>
  <c r="CZ346" i="4"/>
  <c r="DA346" i="4"/>
  <c r="DB346" i="4"/>
  <c r="DD346" i="4"/>
  <c r="DE346" i="4"/>
  <c r="DF346" i="4"/>
  <c r="DH346" i="4"/>
  <c r="DI346" i="4"/>
  <c r="A347" i="4"/>
  <c r="B347" i="4"/>
  <c r="CY347" i="4"/>
  <c r="CZ347" i="4"/>
  <c r="DA347" i="4"/>
  <c r="DB347" i="4"/>
  <c r="DD347" i="4"/>
  <c r="DE347" i="4"/>
  <c r="DF347" i="4"/>
  <c r="DH347" i="4"/>
  <c r="DI347" i="4"/>
  <c r="A348" i="4"/>
  <c r="B348" i="4"/>
  <c r="CY348" i="4"/>
  <c r="CZ348" i="4"/>
  <c r="DA348" i="4"/>
  <c r="DB348" i="4"/>
  <c r="DD348" i="4"/>
  <c r="DE348" i="4"/>
  <c r="DF348" i="4"/>
  <c r="DH348" i="4"/>
  <c r="DI348" i="4"/>
  <c r="A349" i="4"/>
  <c r="B349" i="4"/>
  <c r="CY349" i="4"/>
  <c r="CZ349" i="4"/>
  <c r="DA349" i="4"/>
  <c r="DB349" i="4"/>
  <c r="DD349" i="4"/>
  <c r="DE349" i="4"/>
  <c r="DF349" i="4"/>
  <c r="DH349" i="4"/>
  <c r="DI349" i="4"/>
  <c r="A350" i="4"/>
  <c r="B350" i="4"/>
  <c r="CY350" i="4"/>
  <c r="CZ350" i="4"/>
  <c r="DA350" i="4"/>
  <c r="DB350" i="4"/>
  <c r="DD350" i="4"/>
  <c r="DE350" i="4"/>
  <c r="DF350" i="4"/>
  <c r="DH350" i="4"/>
  <c r="DI350" i="4"/>
  <c r="A351" i="4"/>
  <c r="B351" i="4"/>
  <c r="CY351" i="4"/>
  <c r="CZ351" i="4"/>
  <c r="DA351" i="4"/>
  <c r="DB351" i="4"/>
  <c r="DD351" i="4"/>
  <c r="DE351" i="4"/>
  <c r="DF351" i="4"/>
  <c r="DH351" i="4"/>
  <c r="DI351" i="4"/>
  <c r="A352" i="4"/>
  <c r="B352" i="4"/>
  <c r="CY352" i="4"/>
  <c r="CZ352" i="4"/>
  <c r="DA352" i="4"/>
  <c r="DB352" i="4"/>
  <c r="DD352" i="4"/>
  <c r="DE352" i="4"/>
  <c r="DF352" i="4"/>
  <c r="DH352" i="4"/>
  <c r="DI352" i="4"/>
  <c r="A353" i="4"/>
  <c r="B353" i="4"/>
  <c r="CY353" i="4"/>
  <c r="CZ353" i="4"/>
  <c r="DA353" i="4"/>
  <c r="DB353" i="4"/>
  <c r="DD353" i="4"/>
  <c r="DE353" i="4"/>
  <c r="DF353" i="4"/>
  <c r="DH353" i="4"/>
  <c r="DI353" i="4"/>
  <c r="A354" i="4"/>
  <c r="B354" i="4"/>
  <c r="CY354" i="4"/>
  <c r="CZ354" i="4"/>
  <c r="DA354" i="4"/>
  <c r="DB354" i="4"/>
  <c r="DD354" i="4"/>
  <c r="DE354" i="4"/>
  <c r="DF354" i="4"/>
  <c r="DH354" i="4"/>
  <c r="DI354" i="4"/>
  <c r="A355" i="4"/>
  <c r="B355" i="4"/>
  <c r="CY355" i="4"/>
  <c r="CZ355" i="4"/>
  <c r="DA355" i="4"/>
  <c r="DB355" i="4"/>
  <c r="DD355" i="4"/>
  <c r="DE355" i="4"/>
  <c r="DF355" i="4"/>
  <c r="DH355" i="4"/>
  <c r="DI355" i="4"/>
  <c r="A356" i="4"/>
  <c r="B356" i="4"/>
  <c r="CY356" i="4"/>
  <c r="CZ356" i="4"/>
  <c r="DA356" i="4"/>
  <c r="DB356" i="4"/>
  <c r="DD356" i="4"/>
  <c r="DE356" i="4"/>
  <c r="DF356" i="4"/>
  <c r="DH356" i="4"/>
  <c r="DI356" i="4"/>
  <c r="A357" i="4"/>
  <c r="B357" i="4"/>
  <c r="CY357" i="4"/>
  <c r="CZ357" i="4"/>
  <c r="DA357" i="4"/>
  <c r="DB357" i="4"/>
  <c r="DD357" i="4"/>
  <c r="DE357" i="4"/>
  <c r="DF357" i="4"/>
  <c r="DH357" i="4"/>
  <c r="DI357" i="4"/>
  <c r="A358" i="4"/>
  <c r="B358" i="4"/>
  <c r="CY358" i="4"/>
  <c r="CZ358" i="4"/>
  <c r="DA358" i="4"/>
  <c r="DB358" i="4"/>
  <c r="DD358" i="4"/>
  <c r="DE358" i="4"/>
  <c r="DF358" i="4"/>
  <c r="DH358" i="4"/>
  <c r="DI358" i="4"/>
  <c r="A359" i="4"/>
  <c r="B359" i="4"/>
  <c r="CY359" i="4"/>
  <c r="CZ359" i="4"/>
  <c r="DA359" i="4"/>
  <c r="DB359" i="4"/>
  <c r="DD359" i="4"/>
  <c r="DE359" i="4"/>
  <c r="DF359" i="4"/>
  <c r="DH359" i="4"/>
  <c r="DI359" i="4"/>
  <c r="A360" i="4"/>
  <c r="B360" i="4"/>
  <c r="CY360" i="4"/>
  <c r="CZ360" i="4"/>
  <c r="DA360" i="4"/>
  <c r="DB360" i="4"/>
  <c r="DD360" i="4"/>
  <c r="DE360" i="4"/>
  <c r="DF360" i="4"/>
  <c r="DH360" i="4"/>
  <c r="DI360" i="4"/>
  <c r="A361" i="4"/>
  <c r="B361" i="4"/>
  <c r="CY361" i="4"/>
  <c r="CZ361" i="4"/>
  <c r="DA361" i="4"/>
  <c r="DB361" i="4"/>
  <c r="DD361" i="4"/>
  <c r="DE361" i="4"/>
  <c r="DF361" i="4"/>
  <c r="DH361" i="4"/>
  <c r="DI361" i="4"/>
  <c r="A362" i="4"/>
  <c r="B362" i="4"/>
  <c r="CY362" i="4"/>
  <c r="CZ362" i="4"/>
  <c r="DA362" i="4"/>
  <c r="DB362" i="4"/>
  <c r="DD362" i="4"/>
  <c r="DE362" i="4"/>
  <c r="DF362" i="4"/>
  <c r="DH362" i="4"/>
  <c r="DI362" i="4"/>
  <c r="A363" i="4"/>
  <c r="B363" i="4"/>
  <c r="CY363" i="4"/>
  <c r="CZ363" i="4"/>
  <c r="DA363" i="4"/>
  <c r="DB363" i="4"/>
  <c r="DD363" i="4"/>
  <c r="DE363" i="4"/>
  <c r="DF363" i="4"/>
  <c r="DH363" i="4"/>
  <c r="DI363" i="4"/>
  <c r="A364" i="4"/>
  <c r="B364" i="4"/>
  <c r="CY364" i="4"/>
  <c r="CZ364" i="4"/>
  <c r="DA364" i="4"/>
  <c r="DB364" i="4"/>
  <c r="DD364" i="4"/>
  <c r="DE364" i="4"/>
  <c r="DF364" i="4"/>
  <c r="DH364" i="4"/>
  <c r="DI364" i="4"/>
  <c r="A365" i="4"/>
  <c r="B365" i="4"/>
  <c r="CY365" i="4"/>
  <c r="CZ365" i="4"/>
  <c r="DA365" i="4"/>
  <c r="DB365" i="4"/>
  <c r="DD365" i="4"/>
  <c r="DE365" i="4"/>
  <c r="DF365" i="4"/>
  <c r="DH365" i="4"/>
  <c r="DI365" i="4"/>
  <c r="A366" i="4"/>
  <c r="B366" i="4"/>
  <c r="CY366" i="4"/>
  <c r="CZ366" i="4"/>
  <c r="DA366" i="4"/>
  <c r="DB366" i="4"/>
  <c r="DD366" i="4"/>
  <c r="DE366" i="4"/>
  <c r="DF366" i="4"/>
  <c r="DH366" i="4"/>
  <c r="DI366" i="4"/>
  <c r="A367" i="4"/>
  <c r="B367" i="4"/>
  <c r="CY367" i="4"/>
  <c r="CZ367" i="4"/>
  <c r="DA367" i="4"/>
  <c r="DB367" i="4"/>
  <c r="DD367" i="4"/>
  <c r="DE367" i="4"/>
  <c r="DF367" i="4"/>
  <c r="DH367" i="4"/>
  <c r="DI367" i="4"/>
  <c r="A368" i="4"/>
  <c r="B368" i="4"/>
  <c r="CY368" i="4"/>
  <c r="CZ368" i="4"/>
  <c r="DA368" i="4"/>
  <c r="DB368" i="4"/>
  <c r="DD368" i="4"/>
  <c r="DE368" i="4"/>
  <c r="DF368" i="4"/>
  <c r="DH368" i="4"/>
  <c r="DI368" i="4"/>
  <c r="A369" i="4"/>
  <c r="B369" i="4"/>
  <c r="CY369" i="4"/>
  <c r="CZ369" i="4"/>
  <c r="DA369" i="4"/>
  <c r="DB369" i="4"/>
  <c r="DD369" i="4"/>
  <c r="DE369" i="4"/>
  <c r="DF369" i="4"/>
  <c r="DH369" i="4"/>
  <c r="DI369" i="4"/>
  <c r="A370" i="4"/>
  <c r="B370" i="4"/>
  <c r="CY370" i="4"/>
  <c r="CZ370" i="4"/>
  <c r="DA370" i="4"/>
  <c r="DB370" i="4"/>
  <c r="DD370" i="4"/>
  <c r="DE370" i="4"/>
  <c r="DF370" i="4"/>
  <c r="DH370" i="4"/>
  <c r="DI370" i="4"/>
  <c r="A371" i="4"/>
  <c r="B371" i="4"/>
  <c r="CY371" i="4"/>
  <c r="CZ371" i="4"/>
  <c r="DA371" i="4"/>
  <c r="DB371" i="4"/>
  <c r="DD371" i="4"/>
  <c r="DE371" i="4"/>
  <c r="DF371" i="4"/>
  <c r="DH371" i="4"/>
  <c r="DI371" i="4"/>
  <c r="A372" i="4"/>
  <c r="B372" i="4"/>
  <c r="CY372" i="4"/>
  <c r="CZ372" i="4"/>
  <c r="DA372" i="4"/>
  <c r="DB372" i="4"/>
  <c r="DD372" i="4"/>
  <c r="DE372" i="4"/>
  <c r="DF372" i="4"/>
  <c r="DH372" i="4"/>
  <c r="DI372" i="4"/>
  <c r="CY373" i="4"/>
  <c r="CZ373" i="4"/>
  <c r="DA373" i="4"/>
  <c r="DB373" i="4"/>
  <c r="DD373" i="4"/>
  <c r="DE373" i="4"/>
  <c r="DF373" i="4"/>
  <c r="DH373" i="4"/>
  <c r="DI373" i="4"/>
  <c r="CY374" i="4"/>
  <c r="CZ374" i="4"/>
  <c r="DA374" i="4"/>
  <c r="DB374" i="4"/>
  <c r="DD374" i="4"/>
  <c r="DE374" i="4"/>
  <c r="DF374" i="4"/>
  <c r="DH374" i="4"/>
  <c r="DI374" i="4"/>
  <c r="CY375" i="4"/>
  <c r="CZ375" i="4"/>
  <c r="DA375" i="4"/>
  <c r="DB375" i="4"/>
  <c r="DD375" i="4"/>
  <c r="DE375" i="4"/>
  <c r="DF375" i="4"/>
  <c r="DH375" i="4"/>
  <c r="DI375" i="4"/>
  <c r="CY376" i="4"/>
  <c r="CZ376" i="4"/>
  <c r="DA376" i="4"/>
  <c r="DB376" i="4"/>
  <c r="DD376" i="4"/>
  <c r="DE376" i="4"/>
  <c r="DF376" i="4"/>
  <c r="DH376" i="4"/>
  <c r="DI376" i="4"/>
  <c r="CY377" i="4"/>
  <c r="CZ377" i="4"/>
  <c r="DA377" i="4"/>
  <c r="DB377" i="4"/>
  <c r="DD377" i="4"/>
  <c r="DE377" i="4"/>
  <c r="DF377" i="4"/>
  <c r="DH377" i="4"/>
  <c r="DI377" i="4"/>
  <c r="CY378" i="4"/>
  <c r="CZ378" i="4"/>
  <c r="DA378" i="4"/>
  <c r="DB378" i="4"/>
  <c r="DD378" i="4"/>
  <c r="DE378" i="4"/>
  <c r="DF378" i="4"/>
  <c r="DH378" i="4"/>
  <c r="DI378" i="4"/>
  <c r="CY379" i="4"/>
  <c r="CZ379" i="4"/>
  <c r="DA379" i="4"/>
  <c r="DB379" i="4"/>
  <c r="DD379" i="4"/>
  <c r="DE379" i="4"/>
  <c r="DF379" i="4"/>
  <c r="DH379" i="4"/>
  <c r="DI379" i="4"/>
  <c r="CY380" i="4"/>
  <c r="CZ380" i="4"/>
  <c r="DA380" i="4"/>
  <c r="DB380" i="4"/>
  <c r="DD380" i="4"/>
  <c r="DE380" i="4"/>
  <c r="DF380" i="4"/>
  <c r="DH380" i="4"/>
  <c r="DI380" i="4"/>
  <c r="CY381" i="4"/>
  <c r="CZ381" i="4"/>
  <c r="DA381" i="4"/>
  <c r="DB381" i="4"/>
  <c r="DD381" i="4"/>
  <c r="DE381" i="4"/>
  <c r="DF381" i="4"/>
  <c r="DH381" i="4"/>
  <c r="DI381" i="4"/>
  <c r="CY382" i="4"/>
  <c r="CZ382" i="4"/>
  <c r="DA382" i="4"/>
  <c r="DB382" i="4"/>
  <c r="DD382" i="4"/>
  <c r="DE382" i="4"/>
  <c r="DF382" i="4"/>
  <c r="DH382" i="4"/>
  <c r="DI382" i="4"/>
  <c r="CY383" i="4"/>
  <c r="CZ383" i="4"/>
  <c r="DA383" i="4"/>
  <c r="DB383" i="4"/>
  <c r="DD383" i="4"/>
  <c r="DE383" i="4"/>
  <c r="DF383" i="4"/>
  <c r="DH383" i="4"/>
  <c r="DI383" i="4"/>
  <c r="CY384" i="4"/>
  <c r="CZ384" i="4"/>
  <c r="DA384" i="4"/>
  <c r="DB384" i="4"/>
  <c r="DD384" i="4"/>
  <c r="DE384" i="4"/>
  <c r="DF384" i="4"/>
  <c r="DH384" i="4"/>
  <c r="DI384" i="4"/>
  <c r="CY385" i="4"/>
  <c r="CZ385" i="4"/>
  <c r="DA385" i="4"/>
  <c r="DB385" i="4"/>
  <c r="DD385" i="4"/>
  <c r="DE385" i="4"/>
  <c r="DF385" i="4"/>
  <c r="DH385" i="4"/>
  <c r="DI385" i="4"/>
  <c r="CY386" i="4"/>
  <c r="CZ386" i="4"/>
  <c r="DA386" i="4"/>
  <c r="DB386" i="4"/>
  <c r="DD386" i="4"/>
  <c r="DE386" i="4"/>
  <c r="DF386" i="4"/>
  <c r="DH386" i="4"/>
  <c r="DI386" i="4"/>
  <c r="CY387" i="4"/>
  <c r="CZ387" i="4"/>
  <c r="DA387" i="4"/>
  <c r="DB387" i="4"/>
  <c r="DD387" i="4"/>
  <c r="DE387" i="4"/>
  <c r="DF387" i="4"/>
  <c r="DH387" i="4"/>
  <c r="DI387" i="4"/>
  <c r="CY388" i="4"/>
  <c r="CZ388" i="4"/>
  <c r="DA388" i="4"/>
  <c r="DB388" i="4"/>
  <c r="DD388" i="4"/>
  <c r="DE388" i="4"/>
  <c r="DF388" i="4"/>
  <c r="DH388" i="4"/>
  <c r="DI388" i="4"/>
  <c r="CY389" i="4"/>
  <c r="CZ389" i="4"/>
  <c r="DA389" i="4"/>
  <c r="DB389" i="4"/>
  <c r="DD389" i="4"/>
  <c r="DE389" i="4"/>
  <c r="DF389" i="4"/>
  <c r="DH389" i="4"/>
  <c r="DI389" i="4"/>
  <c r="CY390" i="4"/>
  <c r="CZ390" i="4"/>
  <c r="DA390" i="4"/>
  <c r="DB390" i="4"/>
  <c r="DD390" i="4"/>
  <c r="DE390" i="4"/>
  <c r="DF390" i="4"/>
  <c r="DH390" i="4"/>
  <c r="DI390" i="4"/>
  <c r="CY391" i="4"/>
  <c r="CZ391" i="4"/>
  <c r="DA391" i="4"/>
  <c r="DB391" i="4"/>
  <c r="DD391" i="4"/>
  <c r="DE391" i="4"/>
  <c r="DF391" i="4"/>
  <c r="DH391" i="4"/>
  <c r="DI391" i="4"/>
  <c r="CY392" i="4"/>
  <c r="CZ392" i="4"/>
  <c r="DA392" i="4"/>
  <c r="DB392" i="4"/>
  <c r="DD392" i="4"/>
  <c r="DE392" i="4"/>
  <c r="DF392" i="4"/>
  <c r="DH392" i="4"/>
  <c r="DI392" i="4"/>
  <c r="CY393" i="4"/>
  <c r="CZ393" i="4"/>
  <c r="DA393" i="4"/>
  <c r="DB393" i="4"/>
  <c r="DD393" i="4"/>
  <c r="DE393" i="4"/>
  <c r="DF393" i="4"/>
  <c r="DH393" i="4"/>
  <c r="DI393" i="4"/>
  <c r="CY394" i="4"/>
  <c r="CZ394" i="4"/>
  <c r="DA394" i="4"/>
  <c r="DB394" i="4"/>
  <c r="DD394" i="4"/>
  <c r="DE394" i="4"/>
  <c r="DF394" i="4"/>
  <c r="DH394" i="4"/>
  <c r="DI394" i="4"/>
  <c r="CY395" i="4"/>
  <c r="CZ395" i="4"/>
  <c r="DA395" i="4"/>
  <c r="DB395" i="4"/>
  <c r="DD395" i="4"/>
  <c r="DE395" i="4"/>
  <c r="DF395" i="4"/>
  <c r="DH395" i="4"/>
  <c r="DI395" i="4"/>
  <c r="CY396" i="4"/>
  <c r="CZ396" i="4"/>
  <c r="DA396" i="4"/>
  <c r="DB396" i="4"/>
  <c r="DD396" i="4"/>
  <c r="DE396" i="4"/>
  <c r="DF396" i="4"/>
  <c r="DH396" i="4"/>
  <c r="DI396" i="4"/>
  <c r="CY397" i="4"/>
  <c r="CZ397" i="4"/>
  <c r="DA397" i="4"/>
  <c r="DB397" i="4"/>
  <c r="DD397" i="4"/>
  <c r="DE397" i="4"/>
  <c r="DF397" i="4"/>
  <c r="DH397" i="4"/>
  <c r="DI397" i="4"/>
  <c r="CY398" i="4"/>
  <c r="CZ398" i="4"/>
  <c r="DA398" i="4"/>
  <c r="DB398" i="4"/>
  <c r="DD398" i="4"/>
  <c r="DE398" i="4"/>
  <c r="DF398" i="4"/>
  <c r="DH398" i="4"/>
  <c r="DI398" i="4"/>
  <c r="CY399" i="4"/>
  <c r="CZ399" i="4"/>
  <c r="DA399" i="4"/>
  <c r="DB399" i="4"/>
  <c r="DD399" i="4"/>
  <c r="DE399" i="4"/>
  <c r="DF399" i="4"/>
  <c r="DH399" i="4"/>
  <c r="DI399" i="4"/>
  <c r="CY400" i="4"/>
  <c r="CZ400" i="4"/>
  <c r="DA400" i="4"/>
  <c r="DB400" i="4"/>
  <c r="DD400" i="4"/>
  <c r="DE400" i="4"/>
  <c r="DF400" i="4"/>
  <c r="DH400" i="4"/>
  <c r="DI400" i="4"/>
  <c r="CY401" i="4"/>
  <c r="CZ401" i="4"/>
  <c r="DA401" i="4"/>
  <c r="DB401" i="4"/>
  <c r="DD401" i="4"/>
  <c r="DE401" i="4"/>
  <c r="DF401" i="4"/>
  <c r="DH401" i="4"/>
  <c r="DI401" i="4"/>
  <c r="CY402" i="4"/>
  <c r="CZ402" i="4"/>
  <c r="DA402" i="4"/>
  <c r="DB402" i="4"/>
  <c r="DD402" i="4"/>
  <c r="DE402" i="4"/>
  <c r="DF402" i="4"/>
  <c r="DH402" i="4"/>
  <c r="DI402" i="4"/>
  <c r="H2" i="6"/>
  <c r="B3" i="6"/>
  <c r="C3" i="6"/>
  <c r="H3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B32" i="6"/>
  <c r="C32" i="6"/>
  <c r="D32" i="6"/>
  <c r="E32" i="6"/>
  <c r="F32" i="6"/>
  <c r="G32" i="6"/>
  <c r="H32" i="6"/>
  <c r="I32" i="6"/>
  <c r="J32" i="6"/>
  <c r="K32" i="6"/>
  <c r="L32" i="6"/>
  <c r="M32" i="6"/>
  <c r="O32" i="6"/>
  <c r="P32" i="6"/>
  <c r="Q32" i="6"/>
  <c r="R32" i="6"/>
  <c r="S32" i="6"/>
  <c r="T32" i="6"/>
  <c r="U32" i="6"/>
  <c r="V32" i="6"/>
  <c r="W32" i="6"/>
  <c r="X32" i="6"/>
  <c r="Y32" i="6"/>
  <c r="Z32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A38" i="6"/>
  <c r="B38" i="6"/>
  <c r="C38" i="6"/>
  <c r="D38" i="6"/>
  <c r="E38" i="6"/>
  <c r="F38" i="6"/>
  <c r="G38" i="6"/>
  <c r="H38" i="6"/>
  <c r="I38" i="6"/>
  <c r="J38" i="6"/>
  <c r="K38" i="6"/>
  <c r="L38" i="6"/>
  <c r="N38" i="6"/>
  <c r="O38" i="6"/>
  <c r="P38" i="6"/>
  <c r="Q38" i="6"/>
  <c r="R38" i="6"/>
  <c r="S38" i="6"/>
  <c r="T38" i="6"/>
  <c r="U38" i="6"/>
  <c r="A39" i="6"/>
  <c r="B39" i="6"/>
  <c r="C39" i="6"/>
  <c r="D39" i="6"/>
  <c r="E39" i="6"/>
  <c r="F39" i="6"/>
  <c r="G39" i="6"/>
  <c r="H39" i="6"/>
  <c r="I39" i="6"/>
  <c r="J39" i="6"/>
  <c r="K39" i="6"/>
  <c r="L39" i="6"/>
  <c r="N39" i="6"/>
  <c r="O39" i="6"/>
  <c r="P39" i="6"/>
  <c r="Q39" i="6"/>
  <c r="R39" i="6"/>
  <c r="S39" i="6"/>
  <c r="T39" i="6"/>
  <c r="U39" i="6"/>
  <c r="A40" i="6"/>
  <c r="B40" i="6"/>
  <c r="C40" i="6"/>
  <c r="D40" i="6"/>
  <c r="E40" i="6"/>
  <c r="F40" i="6"/>
  <c r="G40" i="6"/>
  <c r="H40" i="6"/>
  <c r="I40" i="6"/>
  <c r="J40" i="6"/>
  <c r="K40" i="6"/>
  <c r="L40" i="6"/>
  <c r="N40" i="6"/>
  <c r="O40" i="6"/>
  <c r="P40" i="6"/>
  <c r="Q40" i="6"/>
  <c r="R40" i="6"/>
  <c r="S40" i="6"/>
  <c r="T40" i="6"/>
  <c r="U40" i="6"/>
  <c r="A41" i="6"/>
  <c r="B41" i="6"/>
  <c r="C41" i="6"/>
  <c r="D41" i="6"/>
  <c r="E41" i="6"/>
  <c r="F41" i="6"/>
  <c r="G41" i="6"/>
  <c r="H41" i="6"/>
  <c r="I41" i="6"/>
  <c r="J41" i="6"/>
  <c r="K41" i="6"/>
  <c r="L41" i="6"/>
  <c r="N41" i="6"/>
  <c r="O41" i="6"/>
  <c r="P41" i="6"/>
  <c r="Q41" i="6"/>
  <c r="R41" i="6"/>
  <c r="S41" i="6"/>
  <c r="T41" i="6"/>
  <c r="U41" i="6"/>
  <c r="A42" i="6"/>
  <c r="B42" i="6"/>
  <c r="C42" i="6"/>
  <c r="D42" i="6"/>
  <c r="E42" i="6"/>
  <c r="F42" i="6"/>
  <c r="G42" i="6"/>
  <c r="H42" i="6"/>
  <c r="I42" i="6"/>
  <c r="J42" i="6"/>
  <c r="K42" i="6"/>
  <c r="L42" i="6"/>
  <c r="N42" i="6"/>
  <c r="O42" i="6"/>
  <c r="P42" i="6"/>
  <c r="Q42" i="6"/>
  <c r="R42" i="6"/>
  <c r="S42" i="6"/>
  <c r="T42" i="6"/>
  <c r="U42" i="6"/>
  <c r="A43" i="6"/>
  <c r="B43" i="6"/>
  <c r="C43" i="6"/>
  <c r="D43" i="6"/>
  <c r="E43" i="6"/>
  <c r="F43" i="6"/>
  <c r="G43" i="6"/>
  <c r="H43" i="6"/>
  <c r="I43" i="6"/>
  <c r="J43" i="6"/>
  <c r="K43" i="6"/>
  <c r="L43" i="6"/>
  <c r="N43" i="6"/>
  <c r="O43" i="6"/>
  <c r="P43" i="6"/>
  <c r="Q43" i="6"/>
  <c r="R43" i="6"/>
  <c r="S43" i="6"/>
  <c r="T43" i="6"/>
  <c r="U43" i="6"/>
  <c r="A44" i="6"/>
  <c r="B44" i="6"/>
  <c r="C44" i="6"/>
  <c r="D44" i="6"/>
  <c r="E44" i="6"/>
  <c r="F44" i="6"/>
  <c r="G44" i="6"/>
  <c r="H44" i="6"/>
  <c r="I44" i="6"/>
  <c r="J44" i="6"/>
  <c r="K44" i="6"/>
  <c r="L44" i="6"/>
  <c r="N44" i="6"/>
  <c r="O44" i="6"/>
  <c r="P44" i="6"/>
  <c r="Q44" i="6"/>
  <c r="R44" i="6"/>
  <c r="S44" i="6"/>
  <c r="T44" i="6"/>
  <c r="U44" i="6"/>
  <c r="A45" i="6"/>
  <c r="B45" i="6"/>
  <c r="C45" i="6"/>
  <c r="D45" i="6"/>
  <c r="E45" i="6"/>
  <c r="F45" i="6"/>
  <c r="G45" i="6"/>
  <c r="H45" i="6"/>
  <c r="I45" i="6"/>
  <c r="J45" i="6"/>
  <c r="K45" i="6"/>
  <c r="L45" i="6"/>
  <c r="N45" i="6"/>
  <c r="O45" i="6"/>
  <c r="P45" i="6"/>
  <c r="Q45" i="6"/>
  <c r="R45" i="6"/>
  <c r="S45" i="6"/>
  <c r="T45" i="6"/>
  <c r="U45" i="6"/>
  <c r="A46" i="6"/>
  <c r="B46" i="6"/>
  <c r="C46" i="6"/>
  <c r="D46" i="6"/>
  <c r="E46" i="6"/>
  <c r="F46" i="6"/>
  <c r="G46" i="6"/>
  <c r="H46" i="6"/>
  <c r="I46" i="6"/>
  <c r="J46" i="6"/>
  <c r="K46" i="6"/>
  <c r="L46" i="6"/>
  <c r="N46" i="6"/>
  <c r="O46" i="6"/>
  <c r="P46" i="6"/>
  <c r="Q46" i="6"/>
  <c r="R46" i="6"/>
  <c r="S46" i="6"/>
  <c r="T46" i="6"/>
  <c r="U46" i="6"/>
  <c r="A47" i="6"/>
  <c r="B47" i="6"/>
  <c r="C47" i="6"/>
  <c r="D47" i="6"/>
  <c r="E47" i="6"/>
  <c r="F47" i="6"/>
  <c r="G47" i="6"/>
  <c r="H47" i="6"/>
  <c r="I47" i="6"/>
  <c r="J47" i="6"/>
  <c r="K47" i="6"/>
  <c r="L47" i="6"/>
  <c r="N47" i="6"/>
  <c r="O47" i="6"/>
  <c r="P47" i="6"/>
  <c r="Q47" i="6"/>
  <c r="R47" i="6"/>
  <c r="S47" i="6"/>
  <c r="T47" i="6"/>
  <c r="U47" i="6"/>
  <c r="A48" i="6"/>
  <c r="B48" i="6"/>
  <c r="C48" i="6"/>
  <c r="D48" i="6"/>
  <c r="E48" i="6"/>
  <c r="F48" i="6"/>
  <c r="G48" i="6"/>
  <c r="H48" i="6"/>
  <c r="I48" i="6"/>
  <c r="J48" i="6"/>
  <c r="K48" i="6"/>
  <c r="L48" i="6"/>
  <c r="N48" i="6"/>
  <c r="O48" i="6"/>
  <c r="P48" i="6"/>
  <c r="Q48" i="6"/>
  <c r="R48" i="6"/>
  <c r="S48" i="6"/>
  <c r="T48" i="6"/>
  <c r="U48" i="6"/>
  <c r="A49" i="6"/>
  <c r="B49" i="6"/>
  <c r="C49" i="6"/>
  <c r="D49" i="6"/>
  <c r="E49" i="6"/>
  <c r="F49" i="6"/>
  <c r="G49" i="6"/>
  <c r="H49" i="6"/>
  <c r="I49" i="6"/>
  <c r="J49" i="6"/>
  <c r="K49" i="6"/>
  <c r="L49" i="6"/>
  <c r="N49" i="6"/>
  <c r="O49" i="6"/>
  <c r="P49" i="6"/>
  <c r="Q49" i="6"/>
  <c r="R49" i="6"/>
  <c r="S49" i="6"/>
  <c r="T49" i="6"/>
  <c r="U49" i="6"/>
  <c r="A50" i="6"/>
  <c r="B50" i="6"/>
  <c r="C50" i="6"/>
  <c r="D50" i="6"/>
  <c r="E50" i="6"/>
  <c r="F50" i="6"/>
  <c r="G50" i="6"/>
  <c r="H50" i="6"/>
  <c r="I50" i="6"/>
  <c r="J50" i="6"/>
  <c r="K50" i="6"/>
  <c r="L50" i="6"/>
  <c r="N50" i="6"/>
  <c r="O50" i="6"/>
  <c r="P50" i="6"/>
  <c r="Q50" i="6"/>
  <c r="R50" i="6"/>
  <c r="S50" i="6"/>
  <c r="T50" i="6"/>
  <c r="U50" i="6"/>
  <c r="A51" i="6"/>
  <c r="B51" i="6"/>
  <c r="C51" i="6"/>
  <c r="D51" i="6"/>
  <c r="E51" i="6"/>
  <c r="F51" i="6"/>
  <c r="G51" i="6"/>
  <c r="H51" i="6"/>
  <c r="I51" i="6"/>
  <c r="J51" i="6"/>
  <c r="K51" i="6"/>
  <c r="L51" i="6"/>
  <c r="N51" i="6"/>
  <c r="O51" i="6"/>
  <c r="P51" i="6"/>
  <c r="Q51" i="6"/>
  <c r="R51" i="6"/>
  <c r="S51" i="6"/>
  <c r="T51" i="6"/>
  <c r="U51" i="6"/>
  <c r="A52" i="6"/>
  <c r="B52" i="6"/>
  <c r="C52" i="6"/>
  <c r="D52" i="6"/>
  <c r="E52" i="6"/>
  <c r="F52" i="6"/>
  <c r="G52" i="6"/>
  <c r="H52" i="6"/>
  <c r="I52" i="6"/>
  <c r="J52" i="6"/>
  <c r="K52" i="6"/>
  <c r="L52" i="6"/>
  <c r="N52" i="6"/>
  <c r="O52" i="6"/>
  <c r="P52" i="6"/>
  <c r="Q52" i="6"/>
  <c r="R52" i="6"/>
  <c r="S52" i="6"/>
  <c r="T52" i="6"/>
  <c r="U52" i="6"/>
  <c r="A53" i="6"/>
  <c r="B53" i="6"/>
  <c r="C53" i="6"/>
  <c r="D53" i="6"/>
  <c r="E53" i="6"/>
  <c r="F53" i="6"/>
  <c r="G53" i="6"/>
  <c r="H53" i="6"/>
  <c r="I53" i="6"/>
  <c r="J53" i="6"/>
  <c r="K53" i="6"/>
  <c r="L53" i="6"/>
  <c r="N53" i="6"/>
  <c r="O53" i="6"/>
  <c r="P53" i="6"/>
  <c r="Q53" i="6"/>
  <c r="R53" i="6"/>
  <c r="S53" i="6"/>
  <c r="T53" i="6"/>
  <c r="U53" i="6"/>
  <c r="A54" i="6"/>
  <c r="B54" i="6"/>
  <c r="C54" i="6"/>
  <c r="D54" i="6"/>
  <c r="E54" i="6"/>
  <c r="F54" i="6"/>
  <c r="G54" i="6"/>
  <c r="H54" i="6"/>
  <c r="I54" i="6"/>
  <c r="J54" i="6"/>
  <c r="K54" i="6"/>
  <c r="L54" i="6"/>
  <c r="N54" i="6"/>
  <c r="O54" i="6"/>
  <c r="P54" i="6"/>
  <c r="Q54" i="6"/>
  <c r="R54" i="6"/>
  <c r="S54" i="6"/>
  <c r="T54" i="6"/>
  <c r="U54" i="6"/>
  <c r="A55" i="6"/>
  <c r="B55" i="6"/>
  <c r="C55" i="6"/>
  <c r="D55" i="6"/>
  <c r="E55" i="6"/>
  <c r="F55" i="6"/>
  <c r="G55" i="6"/>
  <c r="H55" i="6"/>
  <c r="I55" i="6"/>
  <c r="J55" i="6"/>
  <c r="K55" i="6"/>
  <c r="L55" i="6"/>
  <c r="N55" i="6"/>
  <c r="O55" i="6"/>
  <c r="P55" i="6"/>
  <c r="Q55" i="6"/>
  <c r="R55" i="6"/>
  <c r="S55" i="6"/>
  <c r="T55" i="6"/>
  <c r="U55" i="6"/>
  <c r="A56" i="6"/>
  <c r="B56" i="6"/>
  <c r="C56" i="6"/>
  <c r="D56" i="6"/>
  <c r="E56" i="6"/>
  <c r="F56" i="6"/>
  <c r="G56" i="6"/>
  <c r="H56" i="6"/>
  <c r="I56" i="6"/>
  <c r="J56" i="6"/>
  <c r="K56" i="6"/>
  <c r="L56" i="6"/>
  <c r="N56" i="6"/>
  <c r="O56" i="6"/>
  <c r="P56" i="6"/>
  <c r="Q56" i="6"/>
  <c r="R56" i="6"/>
  <c r="S56" i="6"/>
  <c r="T56" i="6"/>
  <c r="U56" i="6"/>
  <c r="A57" i="6"/>
  <c r="B57" i="6"/>
  <c r="C57" i="6"/>
  <c r="D57" i="6"/>
  <c r="E57" i="6"/>
  <c r="F57" i="6"/>
  <c r="G57" i="6"/>
  <c r="H57" i="6"/>
  <c r="I57" i="6"/>
  <c r="J57" i="6"/>
  <c r="K57" i="6"/>
  <c r="L57" i="6"/>
  <c r="N57" i="6"/>
  <c r="O57" i="6"/>
  <c r="P57" i="6"/>
  <c r="Q57" i="6"/>
  <c r="R57" i="6"/>
  <c r="S57" i="6"/>
  <c r="T57" i="6"/>
  <c r="U57" i="6"/>
  <c r="A58" i="6"/>
  <c r="B58" i="6"/>
  <c r="C58" i="6"/>
  <c r="D58" i="6"/>
  <c r="E58" i="6"/>
  <c r="F58" i="6"/>
  <c r="G58" i="6"/>
  <c r="H58" i="6"/>
  <c r="I58" i="6"/>
  <c r="J58" i="6"/>
  <c r="K58" i="6"/>
  <c r="L58" i="6"/>
  <c r="N58" i="6"/>
  <c r="O58" i="6"/>
  <c r="P58" i="6"/>
  <c r="Q58" i="6"/>
  <c r="R58" i="6"/>
  <c r="S58" i="6"/>
  <c r="T58" i="6"/>
  <c r="U58" i="6"/>
  <c r="A59" i="6"/>
  <c r="B59" i="6"/>
  <c r="C59" i="6"/>
  <c r="D59" i="6"/>
  <c r="E59" i="6"/>
  <c r="F59" i="6"/>
  <c r="G59" i="6"/>
  <c r="H59" i="6"/>
  <c r="I59" i="6"/>
  <c r="J59" i="6"/>
  <c r="K59" i="6"/>
  <c r="L59" i="6"/>
  <c r="N59" i="6"/>
  <c r="O59" i="6"/>
  <c r="P59" i="6"/>
  <c r="Q59" i="6"/>
  <c r="R59" i="6"/>
  <c r="S59" i="6"/>
  <c r="T59" i="6"/>
  <c r="U59" i="6"/>
  <c r="A60" i="6"/>
  <c r="B60" i="6"/>
  <c r="C60" i="6"/>
  <c r="D60" i="6"/>
  <c r="E60" i="6"/>
  <c r="F60" i="6"/>
  <c r="G60" i="6"/>
  <c r="H60" i="6"/>
  <c r="I60" i="6"/>
  <c r="J60" i="6"/>
  <c r="K60" i="6"/>
  <c r="L60" i="6"/>
  <c r="N60" i="6"/>
  <c r="O60" i="6"/>
  <c r="P60" i="6"/>
  <c r="Q60" i="6"/>
  <c r="R60" i="6"/>
  <c r="S60" i="6"/>
  <c r="T60" i="6"/>
  <c r="U60" i="6"/>
  <c r="A61" i="6"/>
  <c r="B61" i="6"/>
  <c r="C61" i="6"/>
  <c r="D61" i="6"/>
  <c r="E61" i="6"/>
  <c r="F61" i="6"/>
  <c r="G61" i="6"/>
  <c r="H61" i="6"/>
  <c r="I61" i="6"/>
  <c r="J61" i="6"/>
  <c r="K61" i="6"/>
  <c r="L61" i="6"/>
  <c r="N61" i="6"/>
  <c r="O61" i="6"/>
  <c r="P61" i="6"/>
  <c r="Q61" i="6"/>
  <c r="R61" i="6"/>
  <c r="S61" i="6"/>
  <c r="T61" i="6"/>
  <c r="U61" i="6"/>
  <c r="A62" i="6"/>
  <c r="B62" i="6"/>
  <c r="C62" i="6"/>
  <c r="D62" i="6"/>
  <c r="E62" i="6"/>
  <c r="F62" i="6"/>
  <c r="G62" i="6"/>
  <c r="H62" i="6"/>
  <c r="I62" i="6"/>
  <c r="J62" i="6"/>
  <c r="K62" i="6"/>
  <c r="L62" i="6"/>
  <c r="N62" i="6"/>
  <c r="O62" i="6"/>
  <c r="P62" i="6"/>
  <c r="Q62" i="6"/>
  <c r="R62" i="6"/>
  <c r="S62" i="6"/>
  <c r="T62" i="6"/>
  <c r="U62" i="6"/>
  <c r="A63" i="6"/>
  <c r="B63" i="6"/>
  <c r="C63" i="6"/>
  <c r="D63" i="6"/>
  <c r="E63" i="6"/>
  <c r="F63" i="6"/>
  <c r="G63" i="6"/>
  <c r="H63" i="6"/>
  <c r="I63" i="6"/>
  <c r="J63" i="6"/>
  <c r="K63" i="6"/>
  <c r="L63" i="6"/>
  <c r="N63" i="6"/>
  <c r="O63" i="6"/>
  <c r="P63" i="6"/>
  <c r="Q63" i="6"/>
  <c r="R63" i="6"/>
  <c r="S63" i="6"/>
  <c r="T63" i="6"/>
  <c r="U63" i="6"/>
  <c r="A64" i="6"/>
  <c r="B64" i="6"/>
  <c r="C64" i="6"/>
  <c r="D64" i="6"/>
  <c r="E64" i="6"/>
  <c r="F64" i="6"/>
  <c r="G64" i="6"/>
  <c r="H64" i="6"/>
  <c r="I64" i="6"/>
  <c r="J64" i="6"/>
  <c r="K64" i="6"/>
  <c r="L64" i="6"/>
  <c r="N64" i="6"/>
  <c r="O64" i="6"/>
  <c r="P64" i="6"/>
  <c r="Q64" i="6"/>
  <c r="R64" i="6"/>
  <c r="S64" i="6"/>
  <c r="T64" i="6"/>
  <c r="U64" i="6"/>
  <c r="A65" i="6"/>
  <c r="B65" i="6"/>
  <c r="C65" i="6"/>
  <c r="D65" i="6"/>
  <c r="E65" i="6"/>
  <c r="F65" i="6"/>
  <c r="G65" i="6"/>
  <c r="H65" i="6"/>
  <c r="I65" i="6"/>
  <c r="J65" i="6"/>
  <c r="K65" i="6"/>
  <c r="L65" i="6"/>
  <c r="N65" i="6"/>
  <c r="O65" i="6"/>
  <c r="P65" i="6"/>
  <c r="Q65" i="6"/>
  <c r="R65" i="6"/>
  <c r="S65" i="6"/>
  <c r="T65" i="6"/>
  <c r="U65" i="6"/>
  <c r="A66" i="6"/>
  <c r="B66" i="6"/>
  <c r="C66" i="6"/>
  <c r="D66" i="6"/>
  <c r="E66" i="6"/>
  <c r="F66" i="6"/>
  <c r="G66" i="6"/>
  <c r="H66" i="6"/>
  <c r="I66" i="6"/>
  <c r="J66" i="6"/>
  <c r="K66" i="6"/>
  <c r="L66" i="6"/>
  <c r="N66" i="6"/>
  <c r="O66" i="6"/>
  <c r="P66" i="6"/>
  <c r="Q66" i="6"/>
  <c r="R66" i="6"/>
  <c r="S66" i="6"/>
  <c r="T66" i="6"/>
  <c r="U66" i="6"/>
  <c r="A67" i="6"/>
  <c r="B67" i="6"/>
  <c r="C67" i="6"/>
  <c r="D67" i="6"/>
  <c r="E67" i="6"/>
  <c r="F67" i="6"/>
  <c r="G67" i="6"/>
  <c r="H67" i="6"/>
  <c r="I67" i="6"/>
  <c r="J67" i="6"/>
  <c r="K67" i="6"/>
  <c r="L67" i="6"/>
  <c r="N67" i="6"/>
  <c r="O67" i="6"/>
  <c r="P67" i="6"/>
  <c r="Q67" i="6"/>
  <c r="R67" i="6"/>
  <c r="S67" i="6"/>
  <c r="T67" i="6"/>
  <c r="U67" i="6"/>
  <c r="A68" i="6"/>
  <c r="B68" i="6"/>
  <c r="C68" i="6"/>
  <c r="D68" i="6"/>
  <c r="E68" i="6"/>
  <c r="F68" i="6"/>
  <c r="G68" i="6"/>
  <c r="H68" i="6"/>
  <c r="I68" i="6"/>
  <c r="J68" i="6"/>
  <c r="K68" i="6"/>
  <c r="L68" i="6"/>
  <c r="N68" i="6"/>
  <c r="O68" i="6"/>
  <c r="P68" i="6"/>
  <c r="Q68" i="6"/>
  <c r="R68" i="6"/>
  <c r="S68" i="6"/>
  <c r="T68" i="6"/>
  <c r="U68" i="6"/>
  <c r="A69" i="6"/>
  <c r="B69" i="6"/>
  <c r="C69" i="6"/>
  <c r="D69" i="6"/>
  <c r="E69" i="6"/>
  <c r="F69" i="6"/>
  <c r="G69" i="6"/>
  <c r="H69" i="6"/>
  <c r="I69" i="6"/>
  <c r="J69" i="6"/>
  <c r="K69" i="6"/>
  <c r="L69" i="6"/>
  <c r="N69" i="6"/>
  <c r="O69" i="6"/>
  <c r="P69" i="6"/>
  <c r="Q69" i="6"/>
  <c r="R69" i="6"/>
  <c r="S69" i="6"/>
  <c r="T69" i="6"/>
  <c r="U69" i="6"/>
  <c r="A70" i="6"/>
  <c r="B70" i="6"/>
  <c r="C70" i="6"/>
  <c r="D70" i="6"/>
  <c r="E70" i="6"/>
  <c r="F70" i="6"/>
  <c r="G70" i="6"/>
  <c r="H70" i="6"/>
  <c r="I70" i="6"/>
  <c r="J70" i="6"/>
  <c r="K70" i="6"/>
  <c r="L70" i="6"/>
  <c r="N70" i="6"/>
  <c r="O70" i="6"/>
  <c r="P70" i="6"/>
  <c r="Q70" i="6"/>
  <c r="R70" i="6"/>
  <c r="S70" i="6"/>
  <c r="T70" i="6"/>
  <c r="U70" i="6"/>
  <c r="A71" i="6"/>
  <c r="B71" i="6"/>
  <c r="C71" i="6"/>
  <c r="D71" i="6"/>
  <c r="E71" i="6"/>
  <c r="F71" i="6"/>
  <c r="G71" i="6"/>
  <c r="H71" i="6"/>
  <c r="I71" i="6"/>
  <c r="J71" i="6"/>
  <c r="K71" i="6"/>
  <c r="L71" i="6"/>
  <c r="N71" i="6"/>
  <c r="O71" i="6"/>
  <c r="P71" i="6"/>
  <c r="Q71" i="6"/>
  <c r="R71" i="6"/>
  <c r="S71" i="6"/>
  <c r="T71" i="6"/>
  <c r="U71" i="6"/>
  <c r="A72" i="6"/>
  <c r="B72" i="6"/>
  <c r="C72" i="6"/>
  <c r="D72" i="6"/>
  <c r="E72" i="6"/>
  <c r="F72" i="6"/>
  <c r="G72" i="6"/>
  <c r="H72" i="6"/>
  <c r="I72" i="6"/>
  <c r="J72" i="6"/>
  <c r="K72" i="6"/>
  <c r="L72" i="6"/>
  <c r="N72" i="6"/>
  <c r="O72" i="6"/>
  <c r="P72" i="6"/>
  <c r="Q72" i="6"/>
  <c r="R72" i="6"/>
  <c r="S72" i="6"/>
  <c r="T72" i="6"/>
  <c r="U72" i="6"/>
  <c r="A73" i="6"/>
  <c r="B73" i="6"/>
  <c r="C73" i="6"/>
  <c r="D73" i="6"/>
  <c r="E73" i="6"/>
  <c r="F73" i="6"/>
  <c r="G73" i="6"/>
  <c r="H73" i="6"/>
  <c r="I73" i="6"/>
  <c r="J73" i="6"/>
  <c r="K73" i="6"/>
  <c r="L73" i="6"/>
  <c r="N73" i="6"/>
  <c r="O73" i="6"/>
  <c r="P73" i="6"/>
  <c r="Q73" i="6"/>
  <c r="R73" i="6"/>
  <c r="S73" i="6"/>
  <c r="T73" i="6"/>
  <c r="U73" i="6"/>
  <c r="A74" i="6"/>
  <c r="B74" i="6"/>
  <c r="C74" i="6"/>
  <c r="D74" i="6"/>
  <c r="E74" i="6"/>
  <c r="F74" i="6"/>
  <c r="G74" i="6"/>
  <c r="H74" i="6"/>
  <c r="I74" i="6"/>
  <c r="J74" i="6"/>
  <c r="K74" i="6"/>
  <c r="L74" i="6"/>
  <c r="N74" i="6"/>
  <c r="O74" i="6"/>
  <c r="P74" i="6"/>
  <c r="Q74" i="6"/>
  <c r="R74" i="6"/>
  <c r="S74" i="6"/>
  <c r="T74" i="6"/>
  <c r="U74" i="6"/>
  <c r="A75" i="6"/>
  <c r="B75" i="6"/>
  <c r="C75" i="6"/>
  <c r="D75" i="6"/>
  <c r="E75" i="6"/>
  <c r="F75" i="6"/>
  <c r="G75" i="6"/>
  <c r="H75" i="6"/>
  <c r="I75" i="6"/>
  <c r="J75" i="6"/>
  <c r="K75" i="6"/>
  <c r="L75" i="6"/>
  <c r="N75" i="6"/>
  <c r="O75" i="6"/>
  <c r="P75" i="6"/>
  <c r="Q75" i="6"/>
  <c r="R75" i="6"/>
  <c r="S75" i="6"/>
  <c r="T75" i="6"/>
  <c r="U75" i="6"/>
  <c r="A76" i="6"/>
  <c r="B76" i="6"/>
  <c r="C76" i="6"/>
  <c r="D76" i="6"/>
  <c r="E76" i="6"/>
  <c r="F76" i="6"/>
  <c r="G76" i="6"/>
  <c r="H76" i="6"/>
  <c r="I76" i="6"/>
  <c r="J76" i="6"/>
  <c r="K76" i="6"/>
  <c r="L76" i="6"/>
  <c r="N76" i="6"/>
  <c r="O76" i="6"/>
  <c r="P76" i="6"/>
  <c r="Q76" i="6"/>
  <c r="R76" i="6"/>
  <c r="S76" i="6"/>
  <c r="T76" i="6"/>
  <c r="U76" i="6"/>
  <c r="A77" i="6"/>
  <c r="B77" i="6"/>
  <c r="C77" i="6"/>
  <c r="D77" i="6"/>
  <c r="E77" i="6"/>
  <c r="F77" i="6"/>
  <c r="G77" i="6"/>
  <c r="H77" i="6"/>
  <c r="I77" i="6"/>
  <c r="J77" i="6"/>
  <c r="K77" i="6"/>
  <c r="L77" i="6"/>
  <c r="N77" i="6"/>
  <c r="O77" i="6"/>
  <c r="P77" i="6"/>
  <c r="Q77" i="6"/>
  <c r="R77" i="6"/>
  <c r="S77" i="6"/>
  <c r="T77" i="6"/>
  <c r="U77" i="6"/>
  <c r="A78" i="6"/>
  <c r="B78" i="6"/>
  <c r="C78" i="6"/>
  <c r="D78" i="6"/>
  <c r="E78" i="6"/>
  <c r="F78" i="6"/>
  <c r="G78" i="6"/>
  <c r="H78" i="6"/>
  <c r="I78" i="6"/>
  <c r="J78" i="6"/>
  <c r="K78" i="6"/>
  <c r="L78" i="6"/>
  <c r="N78" i="6"/>
  <c r="O78" i="6"/>
  <c r="P78" i="6"/>
  <c r="Q78" i="6"/>
  <c r="R78" i="6"/>
  <c r="S78" i="6"/>
  <c r="T78" i="6"/>
  <c r="U78" i="6"/>
  <c r="A79" i="6"/>
  <c r="B79" i="6"/>
  <c r="C79" i="6"/>
  <c r="D79" i="6"/>
  <c r="E79" i="6"/>
  <c r="F79" i="6"/>
  <c r="G79" i="6"/>
  <c r="H79" i="6"/>
  <c r="I79" i="6"/>
  <c r="J79" i="6"/>
  <c r="K79" i="6"/>
  <c r="L79" i="6"/>
  <c r="N79" i="6"/>
  <c r="O79" i="6"/>
  <c r="P79" i="6"/>
  <c r="Q79" i="6"/>
  <c r="R79" i="6"/>
  <c r="S79" i="6"/>
  <c r="T79" i="6"/>
  <c r="U79" i="6"/>
  <c r="A80" i="6"/>
  <c r="B80" i="6"/>
  <c r="C80" i="6"/>
  <c r="D80" i="6"/>
  <c r="E80" i="6"/>
  <c r="F80" i="6"/>
  <c r="G80" i="6"/>
  <c r="H80" i="6"/>
  <c r="I80" i="6"/>
  <c r="J80" i="6"/>
  <c r="K80" i="6"/>
  <c r="L80" i="6"/>
  <c r="N80" i="6"/>
  <c r="O80" i="6"/>
  <c r="P80" i="6"/>
  <c r="Q80" i="6"/>
  <c r="R80" i="6"/>
  <c r="S80" i="6"/>
  <c r="T80" i="6"/>
  <c r="U80" i="6"/>
  <c r="A81" i="6"/>
  <c r="B81" i="6"/>
  <c r="C81" i="6"/>
  <c r="D81" i="6"/>
  <c r="E81" i="6"/>
  <c r="F81" i="6"/>
  <c r="G81" i="6"/>
  <c r="H81" i="6"/>
  <c r="I81" i="6"/>
  <c r="J81" i="6"/>
  <c r="K81" i="6"/>
  <c r="L81" i="6"/>
  <c r="N81" i="6"/>
  <c r="O81" i="6"/>
  <c r="P81" i="6"/>
  <c r="Q81" i="6"/>
  <c r="R81" i="6"/>
  <c r="S81" i="6"/>
  <c r="T81" i="6"/>
  <c r="U81" i="6"/>
  <c r="A82" i="6"/>
  <c r="B82" i="6"/>
  <c r="C82" i="6"/>
  <c r="D82" i="6"/>
  <c r="E82" i="6"/>
  <c r="F82" i="6"/>
  <c r="G82" i="6"/>
  <c r="H82" i="6"/>
  <c r="I82" i="6"/>
  <c r="J82" i="6"/>
  <c r="K82" i="6"/>
  <c r="L82" i="6"/>
  <c r="N82" i="6"/>
  <c r="O82" i="6"/>
  <c r="P82" i="6"/>
  <c r="Q82" i="6"/>
  <c r="R82" i="6"/>
  <c r="S82" i="6"/>
  <c r="T82" i="6"/>
  <c r="U82" i="6"/>
  <c r="A83" i="6"/>
  <c r="B83" i="6"/>
  <c r="C83" i="6"/>
  <c r="D83" i="6"/>
  <c r="E83" i="6"/>
  <c r="F83" i="6"/>
  <c r="G83" i="6"/>
  <c r="H83" i="6"/>
  <c r="I83" i="6"/>
  <c r="J83" i="6"/>
  <c r="K83" i="6"/>
  <c r="L83" i="6"/>
  <c r="N83" i="6"/>
  <c r="O83" i="6"/>
  <c r="P83" i="6"/>
  <c r="Q83" i="6"/>
  <c r="R83" i="6"/>
  <c r="S83" i="6"/>
  <c r="T83" i="6"/>
  <c r="U83" i="6"/>
  <c r="A84" i="6"/>
  <c r="B84" i="6"/>
  <c r="C84" i="6"/>
  <c r="D84" i="6"/>
  <c r="E84" i="6"/>
  <c r="F84" i="6"/>
  <c r="G84" i="6"/>
  <c r="H84" i="6"/>
  <c r="I84" i="6"/>
  <c r="J84" i="6"/>
  <c r="K84" i="6"/>
  <c r="L84" i="6"/>
  <c r="N84" i="6"/>
  <c r="O84" i="6"/>
  <c r="P84" i="6"/>
  <c r="Q84" i="6"/>
  <c r="R84" i="6"/>
  <c r="S84" i="6"/>
  <c r="T84" i="6"/>
  <c r="U84" i="6"/>
  <c r="A85" i="6"/>
  <c r="B85" i="6"/>
  <c r="C85" i="6"/>
  <c r="D85" i="6"/>
  <c r="E85" i="6"/>
  <c r="F85" i="6"/>
  <c r="G85" i="6"/>
  <c r="H85" i="6"/>
  <c r="I85" i="6"/>
  <c r="J85" i="6"/>
  <c r="K85" i="6"/>
  <c r="L85" i="6"/>
  <c r="N85" i="6"/>
  <c r="O85" i="6"/>
  <c r="P85" i="6"/>
  <c r="Q85" i="6"/>
  <c r="R85" i="6"/>
  <c r="S85" i="6"/>
  <c r="T85" i="6"/>
  <c r="U85" i="6"/>
  <c r="A86" i="6"/>
  <c r="B86" i="6"/>
  <c r="C86" i="6"/>
  <c r="D86" i="6"/>
  <c r="E86" i="6"/>
  <c r="F86" i="6"/>
  <c r="G86" i="6"/>
  <c r="H86" i="6"/>
  <c r="I86" i="6"/>
  <c r="J86" i="6"/>
  <c r="K86" i="6"/>
  <c r="L86" i="6"/>
  <c r="N86" i="6"/>
  <c r="O86" i="6"/>
  <c r="P86" i="6"/>
  <c r="Q86" i="6"/>
  <c r="R86" i="6"/>
  <c r="S86" i="6"/>
  <c r="T86" i="6"/>
  <c r="U86" i="6"/>
  <c r="A87" i="6"/>
  <c r="B87" i="6"/>
  <c r="C87" i="6"/>
  <c r="D87" i="6"/>
  <c r="E87" i="6"/>
  <c r="F87" i="6"/>
  <c r="G87" i="6"/>
  <c r="H87" i="6"/>
  <c r="I87" i="6"/>
  <c r="J87" i="6"/>
  <c r="K87" i="6"/>
  <c r="L87" i="6"/>
  <c r="N87" i="6"/>
  <c r="O87" i="6"/>
  <c r="P87" i="6"/>
  <c r="Q87" i="6"/>
  <c r="R87" i="6"/>
  <c r="S87" i="6"/>
  <c r="T87" i="6"/>
  <c r="U87" i="6"/>
  <c r="A88" i="6"/>
  <c r="B88" i="6"/>
  <c r="C88" i="6"/>
  <c r="D88" i="6"/>
  <c r="E88" i="6"/>
  <c r="F88" i="6"/>
  <c r="G88" i="6"/>
  <c r="H88" i="6"/>
  <c r="I88" i="6"/>
  <c r="J88" i="6"/>
  <c r="K88" i="6"/>
  <c r="L88" i="6"/>
  <c r="N88" i="6"/>
  <c r="O88" i="6"/>
  <c r="P88" i="6"/>
  <c r="Q88" i="6"/>
  <c r="R88" i="6"/>
  <c r="S88" i="6"/>
  <c r="T88" i="6"/>
  <c r="U88" i="6"/>
  <c r="A89" i="6"/>
  <c r="B89" i="6"/>
  <c r="C89" i="6"/>
  <c r="D89" i="6"/>
  <c r="E89" i="6"/>
  <c r="F89" i="6"/>
  <c r="G89" i="6"/>
  <c r="H89" i="6"/>
  <c r="I89" i="6"/>
  <c r="J89" i="6"/>
  <c r="K89" i="6"/>
  <c r="L89" i="6"/>
  <c r="N89" i="6"/>
  <c r="O89" i="6"/>
  <c r="P89" i="6"/>
  <c r="Q89" i="6"/>
  <c r="R89" i="6"/>
  <c r="S89" i="6"/>
  <c r="T89" i="6"/>
  <c r="U89" i="6"/>
  <c r="A90" i="6"/>
  <c r="B90" i="6"/>
  <c r="C90" i="6"/>
  <c r="D90" i="6"/>
  <c r="E90" i="6"/>
  <c r="F90" i="6"/>
  <c r="G90" i="6"/>
  <c r="H90" i="6"/>
  <c r="I90" i="6"/>
  <c r="J90" i="6"/>
  <c r="K90" i="6"/>
  <c r="L90" i="6"/>
  <c r="N90" i="6"/>
  <c r="O90" i="6"/>
  <c r="P90" i="6"/>
  <c r="Q90" i="6"/>
  <c r="R90" i="6"/>
  <c r="S90" i="6"/>
  <c r="T90" i="6"/>
  <c r="U90" i="6"/>
  <c r="A91" i="6"/>
  <c r="B91" i="6"/>
  <c r="C91" i="6"/>
  <c r="D91" i="6"/>
  <c r="E91" i="6"/>
  <c r="F91" i="6"/>
  <c r="G91" i="6"/>
  <c r="H91" i="6"/>
  <c r="I91" i="6"/>
  <c r="J91" i="6"/>
  <c r="K91" i="6"/>
  <c r="L91" i="6"/>
  <c r="N91" i="6"/>
  <c r="O91" i="6"/>
  <c r="P91" i="6"/>
  <c r="Q91" i="6"/>
  <c r="R91" i="6"/>
  <c r="S91" i="6"/>
  <c r="T91" i="6"/>
  <c r="U91" i="6"/>
  <c r="A92" i="6"/>
  <c r="B92" i="6"/>
  <c r="C92" i="6"/>
  <c r="D92" i="6"/>
  <c r="E92" i="6"/>
  <c r="F92" i="6"/>
  <c r="G92" i="6"/>
  <c r="H92" i="6"/>
  <c r="I92" i="6"/>
  <c r="J92" i="6"/>
  <c r="K92" i="6"/>
  <c r="L92" i="6"/>
  <c r="N92" i="6"/>
  <c r="O92" i="6"/>
  <c r="P92" i="6"/>
  <c r="Q92" i="6"/>
  <c r="R92" i="6"/>
  <c r="S92" i="6"/>
  <c r="T92" i="6"/>
  <c r="U92" i="6"/>
  <c r="A93" i="6"/>
  <c r="B93" i="6"/>
  <c r="C93" i="6"/>
  <c r="D93" i="6"/>
  <c r="E93" i="6"/>
  <c r="F93" i="6"/>
  <c r="G93" i="6"/>
  <c r="H93" i="6"/>
  <c r="I93" i="6"/>
  <c r="J93" i="6"/>
  <c r="K93" i="6"/>
  <c r="L93" i="6"/>
  <c r="N93" i="6"/>
  <c r="O93" i="6"/>
  <c r="P93" i="6"/>
  <c r="Q93" i="6"/>
  <c r="R93" i="6"/>
  <c r="S93" i="6"/>
  <c r="T93" i="6"/>
  <c r="U93" i="6"/>
  <c r="A94" i="6"/>
  <c r="B94" i="6"/>
  <c r="C94" i="6"/>
  <c r="D94" i="6"/>
  <c r="E94" i="6"/>
  <c r="F94" i="6"/>
  <c r="G94" i="6"/>
  <c r="H94" i="6"/>
  <c r="I94" i="6"/>
  <c r="J94" i="6"/>
  <c r="K94" i="6"/>
  <c r="L94" i="6"/>
  <c r="N94" i="6"/>
  <c r="O94" i="6"/>
  <c r="P94" i="6"/>
  <c r="Q94" i="6"/>
  <c r="R94" i="6"/>
  <c r="S94" i="6"/>
  <c r="T94" i="6"/>
  <c r="U94" i="6"/>
  <c r="A95" i="6"/>
  <c r="B95" i="6"/>
  <c r="C95" i="6"/>
  <c r="D95" i="6"/>
  <c r="E95" i="6"/>
  <c r="F95" i="6"/>
  <c r="G95" i="6"/>
  <c r="H95" i="6"/>
  <c r="I95" i="6"/>
  <c r="J95" i="6"/>
  <c r="K95" i="6"/>
  <c r="L95" i="6"/>
  <c r="N95" i="6"/>
  <c r="O95" i="6"/>
  <c r="P95" i="6"/>
  <c r="Q95" i="6"/>
  <c r="R95" i="6"/>
  <c r="S95" i="6"/>
  <c r="T95" i="6"/>
  <c r="U95" i="6"/>
  <c r="A96" i="6"/>
  <c r="B96" i="6"/>
  <c r="C96" i="6"/>
  <c r="D96" i="6"/>
  <c r="E96" i="6"/>
  <c r="F96" i="6"/>
  <c r="G96" i="6"/>
  <c r="H96" i="6"/>
  <c r="I96" i="6"/>
  <c r="J96" i="6"/>
  <c r="K96" i="6"/>
  <c r="L96" i="6"/>
  <c r="N96" i="6"/>
  <c r="O96" i="6"/>
  <c r="P96" i="6"/>
  <c r="Q96" i="6"/>
  <c r="R96" i="6"/>
  <c r="S96" i="6"/>
  <c r="T96" i="6"/>
  <c r="U96" i="6"/>
  <c r="A97" i="6"/>
  <c r="B97" i="6"/>
  <c r="C97" i="6"/>
  <c r="D97" i="6"/>
  <c r="E97" i="6"/>
  <c r="F97" i="6"/>
  <c r="G97" i="6"/>
  <c r="H97" i="6"/>
  <c r="I97" i="6"/>
  <c r="J97" i="6"/>
  <c r="K97" i="6"/>
  <c r="L97" i="6"/>
  <c r="N97" i="6"/>
  <c r="O97" i="6"/>
  <c r="P97" i="6"/>
  <c r="Q97" i="6"/>
  <c r="R97" i="6"/>
  <c r="S97" i="6"/>
  <c r="T97" i="6"/>
  <c r="U97" i="6"/>
  <c r="A98" i="6"/>
  <c r="B98" i="6"/>
  <c r="C98" i="6"/>
  <c r="D98" i="6"/>
  <c r="E98" i="6"/>
  <c r="F98" i="6"/>
  <c r="G98" i="6"/>
  <c r="H98" i="6"/>
  <c r="I98" i="6"/>
  <c r="J98" i="6"/>
  <c r="K98" i="6"/>
  <c r="L98" i="6"/>
  <c r="N98" i="6"/>
  <c r="O98" i="6"/>
  <c r="P98" i="6"/>
  <c r="Q98" i="6"/>
  <c r="R98" i="6"/>
  <c r="S98" i="6"/>
  <c r="T98" i="6"/>
  <c r="U98" i="6"/>
  <c r="A99" i="6"/>
  <c r="B99" i="6"/>
  <c r="C99" i="6"/>
  <c r="D99" i="6"/>
  <c r="E99" i="6"/>
  <c r="F99" i="6"/>
  <c r="G99" i="6"/>
  <c r="H99" i="6"/>
  <c r="I99" i="6"/>
  <c r="J99" i="6"/>
  <c r="K99" i="6"/>
  <c r="L99" i="6"/>
  <c r="N99" i="6"/>
  <c r="O99" i="6"/>
  <c r="P99" i="6"/>
  <c r="Q99" i="6"/>
  <c r="R99" i="6"/>
  <c r="S99" i="6"/>
  <c r="T99" i="6"/>
  <c r="U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N100" i="6"/>
  <c r="O100" i="6"/>
  <c r="P100" i="6"/>
  <c r="Q100" i="6"/>
  <c r="R100" i="6"/>
  <c r="S100" i="6"/>
  <c r="T100" i="6"/>
  <c r="U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N101" i="6"/>
  <c r="O101" i="6"/>
  <c r="P101" i="6"/>
  <c r="Q101" i="6"/>
  <c r="R101" i="6"/>
  <c r="S101" i="6"/>
  <c r="T101" i="6"/>
  <c r="U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N102" i="6"/>
  <c r="O102" i="6"/>
  <c r="P102" i="6"/>
  <c r="Q102" i="6"/>
  <c r="R102" i="6"/>
  <c r="S102" i="6"/>
  <c r="T102" i="6"/>
  <c r="U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N103" i="6"/>
  <c r="O103" i="6"/>
  <c r="P103" i="6"/>
  <c r="Q103" i="6"/>
  <c r="R103" i="6"/>
  <c r="S103" i="6"/>
  <c r="T103" i="6"/>
  <c r="U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N104" i="6"/>
  <c r="O104" i="6"/>
  <c r="P104" i="6"/>
  <c r="Q104" i="6"/>
  <c r="R104" i="6"/>
  <c r="S104" i="6"/>
  <c r="T104" i="6"/>
  <c r="U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N105" i="6"/>
  <c r="O105" i="6"/>
  <c r="P105" i="6"/>
  <c r="Q105" i="6"/>
  <c r="R105" i="6"/>
  <c r="S105" i="6"/>
  <c r="T105" i="6"/>
  <c r="U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N106" i="6"/>
  <c r="O106" i="6"/>
  <c r="P106" i="6"/>
  <c r="Q106" i="6"/>
  <c r="R106" i="6"/>
  <c r="S106" i="6"/>
  <c r="T106" i="6"/>
  <c r="U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N107" i="6"/>
  <c r="O107" i="6"/>
  <c r="P107" i="6"/>
  <c r="Q107" i="6"/>
  <c r="R107" i="6"/>
  <c r="S107" i="6"/>
  <c r="T107" i="6"/>
  <c r="U107" i="6"/>
  <c r="A108" i="6"/>
  <c r="B108" i="6"/>
  <c r="C108" i="6"/>
  <c r="D108" i="6"/>
  <c r="E108" i="6"/>
  <c r="F108" i="6"/>
  <c r="G108" i="6"/>
  <c r="H108" i="6"/>
  <c r="I108" i="6"/>
  <c r="J108" i="6"/>
  <c r="K108" i="6"/>
  <c r="L108" i="6"/>
  <c r="N108" i="6"/>
  <c r="O108" i="6"/>
  <c r="P108" i="6"/>
  <c r="Q108" i="6"/>
  <c r="R108" i="6"/>
  <c r="S108" i="6"/>
  <c r="T108" i="6"/>
  <c r="U108" i="6"/>
  <c r="A109" i="6"/>
  <c r="B109" i="6"/>
  <c r="C109" i="6"/>
  <c r="D109" i="6"/>
  <c r="E109" i="6"/>
  <c r="F109" i="6"/>
  <c r="G109" i="6"/>
  <c r="H109" i="6"/>
  <c r="I109" i="6"/>
  <c r="J109" i="6"/>
  <c r="K109" i="6"/>
  <c r="L109" i="6"/>
  <c r="N109" i="6"/>
  <c r="O109" i="6"/>
  <c r="P109" i="6"/>
  <c r="Q109" i="6"/>
  <c r="R109" i="6"/>
  <c r="S109" i="6"/>
  <c r="T109" i="6"/>
  <c r="U109" i="6"/>
  <c r="A110" i="6"/>
  <c r="B110" i="6"/>
  <c r="C110" i="6"/>
  <c r="D110" i="6"/>
  <c r="E110" i="6"/>
  <c r="F110" i="6"/>
  <c r="G110" i="6"/>
  <c r="H110" i="6"/>
  <c r="I110" i="6"/>
  <c r="J110" i="6"/>
  <c r="K110" i="6"/>
  <c r="L110" i="6"/>
  <c r="N110" i="6"/>
  <c r="O110" i="6"/>
  <c r="P110" i="6"/>
  <c r="Q110" i="6"/>
  <c r="R110" i="6"/>
  <c r="S110" i="6"/>
  <c r="T110" i="6"/>
  <c r="U110" i="6"/>
  <c r="A111" i="6"/>
  <c r="B111" i="6"/>
  <c r="C111" i="6"/>
  <c r="D111" i="6"/>
  <c r="E111" i="6"/>
  <c r="F111" i="6"/>
  <c r="G111" i="6"/>
  <c r="H111" i="6"/>
  <c r="I111" i="6"/>
  <c r="J111" i="6"/>
  <c r="K111" i="6"/>
  <c r="L111" i="6"/>
  <c r="N111" i="6"/>
  <c r="O111" i="6"/>
  <c r="P111" i="6"/>
  <c r="Q111" i="6"/>
  <c r="R111" i="6"/>
  <c r="S111" i="6"/>
  <c r="T111" i="6"/>
  <c r="U111" i="6"/>
  <c r="A112" i="6"/>
  <c r="B112" i="6"/>
  <c r="C112" i="6"/>
  <c r="D112" i="6"/>
  <c r="E112" i="6"/>
  <c r="F112" i="6"/>
  <c r="G112" i="6"/>
  <c r="H112" i="6"/>
  <c r="I112" i="6"/>
  <c r="J112" i="6"/>
  <c r="K112" i="6"/>
  <c r="L112" i="6"/>
  <c r="N112" i="6"/>
  <c r="O112" i="6"/>
  <c r="P112" i="6"/>
  <c r="Q112" i="6"/>
  <c r="R112" i="6"/>
  <c r="S112" i="6"/>
  <c r="T112" i="6"/>
  <c r="U112" i="6"/>
  <c r="A113" i="6"/>
  <c r="B113" i="6"/>
  <c r="C113" i="6"/>
  <c r="D113" i="6"/>
  <c r="E113" i="6"/>
  <c r="F113" i="6"/>
  <c r="G113" i="6"/>
  <c r="H113" i="6"/>
  <c r="I113" i="6"/>
  <c r="J113" i="6"/>
  <c r="K113" i="6"/>
  <c r="L113" i="6"/>
  <c r="N113" i="6"/>
  <c r="O113" i="6"/>
  <c r="P113" i="6"/>
  <c r="Q113" i="6"/>
  <c r="R113" i="6"/>
  <c r="S113" i="6"/>
  <c r="T113" i="6"/>
  <c r="U113" i="6"/>
  <c r="A114" i="6"/>
  <c r="B114" i="6"/>
  <c r="C114" i="6"/>
  <c r="D114" i="6"/>
  <c r="E114" i="6"/>
  <c r="F114" i="6"/>
  <c r="G114" i="6"/>
  <c r="H114" i="6"/>
  <c r="I114" i="6"/>
  <c r="J114" i="6"/>
  <c r="K114" i="6"/>
  <c r="L114" i="6"/>
  <c r="N114" i="6"/>
  <c r="O114" i="6"/>
  <c r="P114" i="6"/>
  <c r="Q114" i="6"/>
  <c r="R114" i="6"/>
  <c r="S114" i="6"/>
  <c r="T114" i="6"/>
  <c r="U114" i="6"/>
  <c r="A115" i="6"/>
  <c r="B115" i="6"/>
  <c r="C115" i="6"/>
  <c r="D115" i="6"/>
  <c r="E115" i="6"/>
  <c r="F115" i="6"/>
  <c r="G115" i="6"/>
  <c r="H115" i="6"/>
  <c r="I115" i="6"/>
  <c r="J115" i="6"/>
  <c r="K115" i="6"/>
  <c r="L115" i="6"/>
  <c r="N115" i="6"/>
  <c r="O115" i="6"/>
  <c r="P115" i="6"/>
  <c r="Q115" i="6"/>
  <c r="R115" i="6"/>
  <c r="S115" i="6"/>
  <c r="T115" i="6"/>
  <c r="U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N116" i="6"/>
  <c r="O116" i="6"/>
  <c r="P116" i="6"/>
  <c r="Q116" i="6"/>
  <c r="R116" i="6"/>
  <c r="S116" i="6"/>
  <c r="T116" i="6"/>
  <c r="U116" i="6"/>
  <c r="A117" i="6"/>
  <c r="B117" i="6"/>
  <c r="C117" i="6"/>
  <c r="D117" i="6"/>
  <c r="E117" i="6"/>
  <c r="F117" i="6"/>
  <c r="G117" i="6"/>
  <c r="H117" i="6"/>
  <c r="I117" i="6"/>
  <c r="J117" i="6"/>
  <c r="K117" i="6"/>
  <c r="L117" i="6"/>
  <c r="N117" i="6"/>
  <c r="O117" i="6"/>
  <c r="P117" i="6"/>
  <c r="Q117" i="6"/>
  <c r="R117" i="6"/>
  <c r="S117" i="6"/>
  <c r="T117" i="6"/>
  <c r="U117" i="6"/>
  <c r="A118" i="6"/>
  <c r="B118" i="6"/>
  <c r="C118" i="6"/>
  <c r="D118" i="6"/>
  <c r="E118" i="6"/>
  <c r="F118" i="6"/>
  <c r="G118" i="6"/>
  <c r="H118" i="6"/>
  <c r="I118" i="6"/>
  <c r="J118" i="6"/>
  <c r="K118" i="6"/>
  <c r="L118" i="6"/>
  <c r="N118" i="6"/>
  <c r="O118" i="6"/>
  <c r="P118" i="6"/>
  <c r="Q118" i="6"/>
  <c r="R118" i="6"/>
  <c r="S118" i="6"/>
  <c r="T118" i="6"/>
  <c r="U118" i="6"/>
  <c r="A119" i="6"/>
  <c r="B119" i="6"/>
  <c r="C119" i="6"/>
  <c r="D119" i="6"/>
  <c r="E119" i="6"/>
  <c r="F119" i="6"/>
  <c r="G119" i="6"/>
  <c r="H119" i="6"/>
  <c r="I119" i="6"/>
  <c r="J119" i="6"/>
  <c r="K119" i="6"/>
  <c r="L119" i="6"/>
  <c r="N119" i="6"/>
  <c r="O119" i="6"/>
  <c r="P119" i="6"/>
  <c r="Q119" i="6"/>
  <c r="R119" i="6"/>
  <c r="S119" i="6"/>
  <c r="T119" i="6"/>
  <c r="U119" i="6"/>
  <c r="A120" i="6"/>
  <c r="B120" i="6"/>
  <c r="C120" i="6"/>
  <c r="D120" i="6"/>
  <c r="E120" i="6"/>
  <c r="F120" i="6"/>
  <c r="G120" i="6"/>
  <c r="H120" i="6"/>
  <c r="I120" i="6"/>
  <c r="J120" i="6"/>
  <c r="K120" i="6"/>
  <c r="L120" i="6"/>
  <c r="N120" i="6"/>
  <c r="O120" i="6"/>
  <c r="P120" i="6"/>
  <c r="Q120" i="6"/>
  <c r="R120" i="6"/>
  <c r="S120" i="6"/>
  <c r="T120" i="6"/>
  <c r="U120" i="6"/>
  <c r="A121" i="6"/>
  <c r="B121" i="6"/>
  <c r="C121" i="6"/>
  <c r="D121" i="6"/>
  <c r="E121" i="6"/>
  <c r="F121" i="6"/>
  <c r="G121" i="6"/>
  <c r="H121" i="6"/>
  <c r="I121" i="6"/>
  <c r="J121" i="6"/>
  <c r="K121" i="6"/>
  <c r="L121" i="6"/>
  <c r="N121" i="6"/>
  <c r="O121" i="6"/>
  <c r="P121" i="6"/>
  <c r="Q121" i="6"/>
  <c r="R121" i="6"/>
  <c r="S121" i="6"/>
  <c r="T121" i="6"/>
  <c r="U121" i="6"/>
  <c r="A122" i="6"/>
  <c r="B122" i="6"/>
  <c r="C122" i="6"/>
  <c r="D122" i="6"/>
  <c r="E122" i="6"/>
  <c r="F122" i="6"/>
  <c r="G122" i="6"/>
  <c r="H122" i="6"/>
  <c r="I122" i="6"/>
  <c r="J122" i="6"/>
  <c r="K122" i="6"/>
  <c r="L122" i="6"/>
  <c r="N122" i="6"/>
  <c r="O122" i="6"/>
  <c r="P122" i="6"/>
  <c r="Q122" i="6"/>
  <c r="R122" i="6"/>
  <c r="S122" i="6"/>
  <c r="T122" i="6"/>
  <c r="U122" i="6"/>
  <c r="A123" i="6"/>
  <c r="B123" i="6"/>
  <c r="C123" i="6"/>
  <c r="D123" i="6"/>
  <c r="E123" i="6"/>
  <c r="F123" i="6"/>
  <c r="G123" i="6"/>
  <c r="H123" i="6"/>
  <c r="I123" i="6"/>
  <c r="J123" i="6"/>
  <c r="K123" i="6"/>
  <c r="L123" i="6"/>
  <c r="N123" i="6"/>
  <c r="O123" i="6"/>
  <c r="P123" i="6"/>
  <c r="Q123" i="6"/>
  <c r="R123" i="6"/>
  <c r="S123" i="6"/>
  <c r="T123" i="6"/>
  <c r="U123" i="6"/>
  <c r="A124" i="6"/>
  <c r="B124" i="6"/>
  <c r="C124" i="6"/>
  <c r="D124" i="6"/>
  <c r="E124" i="6"/>
  <c r="F124" i="6"/>
  <c r="G124" i="6"/>
  <c r="H124" i="6"/>
  <c r="I124" i="6"/>
  <c r="J124" i="6"/>
  <c r="K124" i="6"/>
  <c r="L124" i="6"/>
  <c r="N124" i="6"/>
  <c r="O124" i="6"/>
  <c r="P124" i="6"/>
  <c r="Q124" i="6"/>
  <c r="R124" i="6"/>
  <c r="S124" i="6"/>
  <c r="T124" i="6"/>
  <c r="U124" i="6"/>
  <c r="A125" i="6"/>
  <c r="B125" i="6"/>
  <c r="C125" i="6"/>
  <c r="D125" i="6"/>
  <c r="E125" i="6"/>
  <c r="F125" i="6"/>
  <c r="G125" i="6"/>
  <c r="H125" i="6"/>
  <c r="I125" i="6"/>
  <c r="J125" i="6"/>
  <c r="K125" i="6"/>
  <c r="L125" i="6"/>
  <c r="N125" i="6"/>
  <c r="O125" i="6"/>
  <c r="P125" i="6"/>
  <c r="Q125" i="6"/>
  <c r="R125" i="6"/>
  <c r="S125" i="6"/>
  <c r="T125" i="6"/>
  <c r="U125" i="6"/>
  <c r="A126" i="6"/>
  <c r="B126" i="6"/>
  <c r="C126" i="6"/>
  <c r="D126" i="6"/>
  <c r="E126" i="6"/>
  <c r="F126" i="6"/>
  <c r="G126" i="6"/>
  <c r="H126" i="6"/>
  <c r="I126" i="6"/>
  <c r="J126" i="6"/>
  <c r="K126" i="6"/>
  <c r="L126" i="6"/>
  <c r="N126" i="6"/>
  <c r="O126" i="6"/>
  <c r="P126" i="6"/>
  <c r="Q126" i="6"/>
  <c r="R126" i="6"/>
  <c r="S126" i="6"/>
  <c r="T126" i="6"/>
  <c r="U126" i="6"/>
  <c r="A127" i="6"/>
  <c r="B127" i="6"/>
  <c r="C127" i="6"/>
  <c r="D127" i="6"/>
  <c r="E127" i="6"/>
  <c r="F127" i="6"/>
  <c r="G127" i="6"/>
  <c r="H127" i="6"/>
  <c r="I127" i="6"/>
  <c r="J127" i="6"/>
  <c r="K127" i="6"/>
  <c r="L127" i="6"/>
  <c r="N127" i="6"/>
  <c r="O127" i="6"/>
  <c r="P127" i="6"/>
  <c r="Q127" i="6"/>
  <c r="R127" i="6"/>
  <c r="S127" i="6"/>
  <c r="T127" i="6"/>
  <c r="U127" i="6"/>
  <c r="A128" i="6"/>
  <c r="B128" i="6"/>
  <c r="C128" i="6"/>
  <c r="D128" i="6"/>
  <c r="E128" i="6"/>
  <c r="F128" i="6"/>
  <c r="G128" i="6"/>
  <c r="H128" i="6"/>
  <c r="I128" i="6"/>
  <c r="J128" i="6"/>
  <c r="K128" i="6"/>
  <c r="L128" i="6"/>
  <c r="N128" i="6"/>
  <c r="O128" i="6"/>
  <c r="P128" i="6"/>
  <c r="Q128" i="6"/>
  <c r="R128" i="6"/>
  <c r="S128" i="6"/>
  <c r="T128" i="6"/>
  <c r="U128" i="6"/>
  <c r="A129" i="6"/>
  <c r="B129" i="6"/>
  <c r="C129" i="6"/>
  <c r="D129" i="6"/>
  <c r="E129" i="6"/>
  <c r="F129" i="6"/>
  <c r="G129" i="6"/>
  <c r="H129" i="6"/>
  <c r="I129" i="6"/>
  <c r="J129" i="6"/>
  <c r="K129" i="6"/>
  <c r="L129" i="6"/>
  <c r="N129" i="6"/>
  <c r="O129" i="6"/>
  <c r="P129" i="6"/>
  <c r="Q129" i="6"/>
  <c r="R129" i="6"/>
  <c r="S129" i="6"/>
  <c r="T129" i="6"/>
  <c r="U129" i="6"/>
  <c r="A130" i="6"/>
  <c r="B130" i="6"/>
  <c r="C130" i="6"/>
  <c r="D130" i="6"/>
  <c r="E130" i="6"/>
  <c r="F130" i="6"/>
  <c r="G130" i="6"/>
  <c r="H130" i="6"/>
  <c r="I130" i="6"/>
  <c r="J130" i="6"/>
  <c r="K130" i="6"/>
  <c r="L130" i="6"/>
  <c r="N130" i="6"/>
  <c r="O130" i="6"/>
  <c r="P130" i="6"/>
  <c r="Q130" i="6"/>
  <c r="R130" i="6"/>
  <c r="S130" i="6"/>
  <c r="T130" i="6"/>
  <c r="U130" i="6"/>
  <c r="A131" i="6"/>
  <c r="B131" i="6"/>
  <c r="C131" i="6"/>
  <c r="D131" i="6"/>
  <c r="E131" i="6"/>
  <c r="F131" i="6"/>
  <c r="G131" i="6"/>
  <c r="H131" i="6"/>
  <c r="I131" i="6"/>
  <c r="J131" i="6"/>
  <c r="K131" i="6"/>
  <c r="L131" i="6"/>
  <c r="N131" i="6"/>
  <c r="O131" i="6"/>
  <c r="P131" i="6"/>
  <c r="Q131" i="6"/>
  <c r="R131" i="6"/>
  <c r="S131" i="6"/>
  <c r="T131" i="6"/>
  <c r="U131" i="6"/>
  <c r="A132" i="6"/>
  <c r="B132" i="6"/>
  <c r="C132" i="6"/>
  <c r="D132" i="6"/>
  <c r="E132" i="6"/>
  <c r="F132" i="6"/>
  <c r="G132" i="6"/>
  <c r="H132" i="6"/>
  <c r="I132" i="6"/>
  <c r="J132" i="6"/>
  <c r="K132" i="6"/>
  <c r="L132" i="6"/>
  <c r="N132" i="6"/>
  <c r="O132" i="6"/>
  <c r="P132" i="6"/>
  <c r="Q132" i="6"/>
  <c r="R132" i="6"/>
  <c r="S132" i="6"/>
  <c r="T132" i="6"/>
  <c r="U132" i="6"/>
  <c r="A133" i="6"/>
  <c r="B133" i="6"/>
  <c r="C133" i="6"/>
  <c r="D133" i="6"/>
  <c r="E133" i="6"/>
  <c r="F133" i="6"/>
  <c r="G133" i="6"/>
  <c r="H133" i="6"/>
  <c r="I133" i="6"/>
  <c r="J133" i="6"/>
  <c r="K133" i="6"/>
  <c r="L133" i="6"/>
  <c r="N133" i="6"/>
  <c r="O133" i="6"/>
  <c r="P133" i="6"/>
  <c r="Q133" i="6"/>
  <c r="R133" i="6"/>
  <c r="S133" i="6"/>
  <c r="T133" i="6"/>
  <c r="U133" i="6"/>
  <c r="A134" i="6"/>
  <c r="B134" i="6"/>
  <c r="C134" i="6"/>
  <c r="D134" i="6"/>
  <c r="E134" i="6"/>
  <c r="F134" i="6"/>
  <c r="G134" i="6"/>
  <c r="H134" i="6"/>
  <c r="I134" i="6"/>
  <c r="J134" i="6"/>
  <c r="K134" i="6"/>
  <c r="L134" i="6"/>
  <c r="N134" i="6"/>
  <c r="O134" i="6"/>
  <c r="P134" i="6"/>
  <c r="Q134" i="6"/>
  <c r="R134" i="6"/>
  <c r="S134" i="6"/>
  <c r="T134" i="6"/>
  <c r="U134" i="6"/>
  <c r="A135" i="6"/>
  <c r="B135" i="6"/>
  <c r="C135" i="6"/>
  <c r="D135" i="6"/>
  <c r="E135" i="6"/>
  <c r="F135" i="6"/>
  <c r="G135" i="6"/>
  <c r="H135" i="6"/>
  <c r="I135" i="6"/>
  <c r="J135" i="6"/>
  <c r="K135" i="6"/>
  <c r="L135" i="6"/>
  <c r="N135" i="6"/>
  <c r="O135" i="6"/>
  <c r="P135" i="6"/>
  <c r="Q135" i="6"/>
  <c r="R135" i="6"/>
  <c r="S135" i="6"/>
  <c r="T135" i="6"/>
  <c r="U135" i="6"/>
  <c r="A136" i="6"/>
  <c r="B136" i="6"/>
  <c r="C136" i="6"/>
  <c r="D136" i="6"/>
  <c r="E136" i="6"/>
  <c r="F136" i="6"/>
  <c r="G136" i="6"/>
  <c r="H136" i="6"/>
  <c r="I136" i="6"/>
  <c r="J136" i="6"/>
  <c r="K136" i="6"/>
  <c r="L136" i="6"/>
  <c r="N136" i="6"/>
  <c r="O136" i="6"/>
  <c r="P136" i="6"/>
  <c r="Q136" i="6"/>
  <c r="R136" i="6"/>
  <c r="S136" i="6"/>
  <c r="T136" i="6"/>
  <c r="U136" i="6"/>
  <c r="A137" i="6"/>
  <c r="B137" i="6"/>
  <c r="C137" i="6"/>
  <c r="D137" i="6"/>
  <c r="E137" i="6"/>
  <c r="F137" i="6"/>
  <c r="G137" i="6"/>
  <c r="H137" i="6"/>
  <c r="I137" i="6"/>
  <c r="J137" i="6"/>
  <c r="K137" i="6"/>
  <c r="L137" i="6"/>
  <c r="N137" i="6"/>
  <c r="O137" i="6"/>
  <c r="P137" i="6"/>
  <c r="Q137" i="6"/>
  <c r="R137" i="6"/>
  <c r="S137" i="6"/>
  <c r="T137" i="6"/>
  <c r="U137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N138" i="6"/>
  <c r="O138" i="6"/>
  <c r="P138" i="6"/>
  <c r="Q138" i="6"/>
  <c r="R138" i="6"/>
  <c r="S138" i="6"/>
  <c r="T138" i="6"/>
  <c r="U138" i="6"/>
  <c r="A139" i="6"/>
  <c r="B139" i="6"/>
  <c r="C139" i="6"/>
  <c r="D139" i="6"/>
  <c r="E139" i="6"/>
  <c r="F139" i="6"/>
  <c r="G139" i="6"/>
  <c r="H139" i="6"/>
  <c r="I139" i="6"/>
  <c r="J139" i="6"/>
  <c r="K139" i="6"/>
  <c r="L139" i="6"/>
  <c r="N139" i="6"/>
  <c r="O139" i="6"/>
  <c r="P139" i="6"/>
  <c r="Q139" i="6"/>
  <c r="R139" i="6"/>
  <c r="S139" i="6"/>
  <c r="T139" i="6"/>
  <c r="U139" i="6"/>
  <c r="A140" i="6"/>
  <c r="B140" i="6"/>
  <c r="C140" i="6"/>
  <c r="D140" i="6"/>
  <c r="E140" i="6"/>
  <c r="F140" i="6"/>
  <c r="G140" i="6"/>
  <c r="H140" i="6"/>
  <c r="I140" i="6"/>
  <c r="J140" i="6"/>
  <c r="K140" i="6"/>
  <c r="L140" i="6"/>
  <c r="N140" i="6"/>
  <c r="O140" i="6"/>
  <c r="P140" i="6"/>
  <c r="Q140" i="6"/>
  <c r="R140" i="6"/>
  <c r="S140" i="6"/>
  <c r="T140" i="6"/>
  <c r="U140" i="6"/>
  <c r="A141" i="6"/>
  <c r="B141" i="6"/>
  <c r="C141" i="6"/>
  <c r="D141" i="6"/>
  <c r="E141" i="6"/>
  <c r="F141" i="6"/>
  <c r="G141" i="6"/>
  <c r="H141" i="6"/>
  <c r="I141" i="6"/>
  <c r="J141" i="6"/>
  <c r="K141" i="6"/>
  <c r="L141" i="6"/>
  <c r="N141" i="6"/>
  <c r="O141" i="6"/>
  <c r="P141" i="6"/>
  <c r="Q141" i="6"/>
  <c r="R141" i="6"/>
  <c r="S141" i="6"/>
  <c r="T141" i="6"/>
  <c r="U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N142" i="6"/>
  <c r="O142" i="6"/>
  <c r="P142" i="6"/>
  <c r="Q142" i="6"/>
  <c r="R142" i="6"/>
  <c r="S142" i="6"/>
  <c r="T142" i="6"/>
  <c r="U142" i="6"/>
  <c r="A143" i="6"/>
  <c r="B143" i="6"/>
  <c r="C143" i="6"/>
  <c r="D143" i="6"/>
  <c r="E143" i="6"/>
  <c r="F143" i="6"/>
  <c r="G143" i="6"/>
  <c r="H143" i="6"/>
  <c r="I143" i="6"/>
  <c r="J143" i="6"/>
  <c r="K143" i="6"/>
  <c r="L143" i="6"/>
  <c r="N143" i="6"/>
  <c r="O143" i="6"/>
  <c r="P143" i="6"/>
  <c r="Q143" i="6"/>
  <c r="R143" i="6"/>
  <c r="S143" i="6"/>
  <c r="T143" i="6"/>
  <c r="U143" i="6"/>
  <c r="A144" i="6"/>
  <c r="B144" i="6"/>
  <c r="C144" i="6"/>
  <c r="D144" i="6"/>
  <c r="E144" i="6"/>
  <c r="F144" i="6"/>
  <c r="G144" i="6"/>
  <c r="H144" i="6"/>
  <c r="I144" i="6"/>
  <c r="J144" i="6"/>
  <c r="K144" i="6"/>
  <c r="L144" i="6"/>
  <c r="N144" i="6"/>
  <c r="O144" i="6"/>
  <c r="P144" i="6"/>
  <c r="Q144" i="6"/>
  <c r="R144" i="6"/>
  <c r="S144" i="6"/>
  <c r="T144" i="6"/>
  <c r="U144" i="6"/>
  <c r="A145" i="6"/>
  <c r="B145" i="6"/>
  <c r="C145" i="6"/>
  <c r="D145" i="6"/>
  <c r="E145" i="6"/>
  <c r="F145" i="6"/>
  <c r="G145" i="6"/>
  <c r="H145" i="6"/>
  <c r="I145" i="6"/>
  <c r="J145" i="6"/>
  <c r="K145" i="6"/>
  <c r="L145" i="6"/>
  <c r="N145" i="6"/>
  <c r="O145" i="6"/>
  <c r="P145" i="6"/>
  <c r="Q145" i="6"/>
  <c r="R145" i="6"/>
  <c r="S145" i="6"/>
  <c r="T145" i="6"/>
  <c r="U145" i="6"/>
  <c r="A146" i="6"/>
  <c r="B146" i="6"/>
  <c r="C146" i="6"/>
  <c r="D146" i="6"/>
  <c r="E146" i="6"/>
  <c r="F146" i="6"/>
  <c r="G146" i="6"/>
  <c r="H146" i="6"/>
  <c r="I146" i="6"/>
  <c r="J146" i="6"/>
  <c r="K146" i="6"/>
  <c r="L146" i="6"/>
  <c r="N146" i="6"/>
  <c r="O146" i="6"/>
  <c r="P146" i="6"/>
  <c r="Q146" i="6"/>
  <c r="R146" i="6"/>
  <c r="S146" i="6"/>
  <c r="T146" i="6"/>
  <c r="U146" i="6"/>
  <c r="A147" i="6"/>
  <c r="B147" i="6"/>
  <c r="C147" i="6"/>
  <c r="D147" i="6"/>
  <c r="E147" i="6"/>
  <c r="F147" i="6"/>
  <c r="G147" i="6"/>
  <c r="H147" i="6"/>
  <c r="I147" i="6"/>
  <c r="J147" i="6"/>
  <c r="K147" i="6"/>
  <c r="L147" i="6"/>
  <c r="N147" i="6"/>
  <c r="O147" i="6"/>
  <c r="P147" i="6"/>
  <c r="Q147" i="6"/>
  <c r="R147" i="6"/>
  <c r="S147" i="6"/>
  <c r="T147" i="6"/>
  <c r="U147" i="6"/>
  <c r="A148" i="6"/>
  <c r="B148" i="6"/>
  <c r="C148" i="6"/>
  <c r="D148" i="6"/>
  <c r="E148" i="6"/>
  <c r="F148" i="6"/>
  <c r="G148" i="6"/>
  <c r="H148" i="6"/>
  <c r="I148" i="6"/>
  <c r="J148" i="6"/>
  <c r="K148" i="6"/>
  <c r="L148" i="6"/>
  <c r="N148" i="6"/>
  <c r="O148" i="6"/>
  <c r="P148" i="6"/>
  <c r="Q148" i="6"/>
  <c r="R148" i="6"/>
  <c r="S148" i="6"/>
  <c r="T148" i="6"/>
  <c r="U148" i="6"/>
  <c r="A149" i="6"/>
  <c r="B149" i="6"/>
  <c r="C149" i="6"/>
  <c r="D149" i="6"/>
  <c r="E149" i="6"/>
  <c r="F149" i="6"/>
  <c r="G149" i="6"/>
  <c r="H149" i="6"/>
  <c r="I149" i="6"/>
  <c r="J149" i="6"/>
  <c r="K149" i="6"/>
  <c r="L149" i="6"/>
  <c r="N149" i="6"/>
  <c r="O149" i="6"/>
  <c r="P149" i="6"/>
  <c r="Q149" i="6"/>
  <c r="R149" i="6"/>
  <c r="S149" i="6"/>
  <c r="T149" i="6"/>
  <c r="U149" i="6"/>
  <c r="A150" i="6"/>
  <c r="B150" i="6"/>
  <c r="C150" i="6"/>
  <c r="D150" i="6"/>
  <c r="E150" i="6"/>
  <c r="F150" i="6"/>
  <c r="G150" i="6"/>
  <c r="H150" i="6"/>
  <c r="I150" i="6"/>
  <c r="J150" i="6"/>
  <c r="K150" i="6"/>
  <c r="L150" i="6"/>
  <c r="N150" i="6"/>
  <c r="O150" i="6"/>
  <c r="P150" i="6"/>
  <c r="Q150" i="6"/>
  <c r="R150" i="6"/>
  <c r="S150" i="6"/>
  <c r="T150" i="6"/>
  <c r="U150" i="6"/>
  <c r="A151" i="6"/>
  <c r="B151" i="6"/>
  <c r="C151" i="6"/>
  <c r="D151" i="6"/>
  <c r="E151" i="6"/>
  <c r="F151" i="6"/>
  <c r="G151" i="6"/>
  <c r="H151" i="6"/>
  <c r="I151" i="6"/>
  <c r="J151" i="6"/>
  <c r="K151" i="6"/>
  <c r="L151" i="6"/>
  <c r="N151" i="6"/>
  <c r="O151" i="6"/>
  <c r="P151" i="6"/>
  <c r="Q151" i="6"/>
  <c r="R151" i="6"/>
  <c r="S151" i="6"/>
  <c r="T151" i="6"/>
  <c r="U151" i="6"/>
  <c r="A152" i="6"/>
  <c r="B152" i="6"/>
  <c r="C152" i="6"/>
  <c r="D152" i="6"/>
  <c r="E152" i="6"/>
  <c r="F152" i="6"/>
  <c r="G152" i="6"/>
  <c r="H152" i="6"/>
  <c r="I152" i="6"/>
  <c r="J152" i="6"/>
  <c r="K152" i="6"/>
  <c r="L152" i="6"/>
  <c r="N152" i="6"/>
  <c r="O152" i="6"/>
  <c r="P152" i="6"/>
  <c r="Q152" i="6"/>
  <c r="R152" i="6"/>
  <c r="S152" i="6"/>
  <c r="T152" i="6"/>
  <c r="U152" i="6"/>
  <c r="A153" i="6"/>
  <c r="B153" i="6"/>
  <c r="C153" i="6"/>
  <c r="D153" i="6"/>
  <c r="E153" i="6"/>
  <c r="F153" i="6"/>
  <c r="G153" i="6"/>
  <c r="H153" i="6"/>
  <c r="I153" i="6"/>
  <c r="J153" i="6"/>
  <c r="K153" i="6"/>
  <c r="L153" i="6"/>
  <c r="N153" i="6"/>
  <c r="O153" i="6"/>
  <c r="P153" i="6"/>
  <c r="Q153" i="6"/>
  <c r="R153" i="6"/>
  <c r="S153" i="6"/>
  <c r="T153" i="6"/>
  <c r="U153" i="6"/>
  <c r="A154" i="6"/>
  <c r="B154" i="6"/>
  <c r="C154" i="6"/>
  <c r="D154" i="6"/>
  <c r="E154" i="6"/>
  <c r="F154" i="6"/>
  <c r="G154" i="6"/>
  <c r="H154" i="6"/>
  <c r="I154" i="6"/>
  <c r="J154" i="6"/>
  <c r="K154" i="6"/>
  <c r="L154" i="6"/>
  <c r="N154" i="6"/>
  <c r="O154" i="6"/>
  <c r="P154" i="6"/>
  <c r="Q154" i="6"/>
  <c r="R154" i="6"/>
  <c r="S154" i="6"/>
  <c r="T154" i="6"/>
  <c r="U154" i="6"/>
  <c r="A155" i="6"/>
  <c r="B155" i="6"/>
  <c r="C155" i="6"/>
  <c r="D155" i="6"/>
  <c r="E155" i="6"/>
  <c r="F155" i="6"/>
  <c r="G155" i="6"/>
  <c r="H155" i="6"/>
  <c r="I155" i="6"/>
  <c r="J155" i="6"/>
  <c r="K155" i="6"/>
  <c r="L155" i="6"/>
  <c r="N155" i="6"/>
  <c r="O155" i="6"/>
  <c r="P155" i="6"/>
  <c r="Q155" i="6"/>
  <c r="R155" i="6"/>
  <c r="S155" i="6"/>
  <c r="T155" i="6"/>
  <c r="U155" i="6"/>
  <c r="A156" i="6"/>
  <c r="B156" i="6"/>
  <c r="C156" i="6"/>
  <c r="D156" i="6"/>
  <c r="E156" i="6"/>
  <c r="F156" i="6"/>
  <c r="G156" i="6"/>
  <c r="H156" i="6"/>
  <c r="I156" i="6"/>
  <c r="J156" i="6"/>
  <c r="K156" i="6"/>
  <c r="L156" i="6"/>
  <c r="N156" i="6"/>
  <c r="O156" i="6"/>
  <c r="P156" i="6"/>
  <c r="Q156" i="6"/>
  <c r="R156" i="6"/>
  <c r="S156" i="6"/>
  <c r="T156" i="6"/>
  <c r="U156" i="6"/>
  <c r="A157" i="6"/>
  <c r="B157" i="6"/>
  <c r="C157" i="6"/>
  <c r="D157" i="6"/>
  <c r="E157" i="6"/>
  <c r="F157" i="6"/>
  <c r="G157" i="6"/>
  <c r="H157" i="6"/>
  <c r="I157" i="6"/>
  <c r="J157" i="6"/>
  <c r="K157" i="6"/>
  <c r="L157" i="6"/>
  <c r="N157" i="6"/>
  <c r="O157" i="6"/>
  <c r="P157" i="6"/>
  <c r="Q157" i="6"/>
  <c r="R157" i="6"/>
  <c r="S157" i="6"/>
  <c r="T157" i="6"/>
  <c r="U157" i="6"/>
  <c r="A158" i="6"/>
  <c r="B158" i="6"/>
  <c r="C158" i="6"/>
  <c r="D158" i="6"/>
  <c r="E158" i="6"/>
  <c r="F158" i="6"/>
  <c r="G158" i="6"/>
  <c r="H158" i="6"/>
  <c r="I158" i="6"/>
  <c r="J158" i="6"/>
  <c r="K158" i="6"/>
  <c r="L158" i="6"/>
  <c r="N158" i="6"/>
  <c r="O158" i="6"/>
  <c r="P158" i="6"/>
  <c r="Q158" i="6"/>
  <c r="R158" i="6"/>
  <c r="S158" i="6"/>
  <c r="T158" i="6"/>
  <c r="U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N159" i="6"/>
  <c r="O159" i="6"/>
  <c r="P159" i="6"/>
  <c r="Q159" i="6"/>
  <c r="R159" i="6"/>
  <c r="S159" i="6"/>
  <c r="T159" i="6"/>
  <c r="U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N160" i="6"/>
  <c r="O160" i="6"/>
  <c r="P160" i="6"/>
  <c r="Q160" i="6"/>
  <c r="R160" i="6"/>
  <c r="S160" i="6"/>
  <c r="T160" i="6"/>
  <c r="U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N161" i="6"/>
  <c r="O161" i="6"/>
  <c r="P161" i="6"/>
  <c r="Q161" i="6"/>
  <c r="R161" i="6"/>
  <c r="S161" i="6"/>
  <c r="T161" i="6"/>
  <c r="U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N162" i="6"/>
  <c r="O162" i="6"/>
  <c r="P162" i="6"/>
  <c r="Q162" i="6"/>
  <c r="R162" i="6"/>
  <c r="S162" i="6"/>
  <c r="T162" i="6"/>
  <c r="U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N163" i="6"/>
  <c r="O163" i="6"/>
  <c r="P163" i="6"/>
  <c r="Q163" i="6"/>
  <c r="R163" i="6"/>
  <c r="S163" i="6"/>
  <c r="T163" i="6"/>
  <c r="U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N164" i="6"/>
  <c r="O164" i="6"/>
  <c r="P164" i="6"/>
  <c r="Q164" i="6"/>
  <c r="R164" i="6"/>
  <c r="S164" i="6"/>
  <c r="T164" i="6"/>
  <c r="U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N165" i="6"/>
  <c r="O165" i="6"/>
  <c r="P165" i="6"/>
  <c r="Q165" i="6"/>
  <c r="R165" i="6"/>
  <c r="S165" i="6"/>
  <c r="T165" i="6"/>
  <c r="U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N166" i="6"/>
  <c r="O166" i="6"/>
  <c r="P166" i="6"/>
  <c r="Q166" i="6"/>
  <c r="R166" i="6"/>
  <c r="S166" i="6"/>
  <c r="T166" i="6"/>
  <c r="U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N167" i="6"/>
  <c r="O167" i="6"/>
  <c r="P167" i="6"/>
  <c r="Q167" i="6"/>
  <c r="R167" i="6"/>
  <c r="S167" i="6"/>
  <c r="T167" i="6"/>
  <c r="U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N168" i="6"/>
  <c r="O168" i="6"/>
  <c r="P168" i="6"/>
  <c r="Q168" i="6"/>
  <c r="R168" i="6"/>
  <c r="S168" i="6"/>
  <c r="T168" i="6"/>
  <c r="U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N169" i="6"/>
  <c r="O169" i="6"/>
  <c r="P169" i="6"/>
  <c r="Q169" i="6"/>
  <c r="R169" i="6"/>
  <c r="S169" i="6"/>
  <c r="T169" i="6"/>
  <c r="U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N170" i="6"/>
  <c r="O170" i="6"/>
  <c r="P170" i="6"/>
  <c r="Q170" i="6"/>
  <c r="R170" i="6"/>
  <c r="S170" i="6"/>
  <c r="T170" i="6"/>
  <c r="U170" i="6"/>
  <c r="A171" i="6"/>
  <c r="B171" i="6"/>
  <c r="C171" i="6"/>
  <c r="D171" i="6"/>
  <c r="E171" i="6"/>
  <c r="F171" i="6"/>
  <c r="G171" i="6"/>
  <c r="H171" i="6"/>
  <c r="I171" i="6"/>
  <c r="J171" i="6"/>
  <c r="K171" i="6"/>
  <c r="L171" i="6"/>
  <c r="N171" i="6"/>
  <c r="O171" i="6"/>
  <c r="P171" i="6"/>
  <c r="Q171" i="6"/>
  <c r="R171" i="6"/>
  <c r="S171" i="6"/>
  <c r="T171" i="6"/>
  <c r="U171" i="6"/>
  <c r="A172" i="6"/>
  <c r="B172" i="6"/>
  <c r="C172" i="6"/>
  <c r="D172" i="6"/>
  <c r="E172" i="6"/>
  <c r="F172" i="6"/>
  <c r="G172" i="6"/>
  <c r="H172" i="6"/>
  <c r="I172" i="6"/>
  <c r="J172" i="6"/>
  <c r="K172" i="6"/>
  <c r="L172" i="6"/>
  <c r="N172" i="6"/>
  <c r="O172" i="6"/>
  <c r="P172" i="6"/>
  <c r="Q172" i="6"/>
  <c r="R172" i="6"/>
  <c r="S172" i="6"/>
  <c r="T172" i="6"/>
  <c r="U172" i="6"/>
  <c r="A173" i="6"/>
  <c r="B173" i="6"/>
  <c r="C173" i="6"/>
  <c r="D173" i="6"/>
  <c r="E173" i="6"/>
  <c r="F173" i="6"/>
  <c r="G173" i="6"/>
  <c r="H173" i="6"/>
  <c r="I173" i="6"/>
  <c r="J173" i="6"/>
  <c r="K173" i="6"/>
  <c r="L173" i="6"/>
  <c r="N173" i="6"/>
  <c r="O173" i="6"/>
  <c r="P173" i="6"/>
  <c r="Q173" i="6"/>
  <c r="R173" i="6"/>
  <c r="S173" i="6"/>
  <c r="T173" i="6"/>
  <c r="U173" i="6"/>
  <c r="A174" i="6"/>
  <c r="B174" i="6"/>
  <c r="C174" i="6"/>
  <c r="D174" i="6"/>
  <c r="E174" i="6"/>
  <c r="F174" i="6"/>
  <c r="G174" i="6"/>
  <c r="H174" i="6"/>
  <c r="I174" i="6"/>
  <c r="J174" i="6"/>
  <c r="K174" i="6"/>
  <c r="L174" i="6"/>
  <c r="N174" i="6"/>
  <c r="O174" i="6"/>
  <c r="P174" i="6"/>
  <c r="Q174" i="6"/>
  <c r="R174" i="6"/>
  <c r="S174" i="6"/>
  <c r="T174" i="6"/>
  <c r="U174" i="6"/>
  <c r="A175" i="6"/>
  <c r="B175" i="6"/>
  <c r="C175" i="6"/>
  <c r="D175" i="6"/>
  <c r="E175" i="6"/>
  <c r="F175" i="6"/>
  <c r="G175" i="6"/>
  <c r="H175" i="6"/>
  <c r="I175" i="6"/>
  <c r="J175" i="6"/>
  <c r="K175" i="6"/>
  <c r="L175" i="6"/>
  <c r="N175" i="6"/>
  <c r="O175" i="6"/>
  <c r="P175" i="6"/>
  <c r="Q175" i="6"/>
  <c r="R175" i="6"/>
  <c r="S175" i="6"/>
  <c r="T175" i="6"/>
  <c r="U175" i="6"/>
  <c r="A176" i="6"/>
  <c r="B176" i="6"/>
  <c r="C176" i="6"/>
  <c r="D176" i="6"/>
  <c r="E176" i="6"/>
  <c r="F176" i="6"/>
  <c r="G176" i="6"/>
  <c r="H176" i="6"/>
  <c r="I176" i="6"/>
  <c r="J176" i="6"/>
  <c r="K176" i="6"/>
  <c r="L176" i="6"/>
  <c r="N176" i="6"/>
  <c r="O176" i="6"/>
  <c r="P176" i="6"/>
  <c r="Q176" i="6"/>
  <c r="R176" i="6"/>
  <c r="S176" i="6"/>
  <c r="T176" i="6"/>
  <c r="U176" i="6"/>
  <c r="A177" i="6"/>
  <c r="B177" i="6"/>
  <c r="C177" i="6"/>
  <c r="D177" i="6"/>
  <c r="E177" i="6"/>
  <c r="F177" i="6"/>
  <c r="G177" i="6"/>
  <c r="H177" i="6"/>
  <c r="I177" i="6"/>
  <c r="J177" i="6"/>
  <c r="K177" i="6"/>
  <c r="L177" i="6"/>
  <c r="N177" i="6"/>
  <c r="O177" i="6"/>
  <c r="P177" i="6"/>
  <c r="Q177" i="6"/>
  <c r="R177" i="6"/>
  <c r="S177" i="6"/>
  <c r="T177" i="6"/>
  <c r="U177" i="6"/>
  <c r="A178" i="6"/>
  <c r="B178" i="6"/>
  <c r="C178" i="6"/>
  <c r="D178" i="6"/>
  <c r="E178" i="6"/>
  <c r="F178" i="6"/>
  <c r="G178" i="6"/>
  <c r="H178" i="6"/>
  <c r="I178" i="6"/>
  <c r="J178" i="6"/>
  <c r="K178" i="6"/>
  <c r="L178" i="6"/>
  <c r="N178" i="6"/>
  <c r="O178" i="6"/>
  <c r="P178" i="6"/>
  <c r="Q178" i="6"/>
  <c r="R178" i="6"/>
  <c r="S178" i="6"/>
  <c r="T178" i="6"/>
  <c r="U178" i="6"/>
  <c r="A179" i="6"/>
  <c r="B179" i="6"/>
  <c r="C179" i="6"/>
  <c r="D179" i="6"/>
  <c r="E179" i="6"/>
  <c r="F179" i="6"/>
  <c r="G179" i="6"/>
  <c r="H179" i="6"/>
  <c r="I179" i="6"/>
  <c r="J179" i="6"/>
  <c r="K179" i="6"/>
  <c r="L179" i="6"/>
  <c r="N179" i="6"/>
  <c r="O179" i="6"/>
  <c r="P179" i="6"/>
  <c r="Q179" i="6"/>
  <c r="R179" i="6"/>
  <c r="S179" i="6"/>
  <c r="T179" i="6"/>
  <c r="U179" i="6"/>
  <c r="A180" i="6"/>
  <c r="B180" i="6"/>
  <c r="C180" i="6"/>
  <c r="D180" i="6"/>
  <c r="E180" i="6"/>
  <c r="F180" i="6"/>
  <c r="G180" i="6"/>
  <c r="H180" i="6"/>
  <c r="I180" i="6"/>
  <c r="J180" i="6"/>
  <c r="K180" i="6"/>
  <c r="L180" i="6"/>
  <c r="N180" i="6"/>
  <c r="O180" i="6"/>
  <c r="P180" i="6"/>
  <c r="Q180" i="6"/>
  <c r="R180" i="6"/>
  <c r="S180" i="6"/>
  <c r="T180" i="6"/>
  <c r="U180" i="6"/>
  <c r="A181" i="6"/>
  <c r="B181" i="6"/>
  <c r="C181" i="6"/>
  <c r="D181" i="6"/>
  <c r="E181" i="6"/>
  <c r="F181" i="6"/>
  <c r="G181" i="6"/>
  <c r="H181" i="6"/>
  <c r="I181" i="6"/>
  <c r="J181" i="6"/>
  <c r="K181" i="6"/>
  <c r="L181" i="6"/>
  <c r="N181" i="6"/>
  <c r="O181" i="6"/>
  <c r="P181" i="6"/>
  <c r="Q181" i="6"/>
  <c r="R181" i="6"/>
  <c r="S181" i="6"/>
  <c r="T181" i="6"/>
  <c r="U181" i="6"/>
  <c r="A182" i="6"/>
  <c r="B182" i="6"/>
  <c r="C182" i="6"/>
  <c r="D182" i="6"/>
  <c r="E182" i="6"/>
  <c r="F182" i="6"/>
  <c r="G182" i="6"/>
  <c r="H182" i="6"/>
  <c r="I182" i="6"/>
  <c r="J182" i="6"/>
  <c r="K182" i="6"/>
  <c r="L182" i="6"/>
  <c r="N182" i="6"/>
  <c r="O182" i="6"/>
  <c r="P182" i="6"/>
  <c r="Q182" i="6"/>
  <c r="R182" i="6"/>
  <c r="S182" i="6"/>
  <c r="T182" i="6"/>
  <c r="U182" i="6"/>
  <c r="A183" i="6"/>
  <c r="B183" i="6"/>
  <c r="C183" i="6"/>
  <c r="D183" i="6"/>
  <c r="E183" i="6"/>
  <c r="F183" i="6"/>
  <c r="G183" i="6"/>
  <c r="H183" i="6"/>
  <c r="I183" i="6"/>
  <c r="J183" i="6"/>
  <c r="K183" i="6"/>
  <c r="L183" i="6"/>
  <c r="N183" i="6"/>
  <c r="O183" i="6"/>
  <c r="P183" i="6"/>
  <c r="Q183" i="6"/>
  <c r="R183" i="6"/>
  <c r="S183" i="6"/>
  <c r="T183" i="6"/>
  <c r="U183" i="6"/>
  <c r="A184" i="6"/>
  <c r="B184" i="6"/>
  <c r="C184" i="6"/>
  <c r="D184" i="6"/>
  <c r="E184" i="6"/>
  <c r="F184" i="6"/>
  <c r="G184" i="6"/>
  <c r="H184" i="6"/>
  <c r="I184" i="6"/>
  <c r="J184" i="6"/>
  <c r="K184" i="6"/>
  <c r="L184" i="6"/>
  <c r="N184" i="6"/>
  <c r="O184" i="6"/>
  <c r="P184" i="6"/>
  <c r="Q184" i="6"/>
  <c r="R184" i="6"/>
  <c r="S184" i="6"/>
  <c r="T184" i="6"/>
  <c r="U184" i="6"/>
  <c r="A185" i="6"/>
  <c r="B185" i="6"/>
  <c r="C185" i="6"/>
  <c r="D185" i="6"/>
  <c r="E185" i="6"/>
  <c r="F185" i="6"/>
  <c r="G185" i="6"/>
  <c r="H185" i="6"/>
  <c r="I185" i="6"/>
  <c r="J185" i="6"/>
  <c r="K185" i="6"/>
  <c r="L185" i="6"/>
  <c r="N185" i="6"/>
  <c r="O185" i="6"/>
  <c r="P185" i="6"/>
  <c r="Q185" i="6"/>
  <c r="R185" i="6"/>
  <c r="S185" i="6"/>
  <c r="T185" i="6"/>
  <c r="U185" i="6"/>
  <c r="A186" i="6"/>
  <c r="B186" i="6"/>
  <c r="C186" i="6"/>
  <c r="D186" i="6"/>
  <c r="E186" i="6"/>
  <c r="F186" i="6"/>
  <c r="G186" i="6"/>
  <c r="H186" i="6"/>
  <c r="I186" i="6"/>
  <c r="J186" i="6"/>
  <c r="K186" i="6"/>
  <c r="L186" i="6"/>
  <c r="N186" i="6"/>
  <c r="O186" i="6"/>
  <c r="P186" i="6"/>
  <c r="Q186" i="6"/>
  <c r="R186" i="6"/>
  <c r="S186" i="6"/>
  <c r="T186" i="6"/>
  <c r="U186" i="6"/>
  <c r="A187" i="6"/>
  <c r="B187" i="6"/>
  <c r="C187" i="6"/>
  <c r="D187" i="6"/>
  <c r="E187" i="6"/>
  <c r="F187" i="6"/>
  <c r="G187" i="6"/>
  <c r="H187" i="6"/>
  <c r="I187" i="6"/>
  <c r="J187" i="6"/>
  <c r="K187" i="6"/>
  <c r="L187" i="6"/>
  <c r="N187" i="6"/>
  <c r="O187" i="6"/>
  <c r="P187" i="6"/>
  <c r="Q187" i="6"/>
  <c r="R187" i="6"/>
  <c r="S187" i="6"/>
  <c r="T187" i="6"/>
  <c r="U187" i="6"/>
  <c r="A188" i="6"/>
  <c r="B188" i="6"/>
  <c r="C188" i="6"/>
  <c r="D188" i="6"/>
  <c r="E188" i="6"/>
  <c r="F188" i="6"/>
  <c r="G188" i="6"/>
  <c r="H188" i="6"/>
  <c r="I188" i="6"/>
  <c r="J188" i="6"/>
  <c r="K188" i="6"/>
  <c r="L188" i="6"/>
  <c r="N188" i="6"/>
  <c r="O188" i="6"/>
  <c r="P188" i="6"/>
  <c r="Q188" i="6"/>
  <c r="R188" i="6"/>
  <c r="S188" i="6"/>
  <c r="T188" i="6"/>
  <c r="U188" i="6"/>
  <c r="A189" i="6"/>
  <c r="B189" i="6"/>
  <c r="C189" i="6"/>
  <c r="D189" i="6"/>
  <c r="E189" i="6"/>
  <c r="F189" i="6"/>
  <c r="G189" i="6"/>
  <c r="H189" i="6"/>
  <c r="I189" i="6"/>
  <c r="J189" i="6"/>
  <c r="K189" i="6"/>
  <c r="L189" i="6"/>
  <c r="N189" i="6"/>
  <c r="O189" i="6"/>
  <c r="P189" i="6"/>
  <c r="Q189" i="6"/>
  <c r="R189" i="6"/>
  <c r="S189" i="6"/>
  <c r="T189" i="6"/>
  <c r="U189" i="6"/>
  <c r="A190" i="6"/>
  <c r="B190" i="6"/>
  <c r="C190" i="6"/>
  <c r="D190" i="6"/>
  <c r="E190" i="6"/>
  <c r="F190" i="6"/>
  <c r="G190" i="6"/>
  <c r="H190" i="6"/>
  <c r="I190" i="6"/>
  <c r="J190" i="6"/>
  <c r="K190" i="6"/>
  <c r="L190" i="6"/>
  <c r="N190" i="6"/>
  <c r="O190" i="6"/>
  <c r="P190" i="6"/>
  <c r="Q190" i="6"/>
  <c r="R190" i="6"/>
  <c r="S190" i="6"/>
  <c r="T190" i="6"/>
  <c r="U190" i="6"/>
  <c r="A191" i="6"/>
  <c r="B191" i="6"/>
  <c r="C191" i="6"/>
  <c r="D191" i="6"/>
  <c r="E191" i="6"/>
  <c r="F191" i="6"/>
  <c r="G191" i="6"/>
  <c r="H191" i="6"/>
  <c r="I191" i="6"/>
  <c r="J191" i="6"/>
  <c r="K191" i="6"/>
  <c r="L191" i="6"/>
  <c r="N191" i="6"/>
  <c r="O191" i="6"/>
  <c r="P191" i="6"/>
  <c r="Q191" i="6"/>
  <c r="R191" i="6"/>
  <c r="S191" i="6"/>
  <c r="T191" i="6"/>
  <c r="U191" i="6"/>
  <c r="A192" i="6"/>
  <c r="B192" i="6"/>
  <c r="C192" i="6"/>
  <c r="D192" i="6"/>
  <c r="E192" i="6"/>
  <c r="F192" i="6"/>
  <c r="G192" i="6"/>
  <c r="H192" i="6"/>
  <c r="I192" i="6"/>
  <c r="J192" i="6"/>
  <c r="K192" i="6"/>
  <c r="L192" i="6"/>
  <c r="N192" i="6"/>
  <c r="O192" i="6"/>
  <c r="P192" i="6"/>
  <c r="Q192" i="6"/>
  <c r="R192" i="6"/>
  <c r="S192" i="6"/>
  <c r="T192" i="6"/>
  <c r="U192" i="6"/>
  <c r="A193" i="6"/>
  <c r="B193" i="6"/>
  <c r="C193" i="6"/>
  <c r="D193" i="6"/>
  <c r="E193" i="6"/>
  <c r="F193" i="6"/>
  <c r="G193" i="6"/>
  <c r="H193" i="6"/>
  <c r="I193" i="6"/>
  <c r="J193" i="6"/>
  <c r="K193" i="6"/>
  <c r="L193" i="6"/>
  <c r="N193" i="6"/>
  <c r="O193" i="6"/>
  <c r="P193" i="6"/>
  <c r="Q193" i="6"/>
  <c r="R193" i="6"/>
  <c r="S193" i="6"/>
  <c r="T193" i="6"/>
  <c r="U193" i="6"/>
  <c r="A194" i="6"/>
  <c r="B194" i="6"/>
  <c r="C194" i="6"/>
  <c r="D194" i="6"/>
  <c r="E194" i="6"/>
  <c r="F194" i="6"/>
  <c r="G194" i="6"/>
  <c r="H194" i="6"/>
  <c r="I194" i="6"/>
  <c r="J194" i="6"/>
  <c r="K194" i="6"/>
  <c r="L194" i="6"/>
  <c r="N194" i="6"/>
  <c r="O194" i="6"/>
  <c r="P194" i="6"/>
  <c r="Q194" i="6"/>
  <c r="R194" i="6"/>
  <c r="S194" i="6"/>
  <c r="T194" i="6"/>
  <c r="U194" i="6"/>
  <c r="A195" i="6"/>
  <c r="B195" i="6"/>
  <c r="C195" i="6"/>
  <c r="D195" i="6"/>
  <c r="E195" i="6"/>
  <c r="F195" i="6"/>
  <c r="G195" i="6"/>
  <c r="H195" i="6"/>
  <c r="I195" i="6"/>
  <c r="J195" i="6"/>
  <c r="K195" i="6"/>
  <c r="L195" i="6"/>
  <c r="N195" i="6"/>
  <c r="O195" i="6"/>
  <c r="P195" i="6"/>
  <c r="Q195" i="6"/>
  <c r="R195" i="6"/>
  <c r="S195" i="6"/>
  <c r="T195" i="6"/>
  <c r="U195" i="6"/>
  <c r="A196" i="6"/>
  <c r="B196" i="6"/>
  <c r="C196" i="6"/>
  <c r="D196" i="6"/>
  <c r="E196" i="6"/>
  <c r="F196" i="6"/>
  <c r="G196" i="6"/>
  <c r="H196" i="6"/>
  <c r="I196" i="6"/>
  <c r="J196" i="6"/>
  <c r="K196" i="6"/>
  <c r="L196" i="6"/>
  <c r="N196" i="6"/>
  <c r="O196" i="6"/>
  <c r="P196" i="6"/>
  <c r="Q196" i="6"/>
  <c r="R196" i="6"/>
  <c r="S196" i="6"/>
  <c r="T196" i="6"/>
  <c r="U196" i="6"/>
  <c r="A197" i="6"/>
  <c r="B197" i="6"/>
  <c r="C197" i="6"/>
  <c r="D197" i="6"/>
  <c r="E197" i="6"/>
  <c r="F197" i="6"/>
  <c r="G197" i="6"/>
  <c r="H197" i="6"/>
  <c r="I197" i="6"/>
  <c r="J197" i="6"/>
  <c r="K197" i="6"/>
  <c r="L197" i="6"/>
  <c r="N197" i="6"/>
  <c r="O197" i="6"/>
  <c r="P197" i="6"/>
  <c r="Q197" i="6"/>
  <c r="R197" i="6"/>
  <c r="S197" i="6"/>
  <c r="T197" i="6"/>
  <c r="U197" i="6"/>
  <c r="A198" i="6"/>
  <c r="B198" i="6"/>
  <c r="C198" i="6"/>
  <c r="D198" i="6"/>
  <c r="E198" i="6"/>
  <c r="F198" i="6"/>
  <c r="G198" i="6"/>
  <c r="H198" i="6"/>
  <c r="I198" i="6"/>
  <c r="J198" i="6"/>
  <c r="K198" i="6"/>
  <c r="L198" i="6"/>
  <c r="N198" i="6"/>
  <c r="O198" i="6"/>
  <c r="P198" i="6"/>
  <c r="Q198" i="6"/>
  <c r="R198" i="6"/>
  <c r="S198" i="6"/>
  <c r="T198" i="6"/>
  <c r="U198" i="6"/>
  <c r="A199" i="6"/>
  <c r="B199" i="6"/>
  <c r="C199" i="6"/>
  <c r="D199" i="6"/>
  <c r="E199" i="6"/>
  <c r="F199" i="6"/>
  <c r="G199" i="6"/>
  <c r="H199" i="6"/>
  <c r="I199" i="6"/>
  <c r="J199" i="6"/>
  <c r="K199" i="6"/>
  <c r="L199" i="6"/>
  <c r="N199" i="6"/>
  <c r="O199" i="6"/>
  <c r="P199" i="6"/>
  <c r="Q199" i="6"/>
  <c r="R199" i="6"/>
  <c r="S199" i="6"/>
  <c r="T199" i="6"/>
  <c r="U199" i="6"/>
  <c r="A200" i="6"/>
  <c r="B200" i="6"/>
  <c r="C200" i="6"/>
  <c r="D200" i="6"/>
  <c r="E200" i="6"/>
  <c r="F200" i="6"/>
  <c r="G200" i="6"/>
  <c r="H200" i="6"/>
  <c r="I200" i="6"/>
  <c r="J200" i="6"/>
  <c r="K200" i="6"/>
  <c r="L200" i="6"/>
  <c r="N200" i="6"/>
  <c r="O200" i="6"/>
  <c r="P200" i="6"/>
  <c r="Q200" i="6"/>
  <c r="R200" i="6"/>
  <c r="S200" i="6"/>
  <c r="T200" i="6"/>
  <c r="U200" i="6"/>
  <c r="A201" i="6"/>
  <c r="B201" i="6"/>
  <c r="C201" i="6"/>
  <c r="D201" i="6"/>
  <c r="E201" i="6"/>
  <c r="F201" i="6"/>
  <c r="G201" i="6"/>
  <c r="H201" i="6"/>
  <c r="I201" i="6"/>
  <c r="J201" i="6"/>
  <c r="K201" i="6"/>
  <c r="L201" i="6"/>
  <c r="N201" i="6"/>
  <c r="O201" i="6"/>
  <c r="P201" i="6"/>
  <c r="Q201" i="6"/>
  <c r="R201" i="6"/>
  <c r="S201" i="6"/>
  <c r="T201" i="6"/>
  <c r="U201" i="6"/>
  <c r="A202" i="6"/>
  <c r="B202" i="6"/>
  <c r="C202" i="6"/>
  <c r="D202" i="6"/>
  <c r="E202" i="6"/>
  <c r="F202" i="6"/>
  <c r="G202" i="6"/>
  <c r="H202" i="6"/>
  <c r="I202" i="6"/>
  <c r="J202" i="6"/>
  <c r="K202" i="6"/>
  <c r="L202" i="6"/>
  <c r="N202" i="6"/>
  <c r="O202" i="6"/>
  <c r="P202" i="6"/>
  <c r="Q202" i="6"/>
  <c r="R202" i="6"/>
  <c r="S202" i="6"/>
  <c r="T202" i="6"/>
  <c r="U202" i="6"/>
  <c r="A203" i="6"/>
  <c r="B203" i="6"/>
  <c r="C203" i="6"/>
  <c r="D203" i="6"/>
  <c r="E203" i="6"/>
  <c r="F203" i="6"/>
  <c r="G203" i="6"/>
  <c r="H203" i="6"/>
  <c r="I203" i="6"/>
  <c r="J203" i="6"/>
  <c r="K203" i="6"/>
  <c r="L203" i="6"/>
  <c r="N203" i="6"/>
  <c r="O203" i="6"/>
  <c r="P203" i="6"/>
  <c r="Q203" i="6"/>
  <c r="R203" i="6"/>
  <c r="S203" i="6"/>
  <c r="T203" i="6"/>
  <c r="U203" i="6"/>
  <c r="A204" i="6"/>
  <c r="B204" i="6"/>
  <c r="C204" i="6"/>
  <c r="D204" i="6"/>
  <c r="E204" i="6"/>
  <c r="F204" i="6"/>
  <c r="G204" i="6"/>
  <c r="H204" i="6"/>
  <c r="I204" i="6"/>
  <c r="J204" i="6"/>
  <c r="K204" i="6"/>
  <c r="L204" i="6"/>
  <c r="N204" i="6"/>
  <c r="O204" i="6"/>
  <c r="P204" i="6"/>
  <c r="Q204" i="6"/>
  <c r="R204" i="6"/>
  <c r="S204" i="6"/>
  <c r="T204" i="6"/>
  <c r="U204" i="6"/>
  <c r="A205" i="6"/>
  <c r="B205" i="6"/>
  <c r="C205" i="6"/>
  <c r="D205" i="6"/>
  <c r="E205" i="6"/>
  <c r="F205" i="6"/>
  <c r="G205" i="6"/>
  <c r="H205" i="6"/>
  <c r="I205" i="6"/>
  <c r="J205" i="6"/>
  <c r="K205" i="6"/>
  <c r="L205" i="6"/>
  <c r="N205" i="6"/>
  <c r="O205" i="6"/>
  <c r="P205" i="6"/>
  <c r="Q205" i="6"/>
  <c r="R205" i="6"/>
  <c r="S205" i="6"/>
  <c r="T205" i="6"/>
  <c r="U205" i="6"/>
  <c r="A206" i="6"/>
  <c r="B206" i="6"/>
  <c r="C206" i="6"/>
  <c r="D206" i="6"/>
  <c r="E206" i="6"/>
  <c r="F206" i="6"/>
  <c r="G206" i="6"/>
  <c r="H206" i="6"/>
  <c r="I206" i="6"/>
  <c r="J206" i="6"/>
  <c r="K206" i="6"/>
  <c r="L206" i="6"/>
  <c r="N206" i="6"/>
  <c r="O206" i="6"/>
  <c r="P206" i="6"/>
  <c r="Q206" i="6"/>
  <c r="R206" i="6"/>
  <c r="S206" i="6"/>
  <c r="T206" i="6"/>
  <c r="U206" i="6"/>
  <c r="A207" i="6"/>
  <c r="B207" i="6"/>
  <c r="C207" i="6"/>
  <c r="D207" i="6"/>
  <c r="E207" i="6"/>
  <c r="F207" i="6"/>
  <c r="G207" i="6"/>
  <c r="H207" i="6"/>
  <c r="I207" i="6"/>
  <c r="J207" i="6"/>
  <c r="K207" i="6"/>
  <c r="L207" i="6"/>
  <c r="N207" i="6"/>
  <c r="O207" i="6"/>
  <c r="P207" i="6"/>
  <c r="Q207" i="6"/>
  <c r="R207" i="6"/>
  <c r="S207" i="6"/>
  <c r="T207" i="6"/>
  <c r="U207" i="6"/>
  <c r="A208" i="6"/>
  <c r="B208" i="6"/>
  <c r="C208" i="6"/>
  <c r="D208" i="6"/>
  <c r="E208" i="6"/>
  <c r="F208" i="6"/>
  <c r="G208" i="6"/>
  <c r="H208" i="6"/>
  <c r="I208" i="6"/>
  <c r="J208" i="6"/>
  <c r="K208" i="6"/>
  <c r="L208" i="6"/>
  <c r="N208" i="6"/>
  <c r="O208" i="6"/>
  <c r="P208" i="6"/>
  <c r="Q208" i="6"/>
  <c r="R208" i="6"/>
  <c r="S208" i="6"/>
  <c r="T208" i="6"/>
  <c r="U208" i="6"/>
  <c r="A209" i="6"/>
  <c r="B209" i="6"/>
  <c r="C209" i="6"/>
  <c r="D209" i="6"/>
  <c r="E209" i="6"/>
  <c r="F209" i="6"/>
  <c r="G209" i="6"/>
  <c r="H209" i="6"/>
  <c r="I209" i="6"/>
  <c r="J209" i="6"/>
  <c r="K209" i="6"/>
  <c r="L209" i="6"/>
  <c r="N209" i="6"/>
  <c r="O209" i="6"/>
  <c r="P209" i="6"/>
  <c r="Q209" i="6"/>
  <c r="R209" i="6"/>
  <c r="S209" i="6"/>
  <c r="T209" i="6"/>
  <c r="U209" i="6"/>
  <c r="A210" i="6"/>
  <c r="B210" i="6"/>
  <c r="C210" i="6"/>
  <c r="D210" i="6"/>
  <c r="E210" i="6"/>
  <c r="F210" i="6"/>
  <c r="G210" i="6"/>
  <c r="H210" i="6"/>
  <c r="I210" i="6"/>
  <c r="J210" i="6"/>
  <c r="K210" i="6"/>
  <c r="L210" i="6"/>
  <c r="N210" i="6"/>
  <c r="O210" i="6"/>
  <c r="P210" i="6"/>
  <c r="Q210" i="6"/>
  <c r="R210" i="6"/>
  <c r="S210" i="6"/>
  <c r="T210" i="6"/>
  <c r="U210" i="6"/>
  <c r="A211" i="6"/>
  <c r="B211" i="6"/>
  <c r="C211" i="6"/>
  <c r="D211" i="6"/>
  <c r="E211" i="6"/>
  <c r="F211" i="6"/>
  <c r="G211" i="6"/>
  <c r="H211" i="6"/>
  <c r="I211" i="6"/>
  <c r="J211" i="6"/>
  <c r="K211" i="6"/>
  <c r="L211" i="6"/>
  <c r="N211" i="6"/>
  <c r="O211" i="6"/>
  <c r="P211" i="6"/>
  <c r="Q211" i="6"/>
  <c r="R211" i="6"/>
  <c r="S211" i="6"/>
  <c r="T211" i="6"/>
  <c r="U211" i="6"/>
  <c r="A212" i="6"/>
  <c r="B212" i="6"/>
  <c r="C212" i="6"/>
  <c r="D212" i="6"/>
  <c r="E212" i="6"/>
  <c r="F212" i="6"/>
  <c r="G212" i="6"/>
  <c r="H212" i="6"/>
  <c r="I212" i="6"/>
  <c r="J212" i="6"/>
  <c r="K212" i="6"/>
  <c r="L212" i="6"/>
  <c r="N212" i="6"/>
  <c r="O212" i="6"/>
  <c r="P212" i="6"/>
  <c r="Q212" i="6"/>
  <c r="R212" i="6"/>
  <c r="S212" i="6"/>
  <c r="T212" i="6"/>
  <c r="U212" i="6"/>
  <c r="A213" i="6"/>
  <c r="B213" i="6"/>
  <c r="C213" i="6"/>
  <c r="D213" i="6"/>
  <c r="E213" i="6"/>
  <c r="F213" i="6"/>
  <c r="G213" i="6"/>
  <c r="H213" i="6"/>
  <c r="I213" i="6"/>
  <c r="J213" i="6"/>
  <c r="K213" i="6"/>
  <c r="L213" i="6"/>
  <c r="N213" i="6"/>
  <c r="O213" i="6"/>
  <c r="P213" i="6"/>
  <c r="Q213" i="6"/>
  <c r="R213" i="6"/>
  <c r="S213" i="6"/>
  <c r="T213" i="6"/>
  <c r="U213" i="6"/>
  <c r="A214" i="6"/>
  <c r="B214" i="6"/>
  <c r="C214" i="6"/>
  <c r="D214" i="6"/>
  <c r="E214" i="6"/>
  <c r="F214" i="6"/>
  <c r="G214" i="6"/>
  <c r="H214" i="6"/>
  <c r="I214" i="6"/>
  <c r="J214" i="6"/>
  <c r="K214" i="6"/>
  <c r="L214" i="6"/>
  <c r="N214" i="6"/>
  <c r="O214" i="6"/>
  <c r="P214" i="6"/>
  <c r="Q214" i="6"/>
  <c r="R214" i="6"/>
  <c r="S214" i="6"/>
  <c r="T214" i="6"/>
  <c r="U214" i="6"/>
  <c r="A215" i="6"/>
  <c r="B215" i="6"/>
  <c r="C215" i="6"/>
  <c r="D215" i="6"/>
  <c r="E215" i="6"/>
  <c r="F215" i="6"/>
  <c r="G215" i="6"/>
  <c r="H215" i="6"/>
  <c r="I215" i="6"/>
  <c r="J215" i="6"/>
  <c r="K215" i="6"/>
  <c r="L215" i="6"/>
  <c r="N215" i="6"/>
  <c r="O215" i="6"/>
  <c r="P215" i="6"/>
  <c r="Q215" i="6"/>
  <c r="R215" i="6"/>
  <c r="S215" i="6"/>
  <c r="T215" i="6"/>
  <c r="U215" i="6"/>
  <c r="A216" i="6"/>
  <c r="B216" i="6"/>
  <c r="C216" i="6"/>
  <c r="D216" i="6"/>
  <c r="E216" i="6"/>
  <c r="F216" i="6"/>
  <c r="G216" i="6"/>
  <c r="H216" i="6"/>
  <c r="I216" i="6"/>
  <c r="J216" i="6"/>
  <c r="K216" i="6"/>
  <c r="L216" i="6"/>
  <c r="N216" i="6"/>
  <c r="O216" i="6"/>
  <c r="P216" i="6"/>
  <c r="Q216" i="6"/>
  <c r="R216" i="6"/>
  <c r="S216" i="6"/>
  <c r="T216" i="6"/>
  <c r="U216" i="6"/>
  <c r="A217" i="6"/>
  <c r="B217" i="6"/>
  <c r="C217" i="6"/>
  <c r="D217" i="6"/>
  <c r="E217" i="6"/>
  <c r="F217" i="6"/>
  <c r="G217" i="6"/>
  <c r="H217" i="6"/>
  <c r="I217" i="6"/>
  <c r="J217" i="6"/>
  <c r="K217" i="6"/>
  <c r="L217" i="6"/>
  <c r="N217" i="6"/>
  <c r="O217" i="6"/>
  <c r="P217" i="6"/>
  <c r="Q217" i="6"/>
  <c r="R217" i="6"/>
  <c r="S217" i="6"/>
  <c r="T217" i="6"/>
  <c r="U217" i="6"/>
  <c r="A218" i="6"/>
  <c r="B218" i="6"/>
  <c r="C218" i="6"/>
  <c r="D218" i="6"/>
  <c r="E218" i="6"/>
  <c r="F218" i="6"/>
  <c r="G218" i="6"/>
  <c r="H218" i="6"/>
  <c r="I218" i="6"/>
  <c r="J218" i="6"/>
  <c r="K218" i="6"/>
  <c r="L218" i="6"/>
  <c r="N218" i="6"/>
  <c r="O218" i="6"/>
  <c r="P218" i="6"/>
  <c r="Q218" i="6"/>
  <c r="R218" i="6"/>
  <c r="S218" i="6"/>
  <c r="T218" i="6"/>
  <c r="U218" i="6"/>
  <c r="A219" i="6"/>
  <c r="B219" i="6"/>
  <c r="C219" i="6"/>
  <c r="D219" i="6"/>
  <c r="E219" i="6"/>
  <c r="F219" i="6"/>
  <c r="G219" i="6"/>
  <c r="H219" i="6"/>
  <c r="I219" i="6"/>
  <c r="J219" i="6"/>
  <c r="K219" i="6"/>
  <c r="L219" i="6"/>
  <c r="N219" i="6"/>
  <c r="O219" i="6"/>
  <c r="P219" i="6"/>
  <c r="Q219" i="6"/>
  <c r="R219" i="6"/>
  <c r="S219" i="6"/>
  <c r="T219" i="6"/>
  <c r="U219" i="6"/>
  <c r="A220" i="6"/>
  <c r="B220" i="6"/>
  <c r="C220" i="6"/>
  <c r="D220" i="6"/>
  <c r="E220" i="6"/>
  <c r="F220" i="6"/>
  <c r="G220" i="6"/>
  <c r="H220" i="6"/>
  <c r="I220" i="6"/>
  <c r="J220" i="6"/>
  <c r="K220" i="6"/>
  <c r="L220" i="6"/>
  <c r="N220" i="6"/>
  <c r="O220" i="6"/>
  <c r="P220" i="6"/>
  <c r="Q220" i="6"/>
  <c r="R220" i="6"/>
  <c r="S220" i="6"/>
  <c r="T220" i="6"/>
  <c r="U220" i="6"/>
  <c r="A221" i="6"/>
  <c r="B221" i="6"/>
  <c r="C221" i="6"/>
  <c r="D221" i="6"/>
  <c r="E221" i="6"/>
  <c r="F221" i="6"/>
  <c r="G221" i="6"/>
  <c r="H221" i="6"/>
  <c r="I221" i="6"/>
  <c r="J221" i="6"/>
  <c r="K221" i="6"/>
  <c r="L221" i="6"/>
  <c r="N221" i="6"/>
  <c r="O221" i="6"/>
  <c r="P221" i="6"/>
  <c r="Q221" i="6"/>
  <c r="R221" i="6"/>
  <c r="S221" i="6"/>
  <c r="T221" i="6"/>
  <c r="U221" i="6"/>
  <c r="A222" i="6"/>
  <c r="B222" i="6"/>
  <c r="C222" i="6"/>
  <c r="D222" i="6"/>
  <c r="E222" i="6"/>
  <c r="F222" i="6"/>
  <c r="G222" i="6"/>
  <c r="H222" i="6"/>
  <c r="I222" i="6"/>
  <c r="J222" i="6"/>
  <c r="K222" i="6"/>
  <c r="L222" i="6"/>
  <c r="N222" i="6"/>
  <c r="O222" i="6"/>
  <c r="P222" i="6"/>
  <c r="Q222" i="6"/>
  <c r="R222" i="6"/>
  <c r="S222" i="6"/>
  <c r="T222" i="6"/>
  <c r="U222" i="6"/>
  <c r="A223" i="6"/>
  <c r="B223" i="6"/>
  <c r="C223" i="6"/>
  <c r="D223" i="6"/>
  <c r="E223" i="6"/>
  <c r="F223" i="6"/>
  <c r="G223" i="6"/>
  <c r="H223" i="6"/>
  <c r="I223" i="6"/>
  <c r="J223" i="6"/>
  <c r="K223" i="6"/>
  <c r="L223" i="6"/>
  <c r="N223" i="6"/>
  <c r="O223" i="6"/>
  <c r="P223" i="6"/>
  <c r="Q223" i="6"/>
  <c r="R223" i="6"/>
  <c r="S223" i="6"/>
  <c r="T223" i="6"/>
  <c r="U223" i="6"/>
  <c r="A224" i="6"/>
  <c r="B224" i="6"/>
  <c r="C224" i="6"/>
  <c r="D224" i="6"/>
  <c r="E224" i="6"/>
  <c r="F224" i="6"/>
  <c r="G224" i="6"/>
  <c r="H224" i="6"/>
  <c r="I224" i="6"/>
  <c r="J224" i="6"/>
  <c r="K224" i="6"/>
  <c r="L224" i="6"/>
  <c r="N224" i="6"/>
  <c r="O224" i="6"/>
  <c r="P224" i="6"/>
  <c r="Q224" i="6"/>
  <c r="R224" i="6"/>
  <c r="S224" i="6"/>
  <c r="T224" i="6"/>
  <c r="U224" i="6"/>
  <c r="A225" i="6"/>
  <c r="B225" i="6"/>
  <c r="C225" i="6"/>
  <c r="D225" i="6"/>
  <c r="E225" i="6"/>
  <c r="F225" i="6"/>
  <c r="G225" i="6"/>
  <c r="H225" i="6"/>
  <c r="I225" i="6"/>
  <c r="J225" i="6"/>
  <c r="K225" i="6"/>
  <c r="L225" i="6"/>
  <c r="N225" i="6"/>
  <c r="O225" i="6"/>
  <c r="P225" i="6"/>
  <c r="Q225" i="6"/>
  <c r="R225" i="6"/>
  <c r="S225" i="6"/>
  <c r="T225" i="6"/>
  <c r="U225" i="6"/>
  <c r="A226" i="6"/>
  <c r="B226" i="6"/>
  <c r="C226" i="6"/>
  <c r="D226" i="6"/>
  <c r="E226" i="6"/>
  <c r="F226" i="6"/>
  <c r="G226" i="6"/>
  <c r="H226" i="6"/>
  <c r="I226" i="6"/>
  <c r="J226" i="6"/>
  <c r="K226" i="6"/>
  <c r="L226" i="6"/>
  <c r="N226" i="6"/>
  <c r="O226" i="6"/>
  <c r="P226" i="6"/>
  <c r="Q226" i="6"/>
  <c r="R226" i="6"/>
  <c r="S226" i="6"/>
  <c r="T226" i="6"/>
  <c r="U226" i="6"/>
  <c r="A227" i="6"/>
  <c r="B227" i="6"/>
  <c r="C227" i="6"/>
  <c r="D227" i="6"/>
  <c r="E227" i="6"/>
  <c r="F227" i="6"/>
  <c r="G227" i="6"/>
  <c r="H227" i="6"/>
  <c r="I227" i="6"/>
  <c r="J227" i="6"/>
  <c r="K227" i="6"/>
  <c r="L227" i="6"/>
  <c r="N227" i="6"/>
  <c r="O227" i="6"/>
  <c r="P227" i="6"/>
  <c r="Q227" i="6"/>
  <c r="R227" i="6"/>
  <c r="S227" i="6"/>
  <c r="T227" i="6"/>
  <c r="U227" i="6"/>
  <c r="A228" i="6"/>
  <c r="B228" i="6"/>
  <c r="C228" i="6"/>
  <c r="D228" i="6"/>
  <c r="E228" i="6"/>
  <c r="F228" i="6"/>
  <c r="G228" i="6"/>
  <c r="H228" i="6"/>
  <c r="I228" i="6"/>
  <c r="J228" i="6"/>
  <c r="K228" i="6"/>
  <c r="L228" i="6"/>
  <c r="N228" i="6"/>
  <c r="O228" i="6"/>
  <c r="P228" i="6"/>
  <c r="Q228" i="6"/>
  <c r="R228" i="6"/>
  <c r="S228" i="6"/>
  <c r="T228" i="6"/>
  <c r="U228" i="6"/>
  <c r="A229" i="6"/>
  <c r="B229" i="6"/>
  <c r="C229" i="6"/>
  <c r="D229" i="6"/>
  <c r="E229" i="6"/>
  <c r="F229" i="6"/>
  <c r="G229" i="6"/>
  <c r="H229" i="6"/>
  <c r="I229" i="6"/>
  <c r="J229" i="6"/>
  <c r="K229" i="6"/>
  <c r="L229" i="6"/>
  <c r="N229" i="6"/>
  <c r="O229" i="6"/>
  <c r="P229" i="6"/>
  <c r="Q229" i="6"/>
  <c r="R229" i="6"/>
  <c r="S229" i="6"/>
  <c r="T229" i="6"/>
  <c r="U229" i="6"/>
  <c r="A230" i="6"/>
  <c r="B230" i="6"/>
  <c r="C230" i="6"/>
  <c r="D230" i="6"/>
  <c r="E230" i="6"/>
  <c r="F230" i="6"/>
  <c r="G230" i="6"/>
  <c r="H230" i="6"/>
  <c r="I230" i="6"/>
  <c r="J230" i="6"/>
  <c r="K230" i="6"/>
  <c r="L230" i="6"/>
  <c r="N230" i="6"/>
  <c r="O230" i="6"/>
  <c r="P230" i="6"/>
  <c r="Q230" i="6"/>
  <c r="R230" i="6"/>
  <c r="S230" i="6"/>
  <c r="T230" i="6"/>
  <c r="U230" i="6"/>
  <c r="A231" i="6"/>
  <c r="B231" i="6"/>
  <c r="C231" i="6"/>
  <c r="D231" i="6"/>
  <c r="E231" i="6"/>
  <c r="F231" i="6"/>
  <c r="G231" i="6"/>
  <c r="H231" i="6"/>
  <c r="I231" i="6"/>
  <c r="J231" i="6"/>
  <c r="K231" i="6"/>
  <c r="L231" i="6"/>
  <c r="N231" i="6"/>
  <c r="O231" i="6"/>
  <c r="P231" i="6"/>
  <c r="Q231" i="6"/>
  <c r="R231" i="6"/>
  <c r="S231" i="6"/>
  <c r="T231" i="6"/>
  <c r="U231" i="6"/>
  <c r="A232" i="6"/>
  <c r="B232" i="6"/>
  <c r="C232" i="6"/>
  <c r="D232" i="6"/>
  <c r="E232" i="6"/>
  <c r="F232" i="6"/>
  <c r="G232" i="6"/>
  <c r="H232" i="6"/>
  <c r="I232" i="6"/>
  <c r="J232" i="6"/>
  <c r="K232" i="6"/>
  <c r="L232" i="6"/>
  <c r="N232" i="6"/>
  <c r="O232" i="6"/>
  <c r="P232" i="6"/>
  <c r="Q232" i="6"/>
  <c r="R232" i="6"/>
  <c r="S232" i="6"/>
  <c r="T232" i="6"/>
  <c r="U232" i="6"/>
  <c r="A233" i="6"/>
  <c r="B233" i="6"/>
  <c r="C233" i="6"/>
  <c r="D233" i="6"/>
  <c r="E233" i="6"/>
  <c r="F233" i="6"/>
  <c r="G233" i="6"/>
  <c r="H233" i="6"/>
  <c r="I233" i="6"/>
  <c r="J233" i="6"/>
  <c r="K233" i="6"/>
  <c r="L233" i="6"/>
  <c r="N233" i="6"/>
  <c r="O233" i="6"/>
  <c r="P233" i="6"/>
  <c r="Q233" i="6"/>
  <c r="R233" i="6"/>
  <c r="S233" i="6"/>
  <c r="T233" i="6"/>
  <c r="U233" i="6"/>
  <c r="A234" i="6"/>
  <c r="B234" i="6"/>
  <c r="C234" i="6"/>
  <c r="D234" i="6"/>
  <c r="E234" i="6"/>
  <c r="F234" i="6"/>
  <c r="G234" i="6"/>
  <c r="H234" i="6"/>
  <c r="I234" i="6"/>
  <c r="J234" i="6"/>
  <c r="K234" i="6"/>
  <c r="L234" i="6"/>
  <c r="N234" i="6"/>
  <c r="O234" i="6"/>
  <c r="P234" i="6"/>
  <c r="Q234" i="6"/>
  <c r="R234" i="6"/>
  <c r="S234" i="6"/>
  <c r="T234" i="6"/>
  <c r="U234" i="6"/>
  <c r="A235" i="6"/>
  <c r="B235" i="6"/>
  <c r="C235" i="6"/>
  <c r="D235" i="6"/>
  <c r="E235" i="6"/>
  <c r="F235" i="6"/>
  <c r="G235" i="6"/>
  <c r="H235" i="6"/>
  <c r="I235" i="6"/>
  <c r="J235" i="6"/>
  <c r="K235" i="6"/>
  <c r="L235" i="6"/>
  <c r="N235" i="6"/>
  <c r="O235" i="6"/>
  <c r="P235" i="6"/>
  <c r="Q235" i="6"/>
  <c r="R235" i="6"/>
  <c r="S235" i="6"/>
  <c r="T235" i="6"/>
  <c r="U235" i="6"/>
  <c r="A236" i="6"/>
  <c r="B236" i="6"/>
  <c r="C236" i="6"/>
  <c r="D236" i="6"/>
  <c r="E236" i="6"/>
  <c r="F236" i="6"/>
  <c r="G236" i="6"/>
  <c r="H236" i="6"/>
  <c r="I236" i="6"/>
  <c r="J236" i="6"/>
  <c r="K236" i="6"/>
  <c r="L236" i="6"/>
  <c r="N236" i="6"/>
  <c r="O236" i="6"/>
  <c r="P236" i="6"/>
  <c r="Q236" i="6"/>
  <c r="R236" i="6"/>
  <c r="S236" i="6"/>
  <c r="T236" i="6"/>
  <c r="U236" i="6"/>
  <c r="A237" i="6"/>
  <c r="B237" i="6"/>
  <c r="C237" i="6"/>
  <c r="D237" i="6"/>
  <c r="E237" i="6"/>
  <c r="F237" i="6"/>
  <c r="G237" i="6"/>
  <c r="H237" i="6"/>
  <c r="I237" i="6"/>
  <c r="J237" i="6"/>
  <c r="K237" i="6"/>
  <c r="L237" i="6"/>
  <c r="N237" i="6"/>
  <c r="O237" i="6"/>
  <c r="P237" i="6"/>
  <c r="Q237" i="6"/>
  <c r="R237" i="6"/>
  <c r="S237" i="6"/>
  <c r="T237" i="6"/>
  <c r="U237" i="6"/>
  <c r="A238" i="6"/>
  <c r="B238" i="6"/>
  <c r="C238" i="6"/>
  <c r="D238" i="6"/>
  <c r="E238" i="6"/>
  <c r="F238" i="6"/>
  <c r="G238" i="6"/>
  <c r="H238" i="6"/>
  <c r="I238" i="6"/>
  <c r="J238" i="6"/>
  <c r="K238" i="6"/>
  <c r="L238" i="6"/>
  <c r="N238" i="6"/>
  <c r="O238" i="6"/>
  <c r="P238" i="6"/>
  <c r="Q238" i="6"/>
  <c r="R238" i="6"/>
  <c r="S238" i="6"/>
  <c r="T238" i="6"/>
  <c r="U238" i="6"/>
  <c r="A239" i="6"/>
  <c r="B239" i="6"/>
  <c r="C239" i="6"/>
  <c r="D239" i="6"/>
  <c r="E239" i="6"/>
  <c r="F239" i="6"/>
  <c r="G239" i="6"/>
  <c r="H239" i="6"/>
  <c r="I239" i="6"/>
  <c r="J239" i="6"/>
  <c r="K239" i="6"/>
  <c r="L239" i="6"/>
  <c r="N239" i="6"/>
  <c r="O239" i="6"/>
  <c r="P239" i="6"/>
  <c r="Q239" i="6"/>
  <c r="R239" i="6"/>
  <c r="S239" i="6"/>
  <c r="T239" i="6"/>
  <c r="U239" i="6"/>
  <c r="A240" i="6"/>
  <c r="B240" i="6"/>
  <c r="C240" i="6"/>
  <c r="D240" i="6"/>
  <c r="E240" i="6"/>
  <c r="F240" i="6"/>
  <c r="G240" i="6"/>
  <c r="H240" i="6"/>
  <c r="I240" i="6"/>
  <c r="J240" i="6"/>
  <c r="K240" i="6"/>
  <c r="L240" i="6"/>
  <c r="N240" i="6"/>
  <c r="O240" i="6"/>
  <c r="P240" i="6"/>
  <c r="Q240" i="6"/>
  <c r="R240" i="6"/>
  <c r="S240" i="6"/>
  <c r="T240" i="6"/>
  <c r="U240" i="6"/>
  <c r="A241" i="6"/>
  <c r="B241" i="6"/>
  <c r="C241" i="6"/>
  <c r="D241" i="6"/>
  <c r="E241" i="6"/>
  <c r="F241" i="6"/>
  <c r="G241" i="6"/>
  <c r="H241" i="6"/>
  <c r="I241" i="6"/>
  <c r="J241" i="6"/>
  <c r="K241" i="6"/>
  <c r="L241" i="6"/>
  <c r="N241" i="6"/>
  <c r="O241" i="6"/>
  <c r="P241" i="6"/>
  <c r="Q241" i="6"/>
  <c r="R241" i="6"/>
  <c r="S241" i="6"/>
  <c r="T241" i="6"/>
  <c r="U241" i="6"/>
  <c r="A242" i="6"/>
  <c r="B242" i="6"/>
  <c r="C242" i="6"/>
  <c r="D242" i="6"/>
  <c r="E242" i="6"/>
  <c r="F242" i="6"/>
  <c r="G242" i="6"/>
  <c r="H242" i="6"/>
  <c r="I242" i="6"/>
  <c r="J242" i="6"/>
  <c r="K242" i="6"/>
  <c r="L242" i="6"/>
  <c r="N242" i="6"/>
  <c r="O242" i="6"/>
  <c r="P242" i="6"/>
  <c r="Q242" i="6"/>
  <c r="R242" i="6"/>
  <c r="S242" i="6"/>
  <c r="T242" i="6"/>
  <c r="U242" i="6"/>
  <c r="A243" i="6"/>
  <c r="B243" i="6"/>
  <c r="C243" i="6"/>
  <c r="D243" i="6"/>
  <c r="E243" i="6"/>
  <c r="F243" i="6"/>
  <c r="G243" i="6"/>
  <c r="H243" i="6"/>
  <c r="I243" i="6"/>
  <c r="J243" i="6"/>
  <c r="K243" i="6"/>
  <c r="L243" i="6"/>
  <c r="N243" i="6"/>
  <c r="O243" i="6"/>
  <c r="P243" i="6"/>
  <c r="Q243" i="6"/>
  <c r="R243" i="6"/>
  <c r="S243" i="6"/>
  <c r="T243" i="6"/>
  <c r="U243" i="6"/>
  <c r="A244" i="6"/>
  <c r="B244" i="6"/>
  <c r="C244" i="6"/>
  <c r="D244" i="6"/>
  <c r="E244" i="6"/>
  <c r="F244" i="6"/>
  <c r="G244" i="6"/>
  <c r="H244" i="6"/>
  <c r="I244" i="6"/>
  <c r="J244" i="6"/>
  <c r="K244" i="6"/>
  <c r="L244" i="6"/>
  <c r="N244" i="6"/>
  <c r="O244" i="6"/>
  <c r="P244" i="6"/>
  <c r="Q244" i="6"/>
  <c r="R244" i="6"/>
  <c r="S244" i="6"/>
  <c r="T244" i="6"/>
  <c r="U244" i="6"/>
  <c r="A245" i="6"/>
  <c r="B245" i="6"/>
  <c r="C245" i="6"/>
  <c r="D245" i="6"/>
  <c r="E245" i="6"/>
  <c r="F245" i="6"/>
  <c r="G245" i="6"/>
  <c r="H245" i="6"/>
  <c r="I245" i="6"/>
  <c r="J245" i="6"/>
  <c r="K245" i="6"/>
  <c r="L245" i="6"/>
  <c r="N245" i="6"/>
  <c r="O245" i="6"/>
  <c r="P245" i="6"/>
  <c r="Q245" i="6"/>
  <c r="R245" i="6"/>
  <c r="S245" i="6"/>
  <c r="T245" i="6"/>
  <c r="U245" i="6"/>
  <c r="A246" i="6"/>
  <c r="B246" i="6"/>
  <c r="C246" i="6"/>
  <c r="D246" i="6"/>
  <c r="E246" i="6"/>
  <c r="F246" i="6"/>
  <c r="G246" i="6"/>
  <c r="H246" i="6"/>
  <c r="I246" i="6"/>
  <c r="J246" i="6"/>
  <c r="K246" i="6"/>
  <c r="L246" i="6"/>
  <c r="N246" i="6"/>
  <c r="O246" i="6"/>
  <c r="P246" i="6"/>
  <c r="Q246" i="6"/>
  <c r="R246" i="6"/>
  <c r="S246" i="6"/>
  <c r="T246" i="6"/>
  <c r="U246" i="6"/>
  <c r="A247" i="6"/>
  <c r="B247" i="6"/>
  <c r="C247" i="6"/>
  <c r="D247" i="6"/>
  <c r="E247" i="6"/>
  <c r="F247" i="6"/>
  <c r="G247" i="6"/>
  <c r="H247" i="6"/>
  <c r="I247" i="6"/>
  <c r="J247" i="6"/>
  <c r="K247" i="6"/>
  <c r="L247" i="6"/>
  <c r="N247" i="6"/>
  <c r="O247" i="6"/>
  <c r="P247" i="6"/>
  <c r="Q247" i="6"/>
  <c r="R247" i="6"/>
  <c r="S247" i="6"/>
  <c r="T247" i="6"/>
  <c r="U247" i="6"/>
  <c r="A248" i="6"/>
  <c r="B248" i="6"/>
  <c r="C248" i="6"/>
  <c r="D248" i="6"/>
  <c r="E248" i="6"/>
  <c r="F248" i="6"/>
  <c r="G248" i="6"/>
  <c r="H248" i="6"/>
  <c r="I248" i="6"/>
  <c r="J248" i="6"/>
  <c r="K248" i="6"/>
  <c r="L248" i="6"/>
  <c r="N248" i="6"/>
  <c r="O248" i="6"/>
  <c r="P248" i="6"/>
  <c r="Q248" i="6"/>
  <c r="R248" i="6"/>
  <c r="S248" i="6"/>
  <c r="T248" i="6"/>
  <c r="U248" i="6"/>
  <c r="A249" i="6"/>
  <c r="B249" i="6"/>
  <c r="C249" i="6"/>
  <c r="D249" i="6"/>
  <c r="E249" i="6"/>
  <c r="F249" i="6"/>
  <c r="G249" i="6"/>
  <c r="H249" i="6"/>
  <c r="I249" i="6"/>
  <c r="J249" i="6"/>
  <c r="K249" i="6"/>
  <c r="L249" i="6"/>
  <c r="N249" i="6"/>
  <c r="O249" i="6"/>
  <c r="P249" i="6"/>
  <c r="Q249" i="6"/>
  <c r="R249" i="6"/>
  <c r="S249" i="6"/>
  <c r="T249" i="6"/>
  <c r="U249" i="6"/>
  <c r="A250" i="6"/>
  <c r="B250" i="6"/>
  <c r="C250" i="6"/>
  <c r="D250" i="6"/>
  <c r="E250" i="6"/>
  <c r="F250" i="6"/>
  <c r="G250" i="6"/>
  <c r="H250" i="6"/>
  <c r="I250" i="6"/>
  <c r="J250" i="6"/>
  <c r="K250" i="6"/>
  <c r="L250" i="6"/>
  <c r="N250" i="6"/>
  <c r="O250" i="6"/>
  <c r="P250" i="6"/>
  <c r="Q250" i="6"/>
  <c r="R250" i="6"/>
  <c r="S250" i="6"/>
  <c r="T250" i="6"/>
  <c r="U250" i="6"/>
  <c r="A251" i="6"/>
  <c r="B251" i="6"/>
  <c r="C251" i="6"/>
  <c r="D251" i="6"/>
  <c r="E251" i="6"/>
  <c r="F251" i="6"/>
  <c r="G251" i="6"/>
  <c r="H251" i="6"/>
  <c r="I251" i="6"/>
  <c r="J251" i="6"/>
  <c r="K251" i="6"/>
  <c r="L251" i="6"/>
  <c r="N251" i="6"/>
  <c r="O251" i="6"/>
  <c r="P251" i="6"/>
  <c r="Q251" i="6"/>
  <c r="R251" i="6"/>
  <c r="S251" i="6"/>
  <c r="T251" i="6"/>
  <c r="U251" i="6"/>
  <c r="A252" i="6"/>
  <c r="B252" i="6"/>
  <c r="C252" i="6"/>
  <c r="D252" i="6"/>
  <c r="E252" i="6"/>
  <c r="F252" i="6"/>
  <c r="G252" i="6"/>
  <c r="H252" i="6"/>
  <c r="I252" i="6"/>
  <c r="J252" i="6"/>
  <c r="K252" i="6"/>
  <c r="L252" i="6"/>
  <c r="N252" i="6"/>
  <c r="O252" i="6"/>
  <c r="P252" i="6"/>
  <c r="Q252" i="6"/>
  <c r="R252" i="6"/>
  <c r="S252" i="6"/>
  <c r="T252" i="6"/>
  <c r="U252" i="6"/>
  <c r="A253" i="6"/>
  <c r="B253" i="6"/>
  <c r="C253" i="6"/>
  <c r="D253" i="6"/>
  <c r="E253" i="6"/>
  <c r="F253" i="6"/>
  <c r="G253" i="6"/>
  <c r="H253" i="6"/>
  <c r="I253" i="6"/>
  <c r="J253" i="6"/>
  <c r="K253" i="6"/>
  <c r="L253" i="6"/>
  <c r="N253" i="6"/>
  <c r="O253" i="6"/>
  <c r="P253" i="6"/>
  <c r="Q253" i="6"/>
  <c r="R253" i="6"/>
  <c r="S253" i="6"/>
  <c r="T253" i="6"/>
  <c r="U253" i="6"/>
  <c r="A254" i="6"/>
  <c r="B254" i="6"/>
  <c r="C254" i="6"/>
  <c r="D254" i="6"/>
  <c r="E254" i="6"/>
  <c r="F254" i="6"/>
  <c r="G254" i="6"/>
  <c r="H254" i="6"/>
  <c r="I254" i="6"/>
  <c r="J254" i="6"/>
  <c r="K254" i="6"/>
  <c r="L254" i="6"/>
  <c r="N254" i="6"/>
  <c r="O254" i="6"/>
  <c r="P254" i="6"/>
  <c r="Q254" i="6"/>
  <c r="R254" i="6"/>
  <c r="S254" i="6"/>
  <c r="T254" i="6"/>
  <c r="U254" i="6"/>
  <c r="A255" i="6"/>
  <c r="B255" i="6"/>
  <c r="C255" i="6"/>
  <c r="D255" i="6"/>
  <c r="E255" i="6"/>
  <c r="F255" i="6"/>
  <c r="G255" i="6"/>
  <c r="H255" i="6"/>
  <c r="I255" i="6"/>
  <c r="J255" i="6"/>
  <c r="K255" i="6"/>
  <c r="L255" i="6"/>
  <c r="N255" i="6"/>
  <c r="O255" i="6"/>
  <c r="P255" i="6"/>
  <c r="Q255" i="6"/>
  <c r="R255" i="6"/>
  <c r="S255" i="6"/>
  <c r="T255" i="6"/>
  <c r="U255" i="6"/>
  <c r="AF255" i="6"/>
  <c r="A256" i="6"/>
  <c r="B256" i="6"/>
  <c r="C256" i="6"/>
  <c r="D256" i="6"/>
  <c r="E256" i="6"/>
  <c r="F256" i="6"/>
  <c r="G256" i="6"/>
  <c r="H256" i="6"/>
  <c r="I256" i="6"/>
  <c r="J256" i="6"/>
  <c r="K256" i="6"/>
  <c r="L256" i="6"/>
  <c r="N256" i="6"/>
  <c r="O256" i="6"/>
  <c r="P256" i="6"/>
  <c r="Q256" i="6"/>
  <c r="R256" i="6"/>
  <c r="S256" i="6"/>
  <c r="T256" i="6"/>
  <c r="U256" i="6"/>
  <c r="AF256" i="6"/>
  <c r="A257" i="6"/>
  <c r="B257" i="6"/>
  <c r="C257" i="6"/>
  <c r="D257" i="6"/>
  <c r="E257" i="6"/>
  <c r="F257" i="6"/>
  <c r="G257" i="6"/>
  <c r="H257" i="6"/>
  <c r="I257" i="6"/>
  <c r="J257" i="6"/>
  <c r="K257" i="6"/>
  <c r="L257" i="6"/>
  <c r="N257" i="6"/>
  <c r="O257" i="6"/>
  <c r="P257" i="6"/>
  <c r="Q257" i="6"/>
  <c r="R257" i="6"/>
  <c r="S257" i="6"/>
  <c r="T257" i="6"/>
  <c r="U257" i="6"/>
  <c r="AF257" i="6"/>
  <c r="A258" i="6"/>
  <c r="B258" i="6"/>
  <c r="C258" i="6"/>
  <c r="D258" i="6"/>
  <c r="E258" i="6"/>
  <c r="F258" i="6"/>
  <c r="G258" i="6"/>
  <c r="H258" i="6"/>
  <c r="I258" i="6"/>
  <c r="J258" i="6"/>
  <c r="K258" i="6"/>
  <c r="L258" i="6"/>
  <c r="N258" i="6"/>
  <c r="O258" i="6"/>
  <c r="P258" i="6"/>
  <c r="Q258" i="6"/>
  <c r="R258" i="6"/>
  <c r="S258" i="6"/>
  <c r="T258" i="6"/>
  <c r="U258" i="6"/>
  <c r="AF258" i="6"/>
  <c r="A259" i="6"/>
  <c r="B259" i="6"/>
  <c r="C259" i="6"/>
  <c r="D259" i="6"/>
  <c r="E259" i="6"/>
  <c r="F259" i="6"/>
  <c r="G259" i="6"/>
  <c r="H259" i="6"/>
  <c r="I259" i="6"/>
  <c r="J259" i="6"/>
  <c r="K259" i="6"/>
  <c r="L259" i="6"/>
  <c r="N259" i="6"/>
  <c r="O259" i="6"/>
  <c r="P259" i="6"/>
  <c r="Q259" i="6"/>
  <c r="R259" i="6"/>
  <c r="S259" i="6"/>
  <c r="T259" i="6"/>
  <c r="U259" i="6"/>
  <c r="AF259" i="6"/>
  <c r="A260" i="6"/>
  <c r="B260" i="6"/>
  <c r="C260" i="6"/>
  <c r="D260" i="6"/>
  <c r="E260" i="6"/>
  <c r="F260" i="6"/>
  <c r="G260" i="6"/>
  <c r="H260" i="6"/>
  <c r="I260" i="6"/>
  <c r="J260" i="6"/>
  <c r="K260" i="6"/>
  <c r="L260" i="6"/>
  <c r="N260" i="6"/>
  <c r="O260" i="6"/>
  <c r="P260" i="6"/>
  <c r="Q260" i="6"/>
  <c r="R260" i="6"/>
  <c r="S260" i="6"/>
  <c r="T260" i="6"/>
  <c r="U260" i="6"/>
  <c r="AF260" i="6"/>
  <c r="A261" i="6"/>
  <c r="B261" i="6"/>
  <c r="C261" i="6"/>
  <c r="D261" i="6"/>
  <c r="E261" i="6"/>
  <c r="F261" i="6"/>
  <c r="G261" i="6"/>
  <c r="H261" i="6"/>
  <c r="I261" i="6"/>
  <c r="J261" i="6"/>
  <c r="K261" i="6"/>
  <c r="L261" i="6"/>
  <c r="N261" i="6"/>
  <c r="O261" i="6"/>
  <c r="P261" i="6"/>
  <c r="Q261" i="6"/>
  <c r="R261" i="6"/>
  <c r="S261" i="6"/>
  <c r="T261" i="6"/>
  <c r="U261" i="6"/>
  <c r="AF261" i="6"/>
  <c r="A262" i="6"/>
  <c r="B262" i="6"/>
  <c r="C262" i="6"/>
  <c r="D262" i="6"/>
  <c r="E262" i="6"/>
  <c r="F262" i="6"/>
  <c r="G262" i="6"/>
  <c r="H262" i="6"/>
  <c r="I262" i="6"/>
  <c r="J262" i="6"/>
  <c r="K262" i="6"/>
  <c r="L262" i="6"/>
  <c r="N262" i="6"/>
  <c r="O262" i="6"/>
  <c r="P262" i="6"/>
  <c r="Q262" i="6"/>
  <c r="R262" i="6"/>
  <c r="S262" i="6"/>
  <c r="T262" i="6"/>
  <c r="U262" i="6"/>
  <c r="AF262" i="6"/>
  <c r="A263" i="6"/>
  <c r="B263" i="6"/>
  <c r="C263" i="6"/>
  <c r="D263" i="6"/>
  <c r="E263" i="6"/>
  <c r="F263" i="6"/>
  <c r="G263" i="6"/>
  <c r="H263" i="6"/>
  <c r="I263" i="6"/>
  <c r="J263" i="6"/>
  <c r="K263" i="6"/>
  <c r="L263" i="6"/>
  <c r="N263" i="6"/>
  <c r="O263" i="6"/>
  <c r="P263" i="6"/>
  <c r="Q263" i="6"/>
  <c r="R263" i="6"/>
  <c r="S263" i="6"/>
  <c r="T263" i="6"/>
  <c r="U263" i="6"/>
  <c r="AF263" i="6"/>
  <c r="A264" i="6"/>
  <c r="B264" i="6"/>
  <c r="C264" i="6"/>
  <c r="D264" i="6"/>
  <c r="E264" i="6"/>
  <c r="F264" i="6"/>
  <c r="G264" i="6"/>
  <c r="H264" i="6"/>
  <c r="I264" i="6"/>
  <c r="J264" i="6"/>
  <c r="K264" i="6"/>
  <c r="L264" i="6"/>
  <c r="N264" i="6"/>
  <c r="O264" i="6"/>
  <c r="P264" i="6"/>
  <c r="Q264" i="6"/>
  <c r="R264" i="6"/>
  <c r="S264" i="6"/>
  <c r="T264" i="6"/>
  <c r="U264" i="6"/>
  <c r="AF264" i="6"/>
  <c r="A265" i="6"/>
  <c r="B265" i="6"/>
  <c r="C265" i="6"/>
  <c r="D265" i="6"/>
  <c r="E265" i="6"/>
  <c r="F265" i="6"/>
  <c r="G265" i="6"/>
  <c r="H265" i="6"/>
  <c r="I265" i="6"/>
  <c r="J265" i="6"/>
  <c r="K265" i="6"/>
  <c r="L265" i="6"/>
  <c r="N265" i="6"/>
  <c r="O265" i="6"/>
  <c r="P265" i="6"/>
  <c r="Q265" i="6"/>
  <c r="R265" i="6"/>
  <c r="S265" i="6"/>
  <c r="T265" i="6"/>
  <c r="U265" i="6"/>
  <c r="AF265" i="6"/>
  <c r="A266" i="6"/>
  <c r="B266" i="6"/>
  <c r="C266" i="6"/>
  <c r="D266" i="6"/>
  <c r="E266" i="6"/>
  <c r="F266" i="6"/>
  <c r="G266" i="6"/>
  <c r="H266" i="6"/>
  <c r="I266" i="6"/>
  <c r="J266" i="6"/>
  <c r="K266" i="6"/>
  <c r="L266" i="6"/>
  <c r="N266" i="6"/>
  <c r="O266" i="6"/>
  <c r="P266" i="6"/>
  <c r="Q266" i="6"/>
  <c r="R266" i="6"/>
  <c r="S266" i="6"/>
  <c r="T266" i="6"/>
  <c r="U266" i="6"/>
  <c r="AF266" i="6"/>
  <c r="A267" i="6"/>
  <c r="B267" i="6"/>
  <c r="C267" i="6"/>
  <c r="D267" i="6"/>
  <c r="E267" i="6"/>
  <c r="F267" i="6"/>
  <c r="G267" i="6"/>
  <c r="H267" i="6"/>
  <c r="I267" i="6"/>
  <c r="J267" i="6"/>
  <c r="K267" i="6"/>
  <c r="L267" i="6"/>
  <c r="N267" i="6"/>
  <c r="O267" i="6"/>
  <c r="P267" i="6"/>
  <c r="Q267" i="6"/>
  <c r="R267" i="6"/>
  <c r="S267" i="6"/>
  <c r="T267" i="6"/>
  <c r="U267" i="6"/>
  <c r="AF267" i="6"/>
  <c r="A268" i="6"/>
  <c r="B268" i="6"/>
  <c r="C268" i="6"/>
  <c r="D268" i="6"/>
  <c r="E268" i="6"/>
  <c r="F268" i="6"/>
  <c r="G268" i="6"/>
  <c r="H268" i="6"/>
  <c r="I268" i="6"/>
  <c r="J268" i="6"/>
  <c r="K268" i="6"/>
  <c r="L268" i="6"/>
  <c r="N268" i="6"/>
  <c r="O268" i="6"/>
  <c r="P268" i="6"/>
  <c r="Q268" i="6"/>
  <c r="R268" i="6"/>
  <c r="S268" i="6"/>
  <c r="T268" i="6"/>
  <c r="U268" i="6"/>
  <c r="AF268" i="6"/>
  <c r="A269" i="6"/>
  <c r="B269" i="6"/>
  <c r="C269" i="6"/>
  <c r="D269" i="6"/>
  <c r="E269" i="6"/>
  <c r="F269" i="6"/>
  <c r="G269" i="6"/>
  <c r="H269" i="6"/>
  <c r="I269" i="6"/>
  <c r="J269" i="6"/>
  <c r="K269" i="6"/>
  <c r="L269" i="6"/>
  <c r="N269" i="6"/>
  <c r="O269" i="6"/>
  <c r="P269" i="6"/>
  <c r="Q269" i="6"/>
  <c r="R269" i="6"/>
  <c r="S269" i="6"/>
  <c r="T269" i="6"/>
  <c r="U269" i="6"/>
  <c r="AF269" i="6"/>
  <c r="A270" i="6"/>
  <c r="B270" i="6"/>
  <c r="C270" i="6"/>
  <c r="D270" i="6"/>
  <c r="E270" i="6"/>
  <c r="F270" i="6"/>
  <c r="G270" i="6"/>
  <c r="H270" i="6"/>
  <c r="I270" i="6"/>
  <c r="J270" i="6"/>
  <c r="K270" i="6"/>
  <c r="L270" i="6"/>
  <c r="N270" i="6"/>
  <c r="O270" i="6"/>
  <c r="P270" i="6"/>
  <c r="Q270" i="6"/>
  <c r="R270" i="6"/>
  <c r="S270" i="6"/>
  <c r="T270" i="6"/>
  <c r="U270" i="6"/>
  <c r="AF270" i="6"/>
  <c r="A271" i="6"/>
  <c r="B271" i="6"/>
  <c r="C271" i="6"/>
  <c r="D271" i="6"/>
  <c r="E271" i="6"/>
  <c r="F271" i="6"/>
  <c r="G271" i="6"/>
  <c r="H271" i="6"/>
  <c r="I271" i="6"/>
  <c r="J271" i="6"/>
  <c r="K271" i="6"/>
  <c r="L271" i="6"/>
  <c r="N271" i="6"/>
  <c r="O271" i="6"/>
  <c r="P271" i="6"/>
  <c r="Q271" i="6"/>
  <c r="R271" i="6"/>
  <c r="S271" i="6"/>
  <c r="T271" i="6"/>
  <c r="U271" i="6"/>
  <c r="AF271" i="6"/>
  <c r="A272" i="6"/>
  <c r="B272" i="6"/>
  <c r="C272" i="6"/>
  <c r="D272" i="6"/>
  <c r="E272" i="6"/>
  <c r="F272" i="6"/>
  <c r="G272" i="6"/>
  <c r="H272" i="6"/>
  <c r="I272" i="6"/>
  <c r="J272" i="6"/>
  <c r="K272" i="6"/>
  <c r="L272" i="6"/>
  <c r="N272" i="6"/>
  <c r="O272" i="6"/>
  <c r="P272" i="6"/>
  <c r="Q272" i="6"/>
  <c r="R272" i="6"/>
  <c r="S272" i="6"/>
  <c r="T272" i="6"/>
  <c r="U272" i="6"/>
  <c r="AF272" i="6"/>
  <c r="A273" i="6"/>
  <c r="B273" i="6"/>
  <c r="C273" i="6"/>
  <c r="D273" i="6"/>
  <c r="E273" i="6"/>
  <c r="F273" i="6"/>
  <c r="G273" i="6"/>
  <c r="H273" i="6"/>
  <c r="I273" i="6"/>
  <c r="J273" i="6"/>
  <c r="K273" i="6"/>
  <c r="L273" i="6"/>
  <c r="N273" i="6"/>
  <c r="O273" i="6"/>
  <c r="P273" i="6"/>
  <c r="Q273" i="6"/>
  <c r="R273" i="6"/>
  <c r="S273" i="6"/>
  <c r="T273" i="6"/>
  <c r="U273" i="6"/>
  <c r="AF273" i="6"/>
  <c r="A274" i="6"/>
  <c r="B274" i="6"/>
  <c r="C274" i="6"/>
  <c r="D274" i="6"/>
  <c r="E274" i="6"/>
  <c r="F274" i="6"/>
  <c r="G274" i="6"/>
  <c r="H274" i="6"/>
  <c r="I274" i="6"/>
  <c r="J274" i="6"/>
  <c r="K274" i="6"/>
  <c r="L274" i="6"/>
  <c r="N274" i="6"/>
  <c r="O274" i="6"/>
  <c r="P274" i="6"/>
  <c r="Q274" i="6"/>
  <c r="R274" i="6"/>
  <c r="S274" i="6"/>
  <c r="T274" i="6"/>
  <c r="U274" i="6"/>
  <c r="AF274" i="6"/>
  <c r="A275" i="6"/>
  <c r="B275" i="6"/>
  <c r="C275" i="6"/>
  <c r="D275" i="6"/>
  <c r="E275" i="6"/>
  <c r="F275" i="6"/>
  <c r="G275" i="6"/>
  <c r="H275" i="6"/>
  <c r="I275" i="6"/>
  <c r="J275" i="6"/>
  <c r="K275" i="6"/>
  <c r="L275" i="6"/>
  <c r="N275" i="6"/>
  <c r="O275" i="6"/>
  <c r="P275" i="6"/>
  <c r="Q275" i="6"/>
  <c r="R275" i="6"/>
  <c r="S275" i="6"/>
  <c r="T275" i="6"/>
  <c r="U275" i="6"/>
  <c r="AF275" i="6"/>
  <c r="A276" i="6"/>
  <c r="B276" i="6"/>
  <c r="C276" i="6"/>
  <c r="D276" i="6"/>
  <c r="E276" i="6"/>
  <c r="F276" i="6"/>
  <c r="G276" i="6"/>
  <c r="H276" i="6"/>
  <c r="I276" i="6"/>
  <c r="J276" i="6"/>
  <c r="K276" i="6"/>
  <c r="L276" i="6"/>
  <c r="N276" i="6"/>
  <c r="O276" i="6"/>
  <c r="P276" i="6"/>
  <c r="Q276" i="6"/>
  <c r="R276" i="6"/>
  <c r="S276" i="6"/>
  <c r="T276" i="6"/>
  <c r="U276" i="6"/>
  <c r="AF276" i="6"/>
  <c r="A277" i="6"/>
  <c r="B277" i="6"/>
  <c r="C277" i="6"/>
  <c r="D277" i="6"/>
  <c r="E277" i="6"/>
  <c r="F277" i="6"/>
  <c r="G277" i="6"/>
  <c r="H277" i="6"/>
  <c r="I277" i="6"/>
  <c r="J277" i="6"/>
  <c r="K277" i="6"/>
  <c r="L277" i="6"/>
  <c r="N277" i="6"/>
  <c r="O277" i="6"/>
  <c r="P277" i="6"/>
  <c r="Q277" i="6"/>
  <c r="R277" i="6"/>
  <c r="S277" i="6"/>
  <c r="T277" i="6"/>
  <c r="U277" i="6"/>
  <c r="AF277" i="6"/>
  <c r="A278" i="6"/>
  <c r="B278" i="6"/>
  <c r="C278" i="6"/>
  <c r="D278" i="6"/>
  <c r="E278" i="6"/>
  <c r="F278" i="6"/>
  <c r="G278" i="6"/>
  <c r="H278" i="6"/>
  <c r="I278" i="6"/>
  <c r="J278" i="6"/>
  <c r="K278" i="6"/>
  <c r="L278" i="6"/>
  <c r="N278" i="6"/>
  <c r="O278" i="6"/>
  <c r="P278" i="6"/>
  <c r="Q278" i="6"/>
  <c r="R278" i="6"/>
  <c r="S278" i="6"/>
  <c r="T278" i="6"/>
  <c r="U278" i="6"/>
  <c r="AF278" i="6"/>
  <c r="A279" i="6"/>
  <c r="B279" i="6"/>
  <c r="C279" i="6"/>
  <c r="D279" i="6"/>
  <c r="E279" i="6"/>
  <c r="F279" i="6"/>
  <c r="G279" i="6"/>
  <c r="H279" i="6"/>
  <c r="I279" i="6"/>
  <c r="J279" i="6"/>
  <c r="K279" i="6"/>
  <c r="L279" i="6"/>
  <c r="N279" i="6"/>
  <c r="O279" i="6"/>
  <c r="P279" i="6"/>
  <c r="Q279" i="6"/>
  <c r="R279" i="6"/>
  <c r="S279" i="6"/>
  <c r="T279" i="6"/>
  <c r="U279" i="6"/>
  <c r="AF279" i="6"/>
  <c r="A280" i="6"/>
  <c r="B280" i="6"/>
  <c r="C280" i="6"/>
  <c r="D280" i="6"/>
  <c r="E280" i="6"/>
  <c r="F280" i="6"/>
  <c r="G280" i="6"/>
  <c r="H280" i="6"/>
  <c r="I280" i="6"/>
  <c r="J280" i="6"/>
  <c r="K280" i="6"/>
  <c r="L280" i="6"/>
  <c r="N280" i="6"/>
  <c r="O280" i="6"/>
  <c r="P280" i="6"/>
  <c r="Q280" i="6"/>
  <c r="R280" i="6"/>
  <c r="S280" i="6"/>
  <c r="T280" i="6"/>
  <c r="U280" i="6"/>
  <c r="AF280" i="6"/>
  <c r="A281" i="6"/>
  <c r="B281" i="6"/>
  <c r="C281" i="6"/>
  <c r="D281" i="6"/>
  <c r="E281" i="6"/>
  <c r="F281" i="6"/>
  <c r="G281" i="6"/>
  <c r="H281" i="6"/>
  <c r="I281" i="6"/>
  <c r="J281" i="6"/>
  <c r="K281" i="6"/>
  <c r="L281" i="6"/>
  <c r="N281" i="6"/>
  <c r="O281" i="6"/>
  <c r="P281" i="6"/>
  <c r="Q281" i="6"/>
  <c r="R281" i="6"/>
  <c r="S281" i="6"/>
  <c r="T281" i="6"/>
  <c r="U281" i="6"/>
  <c r="AF281" i="6"/>
  <c r="A282" i="6"/>
  <c r="B282" i="6"/>
  <c r="C282" i="6"/>
  <c r="D282" i="6"/>
  <c r="E282" i="6"/>
  <c r="F282" i="6"/>
  <c r="G282" i="6"/>
  <c r="H282" i="6"/>
  <c r="I282" i="6"/>
  <c r="J282" i="6"/>
  <c r="K282" i="6"/>
  <c r="L282" i="6"/>
  <c r="N282" i="6"/>
  <c r="O282" i="6"/>
  <c r="P282" i="6"/>
  <c r="Q282" i="6"/>
  <c r="R282" i="6"/>
  <c r="S282" i="6"/>
  <c r="T282" i="6"/>
  <c r="U282" i="6"/>
  <c r="AF282" i="6"/>
  <c r="A283" i="6"/>
  <c r="B283" i="6"/>
  <c r="C283" i="6"/>
  <c r="D283" i="6"/>
  <c r="E283" i="6"/>
  <c r="F283" i="6"/>
  <c r="G283" i="6"/>
  <c r="H283" i="6"/>
  <c r="I283" i="6"/>
  <c r="J283" i="6"/>
  <c r="K283" i="6"/>
  <c r="L283" i="6"/>
  <c r="N283" i="6"/>
  <c r="O283" i="6"/>
  <c r="P283" i="6"/>
  <c r="Q283" i="6"/>
  <c r="R283" i="6"/>
  <c r="S283" i="6"/>
  <c r="T283" i="6"/>
  <c r="U283" i="6"/>
  <c r="AF283" i="6"/>
  <c r="A284" i="6"/>
  <c r="B284" i="6"/>
  <c r="C284" i="6"/>
  <c r="D284" i="6"/>
  <c r="E284" i="6"/>
  <c r="F284" i="6"/>
  <c r="G284" i="6"/>
  <c r="H284" i="6"/>
  <c r="I284" i="6"/>
  <c r="J284" i="6"/>
  <c r="K284" i="6"/>
  <c r="L284" i="6"/>
  <c r="N284" i="6"/>
  <c r="O284" i="6"/>
  <c r="P284" i="6"/>
  <c r="Q284" i="6"/>
  <c r="R284" i="6"/>
  <c r="S284" i="6"/>
  <c r="T284" i="6"/>
  <c r="U284" i="6"/>
  <c r="AF284" i="6"/>
  <c r="A285" i="6"/>
  <c r="B285" i="6"/>
  <c r="C285" i="6"/>
  <c r="D285" i="6"/>
  <c r="E285" i="6"/>
  <c r="F285" i="6"/>
  <c r="G285" i="6"/>
  <c r="H285" i="6"/>
  <c r="I285" i="6"/>
  <c r="J285" i="6"/>
  <c r="K285" i="6"/>
  <c r="L285" i="6"/>
  <c r="N285" i="6"/>
  <c r="O285" i="6"/>
  <c r="P285" i="6"/>
  <c r="Q285" i="6"/>
  <c r="R285" i="6"/>
  <c r="S285" i="6"/>
  <c r="T285" i="6"/>
  <c r="U285" i="6"/>
  <c r="AF285" i="6"/>
  <c r="A286" i="6"/>
  <c r="B286" i="6"/>
  <c r="C286" i="6"/>
  <c r="D286" i="6"/>
  <c r="E286" i="6"/>
  <c r="F286" i="6"/>
  <c r="G286" i="6"/>
  <c r="H286" i="6"/>
  <c r="I286" i="6"/>
  <c r="J286" i="6"/>
  <c r="K286" i="6"/>
  <c r="L286" i="6"/>
  <c r="N286" i="6"/>
  <c r="O286" i="6"/>
  <c r="P286" i="6"/>
  <c r="Q286" i="6"/>
  <c r="R286" i="6"/>
  <c r="S286" i="6"/>
  <c r="T286" i="6"/>
  <c r="U286" i="6"/>
  <c r="AF286" i="6"/>
  <c r="A287" i="6"/>
  <c r="B287" i="6"/>
  <c r="C287" i="6"/>
  <c r="D287" i="6"/>
  <c r="E287" i="6"/>
  <c r="F287" i="6"/>
  <c r="G287" i="6"/>
  <c r="H287" i="6"/>
  <c r="I287" i="6"/>
  <c r="J287" i="6"/>
  <c r="K287" i="6"/>
  <c r="L287" i="6"/>
  <c r="N287" i="6"/>
  <c r="O287" i="6"/>
  <c r="P287" i="6"/>
  <c r="Q287" i="6"/>
  <c r="R287" i="6"/>
  <c r="S287" i="6"/>
  <c r="T287" i="6"/>
  <c r="U287" i="6"/>
  <c r="AF287" i="6"/>
  <c r="A288" i="6"/>
  <c r="B288" i="6"/>
  <c r="C288" i="6"/>
  <c r="D288" i="6"/>
  <c r="E288" i="6"/>
  <c r="F288" i="6"/>
  <c r="G288" i="6"/>
  <c r="H288" i="6"/>
  <c r="I288" i="6"/>
  <c r="J288" i="6"/>
  <c r="K288" i="6"/>
  <c r="L288" i="6"/>
  <c r="N288" i="6"/>
  <c r="O288" i="6"/>
  <c r="P288" i="6"/>
  <c r="Q288" i="6"/>
  <c r="R288" i="6"/>
  <c r="S288" i="6"/>
  <c r="T288" i="6"/>
  <c r="U288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</calcChain>
</file>

<file path=xl/sharedStrings.xml><?xml version="1.0" encoding="utf-8"?>
<sst xmlns="http://schemas.openxmlformats.org/spreadsheetml/2006/main" count="3794" uniqueCount="1466">
  <si>
    <t>Pricing Date</t>
  </si>
  <si>
    <t>Curve Date</t>
  </si>
  <si>
    <t>Power Region</t>
  </si>
  <si>
    <t>Omicron Curve Date</t>
  </si>
  <si>
    <t>Int Rates Curve</t>
  </si>
  <si>
    <t>Forward Power Price Curves, Volatilities and Price Profile</t>
  </si>
  <si>
    <t>Basis Table</t>
  </si>
  <si>
    <t>Monthly Volatilities</t>
  </si>
  <si>
    <t>Intra-Month Volatilties</t>
  </si>
  <si>
    <t>Month</t>
  </si>
  <si>
    <t>Gas</t>
  </si>
  <si>
    <t>Region</t>
  </si>
  <si>
    <t>#</t>
  </si>
  <si>
    <t>PEAK</t>
  </si>
  <si>
    <t>OFF-PEAK</t>
  </si>
  <si>
    <t>Saturday</t>
  </si>
  <si>
    <t>Sunday</t>
  </si>
  <si>
    <t>Capacity</t>
  </si>
  <si>
    <t>Peak</t>
  </si>
  <si>
    <t>OffPeak</t>
  </si>
  <si>
    <t>Group</t>
  </si>
  <si>
    <t>Prudent</t>
  </si>
  <si>
    <t>Correlation</t>
  </si>
  <si>
    <t>Mid</t>
  </si>
  <si>
    <t>Bid</t>
  </si>
  <si>
    <t>Offer</t>
  </si>
  <si>
    <t>No Basis</t>
  </si>
  <si>
    <t>Code</t>
  </si>
  <si>
    <t>Factor</t>
  </si>
  <si>
    <t>Start</t>
  </si>
  <si>
    <t>End</t>
  </si>
  <si>
    <t>Gas-Power</t>
  </si>
  <si>
    <t>1  BUSBAR</t>
  </si>
  <si>
    <t>($/MWH)</t>
  </si>
  <si>
    <t>2  MID COLUMBIA</t>
  </si>
  <si>
    <t>Daily Price Profile</t>
  </si>
  <si>
    <t>Delivery Point</t>
  </si>
  <si>
    <t>3  MIDWAY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</si>
  <si>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</si>
  <si>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</si>
  <si>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</si>
  <si>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</si>
  <si>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</si>
  <si>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</si>
  <si>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</si>
  <si>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</si>
  <si>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</si>
  <si>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</si>
  <si>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</si>
  <si>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</si>
  <si>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Con. Edison</t>
  </si>
  <si>
    <t>1      NY East</t>
  </si>
  <si>
    <t>1</t>
  </si>
  <si>
    <t>4  MEAD</t>
  </si>
  <si>
    <t>HR</t>
  </si>
  <si>
    <t>P/OP</t>
  </si>
  <si>
    <t>PJM West</t>
  </si>
  <si>
    <t>1A  PJM</t>
  </si>
  <si>
    <t>1A</t>
  </si>
  <si>
    <t>5  PALO VERDE</t>
  </si>
  <si>
    <t>2</t>
  </si>
  <si>
    <t>Card Street</t>
  </si>
  <si>
    <t>1B   NEPOOL</t>
  </si>
  <si>
    <t>1B</t>
  </si>
  <si>
    <t>6  FOUR CORNERS</t>
  </si>
  <si>
    <t>NY West</t>
  </si>
  <si>
    <t>1C   NY West</t>
  </si>
  <si>
    <t>1C</t>
  </si>
  <si>
    <t>7  CRAIG</t>
  </si>
  <si>
    <t>1D   East Hub</t>
  </si>
  <si>
    <t>1D</t>
  </si>
  <si>
    <t>8  NW DELV</t>
  </si>
  <si>
    <t>1E    West Hub</t>
  </si>
  <si>
    <t>1E</t>
  </si>
  <si>
    <t>10  Into EEI-R4</t>
  </si>
  <si>
    <t>1F   Firm LD</t>
  </si>
  <si>
    <t>1F</t>
  </si>
  <si>
    <t>11  WISCONSIN-R4</t>
  </si>
  <si>
    <t>1H  NE Dispatch</t>
  </si>
  <si>
    <t>1H</t>
  </si>
  <si>
    <t>12  MICHIGAN-R4</t>
  </si>
  <si>
    <t>ECAR</t>
  </si>
  <si>
    <t>2     ECAR</t>
  </si>
  <si>
    <t>14  EAST NY-R1A</t>
  </si>
  <si>
    <t>Into AEP</t>
  </si>
  <si>
    <t>2A  AEP</t>
  </si>
  <si>
    <t>2A</t>
  </si>
  <si>
    <t>15  EASTERN ECAR-R1A</t>
  </si>
  <si>
    <t>Eastern ECAR</t>
  </si>
  <si>
    <t>2B  Eastern ECAR</t>
  </si>
  <si>
    <t>2B</t>
  </si>
  <si>
    <t>OTHER</t>
  </si>
  <si>
    <t>Southern Co.</t>
  </si>
  <si>
    <t>3     SERC</t>
  </si>
  <si>
    <t>3</t>
  </si>
  <si>
    <t>3A</t>
  </si>
  <si>
    <t>OMICRON Code</t>
  </si>
  <si>
    <t>OMICRON Region</t>
  </si>
  <si>
    <t>TVA</t>
  </si>
  <si>
    <t>3B  TVA</t>
  </si>
  <si>
    <t>3B</t>
  </si>
  <si>
    <t>NG_OMICRON_1</t>
  </si>
  <si>
    <t>Louisiana - Onshore South</t>
  </si>
  <si>
    <t>CINergy</t>
  </si>
  <si>
    <t>4     CINergy</t>
  </si>
  <si>
    <t>4</t>
  </si>
  <si>
    <t>NG_OMICRON_2</t>
  </si>
  <si>
    <t>HSC - East Texas - Katy</t>
  </si>
  <si>
    <t>NSP</t>
  </si>
  <si>
    <t>4A  MAPP</t>
  </si>
  <si>
    <t>4A</t>
  </si>
  <si>
    <t>NG_OMICRON_3</t>
  </si>
  <si>
    <t>Oklahoma - Mid Continent</t>
  </si>
  <si>
    <t>Southern MAPP</t>
  </si>
  <si>
    <t>4B  Southern MAPP</t>
  </si>
  <si>
    <t>4B</t>
  </si>
  <si>
    <t>NG_OMICRON_4</t>
  </si>
  <si>
    <t>Permian Basin - San Juan Basin</t>
  </si>
  <si>
    <t>COMED</t>
  </si>
  <si>
    <t>4C  COMED</t>
  </si>
  <si>
    <t>4C</t>
  </si>
  <si>
    <t>NG_OMICRON_5</t>
  </si>
  <si>
    <t>Northern Ventura - Northern Demarc</t>
  </si>
  <si>
    <t>ENTERGY</t>
  </si>
  <si>
    <t>5     Entergy</t>
  </si>
  <si>
    <t>5</t>
  </si>
  <si>
    <t>NG_OMICRON_6</t>
  </si>
  <si>
    <t>Market Area:  Northeast</t>
  </si>
  <si>
    <t>Associated</t>
  </si>
  <si>
    <t>5A  Associated</t>
  </si>
  <si>
    <t>5A</t>
  </si>
  <si>
    <t>NG_OMICRON_7</t>
  </si>
  <si>
    <t>Appalachia</t>
  </si>
  <si>
    <t>HL&amp;P</t>
  </si>
  <si>
    <t>6     ERCOT</t>
  </si>
  <si>
    <t>6</t>
  </si>
  <si>
    <t>NG_OMICRON_8</t>
  </si>
  <si>
    <t>Rockies</t>
  </si>
  <si>
    <t>Palo Verde</t>
  </si>
  <si>
    <t>7     Palo Verde</t>
  </si>
  <si>
    <t>7</t>
  </si>
  <si>
    <t>NG_OMICRON_9</t>
  </si>
  <si>
    <t>Alberta - Sumas</t>
  </si>
  <si>
    <t>7A  Rockies</t>
  </si>
  <si>
    <t>7A</t>
  </si>
  <si>
    <t>NG_OMICRON_10</t>
  </si>
  <si>
    <t>Sithe Curve (ANR/LA_ONSHO)</t>
  </si>
  <si>
    <t>COB</t>
  </si>
  <si>
    <t>8     COB</t>
  </si>
  <si>
    <t>8</t>
  </si>
  <si>
    <t>Mid Columbia</t>
  </si>
  <si>
    <t>9     Mid Columbia</t>
  </si>
  <si>
    <t>NP-15</t>
  </si>
  <si>
    <t>10   NP-15</t>
  </si>
  <si>
    <t>SP-15</t>
  </si>
  <si>
    <t>11    SP-15</t>
  </si>
  <si>
    <t>Volatility Smile</t>
  </si>
  <si>
    <t>Price Sensitivies</t>
  </si>
  <si>
    <t>Gas Adder</t>
  </si>
  <si>
    <t>Summer</t>
  </si>
  <si>
    <t>Winter</t>
  </si>
  <si>
    <t>Pub code</t>
  </si>
  <si>
    <t>Book type</t>
  </si>
  <si>
    <t>Curve type</t>
  </si>
  <si>
    <t>UOM</t>
  </si>
  <si>
    <t>401-TUSCORARA</t>
  </si>
  <si>
    <t>D</t>
  </si>
  <si>
    <t>PR</t>
  </si>
  <si>
    <t>MMBTU</t>
  </si>
  <si>
    <t>I</t>
  </si>
  <si>
    <t>ABC/C$/IDX</t>
  </si>
  <si>
    <t>CGPR-AECO/BASIS</t>
  </si>
  <si>
    <t>CGPR-CHIPPAWA</t>
  </si>
  <si>
    <t>CGPR-CORNWALL</t>
  </si>
  <si>
    <t>CGPR-DAWN</t>
  </si>
  <si>
    <t>CGPR-EMERSON</t>
  </si>
  <si>
    <t>CGPR-EMERSONUSA</t>
  </si>
  <si>
    <t>CGPR-EMPRESS-US</t>
  </si>
  <si>
    <t>CGPR-KINGSGATE</t>
  </si>
  <si>
    <t>CGPR-NIAGARA</t>
  </si>
  <si>
    <t>CGPR-OJIBWAY</t>
  </si>
  <si>
    <t>CGPR-PARKWAY</t>
  </si>
  <si>
    <t>CGPR-ST.CLAIR</t>
  </si>
  <si>
    <t>CGPR-STN2/IDX</t>
  </si>
  <si>
    <t>CGPR-WADDING</t>
  </si>
  <si>
    <t>CONSUMERS_CDA</t>
  </si>
  <si>
    <t>CONSUMERS_CDA/I</t>
  </si>
  <si>
    <t>DAWN-GDM</t>
  </si>
  <si>
    <t>DJ/BASIN/CIG</t>
  </si>
  <si>
    <t>DJ/BASIN/WEST</t>
  </si>
  <si>
    <t>GAS DAILY</t>
  </si>
  <si>
    <t>GD-AECOUS-DAILY</t>
  </si>
  <si>
    <t>SP</t>
  </si>
  <si>
    <t>GD-AGUADULCE</t>
  </si>
  <si>
    <t>GD-ALGONQUIN</t>
  </si>
  <si>
    <t>GD-ANR/LA_ONSHO</t>
  </si>
  <si>
    <t>GD-ANR/OK</t>
  </si>
  <si>
    <t>GD-CAL BORDER</t>
  </si>
  <si>
    <t>GD-CARTHAGE</t>
  </si>
  <si>
    <t>GD-CGT/APPALAC</t>
  </si>
  <si>
    <t>GD-CHI. GATE</t>
  </si>
  <si>
    <t>GD-CIG/RKYMTN</t>
  </si>
  <si>
    <t>GD-CNG/NORTH</t>
  </si>
  <si>
    <t>GD-CNG/SOUTH</t>
  </si>
  <si>
    <t>GD-COLGULF/LA</t>
  </si>
  <si>
    <t>GD-COLGULF/RAYN</t>
  </si>
  <si>
    <t>GD-CONSUMERS</t>
  </si>
  <si>
    <t>GD-CORPUS/SHPCH</t>
  </si>
  <si>
    <t>GD-DAWN</t>
  </si>
  <si>
    <t>GD-DJ/BASIN</t>
  </si>
  <si>
    <t>GD-ELPO/PERM2</t>
  </si>
  <si>
    <t>GD-ELPO/SANJUAN</t>
  </si>
  <si>
    <t>GD-ELPO/SJBOND</t>
  </si>
  <si>
    <t>GD-EMERSON</t>
  </si>
  <si>
    <t>GD-FGT/MOBILE</t>
  </si>
  <si>
    <t>GD-FGT/Z1</t>
  </si>
  <si>
    <t>GD-FGT/Z1/CORP</t>
  </si>
  <si>
    <t>GD-FGT/Z2</t>
  </si>
  <si>
    <t>GD-FGT/Z3</t>
  </si>
  <si>
    <t>GD-HEHUB</t>
  </si>
  <si>
    <t>GD-HPL/SHPCH</t>
  </si>
  <si>
    <t>GD-INTRASTHUB</t>
  </si>
  <si>
    <t>GD-IROQUOIS</t>
  </si>
  <si>
    <t>GD-KERN/RIVER</t>
  </si>
  <si>
    <t>GD-KOCH</t>
  </si>
  <si>
    <t>GD-KOCH/CORPUS</t>
  </si>
  <si>
    <t>GD-KOCH/TX</t>
  </si>
  <si>
    <t>GD-LONESTAR</t>
  </si>
  <si>
    <t>GD-LOW_IROQUOIS</t>
  </si>
  <si>
    <t>GD-MALIN-CTYGAT</t>
  </si>
  <si>
    <t>GD-MICHCON</t>
  </si>
  <si>
    <t>GD-MRT/MAINLINE</t>
  </si>
  <si>
    <t>GD-MRT/WEST</t>
  </si>
  <si>
    <t>GD-NGPL/(IA-IL)</t>
  </si>
  <si>
    <t>GD-NGPL/AMARILO</t>
  </si>
  <si>
    <t>GD-NGPL/CORPUS</t>
  </si>
  <si>
    <t>GD-NGPL/LA</t>
  </si>
  <si>
    <t>GD-NGPL/OK</t>
  </si>
  <si>
    <t>GD-NGPL/PAN/PRM</t>
  </si>
  <si>
    <t>GD-NGPL/TXOK-E</t>
  </si>
  <si>
    <t>GD-NGPL/TXOK-W</t>
  </si>
  <si>
    <t>GD-NIAGARA</t>
  </si>
  <si>
    <t>GD-NNG/DEMARCAT</t>
  </si>
  <si>
    <t>GD-NNG/TOK</t>
  </si>
  <si>
    <t>GD-NNG/TOK(1-6)</t>
  </si>
  <si>
    <t>GD-NNG/TOK(13)</t>
  </si>
  <si>
    <t>GD-NNG/TOK/PAN</t>
  </si>
  <si>
    <t>GD-NNG/VENT</t>
  </si>
  <si>
    <t>GD-NORAM-N/S</t>
  </si>
  <si>
    <t>GD-NORAM/WEST</t>
  </si>
  <si>
    <t>GD-NTHWST/CANB</t>
  </si>
  <si>
    <t>GD-NW STANF/1ST</t>
  </si>
  <si>
    <t>GD-NW STANFIELD</t>
  </si>
  <si>
    <t>GD-NW/IGNACIO</t>
  </si>
  <si>
    <t>GD-NWPL_ROCKY_M</t>
  </si>
  <si>
    <t>GD-PAN/TX/OK</t>
  </si>
  <si>
    <t>GD-PG&amp;E/CITIGAT</t>
  </si>
  <si>
    <t>GD-PGT/KINGSGAT</t>
  </si>
  <si>
    <t>GD-QUESTAR</t>
  </si>
  <si>
    <t>GD-SONAT/LA</t>
  </si>
  <si>
    <t>GD-TENN/100</t>
  </si>
  <si>
    <t>GD-TENN/500</t>
  </si>
  <si>
    <t>GD-TENN/800</t>
  </si>
  <si>
    <t>GD-TENN/CORPUS</t>
  </si>
  <si>
    <t>GD-TETCO/ELA</t>
  </si>
  <si>
    <t>GD-TETCO/ETX/CR</t>
  </si>
  <si>
    <t>GD-TETCO/M1</t>
  </si>
  <si>
    <t>GD-TETCO/M3</t>
  </si>
  <si>
    <t>GD-TETCO/STX</t>
  </si>
  <si>
    <t>GD-TETCO/WLA</t>
  </si>
  <si>
    <t>GD-TGT/Z1</t>
  </si>
  <si>
    <t>GD-TGT/ZSL</t>
  </si>
  <si>
    <t>GD-TRANSCO/Z1</t>
  </si>
  <si>
    <t>GD-TRANSCO/Z2</t>
  </si>
  <si>
    <t>GD-TRANSCO/Z3</t>
  </si>
  <si>
    <t>GD-TRANSCO/Z4</t>
  </si>
  <si>
    <t>GD-TRANSCO/Z6</t>
  </si>
  <si>
    <t>GD-TRCOZ6/NONY</t>
  </si>
  <si>
    <t>GD-TRCOZ6/NY</t>
  </si>
  <si>
    <t>GD-TRUNKL/ELA</t>
  </si>
  <si>
    <t>GD-TRUNKL/NO</t>
  </si>
  <si>
    <t>GD-TRUNKL/SO</t>
  </si>
  <si>
    <t>GD-TRUNKL/WLA</t>
  </si>
  <si>
    <t>GD-TW/PERMIAN</t>
  </si>
  <si>
    <t>GD-TW/SJ</t>
  </si>
  <si>
    <t>GD-TXINT/KATYTX</t>
  </si>
  <si>
    <t>GD-WADDINGTON</t>
  </si>
  <si>
    <t>GD-WAHA</t>
  </si>
  <si>
    <t>GD-WNG/TOK</t>
  </si>
  <si>
    <t>GDAH-HPL/SHPCH</t>
  </si>
  <si>
    <t>GDAH-TXINT/KATY</t>
  </si>
  <si>
    <t>GDAL-HPL/SHPCH</t>
  </si>
  <si>
    <t>GDAL-TXINT/KATY</t>
  </si>
  <si>
    <t>GDH-CIG/RKYMTN</t>
  </si>
  <si>
    <t>GDH-DJ/BASIN</t>
  </si>
  <si>
    <t>GDH-ELPO/PERM</t>
  </si>
  <si>
    <t>GDH-ELPO/SJ</t>
  </si>
  <si>
    <t>GDH-HEHUB</t>
  </si>
  <si>
    <t>GDH-HPL/SHPCH</t>
  </si>
  <si>
    <t>GDH-PAN/TX/OK</t>
  </si>
  <si>
    <t>GDH-SUMAS</t>
  </si>
  <si>
    <t>GDH-TXINT/KATY</t>
  </si>
  <si>
    <t>GDL-ELPO/PERM</t>
  </si>
  <si>
    <t>GDL-ELPO/SJ</t>
  </si>
  <si>
    <t>GDL-HEHUB</t>
  </si>
  <si>
    <t>GDL-HPL/SHPCH</t>
  </si>
  <si>
    <t>GDL-NNG/TOK/PAN</t>
  </si>
  <si>
    <t>GDL-PAN/TX/OK</t>
  </si>
  <si>
    <t>GDL-TXINT/KATY</t>
  </si>
  <si>
    <t>GDP-AGUADULCE</t>
  </si>
  <si>
    <t>GDP-ALGONQUIN</t>
  </si>
  <si>
    <t>GDP-ANR/LA_ONSH</t>
  </si>
  <si>
    <t>GDP-ANR/OK</t>
  </si>
  <si>
    <t>GDP-CAL BORDER</t>
  </si>
  <si>
    <t>GDP-CARTHAGE</t>
  </si>
  <si>
    <t>GDP-CGT/APPALAC</t>
  </si>
  <si>
    <t>GDP-CHI. GATE</t>
  </si>
  <si>
    <t>GDP-CIG/RKYMTN</t>
  </si>
  <si>
    <t>GDP-CNG/NORTH</t>
  </si>
  <si>
    <t>GDP-CNG/SOUTH</t>
  </si>
  <si>
    <t>GDP-COLGULF/LA</t>
  </si>
  <si>
    <t>GDP-COLGULF/RAY</t>
  </si>
  <si>
    <t>GDP-CONSUMERS</t>
  </si>
  <si>
    <t>GDP-CORPUS/SHPC</t>
  </si>
  <si>
    <t>GDP-DAWN</t>
  </si>
  <si>
    <t>GDP-DJ/BASIN</t>
  </si>
  <si>
    <t>GDP-ELPO/PERM2</t>
  </si>
  <si>
    <t>GDP-ELPO/SANJUA</t>
  </si>
  <si>
    <t>GDP-ELPO/SJBOND</t>
  </si>
  <si>
    <t>GDP-FGT/MOBILE</t>
  </si>
  <si>
    <t>GDP-FGT/Z1</t>
  </si>
  <si>
    <t>GDP-FGT/Z1/CORP</t>
  </si>
  <si>
    <t>GDP-FGT/Z2</t>
  </si>
  <si>
    <t>GDP-FGT/Z3</t>
  </si>
  <si>
    <t>GDP-HEHUB</t>
  </si>
  <si>
    <t>GDP-HPL+1AFTA</t>
  </si>
  <si>
    <t>GDP-HPL+1AFTH</t>
  </si>
  <si>
    <t>GDP-HPL+2AFTA</t>
  </si>
  <si>
    <t>GDP-HPL+2AFTH</t>
  </si>
  <si>
    <t>GDP-HPL/SHPCH</t>
  </si>
  <si>
    <t>GDP-HPLABS+1AH</t>
  </si>
  <si>
    <t>GDP-HPLABSHIGH</t>
  </si>
  <si>
    <t>GDP-HPLRAFTA</t>
  </si>
  <si>
    <t>GDP-HPLU2AFTH</t>
  </si>
  <si>
    <t>GDP-HPLV2AFTH</t>
  </si>
  <si>
    <t>GDP-IROQUOIS</t>
  </si>
  <si>
    <t>GDP-KERN/RIVER</t>
  </si>
  <si>
    <t>GDP-KOCH</t>
  </si>
  <si>
    <t>GDP-KOCH/CORPUS</t>
  </si>
  <si>
    <t>GDP-KOCH/TX</t>
  </si>
  <si>
    <t>GDP-LONESTAR</t>
  </si>
  <si>
    <t>GDP-MALIN-CTYGA</t>
  </si>
  <si>
    <t>GDP-MICHCON</t>
  </si>
  <si>
    <t>GDP-ML7/CG</t>
  </si>
  <si>
    <t>GDP-MRT/MAINLIN</t>
  </si>
  <si>
    <t>GDP-MRT/WEST</t>
  </si>
  <si>
    <t>GDP-NGPL/(IA-IL</t>
  </si>
  <si>
    <t>GDP-NGPL/AMARIL</t>
  </si>
  <si>
    <t>GDP-NGPL/CORPUS</t>
  </si>
  <si>
    <t>GDP-NGPL/LA</t>
  </si>
  <si>
    <t>GDP-NGPL/OK</t>
  </si>
  <si>
    <t>GDP-NGPL/PAN/PR</t>
  </si>
  <si>
    <t>GDP-NGPL/TXOK-E</t>
  </si>
  <si>
    <t>GDP-NGPL/TXOK-W</t>
  </si>
  <si>
    <t>GDP-NIAGARA</t>
  </si>
  <si>
    <t>GDP-NNG/DEMARCA</t>
  </si>
  <si>
    <t>GDP-NNG/TOK</t>
  </si>
  <si>
    <t>GDP-NNG/TOK(1-6</t>
  </si>
  <si>
    <t>GDP-NNG/TOK(13)</t>
  </si>
  <si>
    <t>GDP-NNG/TOK/PAN</t>
  </si>
  <si>
    <t>GDP-NNG/VENT</t>
  </si>
  <si>
    <t>GDP-NORAM-N/S</t>
  </si>
  <si>
    <t>GDP-NORAM/WEST</t>
  </si>
  <si>
    <t>GDP-NTHWST/CANB</t>
  </si>
  <si>
    <t>GDP-NW STANFIEL</t>
  </si>
  <si>
    <t>GDP-NWPL_ROCKYM</t>
  </si>
  <si>
    <t>GDP-PAN/TX/OK</t>
  </si>
  <si>
    <t>GDP-PG&amp;E/CITIGA</t>
  </si>
  <si>
    <t>GDP-PG&amp;E/LG-PKG</t>
  </si>
  <si>
    <t>GDP-PGT/KINGSGA</t>
  </si>
  <si>
    <t>GDP-QUESTAR</t>
  </si>
  <si>
    <t>GDP-SONAT/LA</t>
  </si>
  <si>
    <t>GDP-TENN/100</t>
  </si>
  <si>
    <t>GDP-TENN/500</t>
  </si>
  <si>
    <t>GDP-TENN/800</t>
  </si>
  <si>
    <t>GDP-TENN/CORPUS</t>
  </si>
  <si>
    <t>GDP-TETCO/ELA</t>
  </si>
  <si>
    <t>GDP-TETCO/ETX/C</t>
  </si>
  <si>
    <t>GDP-TETCO/M1</t>
  </si>
  <si>
    <t>GDP-TETCO/M3</t>
  </si>
  <si>
    <t>GDP-TETCO/STX</t>
  </si>
  <si>
    <t>GDP-TETCO/WLA</t>
  </si>
  <si>
    <t>GDP-TGT/Z1</t>
  </si>
  <si>
    <t>GDP-TGT/ZSL</t>
  </si>
  <si>
    <t>GDP-TRANSCO/Z1</t>
  </si>
  <si>
    <t>GDP-TRANSCO/Z2</t>
  </si>
  <si>
    <t>GDP-TRANSCO/Z3</t>
  </si>
  <si>
    <t>GDP-TRANSCO/Z4</t>
  </si>
  <si>
    <t>GDP-TRCOZ6/NONY</t>
  </si>
  <si>
    <t>GDP-TRCOZ6/NY</t>
  </si>
  <si>
    <t>GDP-TRUNKL/ELA</t>
  </si>
  <si>
    <t>GDP-TRUNKL/NO</t>
  </si>
  <si>
    <t>GDP-TRUNKL/SO</t>
  </si>
  <si>
    <t>GDP-TRUNKL/WLA</t>
  </si>
  <si>
    <t>GDP-TW/PERMIAN</t>
  </si>
  <si>
    <t>GDP-TW/SJ</t>
  </si>
  <si>
    <t>GDP-TXINT+1AFTA</t>
  </si>
  <si>
    <t>GDP-TXINT+2AFTA</t>
  </si>
  <si>
    <t>GDP-TXINT+2AFTH</t>
  </si>
  <si>
    <t>GDP-TXINT+2AFTL</t>
  </si>
  <si>
    <t>GDP-TXINT/KATYH</t>
  </si>
  <si>
    <t>GDP-TXINT/KATYL</t>
  </si>
  <si>
    <t>GDP-TXINT/KATYT</t>
  </si>
  <si>
    <t>GDP-TXINTFRWKA</t>
  </si>
  <si>
    <t>GDP-TXINTH+2FTH</t>
  </si>
  <si>
    <t>GDP-TXINTL+2FTH</t>
  </si>
  <si>
    <t>GDP-WAHA</t>
  </si>
  <si>
    <t>GDP-WNG/TOK</t>
  </si>
  <si>
    <t>HPL/SHPCHAN-GD</t>
  </si>
  <si>
    <t>IF-A/S E.BEAUM</t>
  </si>
  <si>
    <t>IF-A/S EAST OFF</t>
  </si>
  <si>
    <t>IF-AGUA DULCE</t>
  </si>
  <si>
    <t>IF-ANR/LA</t>
  </si>
  <si>
    <t>IF-ANR/LA_OFFSH</t>
  </si>
  <si>
    <t>IF-ANR/LA_ONSHO</t>
  </si>
  <si>
    <t>IF-ANR/OK</t>
  </si>
  <si>
    <t>IF-ARKLA/ARK-OK</t>
  </si>
  <si>
    <t>IF-B/M OFFSHORE</t>
  </si>
  <si>
    <t>IF-BONDAD(100%)</t>
  </si>
  <si>
    <t>IF-CARTHAGE</t>
  </si>
  <si>
    <t>IF-CGT/APPALAC</t>
  </si>
  <si>
    <t>IF-CGT/CITYGATE</t>
  </si>
  <si>
    <t>IF-CIG/RKYMTN</t>
  </si>
  <si>
    <t>IF-CIG/TOMAHAWK</t>
  </si>
  <si>
    <t>IF-CIG/WIC</t>
  </si>
  <si>
    <t>IF-CIG/WINDRVR</t>
  </si>
  <si>
    <t>IF-CNG/APPALACH</t>
  </si>
  <si>
    <t>IF-CNG/NORTH</t>
  </si>
  <si>
    <t>IF-CNG/N_CITYGA</t>
  </si>
  <si>
    <t>IF-COLGUL/ERATH</t>
  </si>
  <si>
    <t>IF-COLGUL/RAYNE</t>
  </si>
  <si>
    <t>IF-COLGULF/LA</t>
  </si>
  <si>
    <t>IF-COLGULF/LAOF</t>
  </si>
  <si>
    <t>IF-CORPUS</t>
  </si>
  <si>
    <t>IF-ELPO/ANADARK</t>
  </si>
  <si>
    <t>IF-ELPO/PERMIAN</t>
  </si>
  <si>
    <t>IF-ELPO/SJ</t>
  </si>
  <si>
    <t>IF-ELPO/SJ/KC</t>
  </si>
  <si>
    <t>IF-EPSJ(BONDAD)</t>
  </si>
  <si>
    <t>IF-EPSJ(MILAGR)</t>
  </si>
  <si>
    <t>IF-EPSJ/TWBLANC</t>
  </si>
  <si>
    <t>IF-FGT/CTYGATE</t>
  </si>
  <si>
    <t>IF-FGT/MKTAREA</t>
  </si>
  <si>
    <t>IF-FGT/Z1</t>
  </si>
  <si>
    <t>IF-FGT/Z2</t>
  </si>
  <si>
    <t>IF-FGT/Z3</t>
  </si>
  <si>
    <t>IF-FREEPORT</t>
  </si>
  <si>
    <t>IF-HEHUB</t>
  </si>
  <si>
    <t>IF-HPL/SHPCHAN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</si>
  <si>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</si>
  <si>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</si>
  <si>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</si>
  <si>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</si>
  <si>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</si>
  <si>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</si>
  <si>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</si>
  <si>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</si>
  <si>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 RANCH</t>
  </si>
  <si>
    <t>IF-KOCH</t>
  </si>
  <si>
    <t>IF-KOCH/LA</t>
  </si>
  <si>
    <t>IF-KOCH/TX</t>
  </si>
  <si>
    <t>IF-LONESTAR</t>
  </si>
  <si>
    <t>IF-LRC</t>
  </si>
  <si>
    <t>IF-LRC/Z1</t>
  </si>
  <si>
    <t>IF-LRC/Z2</t>
  </si>
  <si>
    <t>IF-LRC/Z3</t>
  </si>
  <si>
    <t>IF-LRC/Z4</t>
  </si>
  <si>
    <t>IF-LRC/Z5</t>
  </si>
  <si>
    <t>IF-MONCHY</t>
  </si>
  <si>
    <t>IF-NGPL/HARPER</t>
  </si>
  <si>
    <t>IF-NGPL/LA</t>
  </si>
  <si>
    <t>IF-NGPL/LA-STNG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</si>
  <si>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</si>
  <si>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</si>
  <si>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</si>
  <si>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</si>
  <si>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</si>
  <si>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</si>
  <si>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</si>
  <si>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</si>
  <si>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</si>
  <si>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IF-NORAM/WEST</t>
  </si>
  <si>
    <t>IF-NTHWST/CANBR</t>
  </si>
  <si>
    <t>IF-NWPL_ROCKY_M</t>
  </si>
  <si>
    <t>IF-ONG/OKLAHOMA</t>
  </si>
  <si>
    <t>IF-PAN/TX/OK</t>
  </si>
  <si>
    <t>IF-QUESTAR</t>
  </si>
  <si>
    <t>IF-SONAT/LA</t>
  </si>
  <si>
    <t>IF-TENN/LA</t>
  </si>
  <si>
    <t>IF-TENN/LA_OFF</t>
  </si>
  <si>
    <t>IF-TENN/TX</t>
  </si>
  <si>
    <t>IF-TENN/Z5</t>
  </si>
  <si>
    <t>IF-TENN/Z6</t>
  </si>
  <si>
    <t>IF-TETCO/ELA</t>
  </si>
  <si>
    <t>IF-TETCO/ETX</t>
  </si>
  <si>
    <t>IF-TETCO/LA</t>
  </si>
  <si>
    <t>IF-TETCO/M1</t>
  </si>
  <si>
    <t>IF-TETCO/M3</t>
  </si>
  <si>
    <t>IF-TETCO/STX</t>
  </si>
  <si>
    <t>IF-TETCO/WLA</t>
  </si>
  <si>
    <t>IF-TEXOMA</t>
  </si>
  <si>
    <t>IF-TEXOMA OFFER</t>
  </si>
  <si>
    <t>IF-TGT/Z1</t>
  </si>
  <si>
    <t>IF-TGT/ZSL</t>
  </si>
  <si>
    <t>IF-THOMPSONVILL</t>
  </si>
  <si>
    <t>IF-TRANSCO/Z1</t>
  </si>
  <si>
    <t>IF-TRANSCO/Z2</t>
  </si>
  <si>
    <t>IF-TRANSCO/Z3</t>
  </si>
  <si>
    <t>IF-TRANSCO/Z4</t>
  </si>
  <si>
    <t>IF-TRANSCO/Z5</t>
  </si>
  <si>
    <t>IF-TRANSCO/Z6</t>
  </si>
  <si>
    <t>IF-TRUNK/AVG</t>
  </si>
  <si>
    <t>IF-TRUNKL/FLDZN</t>
  </si>
  <si>
    <t>IF-TRUNKL/LA</t>
  </si>
  <si>
    <t>IF-TRUNKL/TX</t>
  </si>
  <si>
    <t>IF-TW/PERMIAN</t>
  </si>
  <si>
    <t>IF-TX CITY LOOP</t>
  </si>
  <si>
    <t>IF-VALERO/TX</t>
  </si>
  <si>
    <t>IF-VALLEY</t>
  </si>
  <si>
    <t>IF-WAHA</t>
  </si>
  <si>
    <t>IF-WNG/TOK</t>
  </si>
  <si>
    <t>KING/C$/IDX</t>
  </si>
  <si>
    <t>MICH-ST.CLAIR</t>
  </si>
  <si>
    <t>MICH-ST.CLAIR/I</t>
  </si>
  <si>
    <t>MICH/CONS</t>
  </si>
  <si>
    <t>MICH_CG-GD</t>
  </si>
  <si>
    <t>ML7/CG</t>
  </si>
  <si>
    <t>NAT/FUEL/LEIDY</t>
  </si>
  <si>
    <t>NGI-HPL/ETX</t>
  </si>
  <si>
    <t>NGI-HPL/STEX</t>
  </si>
  <si>
    <t>NGI-LIG/NO.LA</t>
  </si>
  <si>
    <t>NGI-MALIN</t>
  </si>
  <si>
    <t>NGI-MICH_CG</t>
  </si>
  <si>
    <t>NGI-NGPL/ETXG7</t>
  </si>
  <si>
    <t>NGI-NGPL/TX_G2</t>
  </si>
  <si>
    <t>NGI-NOCAL</t>
  </si>
  <si>
    <t>NGI-PGE/CG</t>
  </si>
  <si>
    <t>NGI-SOC/MAL(34/</t>
  </si>
  <si>
    <t>NGI-SOCAL</t>
  </si>
  <si>
    <t>NGI-SOCAL(KRS)</t>
  </si>
  <si>
    <t>NGI-TENN/NO_LA</t>
  </si>
  <si>
    <t>NGI-TGT/NO.LA</t>
  </si>
  <si>
    <t>NGI-WHEELER</t>
  </si>
  <si>
    <t>NGI/CHI. GATE</t>
  </si>
  <si>
    <t>NGINDEX</t>
  </si>
  <si>
    <t>NGMR-AECO/IDX</t>
  </si>
  <si>
    <t>NGMR-ALBDR/IDX</t>
  </si>
  <si>
    <t>NGPL/AMARILO-GD</t>
  </si>
  <si>
    <t>NGPL/IA-IL-GDM</t>
  </si>
  <si>
    <t>NGPL/PER/1ST-GD</t>
  </si>
  <si>
    <t>NGW-ALGO/CITY</t>
  </si>
  <si>
    <t>NGW-ALGONQUIN</t>
  </si>
  <si>
    <t>NGW-CGE</t>
  </si>
  <si>
    <t>NGW-CGKY</t>
  </si>
  <si>
    <t>NGW-CHIPPEWA</t>
  </si>
  <si>
    <t>NGW-FGT/Z1</t>
  </si>
  <si>
    <t>NGW-FGT/Z2</t>
  </si>
  <si>
    <t>NGW-FGT/Z3</t>
  </si>
  <si>
    <t>NGW-GB23</t>
  </si>
  <si>
    <t>NGW-HEHUB</t>
  </si>
  <si>
    <t>NGW-IROQ/WADD</t>
  </si>
  <si>
    <t>NGW-IROQ/Z1</t>
  </si>
  <si>
    <t>NGW-IROQ/Z2</t>
  </si>
  <si>
    <t>NGW-ONS/TXDTP</t>
  </si>
  <si>
    <t>NGW-ONS/TXDTPTW</t>
  </si>
  <si>
    <t>NGW-ONSLA</t>
  </si>
  <si>
    <t>NGW-ONSLA1</t>
  </si>
  <si>
    <t>NGW/HH/BIDWEEK</t>
  </si>
  <si>
    <t>NIAGARA-GDM</t>
  </si>
  <si>
    <t>NW STANF/1ST-GD</t>
  </si>
  <si>
    <t>NX3D</t>
  </si>
  <si>
    <t>STORAGE/B</t>
  </si>
  <si>
    <t>T/STX-VAL-AVG</t>
  </si>
  <si>
    <t>TRUNKL/WLA-GD</t>
  </si>
  <si>
    <t>WADD-GDM</t>
  </si>
  <si>
    <t>WAHA KCBT</t>
  </si>
  <si>
    <t>Gas Basis</t>
  </si>
  <si>
    <t>401-TUSCORARA I PR</t>
  </si>
  <si>
    <t>ABC/C$/IDX I PR</t>
  </si>
  <si>
    <t>CGPR-AECO/BASIS I PR</t>
  </si>
  <si>
    <t>CGPR-CHIPPAWA I PR</t>
  </si>
  <si>
    <t>CGPR-DAWN I PR</t>
  </si>
  <si>
    <t>CGPR-EMERSON I PR</t>
  </si>
  <si>
    <t>CGPR-KINGSGATE I PR</t>
  </si>
  <si>
    <t>CGPR-NIAGARA I PR</t>
  </si>
  <si>
    <t>CGPR-OJIBWAY I PR</t>
  </si>
  <si>
    <t>CGPR-PARKWAY I PR</t>
  </si>
  <si>
    <t>CGPR-ST.CLAIR I PR</t>
  </si>
  <si>
    <t>CGPR-STN2/IDX I PR</t>
  </si>
  <si>
    <t>CGPR-WADDING I PR</t>
  </si>
  <si>
    <t>CONSUMERS_CDA/I I PR</t>
  </si>
  <si>
    <t>DJ/BASIN/CIG I PR</t>
  </si>
  <si>
    <t>DJ/BASIN/WEST I PR</t>
  </si>
  <si>
    <t>GAS DAILY I PR</t>
  </si>
  <si>
    <t>GD-FGT/Z2 I PR</t>
  </si>
  <si>
    <t>GD-INTRASTHUB I PR</t>
  </si>
  <si>
    <t>GD-LOW_IROQUOIS I PR</t>
  </si>
  <si>
    <t>GD-TRANSCO/Z6 I PR</t>
  </si>
  <si>
    <t>HPL/SHPCHAN-GD I PR</t>
  </si>
  <si>
    <t>IF-A/S E.BEAUM I PR</t>
  </si>
  <si>
    <t>IF-A/S EAST OFF I PR</t>
  </si>
  <si>
    <t>IF-AGUA DULCE I PR</t>
  </si>
  <si>
    <t>IF-ANR/LA I PR</t>
  </si>
  <si>
    <t>IF-ANR/LA_OFFSH I PR</t>
  </si>
  <si>
    <t>IF-ANR/LA_ONSHO I PR</t>
  </si>
  <si>
    <t>IF-ANR/OK I PR</t>
  </si>
  <si>
    <t>IF-ARKLA/ARK-OK I PR</t>
  </si>
  <si>
    <t>IF-B/M OFFSHORE I PR</t>
  </si>
  <si>
    <t>IF-BONDAD(100%) I PR</t>
  </si>
  <si>
    <t>IF-CARTHAGE I PR</t>
  </si>
  <si>
    <t>IF-CGT/APPALAC I PR</t>
  </si>
  <si>
    <t>IF-CGT/CITYGATE I PR</t>
  </si>
  <si>
    <t>IF-CIG/RKYMTN I PR</t>
  </si>
  <si>
    <t>IF-CIG/TOMAHAWK I PR</t>
  </si>
  <si>
    <t>IF-CIG/WIC I PR</t>
  </si>
  <si>
    <t>IF-CIG/WINDRVR I PR</t>
  </si>
  <si>
    <t>IF-CNG/APPALACH I PR</t>
  </si>
  <si>
    <t>IF-CNG/NORTH I PR</t>
  </si>
  <si>
    <t>IF-CNG/N_CITYGA I PR</t>
  </si>
  <si>
    <t>IF-COLGUL/ERATH I PR</t>
  </si>
  <si>
    <t>IF-COLGUL/RAYNE I PR</t>
  </si>
  <si>
    <t>IF-COLGULF/LA I PR</t>
  </si>
  <si>
    <t>IF-COLGULF/LAOF I PR</t>
  </si>
  <si>
    <t>IF-CORPUS I PR</t>
  </si>
  <si>
    <t>IF-ELPO/ANADARK I PR</t>
  </si>
  <si>
    <t>IF-ELPO/PERMIAN I PR</t>
  </si>
  <si>
    <t>IF-ELPO/SJ I PR</t>
  </si>
  <si>
    <t>IF-ELPO/SJ/KC I PR</t>
  </si>
  <si>
    <t>IF-EPSJ(BONDAD) I PR</t>
  </si>
  <si>
    <t>IF-EPSJ(MILAGR) I PR</t>
  </si>
  <si>
    <t>IF-EPSJ/TWBLANC I PR</t>
  </si>
  <si>
    <t>IF-FGT/CTYGATE I PR</t>
  </si>
  <si>
    <t>IF-FGT/MKTAREA I PR</t>
  </si>
  <si>
    <t>IF-FGT/Z1 I PR</t>
  </si>
  <si>
    <t>IF-FGT/Z2 I PR</t>
  </si>
  <si>
    <t>IF-FGT/Z3 I PR</t>
  </si>
  <si>
    <t>IF-FREEPORT I PR</t>
  </si>
  <si>
    <t>IF-HEHUB I PR</t>
  </si>
  <si>
    <t>IF-HPL/SHPCHAN I PR</t>
  </si>
  <si>
    <t>IF-IOWA_IL I PR</t>
  </si>
  <si>
    <t>IF-K/COL/TN/LA I PR</t>
  </si>
  <si>
    <t>IF-KATY I PR</t>
  </si>
  <si>
    <t>IF-KATY/OASIS I PR</t>
  </si>
  <si>
    <t>IF-KATY/TAIL I PR</t>
  </si>
  <si>
    <t>IF-KATY/WOFLEX I PR</t>
  </si>
  <si>
    <t>IF-KERN/QUEST I PR</t>
  </si>
  <si>
    <t>IF-KERN/RIVER I PR</t>
  </si>
  <si>
    <t>IF-KING RANCH I PR</t>
  </si>
  <si>
    <t>IF-KOCH I PR</t>
  </si>
  <si>
    <t>IF-KOCH/LA I PR</t>
  </si>
  <si>
    <t>IF-KOCH/TX I PR</t>
  </si>
  <si>
    <t>IF-LONESTAR I PR</t>
  </si>
  <si>
    <t>IF-LRC I PR</t>
  </si>
  <si>
    <t>IF-LRC/Z1 I PR</t>
  </si>
  <si>
    <t>IF-LRC/Z2 I PR</t>
  </si>
  <si>
    <t>IF-LRC/Z3 I PR</t>
  </si>
  <si>
    <t>IF-LRC/Z4 I PR</t>
  </si>
  <si>
    <t>IF-LRC/Z5 I PR</t>
  </si>
  <si>
    <t>IF-MONCHY I PR</t>
  </si>
  <si>
    <t>IF-NGPL/HARPER I PR</t>
  </si>
  <si>
    <t>IF-NGPL/LA I PR</t>
  </si>
  <si>
    <t>IF-NGPL/LA-STNG I PR</t>
  </si>
  <si>
    <t>IF-NGPL/MIDCON I PR</t>
  </si>
  <si>
    <t>IF-NGPL/OK-NW I PR</t>
  </si>
  <si>
    <t>IF-NGPL/STX I PR</t>
  </si>
  <si>
    <t>IF-NGPL/TX I PR</t>
  </si>
  <si>
    <t>IF-NGPLTXOK I PR</t>
  </si>
  <si>
    <t>IF-NNG/DEMARCAT I PR</t>
  </si>
  <si>
    <t>IF-NNG/TOK I PR</t>
  </si>
  <si>
    <t>IF-NNG/VENT I PR</t>
  </si>
  <si>
    <t>IF-NORAM/EAST I PR</t>
  </si>
  <si>
    <t>IF-NORAM/WEST I PR</t>
  </si>
  <si>
    <t>IF-NTHWST/CANBR I PR</t>
  </si>
  <si>
    <t>IF-NWPL_ROCKY_M I PR</t>
  </si>
  <si>
    <t>IF-ONG/OKLAHOMA I PR</t>
  </si>
  <si>
    <t>IF-PAN/TX/OK I PR</t>
  </si>
  <si>
    <t>IF-QUESTAR I PR</t>
  </si>
  <si>
    <t>IF-SONAT/LA I PR</t>
  </si>
  <si>
    <t>IF-TENN/LA I PR</t>
  </si>
  <si>
    <t>IF-TENN/LA_OFF I PR</t>
  </si>
  <si>
    <t>IF-TENN/TX I PR</t>
  </si>
  <si>
    <t>IF-TENN/Z5 I PR</t>
  </si>
  <si>
    <t>IF-TENN/Z6 I PR</t>
  </si>
  <si>
    <t>IF-TETCO/ELA I PR</t>
  </si>
  <si>
    <t>IF-TETCO/ETX I PR</t>
  </si>
  <si>
    <t>IF-TETCO/LA I PR</t>
  </si>
  <si>
    <t>IF-TETCO/M1 I PR</t>
  </si>
  <si>
    <t>IF-TETCO/M3 I PR</t>
  </si>
  <si>
    <t>IF-TETCO/STX I PR</t>
  </si>
  <si>
    <t>IF-TETCO/WLA I PR</t>
  </si>
  <si>
    <t>IF-TEXOMA I PR</t>
  </si>
  <si>
    <t>IF-TEXOMA OFFER I PR</t>
  </si>
  <si>
    <t>IF-TGT/Z1 I PR</t>
  </si>
  <si>
    <t>IF-TGT/ZSL I PR</t>
  </si>
  <si>
    <t>IF-THOMPSONVILL I PR</t>
  </si>
  <si>
    <t>IF-TRANSCO/Z1 I PR</t>
  </si>
  <si>
    <t>IF-TRANSCO/Z2 I PR</t>
  </si>
  <si>
    <t>IF-TRANSCO/Z3 I PR</t>
  </si>
  <si>
    <t>IF-TRANSCO/Z4 I PR</t>
  </si>
  <si>
    <t>IF-TRANSCO/Z5 I PR</t>
  </si>
  <si>
    <t>IF-TRANSCO/Z6 I PR</t>
  </si>
  <si>
    <t>IF-TRUNK/AVG I PR</t>
  </si>
  <si>
    <t>IF-TRUNKL/FLDZN I PR</t>
  </si>
  <si>
    <t>IF-TRUNKL/LA I PR</t>
  </si>
  <si>
    <t>IF-TRUNKL/TX I PR</t>
  </si>
  <si>
    <t>IF-TW/PERMIAN I PR</t>
  </si>
  <si>
    <t>IF-TX CITY LOOP I PR</t>
  </si>
  <si>
    <t>IF-VALERO/TX I PR</t>
  </si>
  <si>
    <t>IF-VALLEY I PR</t>
  </si>
  <si>
    <t>IF-WAHA I PR</t>
  </si>
  <si>
    <t>IF-WNG/TOK I PR</t>
  </si>
  <si>
    <t>KING/C$/IDX I PR</t>
  </si>
  <si>
    <t>MICH-ST.CLAIR/I I PR</t>
  </si>
  <si>
    <t>MICH/CONS I PR</t>
  </si>
  <si>
    <t>MICH_CG-GD I PR</t>
  </si>
  <si>
    <t>ML7/CG I PR</t>
  </si>
  <si>
    <t>NAT/FUEL/LEIDY I PR</t>
  </si>
  <si>
    <t>NGI-HPL/ETX I PR</t>
  </si>
  <si>
    <t>NGI-HPL/STEX I PR</t>
  </si>
  <si>
    <t>NGI-LIG/NO.LA I PR</t>
  </si>
  <si>
    <t>NGI-MALIN I PR</t>
  </si>
  <si>
    <t>NGI-MICH_CG I PR</t>
  </si>
  <si>
    <t>NGI-NGPL/ETXG7 I PR</t>
  </si>
  <si>
    <t>NGI-NGPL/TX_G2 I PR</t>
  </si>
  <si>
    <t>NGI-NOCAL I PR</t>
  </si>
  <si>
    <t>NGI-PGE/CG I PR</t>
  </si>
  <si>
    <t>NGI-SOC/MAL(34/ I PR</t>
  </si>
  <si>
    <t>NGI-SOCAL I PR</t>
  </si>
  <si>
    <t>NGI-SOCAL(KRS) I PR</t>
  </si>
  <si>
    <t>NGI-TENN/NO_LA I PR</t>
  </si>
  <si>
    <t>NGI-TGT/NO.LA I PR</t>
  </si>
  <si>
    <t>NGI-WHEELER I PR</t>
  </si>
  <si>
    <t>NGI/CHI. GATE I PR</t>
  </si>
  <si>
    <t>NGINDEX I PR</t>
  </si>
  <si>
    <t>NGMR-AECO/IDX I PR</t>
  </si>
  <si>
    <t>NGMR-ALBDR/IDX I PR</t>
  </si>
  <si>
    <t>NGPL/AMARILO-GD I PR</t>
  </si>
  <si>
    <t>NGPL/IA-IL-GDM I PR</t>
  </si>
  <si>
    <t>NGPL/PER/1ST-GD I PR</t>
  </si>
  <si>
    <t>NGW-ALGO/CITY I PR</t>
  </si>
  <si>
    <t>NGW-ALGONQUIN I PR</t>
  </si>
  <si>
    <t>NGW-CGE I PR</t>
  </si>
  <si>
    <t>NGW-CGKY I PR</t>
  </si>
  <si>
    <t>NGW-CHIPPEWA I PR</t>
  </si>
  <si>
    <t>NGW-FGT/Z1 I PR</t>
  </si>
  <si>
    <t>NGW-FGT/Z2 I PR</t>
  </si>
  <si>
    <t>NGW-FGT/Z3 I PR</t>
  </si>
  <si>
    <t>NGW-GB23 I PR</t>
  </si>
  <si>
    <t>NGW-HEHUB I PR</t>
  </si>
  <si>
    <t>NGW-IROQ/WADD I PR</t>
  </si>
  <si>
    <t>NGW-IROQ/Z1 I PR</t>
  </si>
  <si>
    <t>NGW-IROQ/Z2 I PR</t>
  </si>
  <si>
    <t>NGW-ONS/TXDTP I PR</t>
  </si>
  <si>
    <t>NGW-ONS/TXDTPTW I PR</t>
  </si>
  <si>
    <t>NGW-ONSLA I PR</t>
  </si>
  <si>
    <t>NGW-ONSLA1 I PR</t>
  </si>
  <si>
    <t>NGW/HH/BIDWEEK I PR</t>
  </si>
  <si>
    <t>NW STANF/1ST-GD I PR</t>
  </si>
  <si>
    <t>NX3D I PR</t>
  </si>
  <si>
    <t>T/STX-VAL-AVG I PR</t>
  </si>
  <si>
    <t>TRUNKL/WLA-GD I PR</t>
  </si>
  <si>
    <t>WAHA KCBT I PR</t>
  </si>
  <si>
    <t>401-TUSCORARA D PR</t>
  </si>
  <si>
    <t>CGPR-AECO/BASIS D PR</t>
  </si>
  <si>
    <t>CGPR-CHIPPAWA D PR</t>
  </si>
  <si>
    <t>CGPR-CORNWALL D PR</t>
  </si>
  <si>
    <t>CGPR-DAWN D PR</t>
  </si>
  <si>
    <t>CGPR-EMERSONUSA D PR</t>
  </si>
  <si>
    <t>CGPR-EMPRESS-US D PR</t>
  </si>
  <si>
    <t>CGPR-KINGSGATE D PR</t>
  </si>
  <si>
    <t>CGPR-NIAGARA D PR</t>
  </si>
  <si>
    <t>CGPR-OJIBWAY D PR</t>
  </si>
  <si>
    <t>CGPR-PARKWAY D PR</t>
  </si>
  <si>
    <t>CGPR-ST.CLAIR D PR</t>
  </si>
  <si>
    <t>CGPR-WADDING D PR</t>
  </si>
  <si>
    <t>CONSUMERS_CDA D PR</t>
  </si>
  <si>
    <t>DAWN-GDM D PR</t>
  </si>
  <si>
    <t>DJ/BASIN/CIG D PR</t>
  </si>
  <si>
    <t>DJ/BASIN/WEST D PR</t>
  </si>
  <si>
    <t>GAS DAILY D PR</t>
  </si>
  <si>
    <t>GD-AECOUS-DAILY D SP</t>
  </si>
  <si>
    <t>GD-AGUADULCE D SP</t>
  </si>
  <si>
    <t>GD-ALGONQUIN D SP</t>
  </si>
  <si>
    <t>GD-ANR/LA_ONSHO D SP</t>
  </si>
  <si>
    <t>GD-ANR/OK D SP</t>
  </si>
  <si>
    <t>GD-CAL BORDER D SP</t>
  </si>
  <si>
    <t>GD-CARTHAGE D SP</t>
  </si>
  <si>
    <t>GD-CGT/APPALAC D SP</t>
  </si>
  <si>
    <t>GD-CHI. GATE D SP</t>
  </si>
  <si>
    <t>GD-CIG/RKYMTN D SP</t>
  </si>
  <si>
    <t>GD-CNG/NORTH D SP</t>
  </si>
  <si>
    <t>GD-CNG/SOUTH D SP</t>
  </si>
  <si>
    <t>GD-COLGULF/LA D SP</t>
  </si>
  <si>
    <t>GD-COLGULF/RAYN D SP</t>
  </si>
  <si>
    <t>GD-CONSUMERS D SP</t>
  </si>
  <si>
    <t>GD-CORPUS/SHPCH D SP</t>
  </si>
  <si>
    <t>GD-DAWN D SP</t>
  </si>
  <si>
    <t>GD-DJ/BASIN D SP</t>
  </si>
  <si>
    <t>GD-ELPO/PERM2 D SP</t>
  </si>
  <si>
    <t>GD-ELPO/SANJUAN D SP</t>
  </si>
  <si>
    <t>GD-ELPO/SJBOND D SP</t>
  </si>
  <si>
    <t>GD-EMERSON D SP</t>
  </si>
  <si>
    <t>GD-FGT/MOBILE D SP</t>
  </si>
  <si>
    <t>GD-FGT/Z1 D SP</t>
  </si>
  <si>
    <t>GD-FGT/Z1/CORP D SP</t>
  </si>
  <si>
    <t>GD-FGT/Z2 D PR</t>
  </si>
  <si>
    <t>GD-FGT/Z2 D SP</t>
  </si>
  <si>
    <t>GD-FGT/Z3 D SP</t>
  </si>
  <si>
    <t>GD-HEHUB D SP</t>
  </si>
  <si>
    <t>GD-HPL/SHPCH D SP</t>
  </si>
  <si>
    <t>GD-INTRASTHUB D PR</t>
  </si>
  <si>
    <t>GD-IROQUOIS D SP</t>
  </si>
  <si>
    <t>GD-KERN/RIVER D SP</t>
  </si>
  <si>
    <t>GD-KOCH D SP</t>
  </si>
  <si>
    <t>GD-KOCH/CORPUS D SP</t>
  </si>
  <si>
    <t>GD-KOCH/TX D SP</t>
  </si>
  <si>
    <t>GD-LONESTAR D SP</t>
  </si>
  <si>
    <t>GD-LOW_IROQUOIS D PR</t>
  </si>
  <si>
    <t>GD-MALIN-CTYGAT D SP</t>
  </si>
  <si>
    <t>GD-MICHCON D SP</t>
  </si>
  <si>
    <t>GD-MRT/MAINLINE D SP</t>
  </si>
  <si>
    <t>GD-MRT/WEST D SP</t>
  </si>
  <si>
    <t>GD-NGPL/(IA-IL) D SP</t>
  </si>
  <si>
    <t>GD-NGPL/AMARILO D SP</t>
  </si>
  <si>
    <t>GD-NGPL/CORPUS D SP</t>
  </si>
  <si>
    <t>GD-NGPL/LA D SP</t>
  </si>
  <si>
    <t>GD-NGPL/OK D SP</t>
  </si>
  <si>
    <t>GD-NGPL/PAN/PRM D SP</t>
  </si>
  <si>
    <t>GD-NGPL/TXOK-E D SP</t>
  </si>
  <si>
    <t>GD-NGPL/TXOK-W D SP</t>
  </si>
  <si>
    <t>GD-NIAGARA D SP</t>
  </si>
  <si>
    <t>GD-NNG/DEMARCAT D SP</t>
  </si>
  <si>
    <t>GD-NNG/TOK D SP</t>
  </si>
  <si>
    <t>GD-NNG/TOK(1-6) D SP</t>
  </si>
  <si>
    <t>GD-NNG/TOK(13) D SP</t>
  </si>
  <si>
    <t>GD-NNG/TOK/PAN D SP</t>
  </si>
  <si>
    <t>GD-NNG/VENT D SP</t>
  </si>
  <si>
    <t>GD-NORAM-N/S D SP</t>
  </si>
  <si>
    <t>GD-NORAM/WEST D SP</t>
  </si>
  <si>
    <t>GD-NTHWST/CANB D SP</t>
  </si>
  <si>
    <t>GD-NW STANF/1ST D SP</t>
  </si>
  <si>
    <t>GD-NW STANFIELD D SP</t>
  </si>
  <si>
    <t>GD-NW/IGNACIO D SP</t>
  </si>
  <si>
    <t>GD-NWPL_ROCKY_M D SP</t>
  </si>
  <si>
    <t>GD-PAN/TX/OK D SP</t>
  </si>
  <si>
    <t>GD-PG&amp;E/CITIGAT D SP</t>
  </si>
  <si>
    <t>GD-PGT/KINGSGAT D SP</t>
  </si>
  <si>
    <t>GD-QUESTAR D SP</t>
  </si>
  <si>
    <t>GD-SONAT/LA D SP</t>
  </si>
  <si>
    <t>GD-TENN/100 D SP</t>
  </si>
  <si>
    <t>GD-TENN/500 D SP</t>
  </si>
  <si>
    <t>GD-TENN/800 D SP</t>
  </si>
  <si>
    <t>GD-TENN/CORPUS D SP</t>
  </si>
  <si>
    <t>GD-TETCO/ELA D SP</t>
  </si>
  <si>
    <t>GD-TETCO/ETX/CR D SP</t>
  </si>
  <si>
    <t>GD-TETCO/M1 D SP</t>
  </si>
  <si>
    <t>GD-TETCO/M3 D SP</t>
  </si>
  <si>
    <t>GD-TETCO/STX D SP</t>
  </si>
  <si>
    <t>GD-TETCO/WLA D SP</t>
  </si>
  <si>
    <t>GD-TGT/Z1 D SP</t>
  </si>
  <si>
    <t>GD-TGT/ZSL D SP</t>
  </si>
  <si>
    <t>GD-TRANSCO/Z1 D SP</t>
  </si>
  <si>
    <t>GD-TRANSCO/Z2 D SP</t>
  </si>
  <si>
    <t>GD-TRANSCO/Z3 D SP</t>
  </si>
  <si>
    <t>GD-TRANSCO/Z4 D SP</t>
  </si>
  <si>
    <t>GD-TRANSCO/Z6 D PR</t>
  </si>
  <si>
    <t>GD-TRCOZ6/NONY D SP</t>
  </si>
  <si>
    <t>GD-TRCOZ6/NY D SP</t>
  </si>
  <si>
    <t>GD-TRUNKL/ELA D SP</t>
  </si>
  <si>
    <t>GD-TRUNKL/NO D SP</t>
  </si>
  <si>
    <t>GD-TRUNKL/SO D SP</t>
  </si>
  <si>
    <t>GD-TRUNKL/WLA D SP</t>
  </si>
  <si>
    <t>GD-TW/PERMIAN D SP</t>
  </si>
  <si>
    <t>GD-TW/SJ D SP</t>
  </si>
  <si>
    <t>GD-TXINT/KATYTX D SP</t>
  </si>
  <si>
    <t>GD-WADDINGTON D SP</t>
  </si>
  <si>
    <t>GD-WAHA D SP</t>
  </si>
  <si>
    <t>GD-WNG/TOK D SP</t>
  </si>
  <si>
    <t>GDAH-HPL/SHPCH D SP</t>
  </si>
  <si>
    <t>GDAH-TXINT/KATY D SP</t>
  </si>
  <si>
    <t>GDAL-HPL/SHPCH D SP</t>
  </si>
  <si>
    <t>GDAL-TXINT/KATY D SP</t>
  </si>
  <si>
    <t>GDH-CIG/RKYMTN D SP</t>
  </si>
  <si>
    <t>GDH-DJ/BASIN D SP</t>
  </si>
  <si>
    <t>GDH-ELPO/PERM D SP</t>
  </si>
  <si>
    <t>GDH-ELPO/SJ D SP</t>
  </si>
  <si>
    <t>GDH-HEHUB D SP</t>
  </si>
  <si>
    <t>GDH-HPL/SHPCH D SP</t>
  </si>
  <si>
    <t>GDH-PAN/TX/OK D SP</t>
  </si>
  <si>
    <t>GDH-SUMAS D SP</t>
  </si>
  <si>
    <t>GDH-TXINT/KATY D SP</t>
  </si>
  <si>
    <t>GDL-ELPO/PERM D SP</t>
  </si>
  <si>
    <t>GDL-ELPO/SJ D SP</t>
  </si>
  <si>
    <t>GDL-HEHUB D SP</t>
  </si>
  <si>
    <t>GDL-HPL/SHPCH D SP</t>
  </si>
  <si>
    <t>GDL-NNG/TOK/PAN D SP</t>
  </si>
  <si>
    <t>GDL-PAN/TX/OK D SP</t>
  </si>
  <si>
    <t>GDL-TXINT/KATY D SP</t>
  </si>
  <si>
    <t>GDP-AGUADULCE D SP</t>
  </si>
  <si>
    <t>GDP-ALGONQUIN D SP</t>
  </si>
  <si>
    <t>GDP-ANR/LA_ONSH D SP</t>
  </si>
  <si>
    <t>GDP-ANR/OK D SP</t>
  </si>
  <si>
    <t>GDP-CAL BORDER D SP</t>
  </si>
  <si>
    <t>GDP-CARTHAGE D SP</t>
  </si>
  <si>
    <t>GDP-CGT/APPALAC D SP</t>
  </si>
  <si>
    <t>GDP-CHI. GATE D SP</t>
  </si>
  <si>
    <t>GDP-CIG/RKYMTN D SP</t>
  </si>
  <si>
    <t>GDP-CNG/NORTH D SP</t>
  </si>
  <si>
    <t>GDP-CNG/SOUTH D SP</t>
  </si>
  <si>
    <t>GDP-COLGULF/LA D SP</t>
  </si>
  <si>
    <t>GDP-COLGULF/RAY D SP</t>
  </si>
  <si>
    <t>GDP-CONSUMERS D SP</t>
  </si>
  <si>
    <t>GDP-CORPUS/SHPC D SP</t>
  </si>
  <si>
    <t>GDP-DAWN D SP</t>
  </si>
  <si>
    <t>GDP-DJ/BASIN D SP</t>
  </si>
  <si>
    <t>GDP-ELPO/PERM2 D SP</t>
  </si>
  <si>
    <t>GDP-ELPO/SANJUA D SP</t>
  </si>
  <si>
    <t>GDP-ELPO/SJBOND D SP</t>
  </si>
  <si>
    <t>GDP-FGT/MOBILE D SP</t>
  </si>
  <si>
    <t>GDP-FGT/Z1 D SP</t>
  </si>
  <si>
    <t>GDP-FGT/Z1/CORP D SP</t>
  </si>
  <si>
    <t>GDP-FGT/Z2 D SP</t>
  </si>
  <si>
    <t>GDP-FGT/Z3 D SP</t>
  </si>
  <si>
    <t>GDP-HEHUB D SP</t>
  </si>
  <si>
    <t>GDP-HPL+1AFTA D SP</t>
  </si>
  <si>
    <t>GDP-HPL+1AFTH D SP</t>
  </si>
  <si>
    <t>GDP-HPL+2AFTA D SP</t>
  </si>
  <si>
    <t>GDP-HPL+2AFTH D SP</t>
  </si>
  <si>
    <t>GDP-HPL/SHPCH D SP</t>
  </si>
  <si>
    <t>GDP-HPLABS+1AH D SP</t>
  </si>
  <si>
    <t>GDP-HPLABSHIGH D SP</t>
  </si>
  <si>
    <t>GDP-HPLRAFTA D SP</t>
  </si>
  <si>
    <t>GDP-HPLU2AFTH D SP</t>
  </si>
  <si>
    <t>GDP-HPLV2AFTH D SP</t>
  </si>
  <si>
    <t>GDP-IROQUOIS D SP</t>
  </si>
  <si>
    <t>GDP-KERN/RIVER D SP</t>
  </si>
  <si>
    <t>GDP-KOCH D SP</t>
  </si>
  <si>
    <t>GDP-KOCH/CORPUS D SP</t>
  </si>
  <si>
    <t>GDP-KOCH/TX D SP</t>
  </si>
  <si>
    <t>GDP-LONESTAR D SP</t>
  </si>
  <si>
    <t>GDP-MALIN-CTYGA D SP</t>
  </si>
  <si>
    <t>GDP-MICHCON D SP</t>
  </si>
  <si>
    <t>GDP-ML7/CG D SP</t>
  </si>
  <si>
    <t>GDP-MRT/MAINLIN D SP</t>
  </si>
  <si>
    <t>GDP-MRT/WEST D SP</t>
  </si>
  <si>
    <t>GDP-NGPL/(IA-IL D SP</t>
  </si>
  <si>
    <t>GDP-NGPL/AMARIL D SP</t>
  </si>
  <si>
    <t>GDP-NGPL/CORPUS D SP</t>
  </si>
  <si>
    <t>GDP-NGPL/LA D SP</t>
  </si>
  <si>
    <t>GDP-NGPL/OK D SP</t>
  </si>
  <si>
    <t>GDP-NGPL/PAN/PR D SP</t>
  </si>
  <si>
    <t>GDP-NGPL/TXOK-E D SP</t>
  </si>
  <si>
    <t>GDP-NGPL/TXOK-W D SP</t>
  </si>
  <si>
    <t>GDP-NIAGARA D SP</t>
  </si>
  <si>
    <t>GDP-NNG/DEMARCA D SP</t>
  </si>
  <si>
    <t>GDP-NNG/TOK D SP</t>
  </si>
  <si>
    <t>GDP-NNG/TOK(1-6 D SP</t>
  </si>
  <si>
    <t>GDP-NNG/TOK(13) D SP</t>
  </si>
  <si>
    <t>GDP-NNG/TOK/PAN D SP</t>
  </si>
  <si>
    <t>GDP-NNG/VENT D SP</t>
  </si>
  <si>
    <t>GDP-NORAM-N/S D SP</t>
  </si>
  <si>
    <t>GDP-NORAM/WEST D SP</t>
  </si>
  <si>
    <t>GDP-NTHWST/CANB D SP</t>
  </si>
  <si>
    <t>GDP-NW STANFIEL D SP</t>
  </si>
  <si>
    <t>GDP-NWPL_ROCKYM D SP</t>
  </si>
  <si>
    <t>GDP-PAN/TX/OK D SP</t>
  </si>
  <si>
    <t>GDP-PG&amp;E/CITIGA D SP</t>
  </si>
  <si>
    <t>GDP-PG&amp;E/LG-PKG D SP</t>
  </si>
  <si>
    <t>GDP-PGT/KINGSGA D SP</t>
  </si>
  <si>
    <t>GDP-QUESTAR D SP</t>
  </si>
  <si>
    <t>GDP-SONAT/LA D SP</t>
  </si>
  <si>
    <t>GDP-TENN/100 D SP</t>
  </si>
  <si>
    <t>GDP-TENN/500 D SP</t>
  </si>
  <si>
    <t>GDP-TENN/800 D SP</t>
  </si>
  <si>
    <t>GDP-TENN/CORPUS D SP</t>
  </si>
  <si>
    <t>GDP-TETCO/ELA D SP</t>
  </si>
  <si>
    <t>GDP-TETCO/ETX/C D SP</t>
  </si>
  <si>
    <t>GDP-TETCO/M1 D SP</t>
  </si>
  <si>
    <t>GDP-TETCO/M3 D SP</t>
  </si>
  <si>
    <t>GDP-TETCO/STX D SP</t>
  </si>
  <si>
    <t>GDP-TETCO/WLA D SP</t>
  </si>
  <si>
    <t>GDP-TGT/Z1 D SP</t>
  </si>
  <si>
    <t>GDP-TGT/ZSL D SP</t>
  </si>
  <si>
    <t>GDP-TRANSCO/Z1 D SP</t>
  </si>
  <si>
    <t>GDP-TRANSCO/Z2 D SP</t>
  </si>
  <si>
    <t>GDP-TRANSCO/Z3 D SP</t>
  </si>
  <si>
    <t>GDP-TRANSCO/Z4 D SP</t>
  </si>
  <si>
    <t>GDP-TRCOZ6/NONY D SP</t>
  </si>
  <si>
    <t>GDP-TRCOZ6/NY D SP</t>
  </si>
  <si>
    <t>GDP-TRUNKL/ELA D SP</t>
  </si>
  <si>
    <t>GDP-TRUNKL/NO D SP</t>
  </si>
  <si>
    <t>GDP-TRUNKL/SO D SP</t>
  </si>
  <si>
    <t>GDP-TRUNKL/WLA D SP</t>
  </si>
  <si>
    <t>GDP-TW/PERMIAN D SP</t>
  </si>
  <si>
    <t>GDP-TW/SJ D SP</t>
  </si>
  <si>
    <t>GDP-TXINT+1AFTA D SP</t>
  </si>
  <si>
    <t>GDP-TXINT+2AFTA D SP</t>
  </si>
  <si>
    <t>GDP-TXINT+2AFTH D SP</t>
  </si>
  <si>
    <t>GDP-TXINT+2AFTL D SP</t>
  </si>
  <si>
    <t>GDP-TXINT/KATYH D SP</t>
  </si>
  <si>
    <t>GDP-TXINT/KATYL D SP</t>
  </si>
  <si>
    <t>GDP-TXINT/KATYT D SP</t>
  </si>
  <si>
    <t>GDP-TXINTFRWKA D SP</t>
  </si>
  <si>
    <t>GDP-TXINTH+2FTH D SP</t>
  </si>
  <si>
    <t>GDP-TXINTL+2FTH D SP</t>
  </si>
  <si>
    <t>GDP-WAHA D SP</t>
  </si>
  <si>
    <t>GDP-WNG/TOK D SP</t>
  </si>
  <si>
    <t>HPL/SHPCHAN-GD D PR</t>
  </si>
  <si>
    <t>IF-A/S E.BEAUM D PR</t>
  </si>
  <si>
    <t>IF-A/S EAST OFF D PR</t>
  </si>
  <si>
    <t>IF-AGUA DULCE D PR</t>
  </si>
  <si>
    <t>IF-ANR/LA D PR</t>
  </si>
  <si>
    <t>IF-ANR/LA_OFFSH D PR</t>
  </si>
  <si>
    <t>IF-ANR/LA_ONSHO D PR</t>
  </si>
  <si>
    <t>IF-ANR/OK D PR</t>
  </si>
  <si>
    <t>IF-ARKLA/ARK-OK D PR</t>
  </si>
  <si>
    <t>IF-B/M OFFSHORE D PR</t>
  </si>
  <si>
    <t>IF-BONDAD(100%) D PR</t>
  </si>
  <si>
    <t>IF-CARTHAGE D PR</t>
  </si>
  <si>
    <t>IF-CGT/APPALAC D PR</t>
  </si>
  <si>
    <t>IF-CGT/CITYGATE D PR</t>
  </si>
  <si>
    <t>IF-CIG/RKYMTN D PR</t>
  </si>
  <si>
    <t>IF-CIG/TOMAHAWK D PR</t>
  </si>
  <si>
    <t>IF-CIG/WIC D PR</t>
  </si>
  <si>
    <t>IF-CIG/WINDRVR D PR</t>
  </si>
  <si>
    <t>IF-CNG/APPALACH D PR</t>
  </si>
  <si>
    <t>IF-CNG/NORTH D PR</t>
  </si>
  <si>
    <t>IF-CNG/N_CITYGA D PR</t>
  </si>
  <si>
    <t>IF-COLGUL/ERATH D PR</t>
  </si>
  <si>
    <t>IF-COLGUL/RAYNE D PR</t>
  </si>
  <si>
    <t>IF-COLGULF/LA D PR</t>
  </si>
  <si>
    <t>IF-COLGULF/LAOF D PR</t>
  </si>
  <si>
    <t>IF-CORPUS D PR</t>
  </si>
  <si>
    <t>IF-ELPO/ANADARK D PR</t>
  </si>
  <si>
    <t>IF-ELPO/PERMIAN D PR</t>
  </si>
  <si>
    <t>IF-ELPO/SJ D PR</t>
  </si>
  <si>
    <t>IF-ELPO/SJ/KC D PR</t>
  </si>
  <si>
    <t>IF-EPSJ(BONDAD) D PR</t>
  </si>
  <si>
    <t>IF-EPSJ(MILAGR) D PR</t>
  </si>
  <si>
    <t>IF-EPSJ/TWBLANC D PR</t>
  </si>
  <si>
    <t>IF-FGT/CTYGATE D PR</t>
  </si>
  <si>
    <t>IF-FGT/MKTAREA D PR</t>
  </si>
  <si>
    <t>IF-FGT/Z1 D PR</t>
  </si>
  <si>
    <t>IF-FGT/Z2 D PR</t>
  </si>
  <si>
    <t>IF-FGT/Z3 D PR</t>
  </si>
  <si>
    <t>IF-FREEPORT D PR</t>
  </si>
  <si>
    <t>IF-HEHUB D PR</t>
  </si>
  <si>
    <t>IF-HPL/SHPCHAN D PR</t>
  </si>
  <si>
    <t>IF-IOWA_IL D PR</t>
  </si>
  <si>
    <t>IF-K/COL/TN/LA D PR</t>
  </si>
  <si>
    <t>IF-KATY D PR</t>
  </si>
  <si>
    <t>IF-KATY/OASIS D PR</t>
  </si>
  <si>
    <t>IF-KATY/TAIL D PR</t>
  </si>
  <si>
    <t>IF-KATY/WOFLEX D PR</t>
  </si>
  <si>
    <t>IF-KERN/QUEST D PR</t>
  </si>
  <si>
    <t>IF-KERN/RIVER D PR</t>
  </si>
  <si>
    <t>IF-KING RANCH D PR</t>
  </si>
  <si>
    <t>IF-KOCH D PR</t>
  </si>
  <si>
    <t>IF-KOCH/LA D PR</t>
  </si>
  <si>
    <t>IF-KOCH/TX D PR</t>
  </si>
  <si>
    <t>IF-LONESTAR D PR</t>
  </si>
  <si>
    <t>IF-LRC D PR</t>
  </si>
  <si>
    <t>IF-LRC/Z1 D PR</t>
  </si>
  <si>
    <t>IF-LRC/Z2 D PR</t>
  </si>
  <si>
    <t>IF-LRC/Z3 D PR</t>
  </si>
  <si>
    <t>IF-LRC/Z4 D PR</t>
  </si>
  <si>
    <t>IF-LRC/Z5 D PR</t>
  </si>
  <si>
    <t>IF-MONCHY D PR</t>
  </si>
  <si>
    <t>IF-NGPL/HARPER D PR</t>
  </si>
  <si>
    <t>IF-NGPL/LA D PR</t>
  </si>
  <si>
    <t>IF-NGPL/LA-STNG D PR</t>
  </si>
  <si>
    <t>IF-NGPL/MIDCON D PR</t>
  </si>
  <si>
    <t>IF-NGPL/OK-NW D PR</t>
  </si>
  <si>
    <t>IF-NGPL/STX D PR</t>
  </si>
  <si>
    <t>IF-NGPL/TX D PR</t>
  </si>
  <si>
    <t>IF-NGPLTXOK D PR</t>
  </si>
  <si>
    <t>IF-NNG/DEMARCAT D PR</t>
  </si>
  <si>
    <t>IF-NNG/TOK D PR</t>
  </si>
  <si>
    <t>IF-NNG/VENT D PR</t>
  </si>
  <si>
    <t>IF-NORAM/EAST D PR</t>
  </si>
  <si>
    <t>IF-NORAM/WEST D PR</t>
  </si>
  <si>
    <t>IF-NTHWST/CANBR D PR</t>
  </si>
  <si>
    <t>IF-NWPL_ROCKY_M D PR</t>
  </si>
  <si>
    <t>IF-ONG/OKLAHOMA D PR</t>
  </si>
  <si>
    <t>IF-PAN/TX/OK D PR</t>
  </si>
  <si>
    <t>IF-QUESTAR D PR</t>
  </si>
  <si>
    <t>IF-SONAT/LA D PR</t>
  </si>
  <si>
    <t>IF-TENN/LA D PR</t>
  </si>
  <si>
    <t>IF-TENN/LA_OFF D PR</t>
  </si>
  <si>
    <t>IF-TENN/TX D PR</t>
  </si>
  <si>
    <t>IF-TENN/Z5 D PR</t>
  </si>
  <si>
    <t>IF-TENN/Z6 D PR</t>
  </si>
  <si>
    <t>IF-TETCO/ELA D PR</t>
  </si>
  <si>
    <t>IF-TETCO/ETX D PR</t>
  </si>
  <si>
    <t>IF-TETCO/LA D PR</t>
  </si>
  <si>
    <t>IF-TETCO/M1 D PR</t>
  </si>
  <si>
    <t>IF-TETCO/M3 D PR</t>
  </si>
  <si>
    <t>IF-TETCO/STX D PR</t>
  </si>
  <si>
    <t>IF-TETCO/WLA D PR</t>
  </si>
  <si>
    <t>IF-TEXOMA D PR</t>
  </si>
  <si>
    <t>IF-TEXOMA OFFER D PR</t>
  </si>
  <si>
    <t>IF-TGT/Z1 D PR</t>
  </si>
  <si>
    <t>IF-TGT/ZSL D PR</t>
  </si>
  <si>
    <t>IF-THOMPSONVILL D PR</t>
  </si>
  <si>
    <t>IF-TRANSCO/Z1 D PR</t>
  </si>
  <si>
    <t>IF-TRANSCO/Z2 D PR</t>
  </si>
  <si>
    <t>IF-TRANSCO/Z3 D PR</t>
  </si>
  <si>
    <t>IF-TRANSCO/Z4 D PR</t>
  </si>
  <si>
    <t>IF-TRANSCO/Z5 D PR</t>
  </si>
  <si>
    <t>IF-TRANSCO/Z6 D PR</t>
  </si>
  <si>
    <t>IF-TRUNK/AVG D PR</t>
  </si>
  <si>
    <t>IF-TRUNKL/FLDZN D PR</t>
  </si>
  <si>
    <t>IF-TRUNKL/LA D PR</t>
  </si>
  <si>
    <t>IF-TRUNKL/TX D PR</t>
  </si>
  <si>
    <t>IF-TW/PERMIAN D PR</t>
  </si>
  <si>
    <t>IF-TX CITY LOOP D PR</t>
  </si>
  <si>
    <t>IF-VALERO/TX D PR</t>
  </si>
  <si>
    <t>IF-VALLEY D PR</t>
  </si>
  <si>
    <t>IF-WAHA D PR</t>
  </si>
  <si>
    <t>IF-WNG/TOK D PR</t>
  </si>
  <si>
    <t>MICH-ST.CLAIR D PR</t>
  </si>
  <si>
    <t>MICH/CONS D PR</t>
  </si>
  <si>
    <t>MICH_CG-GD D PR</t>
  </si>
  <si>
    <t>ML7/CG D PR</t>
  </si>
  <si>
    <t>NAT/FUEL/LEIDY D PR</t>
  </si>
  <si>
    <t>NGI-HPL/ETX D PR</t>
  </si>
  <si>
    <t>NGI-HPL/STEX D PR</t>
  </si>
  <si>
    <t>NGI-LIG/NO.LA D PR</t>
  </si>
  <si>
    <t>NGI-MALIN D PR</t>
  </si>
  <si>
    <t>NGI-MICH_CG D PR</t>
  </si>
  <si>
    <t>NGI-NGPL/ETXG7 D PR</t>
  </si>
  <si>
    <t>NGI-NGPL/TX_G2 D PR</t>
  </si>
  <si>
    <t>NGI-NOCAL D PR</t>
  </si>
  <si>
    <t>NGI-PGE/CG D PR</t>
  </si>
  <si>
    <t>NGI-SOC/MAL(34/ D PR</t>
  </si>
  <si>
    <t>NGI-SOCAL D PR</t>
  </si>
  <si>
    <t>NGI-SOCAL(KRS) D PR</t>
  </si>
  <si>
    <t>NGI-TENN/NO_LA D PR</t>
  </si>
  <si>
    <t>NGI-TGT/NO.LA D PR</t>
  </si>
  <si>
    <t>NGI-WHEELER D PR</t>
  </si>
  <si>
    <t>NGI/CHI. GATE D PR</t>
  </si>
  <si>
    <t>NGPL/AMARILO-GD D PR</t>
  </si>
  <si>
    <t>NGPL/IA-IL-GDM D PR</t>
  </si>
  <si>
    <t>NGPL/PER/1ST-GD D PR</t>
  </si>
  <si>
    <t>NGW-ALGO/CITY D PR</t>
  </si>
  <si>
    <t>NGW-ALGONQUIN D PR</t>
  </si>
  <si>
    <t>NGW-CGE D PR</t>
  </si>
  <si>
    <t>NGW-CGKY D PR</t>
  </si>
  <si>
    <t>NGW-CHIPPEWA D PR</t>
  </si>
  <si>
    <t>NGW-FGT/Z1 D PR</t>
  </si>
  <si>
    <t>NGW-FGT/Z2 D PR</t>
  </si>
  <si>
    <t>NGW-FGT/Z3 D PR</t>
  </si>
  <si>
    <t>NGW-GB23 D PR</t>
  </si>
  <si>
    <t>NGW-HEHUB D PR</t>
  </si>
  <si>
    <t>NGW-IROQ/WADD D PR</t>
  </si>
  <si>
    <t>NGW-IROQ/Z1 D PR</t>
  </si>
  <si>
    <t>NGW-IROQ/Z2 D PR</t>
  </si>
  <si>
    <t>NGW-ONS/TXDTP D PR</t>
  </si>
  <si>
    <t>NGW-ONS/TXDTPTW D PR</t>
  </si>
  <si>
    <t>NGW-ONSLA D PR</t>
  </si>
  <si>
    <t>NGW-ONSLA1 D PR</t>
  </si>
  <si>
    <t>NGW/HH/BIDWEEK D PR</t>
  </si>
  <si>
    <t>NIAGARA-GDM D PR</t>
  </si>
  <si>
    <t>NW STANF/1ST-GD D PR</t>
  </si>
  <si>
    <t>NX3D D PR</t>
  </si>
  <si>
    <t>STORAGE/B D PR</t>
  </si>
  <si>
    <t>T/STX-VAL-AVG D PR</t>
  </si>
  <si>
    <t>TRUNKL/WLA-GD D PR</t>
  </si>
  <si>
    <t>WADD-GDM D PR</t>
  </si>
  <si>
    <t>WAHA KCBT D PR</t>
  </si>
  <si>
    <t>User ID:</t>
  </si>
  <si>
    <t>mbennet_pc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</si>
  <si>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</si>
  <si>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</si>
  <si>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</si>
  <si>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</si>
  <si>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</si>
  <si>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</si>
  <si>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OFFSET(K4,0,0,1,COUNT(4:4))</t>
  </si>
  <si>
    <t>Effective Date</t>
  </si>
  <si>
    <t>Prompt Month</t>
  </si>
  <si>
    <t>Curve Code</t>
  </si>
  <si>
    <t>INTNS</t>
  </si>
  <si>
    <t>NG</t>
  </si>
  <si>
    <t>Curve Type</t>
  </si>
  <si>
    <t>AA</t>
  </si>
  <si>
    <t>VO</t>
  </si>
  <si>
    <t>Book Code 1</t>
  </si>
  <si>
    <t>R</t>
  </si>
  <si>
    <t>P</t>
  </si>
  <si>
    <t>Publisher</t>
  </si>
  <si>
    <t>Gas Curve Date</t>
  </si>
  <si>
    <t>BP</t>
  </si>
  <si>
    <t>AP</t>
  </si>
  <si>
    <t>Chicago</t>
  </si>
  <si>
    <t>Florida Zones 1 through 3</t>
  </si>
  <si>
    <t>NG_OMICRON_11</t>
  </si>
  <si>
    <t>NG_OMICRON_12</t>
  </si>
  <si>
    <t>Omicron</t>
  </si>
  <si>
    <t>Bid Vol</t>
  </si>
  <si>
    <t>Ask Vol</t>
  </si>
  <si>
    <t xml:space="preserve">Omicron </t>
  </si>
  <si>
    <t>Mid Vol</t>
  </si>
  <si>
    <t>Adder</t>
  </si>
  <si>
    <t>BV</t>
  </si>
  <si>
    <t>AV</t>
  </si>
  <si>
    <t>Nymex Mid</t>
  </si>
  <si>
    <t>Nymex Bid</t>
  </si>
  <si>
    <t>NG Vol Mid</t>
  </si>
  <si>
    <t>NG Vol Bid</t>
  </si>
  <si>
    <t>Nymex Ask</t>
  </si>
  <si>
    <t>NG Vol Ask</t>
  </si>
  <si>
    <t>Interest</t>
  </si>
  <si>
    <t>Power Basis</t>
  </si>
  <si>
    <t>Omicron Region</t>
  </si>
  <si>
    <t>Mon-Sun 7X24</t>
  </si>
  <si>
    <t>Mon-Sun 7X16</t>
  </si>
  <si>
    <t>Mon-Fri 5X24</t>
  </si>
  <si>
    <t>Mon-Fri 5X16</t>
  </si>
  <si>
    <t>Mon-Sat 6X24</t>
  </si>
  <si>
    <t>Mon-Sat 6X16</t>
  </si>
  <si>
    <t>Date Range</t>
  </si>
  <si>
    <t>From</t>
  </si>
  <si>
    <t>To</t>
  </si>
  <si>
    <t>Date</t>
  </si>
  <si>
    <t>VOM</t>
  </si>
  <si>
    <t>Variable O&amp;M</t>
  </si>
  <si>
    <t>Heat Rates</t>
  </si>
  <si>
    <t xml:space="preserve">Generation </t>
  </si>
  <si>
    <t>Cost</t>
  </si>
  <si>
    <t>control #</t>
  </si>
  <si>
    <t>Scalar</t>
  </si>
  <si>
    <t xml:space="preserve"> </t>
  </si>
  <si>
    <t>Gas Basis Check Box</t>
  </si>
  <si>
    <t>Checks</t>
  </si>
  <si>
    <t>16Hr</t>
  </si>
  <si>
    <t>24Hr</t>
  </si>
  <si>
    <t>Must = 1</t>
  </si>
  <si>
    <t>Regular Scalars</t>
  </si>
  <si>
    <t>Mid Curve</t>
  </si>
  <si>
    <t>Super Peak</t>
  </si>
  <si>
    <t>Price</t>
  </si>
  <si>
    <t>Week</t>
  </si>
  <si>
    <t>Sat</t>
  </si>
  <si>
    <t>Sun</t>
  </si>
  <si>
    <t>Hol</t>
  </si>
  <si>
    <t>Total</t>
  </si>
  <si>
    <t>-Hol</t>
  </si>
  <si>
    <t>Control #</t>
  </si>
  <si>
    <t>Days to Run</t>
  </si>
  <si>
    <t>Monthly</t>
  </si>
  <si>
    <t xml:space="preserve">Daily </t>
  </si>
  <si>
    <t xml:space="preserve">Blended </t>
  </si>
  <si>
    <t>8Hr WD</t>
  </si>
  <si>
    <t>8Hr Sat</t>
  </si>
  <si>
    <t>8Hr Sun</t>
  </si>
  <si>
    <t>Generation Components</t>
  </si>
  <si>
    <t xml:space="preserve">Mon-Fri </t>
  </si>
  <si>
    <t>Shoulder Peak</t>
  </si>
  <si>
    <t>OP</t>
  </si>
  <si>
    <t>M-F,Sat,Sun</t>
  </si>
  <si>
    <t>Run Hours</t>
  </si>
  <si>
    <t>To Be fixed:</t>
  </si>
  <si>
    <t xml:space="preserve"> - Fix Sat and Sun Super Peak Scalars to be price dependent on Sat, Sun prices not WD prices</t>
  </si>
  <si>
    <t xml:space="preserve"> - Add Holidays Somewhere</t>
  </si>
  <si>
    <t xml:space="preserve"> - Go thru one iteration add Sprd Opt, then take Delta and run thru another iteration for run Hours</t>
  </si>
  <si>
    <t>Year</t>
  </si>
  <si>
    <t>MW</t>
  </si>
  <si>
    <t>Power</t>
  </si>
  <si>
    <t>Scaled Power Prices</t>
  </si>
  <si>
    <t>Ranking Section</t>
  </si>
  <si>
    <t>Max Run Hours</t>
  </si>
  <si>
    <t>Guess:</t>
  </si>
  <si>
    <t>Resid Hours</t>
  </si>
  <si>
    <t xml:space="preserve"> - Move TP adder to Strike Price for Sprd Opt.</t>
  </si>
  <si>
    <t>Daily</t>
  </si>
  <si>
    <t>Blended</t>
  </si>
  <si>
    <t>Gas-Pwr</t>
  </si>
  <si>
    <t xml:space="preserve">Interest </t>
  </si>
  <si>
    <t>Rate</t>
  </si>
  <si>
    <t>Discount</t>
  </si>
  <si>
    <t xml:space="preserve"> - Spropt needs:</t>
  </si>
  <si>
    <t xml:space="preserve">     - Strike which includes gas transport adder</t>
  </si>
  <si>
    <t xml:space="preserve">     - days to expiry</t>
  </si>
  <si>
    <t xml:space="preserve"> - Make Gas curve pull for seasonality (winter prices/summer prices)</t>
  </si>
  <si>
    <t xml:space="preserve">     - 16 hr vs. two 8hr options</t>
  </si>
  <si>
    <t xml:space="preserve"> - Put toggle in for week days only or weekends/weekdays.</t>
  </si>
  <si>
    <t>Expenses</t>
  </si>
  <si>
    <t xml:space="preserve">    Fuel</t>
  </si>
  <si>
    <t xml:space="preserve">    Variable O&amp;M</t>
  </si>
  <si>
    <t>Revenue</t>
  </si>
  <si>
    <t>$$$</t>
  </si>
  <si>
    <t xml:space="preserve"> - Vol Scalar!!!!! For Hourly Vol Simulation</t>
  </si>
  <si>
    <t>Revenues/Expenses</t>
  </si>
  <si>
    <t>Energy</t>
  </si>
  <si>
    <t>Fuel</t>
  </si>
  <si>
    <t>Expense</t>
  </si>
  <si>
    <t>Check</t>
  </si>
  <si>
    <t>Capacity Revenue ($/Kwm)</t>
  </si>
  <si>
    <t>Energy Revenue ($'s)</t>
  </si>
  <si>
    <t>Tolling Agreement</t>
  </si>
  <si>
    <t>Spread Option Pricing</t>
  </si>
  <si>
    <t>Intrinsic Only Pricing</t>
  </si>
  <si>
    <t>Pricing Type</t>
  </si>
  <si>
    <t>Strike</t>
  </si>
  <si>
    <t>Discount Scenarios</t>
  </si>
  <si>
    <t>Notional</t>
  </si>
  <si>
    <t>Present Value (Libor AA)</t>
  </si>
  <si>
    <t>X HR</t>
  </si>
  <si>
    <t>(Gas-TP)</t>
  </si>
  <si>
    <t>Run Hours (Delta)</t>
  </si>
  <si>
    <t xml:space="preserve"> - Need Hourly limitation for each year</t>
  </si>
  <si>
    <t xml:space="preserve"> - Excess Run Hours must be calculated!!!!!!!!!!!!!!!!!!!!!!!!!!!!!!!!!!!</t>
  </si>
  <si>
    <t>=Done</t>
  </si>
  <si>
    <t xml:space="preserve"> - Make Woulfe Special Work</t>
  </si>
  <si>
    <t>Probably Don't need</t>
  </si>
  <si>
    <t xml:space="preserve"> - Add Toggle for PPA situation (5X16, etc…)</t>
  </si>
  <si>
    <t>Works for Intrinsic Only</t>
  </si>
  <si>
    <t>Vol Scalar</t>
  </si>
  <si>
    <t xml:space="preserve"> - Fuel, Commodity</t>
  </si>
  <si>
    <t xml:space="preserve">      Enpower doesn't treat as separate</t>
  </si>
  <si>
    <t xml:space="preserve"> - Add toggle for Genco Scalars and find out what curves use them and do not use them</t>
  </si>
  <si>
    <t>OP Price</t>
  </si>
  <si>
    <t>Prices</t>
  </si>
  <si>
    <t>Summer Gas Basis</t>
  </si>
  <si>
    <t>Winter Gas Basis</t>
  </si>
  <si>
    <t>Value (Intrinsic or Sprd Option Depending on Input)</t>
  </si>
  <si>
    <t xml:space="preserve"> - Availability Factor</t>
  </si>
  <si>
    <t xml:space="preserve"> - Put in Implied HR</t>
  </si>
  <si>
    <t>Bid, Mid, Offer</t>
  </si>
  <si>
    <t xml:space="preserve"> - Bid/Mid/Offer Toggle!!!!!!!!!!!!!!!!!!!!!!!!!!!!!!</t>
  </si>
  <si>
    <t>Does not work yet Fix Pwr Daily, gas monthly and daily</t>
  </si>
  <si>
    <t>Intra-Month Volatilities</t>
  </si>
  <si>
    <t>This Section Needed for Bid,Mid,Offer Toggle</t>
  </si>
  <si>
    <t xml:space="preserve"> - Demand Charge Divisor</t>
  </si>
  <si>
    <t xml:space="preserve"> - HR Degradation</t>
  </si>
  <si>
    <t>=Not Done, but doesn't need to be done just yet</t>
  </si>
  <si>
    <t>Back end Curve escalation/descension</t>
  </si>
  <si>
    <t>1 = Flat curve</t>
  </si>
  <si>
    <t>&gt; 1 escalation</t>
  </si>
  <si>
    <t>&lt; 1 descension</t>
  </si>
  <si>
    <t>Option Inputs</t>
  </si>
  <si>
    <t xml:space="preserve"> - Combine Cycle Calculations</t>
  </si>
  <si>
    <t xml:space="preserve"> - Per Start</t>
  </si>
  <si>
    <t>5X16 Pwr</t>
  </si>
  <si>
    <t>Sat Peak</t>
  </si>
  <si>
    <t>Sun Peak</t>
  </si>
  <si>
    <t>Copy/Paste Special Here, Match Dates with A37</t>
  </si>
  <si>
    <t>Copy/Paste Special Here, Make sure Checks = 1</t>
  </si>
  <si>
    <t xml:space="preserve"> - Curve (Back end) with an escalator, Also to work for Vols </t>
  </si>
  <si>
    <t>Need to fix for Vols</t>
  </si>
  <si>
    <t xml:space="preserve"> - Put in Extrinsic line on Output</t>
  </si>
  <si>
    <t xml:space="preserve"> - Need to add winter Omicron Vol Section</t>
  </si>
  <si>
    <t>Total Plant Per Start</t>
  </si>
  <si>
    <t>Super Peak Scalars (Dynamic Scalars, if applicable)</t>
  </si>
  <si>
    <t>This Section Needed for Curve Extension</t>
  </si>
  <si>
    <t>Monthly Vols</t>
  </si>
  <si>
    <t>Per</t>
  </si>
  <si>
    <t>Availability</t>
  </si>
  <si>
    <t xml:space="preserve">    Per Start</t>
  </si>
  <si>
    <t>Term (Yrs.)</t>
  </si>
  <si>
    <t>Plant Operation</t>
  </si>
  <si>
    <t>Combined Cycle</t>
  </si>
  <si>
    <t>Simple Cycle (Peaker)</t>
  </si>
  <si>
    <t>*** ON Run hours or in Ranking section Put in Logic for Combined Cycle Rev&gt;=Per Start (Opportunity Cost)</t>
  </si>
  <si>
    <t>16Hr WD</t>
  </si>
  <si>
    <t>16Hr Sat</t>
  </si>
  <si>
    <t>16Hr Sun</t>
  </si>
  <si>
    <t>Power extends automatically (price, vols, and correlation)</t>
  </si>
  <si>
    <t>Annualized Capacity Revenue</t>
  </si>
  <si>
    <t>Still Working on this, not totally functional yet</t>
  </si>
  <si>
    <t>Vols are not effected, they remain flat</t>
  </si>
  <si>
    <t>Summer Omicron</t>
  </si>
  <si>
    <t>Winter Omicron</t>
  </si>
  <si>
    <t xml:space="preserve">Sat </t>
  </si>
  <si>
    <t>Max Run Option Premium Section</t>
  </si>
  <si>
    <t xml:space="preserve">POP </t>
  </si>
  <si>
    <t>Min</t>
  </si>
  <si>
    <t xml:space="preserve"> - Fix 7X24 to use Off-peak vols</t>
  </si>
  <si>
    <t xml:space="preserve"> - Per Start assumptions</t>
  </si>
  <si>
    <t>Generation</t>
  </si>
  <si>
    <t>Min MW's</t>
  </si>
  <si>
    <t>Minimum Run Swap Section $$$'s (Only works in Combined Cycle Mode)</t>
  </si>
  <si>
    <t xml:space="preserve"> - Fix Bid, Mid, Offer for Nymex</t>
  </si>
  <si>
    <t xml:space="preserve"> - Add Vol Smile</t>
  </si>
  <si>
    <t>Nymex</t>
  </si>
  <si>
    <t>Transport</t>
  </si>
  <si>
    <t>Always Enter a Positive Number</t>
  </si>
  <si>
    <t>All-in-Gas</t>
  </si>
  <si>
    <t xml:space="preserve">Basis </t>
  </si>
  <si>
    <t>Gas Bid-Mid-Offer Sprd</t>
  </si>
  <si>
    <t xml:space="preserve"> - Extend Gas Vols out for 30 yrs</t>
  </si>
  <si>
    <t>Swap Value</t>
  </si>
  <si>
    <t>Swap</t>
  </si>
  <si>
    <t>Value</t>
  </si>
  <si>
    <t xml:space="preserve">Per </t>
  </si>
  <si>
    <t>VOM escalator</t>
  </si>
  <si>
    <t>12 month escalator</t>
  </si>
  <si>
    <t>Super</t>
  </si>
  <si>
    <t>Shoulder</t>
  </si>
  <si>
    <t>Bid = Pwr Bid, Gas Offer</t>
  </si>
  <si>
    <t>Offer = Pwr Offer, Gas Bid</t>
  </si>
  <si>
    <t>8 Hr Block Pricing (M-F)</t>
  </si>
  <si>
    <t>8 Hr Block Pricing (M-Sat)</t>
  </si>
  <si>
    <t>8 Hr Block Pricing (M-Sun)</t>
  </si>
  <si>
    <t>refine HR assumptions for Swap section</t>
  </si>
  <si>
    <t>Add one for each year, but link to top one</t>
  </si>
  <si>
    <t xml:space="preserve"> - Add Headers and Footers (Footer = Name of file/Date)</t>
  </si>
  <si>
    <t>OP is never treated as an option</t>
  </si>
  <si>
    <t>check curve availability for Nymex, Gas Basis, Interest Rates.</t>
  </si>
  <si>
    <t>Super Peak Sorter</t>
  </si>
  <si>
    <t>Scalar Matrix</t>
  </si>
  <si>
    <t>Last Date Of Pwr Curve:</t>
  </si>
  <si>
    <t>Control for Vol Smile</t>
  </si>
  <si>
    <t>DARNAEZ</t>
  </si>
  <si>
    <t>DQUIGLE</t>
  </si>
  <si>
    <t>+Hol</t>
  </si>
  <si>
    <t>Holidays have been added to Sundays</t>
  </si>
  <si>
    <t>Total Value</t>
  </si>
  <si>
    <t>Levelized $/Kwm</t>
  </si>
  <si>
    <t>$/Kw</t>
  </si>
  <si>
    <t>Cost to Build equivalent</t>
  </si>
  <si>
    <t>Total Plant MW's</t>
  </si>
  <si>
    <t xml:space="preserve">  Not necessary right now</t>
  </si>
  <si>
    <t>Manual Run Hour Override</t>
  </si>
  <si>
    <t>1=Run</t>
  </si>
  <si>
    <t>0=No Run</t>
  </si>
  <si>
    <t>1Z In City NY</t>
  </si>
  <si>
    <t>1Z</t>
  </si>
  <si>
    <t>Extend Gas and Rates on Gas Curves Tab</t>
  </si>
  <si>
    <t xml:space="preserve">   Coming Later 2000</t>
  </si>
  <si>
    <t>Swap Pricing</t>
  </si>
  <si>
    <t>Curve Adj</t>
  </si>
  <si>
    <t>Reduces MW</t>
  </si>
  <si>
    <t>Libor AA</t>
  </si>
  <si>
    <t>DO NOT TOUCH</t>
  </si>
  <si>
    <t>Max</t>
  </si>
  <si>
    <t>April-Oct</t>
  </si>
  <si>
    <t>Nov-Mar</t>
  </si>
  <si>
    <t>WARNING: When going out past 2018</t>
  </si>
  <si>
    <t>LJOHNSO5</t>
  </si>
  <si>
    <t>BMCKAY_PC</t>
  </si>
  <si>
    <t>REGION 1B</t>
  </si>
  <si>
    <t>NEPOOL</t>
  </si>
  <si>
    <t>NG_OMICRON_13</t>
  </si>
  <si>
    <t>NG_OMICRON_14</t>
  </si>
  <si>
    <t>NG_OMICRON_15</t>
  </si>
  <si>
    <t>Transco/Z6</t>
  </si>
  <si>
    <t>MichCon</t>
  </si>
  <si>
    <t>SoCal</t>
  </si>
  <si>
    <t>Into FRCC</t>
  </si>
  <si>
    <t>3C Into FRCC</t>
  </si>
  <si>
    <t>3C</t>
  </si>
  <si>
    <t>3A  Florida Georgia Border</t>
  </si>
  <si>
    <t>Florida Georgia Border</t>
  </si>
  <si>
    <t xml:space="preserve">As of 2/2000 Dynamic Scalars are in effect for REGIONS:  2,2A,2B,3,3A,3B,3C,4,4B,4C,5,5A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</si>
</sst>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%"/>
    <numFmt numFmtId="173" formatCode="0.0000"/>
    <numFmt numFmtId="174" formatCode="0.000"/>
    <numFmt numFmtId="175" formatCode="0.0"/>
    <numFmt numFmtId="178" formatCode="_(* #,##0_);_(* \(#,##0\);_(* &quot;-&quot;??_);_(@_)"/>
    <numFmt numFmtId="197" formatCode="0.000%"/>
    <numFmt numFmtId="206" formatCode="mm/dd/yy"/>
    <numFmt numFmtId="212" formatCode="0_);[Red]\-0_)"/>
    <numFmt numFmtId="213" formatCode="General_)"/>
    <numFmt numFmtId="214" formatCode="dd\-mmm\-yy_)"/>
    <numFmt numFmtId="220" formatCode="mmm\-yy_)"/>
    <numFmt numFmtId="221" formatCode="#,##0.0000_);\(#,##0.0000\)"/>
    <numFmt numFmtId="224" formatCode="mm/dd/yy_)"/>
    <numFmt numFmtId="225" formatCode="0.000000_)"/>
    <numFmt numFmtId="228" formatCode="0_);\(0\)"/>
    <numFmt numFmtId="229" formatCode="dd\-mmm\-yy_);[Red]dd\-mmm\-yy_)"/>
    <numFmt numFmtId="231" formatCode="dd\-mmm\-yy"/>
    <numFmt numFmtId="283" formatCode="_(&quot;$&quot;* #,##0_);_(&quot;$&quot;* \(#,##0\);_(&quot;$&quot;* &quot;-&quot;??_);_(@_)"/>
    <numFmt numFmtId="316" formatCode="_(&quot;$&quot;* #,##0.0000_);_(&quot;$&quot;* \(#,##0.0000\);_(&quot;$&quot;* &quot;-&quot;??_);_(@_)"/>
    <numFmt numFmtId="324" formatCode="_(&quot;$&quot;* #,##0.000_);_(&quot;$&quot;* \(#,##0.000\);_(&quot;$&quot;* &quot;-&quot;??_);_(@_)"/>
    <numFmt numFmtId="337" formatCode="0E+00;\ᱨ"/>
    <numFmt numFmtId="341" formatCode="_(&quot;$&quot;* #,##0.000_);_(&quot;$&quot;* \(#,##0.000\);_(&quot;$&quot;* &quot;-&quot;???_);_(@_)"/>
    <numFmt numFmtId="342" formatCode="mmmmm"/>
    <numFmt numFmtId="344" formatCode="mmm"/>
  </numFmts>
  <fonts count="46">
    <font>
      <sz val="10"/>
      <name val="Arial"/>
    </font>
    <font>
      <sz val="10"/>
      <name val="Arial"/>
    </font>
    <font>
      <sz val="12"/>
      <color indexed="8"/>
      <name val="Arial MT"/>
    </font>
    <font>
      <sz val="10"/>
      <name val="MS Sans Serif"/>
    </font>
    <font>
      <sz val="8"/>
      <name val="Arial"/>
    </font>
    <font>
      <sz val="10"/>
      <name val="Courier"/>
    </font>
    <font>
      <sz val="11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</font>
    <font>
      <sz val="18"/>
      <color indexed="12"/>
      <name val="Arial"/>
    </font>
    <font>
      <sz val="10"/>
      <color indexed="12"/>
      <name val="Courier"/>
    </font>
    <font>
      <b/>
      <sz val="10"/>
      <color indexed="8"/>
      <name val="Courier"/>
    </font>
    <font>
      <b/>
      <sz val="10"/>
      <name val="Arial"/>
    </font>
    <font>
      <sz val="10"/>
      <color indexed="8"/>
      <name val="Arial"/>
    </font>
    <font>
      <sz val="10"/>
      <color indexed="8"/>
      <name val="Courier"/>
    </font>
    <font>
      <b/>
      <sz val="10"/>
      <color indexed="8"/>
      <name val="Courier"/>
      <family val="3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Tahoma"/>
      <family val="2"/>
    </font>
    <font>
      <sz val="9"/>
      <name val="Times New Roman"/>
      <family val="1"/>
    </font>
    <font>
      <sz val="8"/>
      <name val="Helv"/>
    </font>
    <font>
      <b/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indexed="8"/>
      <name val="Arial"/>
      <family val="2"/>
    </font>
    <font>
      <sz val="8"/>
      <color indexed="9"/>
      <name val="Arial"/>
      <family val="2"/>
    </font>
    <font>
      <b/>
      <sz val="9"/>
      <color indexed="10"/>
      <name val="Arial"/>
      <family val="2"/>
    </font>
    <font>
      <b/>
      <i/>
      <sz val="10"/>
      <name val="Arial"/>
      <family val="2"/>
    </font>
    <font>
      <b/>
      <sz val="8"/>
      <color indexed="10"/>
      <name val="Arial"/>
      <family val="2"/>
    </font>
    <font>
      <b/>
      <i/>
      <sz val="9"/>
      <color indexed="10"/>
      <name val="Arial"/>
      <family val="2"/>
    </font>
    <font>
      <b/>
      <sz val="10"/>
      <color indexed="18"/>
      <name val="Arial"/>
      <family val="2"/>
    </font>
    <font>
      <b/>
      <sz val="9"/>
      <color indexed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37" fontId="7" fillId="3" borderId="0" applyNumberFormat="0" applyBorder="0" applyAlignment="0" applyProtection="0"/>
    <xf numFmtId="37" fontId="4" fillId="0" borderId="0"/>
    <xf numFmtId="3" fontId="8" fillId="4" borderId="1" applyProtection="0"/>
  </cellStyleXfs>
  <cellXfs count="495">
    <xf numFmtId="0" fontId="0" fillId="0" borderId="0" xfId="0"/>
    <xf numFmtId="0" fontId="0" fillId="0" borderId="0" xfId="0" applyProtection="1"/>
    <xf numFmtId="0" fontId="0" fillId="0" borderId="0" xfId="0" applyBorder="1"/>
    <xf numFmtId="0" fontId="0" fillId="0" borderId="0" xfId="0" applyBorder="1" applyProtection="1"/>
    <xf numFmtId="0" fontId="0" fillId="0" borderId="0" xfId="0" applyFill="1"/>
    <xf numFmtId="37" fontId="10" fillId="0" borderId="0" xfId="0" applyNumberFormat="1" applyFont="1" applyFill="1" applyBorder="1" applyProtection="1"/>
    <xf numFmtId="212" fontId="11" fillId="0" borderId="0" xfId="0" applyNumberFormat="1" applyFont="1" applyProtection="1"/>
    <xf numFmtId="0" fontId="11" fillId="0" borderId="0" xfId="0" applyFont="1" applyProtection="1"/>
    <xf numFmtId="212" fontId="11" fillId="0" borderId="0" xfId="0" applyNumberFormat="1" applyFont="1" applyBorder="1" applyProtection="1"/>
    <xf numFmtId="0" fontId="0" fillId="0" borderId="0" xfId="0" applyBorder="1" applyAlignment="1" applyProtection="1">
      <alignment horizontal="left"/>
    </xf>
    <xf numFmtId="0" fontId="11" fillId="0" borderId="2" xfId="0" applyFont="1" applyBorder="1" applyProtection="1"/>
    <xf numFmtId="0" fontId="11" fillId="0" borderId="3" xfId="0" applyFont="1" applyBorder="1" applyProtection="1"/>
    <xf numFmtId="220" fontId="13" fillId="0" borderId="4" xfId="0" applyNumberFormat="1" applyFont="1" applyBorder="1" applyProtection="1"/>
    <xf numFmtId="0" fontId="11" fillId="0" borderId="0" xfId="0" applyFont="1" applyBorder="1" applyProtection="1"/>
    <xf numFmtId="0" fontId="9" fillId="0" borderId="5" xfId="0" applyFont="1" applyFill="1" applyBorder="1" applyAlignment="1">
      <alignment horizontal="centerContinuous"/>
    </xf>
    <xf numFmtId="0" fontId="0" fillId="0" borderId="3" xfId="0" applyBorder="1" applyAlignment="1">
      <alignment horizontal="centerContinuous"/>
    </xf>
    <xf numFmtId="17" fontId="0" fillId="2" borderId="4" xfId="0" applyNumberFormat="1" applyFill="1" applyBorder="1" applyProtection="1"/>
    <xf numFmtId="10" fontId="0" fillId="0" borderId="0" xfId="0" applyNumberFormat="1"/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4" fillId="0" borderId="0" xfId="0" applyFont="1" applyFill="1" applyBorder="1"/>
    <xf numFmtId="14" fontId="0" fillId="0" borderId="0" xfId="0" applyNumberFormat="1" applyFill="1" applyBorder="1"/>
    <xf numFmtId="0" fontId="9" fillId="5" borderId="5" xfId="0" applyFont="1" applyFill="1" applyBorder="1" applyAlignment="1">
      <alignment horizontal="center"/>
    </xf>
    <xf numFmtId="0" fontId="14" fillId="2" borderId="6" xfId="0" applyFont="1" applyFill="1" applyBorder="1" applyProtection="1">
      <protection locked="0"/>
    </xf>
    <xf numFmtId="17" fontId="0" fillId="0" borderId="0" xfId="0" applyNumberFormat="1" applyBorder="1" applyProtection="1"/>
    <xf numFmtId="14" fontId="14" fillId="0" borderId="0" xfId="0" applyNumberFormat="1" applyFont="1" applyFill="1" applyBorder="1"/>
    <xf numFmtId="224" fontId="0" fillId="0" borderId="0" xfId="0" applyNumberFormat="1" applyBorder="1" applyProtection="1"/>
    <xf numFmtId="0" fontId="14" fillId="0" borderId="7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0" fillId="0" borderId="9" xfId="0" applyBorder="1"/>
    <xf numFmtId="0" fontId="0" fillId="0" borderId="10" xfId="0" applyBorder="1"/>
    <xf numFmtId="0" fontId="17" fillId="0" borderId="0" xfId="0" applyFont="1" applyFill="1" applyBorder="1" applyAlignment="1">
      <alignment horizontal="center"/>
    </xf>
    <xf numFmtId="17" fontId="18" fillId="0" borderId="0" xfId="0" applyNumberFormat="1" applyFont="1" applyFill="1" applyBorder="1"/>
    <xf numFmtId="43" fontId="18" fillId="0" borderId="0" xfId="1" applyFont="1" applyFill="1" applyBorder="1" applyAlignment="1" applyProtection="1">
      <alignment horizontal="centerContinuous"/>
      <protection locked="0"/>
    </xf>
    <xf numFmtId="0" fontId="18" fillId="0" borderId="0" xfId="0" applyFont="1" applyFill="1" applyBorder="1" applyAlignment="1">
      <alignment horizontal="centerContinuous"/>
    </xf>
    <xf numFmtId="0" fontId="18" fillId="0" borderId="0" xfId="0" applyFont="1" applyFill="1" applyBorder="1"/>
    <xf numFmtId="0" fontId="14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174" fontId="0" fillId="0" borderId="0" xfId="0" applyNumberFormat="1"/>
    <xf numFmtId="174" fontId="0" fillId="0" borderId="0" xfId="0" quotePrefix="1" applyNumberFormat="1" applyBorder="1" applyProtection="1"/>
    <xf numFmtId="10" fontId="0" fillId="0" borderId="0" xfId="0" quotePrefix="1" applyNumberFormat="1"/>
    <xf numFmtId="214" fontId="0" fillId="0" borderId="0" xfId="0" applyNumberFormat="1" applyBorder="1" applyProtection="1"/>
    <xf numFmtId="0" fontId="14" fillId="0" borderId="9" xfId="0" applyFont="1" applyFill="1" applyBorder="1" applyAlignment="1" applyProtection="1">
      <alignment horizontal="left"/>
      <protection locked="0"/>
    </xf>
    <xf numFmtId="0" fontId="14" fillId="0" borderId="10" xfId="0" applyFont="1" applyFill="1" applyBorder="1" applyAlignment="1" applyProtection="1">
      <alignment horizontal="center"/>
      <protection locked="0"/>
    </xf>
    <xf numFmtId="20" fontId="7" fillId="0" borderId="0" xfId="0" applyNumberFormat="1" applyFont="1" applyFill="1" applyBorder="1"/>
    <xf numFmtId="0" fontId="15" fillId="0" borderId="0" xfId="0" applyFont="1" applyFill="1" applyBorder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229" fontId="19" fillId="0" borderId="0" xfId="0" applyNumberFormat="1" applyFont="1" applyFill="1" applyBorder="1" applyAlignment="1" applyProtection="1">
      <alignment horizontal="centerContinuous"/>
      <protection locked="0"/>
    </xf>
    <xf numFmtId="212" fontId="14" fillId="0" borderId="0" xfId="0" applyNumberFormat="1" applyFont="1" applyFill="1" applyBorder="1" applyAlignment="1" applyProtection="1">
      <alignment horizontal="centerContinuous"/>
    </xf>
    <xf numFmtId="0" fontId="9" fillId="0" borderId="5" xfId="0" applyFont="1" applyFill="1" applyBorder="1"/>
    <xf numFmtId="0" fontId="9" fillId="5" borderId="4" xfId="0" applyFont="1" applyFill="1" applyBorder="1" applyAlignment="1">
      <alignment horizontal="center"/>
    </xf>
    <xf numFmtId="0" fontId="18" fillId="2" borderId="4" xfId="0" applyFont="1" applyFill="1" applyBorder="1" applyProtection="1">
      <protection locked="0"/>
    </xf>
    <xf numFmtId="14" fontId="14" fillId="0" borderId="0" xfId="0" applyNumberFormat="1" applyFont="1" applyFill="1" applyBorder="1" applyProtection="1"/>
    <xf numFmtId="43" fontId="18" fillId="0" borderId="0" xfId="0" applyNumberFormat="1" applyFont="1" applyFill="1" applyBorder="1"/>
    <xf numFmtId="2" fontId="0" fillId="0" borderId="0" xfId="0" applyNumberFormat="1" applyFill="1" applyBorder="1"/>
    <xf numFmtId="43" fontId="14" fillId="0" borderId="0" xfId="0" applyNumberFormat="1" applyFont="1" applyFill="1" applyBorder="1"/>
    <xf numFmtId="220" fontId="18" fillId="0" borderId="0" xfId="0" applyNumberFormat="1" applyFont="1" applyFill="1" applyBorder="1" applyAlignment="1" applyProtection="1">
      <alignment horizontal="center"/>
    </xf>
    <xf numFmtId="10" fontId="14" fillId="0" borderId="0" xfId="0" applyNumberFormat="1" applyFont="1" applyFill="1" applyBorder="1"/>
    <xf numFmtId="39" fontId="0" fillId="0" borderId="0" xfId="0" applyNumberFormat="1" applyBorder="1" applyProtection="1"/>
    <xf numFmtId="0" fontId="14" fillId="0" borderId="7" xfId="0" applyFont="1" applyFill="1" applyBorder="1" applyAlignment="1" applyProtection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4" fillId="0" borderId="9" xfId="0" applyFont="1" applyFill="1" applyBorder="1" applyAlignment="1" applyProtection="1">
      <alignment horizontal="left"/>
    </xf>
    <xf numFmtId="0" fontId="14" fillId="0" borderId="10" xfId="0" applyFont="1" applyFill="1" applyBorder="1" applyAlignment="1" applyProtection="1">
      <alignment horizontal="center"/>
    </xf>
    <xf numFmtId="221" fontId="19" fillId="0" borderId="0" xfId="0" applyNumberFormat="1" applyFont="1" applyFill="1" applyBorder="1" applyProtection="1">
      <protection locked="0"/>
    </xf>
    <xf numFmtId="0" fontId="14" fillId="0" borderId="12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0" fontId="13" fillId="0" borderId="2" xfId="0" applyFont="1" applyFill="1" applyBorder="1" applyAlignment="1">
      <alignment horizontal="centerContinuous"/>
    </xf>
    <xf numFmtId="1" fontId="20" fillId="2" borderId="4" xfId="0" applyNumberFormat="1" applyFont="1" applyFill="1" applyBorder="1" applyAlignment="1"/>
    <xf numFmtId="206" fontId="21" fillId="0" borderId="9" xfId="0" applyNumberFormat="1" applyFont="1" applyBorder="1" applyProtection="1">
      <protection locked="0"/>
    </xf>
    <xf numFmtId="0" fontId="21" fillId="0" borderId="14" xfId="0" applyFont="1" applyBorder="1" applyProtection="1">
      <protection locked="0"/>
    </xf>
    <xf numFmtId="0" fontId="0" fillId="0" borderId="15" xfId="0" applyBorder="1"/>
    <xf numFmtId="0" fontId="0" fillId="0" borderId="15" xfId="0" applyFill="1" applyBorder="1"/>
    <xf numFmtId="20" fontId="7" fillId="0" borderId="16" xfId="0" applyNumberFormat="1" applyFont="1" applyFill="1" applyBorder="1"/>
    <xf numFmtId="39" fontId="11" fillId="0" borderId="0" xfId="0" applyNumberFormat="1" applyFont="1" applyProtection="1">
      <protection locked="0"/>
    </xf>
    <xf numFmtId="0" fontId="14" fillId="0" borderId="17" xfId="0" applyFont="1" applyFill="1" applyBorder="1" applyAlignment="1" applyProtection="1">
      <alignment horizontal="left"/>
    </xf>
    <xf numFmtId="0" fontId="14" fillId="0" borderId="18" xfId="0" applyFont="1" applyFill="1" applyBorder="1" applyAlignment="1" applyProtection="1">
      <alignment horizontal="center"/>
    </xf>
    <xf numFmtId="206" fontId="21" fillId="0" borderId="12" xfId="0" applyNumberFormat="1" applyFont="1" applyBorder="1" applyProtection="1">
      <protection locked="0"/>
    </xf>
    <xf numFmtId="0" fontId="21" fillId="0" borderId="19" xfId="0" applyFont="1" applyBorder="1" applyProtection="1">
      <protection locked="0"/>
    </xf>
    <xf numFmtId="0" fontId="0" fillId="0" borderId="20" xfId="0" applyBorder="1"/>
    <xf numFmtId="0" fontId="0" fillId="0" borderId="20" xfId="0" applyFill="1" applyBorder="1"/>
    <xf numFmtId="20" fontId="7" fillId="0" borderId="21" xfId="0" applyNumberFormat="1" applyFont="1" applyFill="1" applyBorder="1"/>
    <xf numFmtId="206" fontId="21" fillId="0" borderId="0" xfId="0" applyNumberFormat="1" applyFont="1" applyBorder="1" applyProtection="1">
      <protection locked="0"/>
    </xf>
    <xf numFmtId="0" fontId="21" fillId="0" borderId="0" xfId="0" applyFont="1" applyBorder="1" applyProtection="1">
      <protection locked="0"/>
    </xf>
    <xf numFmtId="0" fontId="14" fillId="0" borderId="12" xfId="0" applyFont="1" applyFill="1" applyBorder="1" applyAlignment="1" applyProtection="1">
      <alignment horizontal="left"/>
    </xf>
    <xf numFmtId="0" fontId="14" fillId="0" borderId="13" xfId="0" applyFont="1" applyFill="1" applyBorder="1" applyAlignment="1" applyProtection="1">
      <alignment horizontal="center"/>
    </xf>
    <xf numFmtId="10" fontId="0" fillId="0" borderId="0" xfId="0" applyNumberFormat="1" applyFill="1" applyBorder="1"/>
    <xf numFmtId="43" fontId="0" fillId="0" borderId="0" xfId="0" applyNumberFormat="1" applyFill="1" applyBorder="1"/>
    <xf numFmtId="1" fontId="0" fillId="0" borderId="0" xfId="0" applyNumberFormat="1" applyBorder="1" applyProtection="1"/>
    <xf numFmtId="43" fontId="18" fillId="0" borderId="0" xfId="1" applyFont="1" applyFill="1" applyBorder="1" applyAlignment="1">
      <alignment horizontal="center"/>
    </xf>
    <xf numFmtId="14" fontId="22" fillId="0" borderId="0" xfId="0" applyNumberFormat="1" applyFont="1"/>
    <xf numFmtId="316" fontId="25" fillId="0" borderId="0" xfId="2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231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8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31" fontId="0" fillId="0" borderId="0" xfId="0" applyNumberFormat="1" applyBorder="1" applyAlignment="1">
      <alignment horizontal="center"/>
    </xf>
    <xf numFmtId="231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quotePrefix="1" applyAlignment="1" applyProtection="1">
      <alignment horizontal="left"/>
    </xf>
    <xf numFmtId="0" fontId="25" fillId="0" borderId="0" xfId="0" applyFont="1"/>
    <xf numFmtId="17" fontId="25" fillId="0" borderId="0" xfId="0" applyNumberFormat="1" applyFont="1" applyAlignment="1">
      <alignment horizontal="center"/>
    </xf>
    <xf numFmtId="0" fontId="27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quotePrefix="1" applyFont="1" applyAlignment="1">
      <alignment horizontal="center"/>
    </xf>
    <xf numFmtId="206" fontId="25" fillId="6" borderId="0" xfId="0" applyNumberFormat="1" applyFont="1" applyFill="1"/>
    <xf numFmtId="17" fontId="27" fillId="0" borderId="0" xfId="0" applyNumberFormat="1" applyFont="1" applyAlignment="1">
      <alignment horizontal="left"/>
    </xf>
    <xf numFmtId="17" fontId="25" fillId="0" borderId="0" xfId="0" applyNumberFormat="1" applyFont="1"/>
    <xf numFmtId="17" fontId="25" fillId="0" borderId="0" xfId="0" applyNumberFormat="1" applyFont="1" applyAlignment="1">
      <alignment horizontal="right"/>
    </xf>
    <xf numFmtId="14" fontId="25" fillId="0" borderId="0" xfId="0" applyNumberFormat="1" applyFont="1" applyAlignment="1">
      <alignment horizontal="center"/>
    </xf>
    <xf numFmtId="17" fontId="28" fillId="0" borderId="0" xfId="3" applyNumberFormat="1" applyFont="1" applyBorder="1" applyAlignment="1" applyProtection="1">
      <alignment horizontal="center"/>
    </xf>
    <xf numFmtId="0" fontId="29" fillId="0" borderId="0" xfId="0" quotePrefix="1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3" applyFont="1" applyBorder="1" applyAlignment="1" applyProtection="1">
      <alignment horizontal="center"/>
    </xf>
    <xf numFmtId="178" fontId="25" fillId="0" borderId="0" xfId="1" applyNumberFormat="1" applyFont="1" applyFill="1"/>
    <xf numFmtId="206" fontId="25" fillId="0" borderId="0" xfId="0" applyNumberFormat="1" applyFont="1" applyFill="1"/>
    <xf numFmtId="173" fontId="25" fillId="0" borderId="0" xfId="0" applyNumberFormat="1" applyFont="1" applyFill="1" applyAlignment="1">
      <alignment horizontal="center"/>
    </xf>
    <xf numFmtId="173" fontId="25" fillId="0" borderId="0" xfId="0" applyNumberFormat="1" applyFont="1" applyAlignment="1">
      <alignment horizontal="center"/>
    </xf>
    <xf numFmtId="0" fontId="25" fillId="7" borderId="0" xfId="0" applyFont="1" applyFill="1" applyAlignment="1">
      <alignment horizontal="center"/>
    </xf>
    <xf numFmtId="337" fontId="25" fillId="0" borderId="0" xfId="0" applyNumberFormat="1" applyFont="1" applyAlignment="1">
      <alignment horizontal="center"/>
    </xf>
    <xf numFmtId="0" fontId="21" fillId="0" borderId="22" xfId="0" applyFont="1" applyBorder="1" applyProtection="1">
      <protection locked="0"/>
    </xf>
    <xf numFmtId="0" fontId="0" fillId="0" borderId="23" xfId="0" applyBorder="1"/>
    <xf numFmtId="0" fontId="0" fillId="0" borderId="23" xfId="0" applyFill="1" applyBorder="1"/>
    <xf numFmtId="206" fontId="21" fillId="0" borderId="17" xfId="0" applyNumberFormat="1" applyFont="1" applyBorder="1" applyProtection="1">
      <protection locked="0"/>
    </xf>
    <xf numFmtId="206" fontId="21" fillId="0" borderId="7" xfId="0" applyNumberFormat="1" applyFont="1" applyBorder="1" applyProtection="1">
      <protection locked="0"/>
    </xf>
    <xf numFmtId="0" fontId="21" fillId="0" borderId="24" xfId="0" applyFont="1" applyBorder="1" applyProtection="1">
      <protection locked="0"/>
    </xf>
    <xf numFmtId="0" fontId="0" fillId="0" borderId="25" xfId="0" applyBorder="1"/>
    <xf numFmtId="0" fontId="0" fillId="0" borderId="25" xfId="0" applyFill="1" applyBorder="1"/>
    <xf numFmtId="20" fontId="7" fillId="0" borderId="26" xfId="0" applyNumberFormat="1" applyFont="1" applyFill="1" applyBorder="1"/>
    <xf numFmtId="20" fontId="7" fillId="0" borderId="27" xfId="0" applyNumberFormat="1" applyFont="1" applyFill="1" applyBorder="1"/>
    <xf numFmtId="9" fontId="25" fillId="0" borderId="0" xfId="4" applyFont="1" applyAlignment="1">
      <alignment horizontal="center"/>
    </xf>
    <xf numFmtId="9" fontId="25" fillId="7" borderId="0" xfId="0" applyNumberFormat="1" applyFont="1" applyFill="1" applyAlignment="1">
      <alignment horizontal="center"/>
    </xf>
    <xf numFmtId="9" fontId="25" fillId="0" borderId="0" xfId="0" applyNumberFormat="1" applyFont="1" applyAlignment="1">
      <alignment horizontal="center"/>
    </xf>
    <xf numFmtId="0" fontId="0" fillId="2" borderId="4" xfId="0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13" fillId="0" borderId="0" xfId="0" applyFont="1" applyFill="1" applyBorder="1" applyAlignment="1">
      <alignment horizontal="centerContinuous"/>
    </xf>
    <xf numFmtId="0" fontId="25" fillId="8" borderId="4" xfId="0" applyFont="1" applyFill="1" applyBorder="1" applyAlignment="1">
      <alignment horizontal="center"/>
    </xf>
    <xf numFmtId="212" fontId="9" fillId="9" borderId="0" xfId="0" applyNumberFormat="1" applyFont="1" applyFill="1" applyBorder="1" applyAlignment="1" applyProtection="1">
      <alignment horizontal="left"/>
    </xf>
    <xf numFmtId="212" fontId="9" fillId="9" borderId="0" xfId="0" applyNumberFormat="1" applyFont="1" applyFill="1" applyBorder="1" applyAlignment="1" applyProtection="1">
      <alignment horizontal="right"/>
    </xf>
    <xf numFmtId="0" fontId="30" fillId="0" borderId="28" xfId="0" applyFont="1" applyFill="1" applyBorder="1" applyAlignment="1" applyProtection="1">
      <alignment horizontal="center"/>
    </xf>
    <xf numFmtId="0" fontId="30" fillId="0" borderId="29" xfId="0" applyFont="1" applyFill="1" applyBorder="1" applyAlignment="1" applyProtection="1">
      <alignment horizontal="left"/>
    </xf>
    <xf numFmtId="0" fontId="30" fillId="0" borderId="30" xfId="0" applyFont="1" applyFill="1" applyBorder="1" applyAlignment="1" applyProtection="1">
      <alignment horizontal="left"/>
    </xf>
    <xf numFmtId="0" fontId="30" fillId="0" borderId="31" xfId="0" applyFont="1" applyFill="1" applyBorder="1" applyAlignment="1" applyProtection="1">
      <alignment horizontal="left"/>
    </xf>
    <xf numFmtId="0" fontId="7" fillId="0" borderId="0" xfId="0" applyFont="1" applyFill="1"/>
    <xf numFmtId="0" fontId="0" fillId="0" borderId="0" xfId="0" applyFill="1" applyBorder="1" applyAlignment="1" applyProtection="1">
      <alignment horizontal="right"/>
    </xf>
    <xf numFmtId="206" fontId="20" fillId="0" borderId="0" xfId="0" applyNumberFormat="1" applyFont="1" applyFill="1" applyBorder="1" applyProtection="1"/>
    <xf numFmtId="0" fontId="0" fillId="0" borderId="0" xfId="0" applyFill="1" applyBorder="1" applyProtection="1"/>
    <xf numFmtId="212" fontId="9" fillId="0" borderId="0" xfId="0" applyNumberFormat="1" applyFont="1" applyFill="1" applyBorder="1" applyAlignment="1" applyProtection="1">
      <alignment horizontal="left"/>
    </xf>
    <xf numFmtId="206" fontId="9" fillId="0" borderId="0" xfId="0" applyNumberFormat="1" applyFont="1" applyFill="1" applyBorder="1" applyAlignment="1" applyProtection="1">
      <alignment horizontal="right"/>
      <protection locked="0"/>
    </xf>
    <xf numFmtId="212" fontId="9" fillId="9" borderId="32" xfId="0" applyNumberFormat="1" applyFont="1" applyFill="1" applyBorder="1" applyAlignment="1" applyProtection="1">
      <alignment horizontal="left"/>
    </xf>
    <xf numFmtId="212" fontId="9" fillId="9" borderId="33" xfId="0" applyNumberFormat="1" applyFont="1" applyFill="1" applyBorder="1" applyAlignment="1" applyProtection="1">
      <alignment horizontal="right"/>
    </xf>
    <xf numFmtId="206" fontId="9" fillId="9" borderId="11" xfId="0" applyNumberFormat="1" applyFont="1" applyFill="1" applyBorder="1" applyAlignment="1" applyProtection="1">
      <alignment horizontal="right"/>
      <protection locked="0"/>
    </xf>
    <xf numFmtId="212" fontId="31" fillId="9" borderId="34" xfId="0" applyNumberFormat="1" applyFont="1" applyFill="1" applyBorder="1" applyAlignment="1" applyProtection="1">
      <alignment horizontal="left"/>
    </xf>
    <xf numFmtId="206" fontId="9" fillId="9" borderId="35" xfId="0" applyNumberFormat="1" applyFont="1" applyFill="1" applyBorder="1" applyAlignment="1" applyProtection="1">
      <alignment horizontal="right"/>
      <protection locked="0"/>
    </xf>
    <xf numFmtId="0" fontId="9" fillId="9" borderId="34" xfId="0" applyFont="1" applyFill="1" applyBorder="1" applyAlignment="1" applyProtection="1">
      <alignment horizontal="center"/>
    </xf>
    <xf numFmtId="212" fontId="9" fillId="9" borderId="34" xfId="0" quotePrefix="1" applyNumberFormat="1" applyFont="1" applyFill="1" applyBorder="1" applyAlignment="1" applyProtection="1">
      <alignment horizontal="center"/>
    </xf>
    <xf numFmtId="212" fontId="9" fillId="9" borderId="34" xfId="0" quotePrefix="1" applyNumberFormat="1" applyFont="1" applyFill="1" applyBorder="1" applyAlignment="1" applyProtection="1">
      <alignment horizontal="left"/>
    </xf>
    <xf numFmtId="212" fontId="9" fillId="9" borderId="35" xfId="0" applyNumberFormat="1" applyFont="1" applyFill="1" applyBorder="1" applyAlignment="1" applyProtection="1">
      <alignment horizontal="left"/>
    </xf>
    <xf numFmtId="212" fontId="31" fillId="9" borderId="34" xfId="0" quotePrefix="1" applyNumberFormat="1" applyFont="1" applyFill="1" applyBorder="1" applyAlignment="1" applyProtection="1">
      <alignment horizontal="left"/>
    </xf>
    <xf numFmtId="212" fontId="9" fillId="9" borderId="34" xfId="0" applyNumberFormat="1" applyFont="1" applyFill="1" applyBorder="1" applyAlignment="1" applyProtection="1">
      <alignment horizontal="left"/>
    </xf>
    <xf numFmtId="212" fontId="9" fillId="9" borderId="36" xfId="0" applyNumberFormat="1" applyFont="1" applyFill="1" applyBorder="1" applyAlignment="1" applyProtection="1">
      <alignment horizontal="left"/>
    </xf>
    <xf numFmtId="212" fontId="9" fillId="9" borderId="37" xfId="0" applyNumberFormat="1" applyFont="1" applyFill="1" applyBorder="1" applyAlignment="1" applyProtection="1">
      <alignment horizontal="right"/>
    </xf>
    <xf numFmtId="206" fontId="9" fillId="9" borderId="38" xfId="0" applyNumberFormat="1" applyFont="1" applyFill="1" applyBorder="1" applyAlignment="1" applyProtection="1">
      <alignment horizontal="right"/>
      <protection locked="0"/>
    </xf>
    <xf numFmtId="17" fontId="0" fillId="0" borderId="0" xfId="0" applyNumberFormat="1"/>
    <xf numFmtId="17" fontId="33" fillId="0" borderId="0" xfId="0" applyNumberFormat="1" applyFont="1"/>
    <xf numFmtId="206" fontId="9" fillId="0" borderId="0" xfId="0" applyNumberFormat="1" applyFont="1" applyFill="1" applyBorder="1" applyAlignment="1" applyProtection="1">
      <alignment horizontal="center"/>
      <protection locked="0"/>
    </xf>
    <xf numFmtId="341" fontId="9" fillId="9" borderId="29" xfId="0" applyNumberFormat="1" applyFont="1" applyFill="1" applyBorder="1" applyAlignment="1" applyProtection="1">
      <alignment horizontal="right"/>
      <protection locked="0"/>
    </xf>
    <xf numFmtId="212" fontId="32" fillId="0" borderId="0" xfId="0" applyNumberFormat="1" applyFont="1" applyFill="1" applyBorder="1" applyAlignment="1" applyProtection="1">
      <alignment horizontal="center"/>
    </xf>
    <xf numFmtId="342" fontId="0" fillId="0" borderId="0" xfId="0" applyNumberFormat="1" applyFill="1" applyBorder="1" applyAlignment="1">
      <alignment horizontal="center"/>
    </xf>
    <xf numFmtId="344" fontId="0" fillId="0" borderId="0" xfId="0" applyNumberFormat="1" applyFill="1" applyBorder="1" applyAlignment="1">
      <alignment horizontal="center"/>
    </xf>
    <xf numFmtId="0" fontId="20" fillId="9" borderId="29" xfId="0" applyFont="1" applyFill="1" applyBorder="1" applyAlignment="1">
      <alignment horizontal="center"/>
    </xf>
    <xf numFmtId="0" fontId="21" fillId="9" borderId="29" xfId="0" applyNumberFormat="1" applyFont="1" applyFill="1" applyBorder="1" applyAlignment="1">
      <alignment horizontal="center"/>
    </xf>
    <xf numFmtId="0" fontId="0" fillId="9" borderId="29" xfId="0" applyNumberFormat="1" applyFill="1" applyBorder="1" applyAlignment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Alignment="1">
      <alignment horizontal="center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34" fillId="0" borderId="0" xfId="0" applyFont="1" applyFill="1" applyBorder="1" applyAlignment="1">
      <alignment horizontal="center"/>
    </xf>
    <xf numFmtId="220" fontId="34" fillId="0" borderId="0" xfId="0" applyNumberFormat="1" applyFont="1" applyFill="1" applyBorder="1" applyAlignment="1" applyProtection="1">
      <alignment horizontal="center"/>
    </xf>
    <xf numFmtId="0" fontId="34" fillId="0" borderId="0" xfId="0" applyNumberFormat="1" applyFont="1" applyFill="1" applyBorder="1" applyAlignment="1" applyProtection="1">
      <alignment horizontal="center"/>
    </xf>
    <xf numFmtId="221" fontId="35" fillId="10" borderId="0" xfId="0" applyNumberFormat="1" applyFont="1" applyFill="1"/>
    <xf numFmtId="0" fontId="34" fillId="0" borderId="0" xfId="0" applyFont="1" applyFill="1" applyBorder="1"/>
    <xf numFmtId="0" fontId="33" fillId="0" borderId="0" xfId="0" applyFont="1"/>
    <xf numFmtId="0" fontId="34" fillId="0" borderId="0" xfId="0" applyFont="1" applyFill="1" applyBorder="1" applyProtection="1">
      <protection locked="0"/>
    </xf>
    <xf numFmtId="229" fontId="34" fillId="0" borderId="0" xfId="0" applyNumberFormat="1" applyFont="1" applyFill="1" applyBorder="1" applyAlignment="1" applyProtection="1">
      <alignment horizontal="centerContinuous"/>
      <protection locked="0"/>
    </xf>
    <xf numFmtId="212" fontId="34" fillId="0" borderId="0" xfId="0" applyNumberFormat="1" applyFont="1" applyFill="1" applyBorder="1" applyAlignment="1" applyProtection="1">
      <alignment horizontal="centerContinuous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right"/>
    </xf>
    <xf numFmtId="0" fontId="0" fillId="0" borderId="0" xfId="0" quotePrefix="1" applyAlignment="1">
      <alignment horizontal="center"/>
    </xf>
    <xf numFmtId="44" fontId="33" fillId="0" borderId="0" xfId="2" applyNumberFormat="1" applyFont="1"/>
    <xf numFmtId="44" fontId="33" fillId="0" borderId="0" xfId="0" applyNumberFormat="1" applyFont="1"/>
    <xf numFmtId="173" fontId="33" fillId="0" borderId="0" xfId="0" applyNumberFormat="1" applyFont="1"/>
    <xf numFmtId="0" fontId="7" fillId="0" borderId="0" xfId="0" applyFont="1"/>
    <xf numFmtId="206" fontId="33" fillId="0" borderId="0" xfId="0" applyNumberFormat="1" applyFont="1"/>
    <xf numFmtId="0" fontId="36" fillId="0" borderId="0" xfId="0" applyFont="1" applyAlignment="1">
      <alignment horizontal="center"/>
    </xf>
    <xf numFmtId="0" fontId="36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17" fillId="11" borderId="0" xfId="0" applyFont="1" applyFill="1" applyAlignment="1">
      <alignment horizontal="center"/>
    </xf>
    <xf numFmtId="0" fontId="17" fillId="12" borderId="0" xfId="0" quotePrefix="1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44" fontId="33" fillId="12" borderId="0" xfId="2" applyFont="1" applyFill="1" applyBorder="1" applyAlignment="1">
      <alignment horizontal="right"/>
    </xf>
    <xf numFmtId="44" fontId="33" fillId="0" borderId="0" xfId="2" applyFont="1" applyFill="1" applyBorder="1" applyAlignment="1">
      <alignment horizontal="right"/>
    </xf>
    <xf numFmtId="0" fontId="17" fillId="13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0" fontId="17" fillId="0" borderId="0" xfId="0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7" fillId="14" borderId="0" xfId="0" applyFont="1" applyFill="1"/>
    <xf numFmtId="178" fontId="33" fillId="14" borderId="0" xfId="1" applyNumberFormat="1" applyFont="1" applyFill="1"/>
    <xf numFmtId="283" fontId="33" fillId="14" borderId="0" xfId="2" applyNumberFormat="1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right"/>
    </xf>
    <xf numFmtId="178" fontId="33" fillId="0" borderId="22" xfId="1" applyNumberFormat="1" applyFont="1" applyBorder="1"/>
    <xf numFmtId="178" fontId="33" fillId="0" borderId="23" xfId="1" applyNumberFormat="1" applyFont="1" applyBorder="1"/>
    <xf numFmtId="178" fontId="33" fillId="0" borderId="39" xfId="1" applyNumberFormat="1" applyFont="1" applyBorder="1"/>
    <xf numFmtId="178" fontId="33" fillId="0" borderId="40" xfId="1" applyNumberFormat="1" applyFont="1" applyBorder="1"/>
    <xf numFmtId="178" fontId="33" fillId="0" borderId="0" xfId="1" applyNumberFormat="1" applyFont="1" applyBorder="1"/>
    <xf numFmtId="178" fontId="33" fillId="0" borderId="41" xfId="1" applyNumberFormat="1" applyFont="1" applyBorder="1"/>
    <xf numFmtId="178" fontId="33" fillId="0" borderId="42" xfId="1" applyNumberFormat="1" applyFont="1" applyBorder="1"/>
    <xf numFmtId="178" fontId="33" fillId="0" borderId="43" xfId="1" applyNumberFormat="1" applyFont="1" applyBorder="1"/>
    <xf numFmtId="178" fontId="33" fillId="0" borderId="44" xfId="1" applyNumberFormat="1" applyFont="1" applyBorder="1"/>
    <xf numFmtId="178" fontId="7" fillId="0" borderId="41" xfId="1" applyNumberFormat="1" applyFont="1" applyBorder="1"/>
    <xf numFmtId="178" fontId="7" fillId="0" borderId="41" xfId="1" applyNumberFormat="1" applyFont="1" applyBorder="1" applyAlignment="1">
      <alignment horizontal="center"/>
    </xf>
    <xf numFmtId="178" fontId="35" fillId="10" borderId="44" xfId="1" applyNumberFormat="1" applyFont="1" applyFill="1" applyBorder="1"/>
    <xf numFmtId="0" fontId="17" fillId="6" borderId="0" xfId="0" applyFont="1" applyFill="1" applyAlignment="1">
      <alignment horizontal="center"/>
    </xf>
    <xf numFmtId="178" fontId="7" fillId="0" borderId="0" xfId="1" applyNumberFormat="1" applyFont="1" applyBorder="1" applyAlignment="1">
      <alignment horizontal="center"/>
    </xf>
    <xf numFmtId="0" fontId="37" fillId="0" borderId="0" xfId="0" applyFont="1"/>
    <xf numFmtId="1" fontId="0" fillId="8" borderId="14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1" fontId="0" fillId="8" borderId="45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44" fontId="0" fillId="0" borderId="0" xfId="2" applyNumberFormat="1" applyFont="1"/>
    <xf numFmtId="44" fontId="0" fillId="0" borderId="0" xfId="0" applyNumberFormat="1"/>
    <xf numFmtId="0" fontId="17" fillId="9" borderId="0" xfId="0" applyFont="1" applyFill="1" applyAlignment="1">
      <alignment horizontal="center"/>
    </xf>
    <xf numFmtId="283" fontId="0" fillId="0" borderId="0" xfId="0" applyNumberFormat="1"/>
    <xf numFmtId="0" fontId="23" fillId="0" borderId="0" xfId="0" applyFont="1"/>
    <xf numFmtId="0" fontId="25" fillId="0" borderId="29" xfId="0" applyFont="1" applyBorder="1" applyAlignment="1"/>
    <xf numFmtId="0" fontId="25" fillId="0" borderId="29" xfId="0" applyFont="1" applyBorder="1" applyAlignment="1">
      <alignment horizontal="center"/>
    </xf>
    <xf numFmtId="0" fontId="25" fillId="8" borderId="29" xfId="0" applyFont="1" applyFill="1" applyBorder="1"/>
    <xf numFmtId="0" fontId="25" fillId="0" borderId="29" xfId="0" applyFont="1" applyBorder="1"/>
    <xf numFmtId="0" fontId="0" fillId="0" borderId="0" xfId="0" applyFill="1" applyBorder="1" applyAlignment="1">
      <alignment horizontal="center"/>
    </xf>
    <xf numFmtId="0" fontId="17" fillId="11" borderId="0" xfId="0" quotePrefix="1" applyFont="1" applyFill="1" applyAlignment="1">
      <alignment horizontal="center"/>
    </xf>
    <xf numFmtId="178" fontId="33" fillId="13" borderId="0" xfId="1" applyNumberFormat="1" applyFont="1" applyFill="1"/>
    <xf numFmtId="0" fontId="17" fillId="16" borderId="0" xfId="0" applyFont="1" applyFill="1" applyAlignment="1">
      <alignment horizontal="center"/>
    </xf>
    <xf numFmtId="0" fontId="7" fillId="8" borderId="0" xfId="0" applyFont="1" applyFill="1"/>
    <xf numFmtId="0" fontId="0" fillId="8" borderId="0" xfId="0" applyFill="1"/>
    <xf numFmtId="0" fontId="20" fillId="9" borderId="45" xfId="0" applyFont="1" applyFill="1" applyBorder="1" applyAlignment="1">
      <alignment horizontal="center"/>
    </xf>
    <xf numFmtId="43" fontId="21" fillId="0" borderId="29" xfId="1" applyFont="1" applyFill="1" applyBorder="1" applyAlignment="1">
      <alignment horizontal="center"/>
    </xf>
    <xf numFmtId="1" fontId="33" fillId="0" borderId="22" xfId="0" applyNumberFormat="1" applyFont="1" applyBorder="1"/>
    <xf numFmtId="1" fontId="33" fillId="0" borderId="23" xfId="0" applyNumberFormat="1" applyFont="1" applyBorder="1"/>
    <xf numFmtId="1" fontId="33" fillId="0" borderId="40" xfId="0" applyNumberFormat="1" applyFont="1" applyBorder="1"/>
    <xf numFmtId="1" fontId="33" fillId="0" borderId="0" xfId="0" applyNumberFormat="1" applyFont="1" applyBorder="1"/>
    <xf numFmtId="1" fontId="33" fillId="0" borderId="42" xfId="0" applyNumberFormat="1" applyFont="1" applyBorder="1"/>
    <xf numFmtId="1" fontId="33" fillId="0" borderId="43" xfId="0" applyNumberFormat="1" applyFont="1" applyBorder="1"/>
    <xf numFmtId="228" fontId="33" fillId="0" borderId="40" xfId="0" applyNumberFormat="1" applyFont="1" applyBorder="1"/>
    <xf numFmtId="228" fontId="33" fillId="0" borderId="23" xfId="0" applyNumberFormat="1" applyFont="1" applyBorder="1"/>
    <xf numFmtId="0" fontId="33" fillId="0" borderId="39" xfId="0" applyFont="1" applyBorder="1"/>
    <xf numFmtId="228" fontId="33" fillId="0" borderId="0" xfId="0" applyNumberFormat="1" applyFont="1" applyBorder="1"/>
    <xf numFmtId="228" fontId="33" fillId="0" borderId="42" xfId="0" applyNumberFormat="1" applyFont="1" applyBorder="1"/>
    <xf numFmtId="228" fontId="33" fillId="0" borderId="43" xfId="0" applyNumberFormat="1" applyFont="1" applyBorder="1"/>
    <xf numFmtId="228" fontId="33" fillId="0" borderId="22" xfId="0" applyNumberFormat="1" applyFont="1" applyBorder="1"/>
    <xf numFmtId="0" fontId="33" fillId="0" borderId="41" xfId="0" applyFont="1" applyBorder="1"/>
    <xf numFmtId="0" fontId="7" fillId="0" borderId="39" xfId="0" applyFont="1" applyBorder="1"/>
    <xf numFmtId="0" fontId="20" fillId="0" borderId="0" xfId="0" applyFont="1" applyBorder="1" applyAlignment="1">
      <alignment horizontal="center"/>
    </xf>
    <xf numFmtId="324" fontId="33" fillId="0" borderId="0" xfId="0" applyNumberFormat="1" applyFont="1"/>
    <xf numFmtId="212" fontId="38" fillId="9" borderId="34" xfId="0" quotePrefix="1" applyNumberFormat="1" applyFont="1" applyFill="1" applyBorder="1" applyAlignment="1" applyProtection="1">
      <alignment horizontal="left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right"/>
    </xf>
    <xf numFmtId="206" fontId="2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0" fontId="7" fillId="8" borderId="0" xfId="0" quotePrefix="1" applyFont="1" applyFill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/>
    <xf numFmtId="0" fontId="7" fillId="17" borderId="0" xfId="0" applyFont="1" applyFill="1"/>
    <xf numFmtId="0" fontId="7" fillId="17" borderId="0" xfId="0" quotePrefix="1" applyFont="1" applyFill="1" applyAlignment="1">
      <alignment horizontal="left"/>
    </xf>
    <xf numFmtId="0" fontId="0" fillId="17" borderId="0" xfId="0" applyFill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44" fontId="33" fillId="18" borderId="0" xfId="2" applyNumberFormat="1" applyFont="1" applyFill="1"/>
    <xf numFmtId="44" fontId="33" fillId="18" borderId="0" xfId="0" applyNumberFormat="1" applyFont="1" applyFill="1"/>
    <xf numFmtId="324" fontId="33" fillId="18" borderId="0" xfId="0" applyNumberFormat="1" applyFont="1" applyFill="1"/>
    <xf numFmtId="221" fontId="34" fillId="18" borderId="0" xfId="0" applyNumberFormat="1" applyFont="1" applyFill="1" applyBorder="1" applyProtection="1">
      <protection locked="0"/>
    </xf>
    <xf numFmtId="283" fontId="20" fillId="9" borderId="29" xfId="2" applyNumberFormat="1" applyFont="1" applyFill="1" applyBorder="1"/>
    <xf numFmtId="0" fontId="17" fillId="0" borderId="0" xfId="0" quotePrefix="1" applyFont="1" applyAlignment="1">
      <alignment horizontal="center"/>
    </xf>
    <xf numFmtId="0" fontId="7" fillId="8" borderId="29" xfId="0" applyFont="1" applyFill="1" applyBorder="1" applyProtection="1"/>
    <xf numFmtId="0" fontId="7" fillId="0" borderId="0" xfId="0" applyFont="1" applyBorder="1" applyAlignment="1" applyProtection="1">
      <alignment horizontal="left"/>
    </xf>
    <xf numFmtId="0" fontId="7" fillId="0" borderId="29" xfId="0" applyFont="1" applyBorder="1" applyProtection="1"/>
    <xf numFmtId="0" fontId="7" fillId="0" borderId="29" xfId="0" quotePrefix="1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8" borderId="30" xfId="0" applyFont="1" applyFill="1" applyBorder="1" applyProtection="1"/>
    <xf numFmtId="0" fontId="7" fillId="0" borderId="0" xfId="0" applyFont="1" applyFill="1" applyBorder="1" applyProtection="1"/>
    <xf numFmtId="0" fontId="7" fillId="0" borderId="29" xfId="0" applyFont="1" applyFill="1" applyBorder="1" applyProtection="1"/>
    <xf numFmtId="0" fontId="7" fillId="0" borderId="29" xfId="0" applyFont="1" applyFill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14" xfId="0" applyFont="1" applyBorder="1" applyProtection="1"/>
    <xf numFmtId="0" fontId="7" fillId="0" borderId="0" xfId="0" applyFont="1" applyBorder="1"/>
    <xf numFmtId="0" fontId="7" fillId="0" borderId="46" xfId="0" applyFont="1" applyBorder="1" applyProtection="1"/>
    <xf numFmtId="0" fontId="7" fillId="18" borderId="0" xfId="0" applyFont="1" applyFill="1" applyAlignment="1">
      <alignment horizontal="right"/>
    </xf>
    <xf numFmtId="0" fontId="17" fillId="3" borderId="0" xfId="0" quotePrefix="1" applyFont="1" applyFill="1" applyAlignment="1">
      <alignment horizontal="left"/>
    </xf>
    <xf numFmtId="0" fontId="7" fillId="3" borderId="0" xfId="0" applyFont="1" applyFill="1"/>
    <xf numFmtId="0" fontId="35" fillId="19" borderId="0" xfId="0" quotePrefix="1" applyFont="1" applyFill="1" applyAlignment="1">
      <alignment horizontal="center"/>
    </xf>
    <xf numFmtId="221" fontId="35" fillId="19" borderId="0" xfId="0" applyNumberFormat="1" applyFont="1" applyFill="1"/>
    <xf numFmtId="0" fontId="40" fillId="0" borderId="0" xfId="0" applyFont="1"/>
    <xf numFmtId="10" fontId="0" fillId="0" borderId="0" xfId="4" applyNumberFormat="1" applyFont="1" applyAlignment="1">
      <alignment horizontal="right"/>
    </xf>
    <xf numFmtId="0" fontId="17" fillId="0" borderId="0" xfId="0" applyFont="1" applyAlignment="1">
      <alignment horizontal="center"/>
    </xf>
    <xf numFmtId="344" fontId="17" fillId="0" borderId="0" xfId="0" applyNumberFormat="1" applyFont="1" applyFill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21" fillId="9" borderId="4" xfId="0" applyFont="1" applyFill="1" applyBorder="1" applyAlignment="1">
      <alignment horizontal="center"/>
    </xf>
    <xf numFmtId="17" fontId="0" fillId="9" borderId="4" xfId="0" applyNumberFormat="1" applyFill="1" applyBorder="1"/>
    <xf numFmtId="44" fontId="0" fillId="9" borderId="47" xfId="2" applyFont="1" applyFill="1" applyBorder="1" applyProtection="1"/>
    <xf numFmtId="44" fontId="0" fillId="9" borderId="4" xfId="2" applyFont="1" applyFill="1" applyBorder="1" applyProtection="1"/>
    <xf numFmtId="0" fontId="25" fillId="0" borderId="29" xfId="0" quotePrefix="1" applyFont="1" applyBorder="1" applyAlignment="1">
      <alignment horizontal="left"/>
    </xf>
    <xf numFmtId="0" fontId="25" fillId="0" borderId="42" xfId="0" quotePrefix="1" applyFont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0" fillId="0" borderId="22" xfId="0" applyBorder="1"/>
    <xf numFmtId="0" fontId="17" fillId="0" borderId="23" xfId="0" applyFont="1" applyBorder="1" applyAlignment="1">
      <alignment horizontal="center"/>
    </xf>
    <xf numFmtId="0" fontId="0" fillId="0" borderId="39" xfId="0" applyBorder="1"/>
    <xf numFmtId="0" fontId="20" fillId="0" borderId="41" xfId="0" applyFont="1" applyBorder="1" applyAlignment="1">
      <alignment horizontal="center"/>
    </xf>
    <xf numFmtId="0" fontId="17" fillId="0" borderId="40" xfId="0" quotePrefix="1" applyFont="1" applyFill="1" applyBorder="1" applyAlignment="1">
      <alignment horizontal="center"/>
    </xf>
    <xf numFmtId="0" fontId="17" fillId="0" borderId="41" xfId="0" applyFont="1" applyFill="1" applyBorder="1" applyAlignment="1">
      <alignment horizontal="center"/>
    </xf>
    <xf numFmtId="0" fontId="17" fillId="0" borderId="41" xfId="0" applyFont="1" applyFill="1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/>
    <xf numFmtId="0" fontId="41" fillId="0" borderId="40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2" fillId="0" borderId="0" xfId="0" applyFont="1"/>
    <xf numFmtId="0" fontId="42" fillId="0" borderId="0" xfId="0" quotePrefix="1" applyFont="1" applyAlignment="1">
      <alignment horizontal="left"/>
    </xf>
    <xf numFmtId="0" fontId="43" fillId="0" borderId="0" xfId="0" quotePrefix="1" applyFont="1" applyAlignment="1">
      <alignment horizontal="left"/>
    </xf>
    <xf numFmtId="0" fontId="44" fillId="0" borderId="0" xfId="0" applyFont="1"/>
    <xf numFmtId="0" fontId="42" fillId="0" borderId="0" xfId="0" quotePrefix="1" applyFont="1" applyAlignment="1">
      <alignment horizontal="center"/>
    </xf>
    <xf numFmtId="0" fontId="33" fillId="0" borderId="0" xfId="0" applyFont="1" applyFill="1" applyBorder="1" applyAlignment="1">
      <alignment horizontal="center"/>
    </xf>
    <xf numFmtId="10" fontId="7" fillId="16" borderId="0" xfId="4" applyNumberFormat="1" applyFont="1" applyFill="1"/>
    <xf numFmtId="9" fontId="7" fillId="16" borderId="0" xfId="4" applyNumberFormat="1" applyFont="1" applyFill="1"/>
    <xf numFmtId="44" fontId="7" fillId="16" borderId="0" xfId="2" applyFont="1" applyFill="1"/>
    <xf numFmtId="173" fontId="7" fillId="16" borderId="0" xfId="0" applyNumberFormat="1" applyFont="1" applyFill="1" applyBorder="1"/>
    <xf numFmtId="0" fontId="0" fillId="0" borderId="41" xfId="0" applyBorder="1"/>
    <xf numFmtId="0" fontId="20" fillId="9" borderId="14" xfId="0" applyFont="1" applyFill="1" applyBorder="1" applyAlignment="1">
      <alignment horizontal="center"/>
    </xf>
    <xf numFmtId="178" fontId="21" fillId="0" borderId="46" xfId="1" applyNumberFormat="1" applyFont="1" applyFill="1" applyBorder="1" applyAlignment="1">
      <alignment horizontal="center"/>
    </xf>
    <xf numFmtId="0" fontId="17" fillId="9" borderId="46" xfId="0" quotePrefix="1" applyFont="1" applyFill="1" applyBorder="1" applyAlignment="1">
      <alignment horizontal="center"/>
    </xf>
    <xf numFmtId="0" fontId="0" fillId="9" borderId="35" xfId="0" applyFill="1" applyBorder="1" applyProtection="1"/>
    <xf numFmtId="0" fontId="17" fillId="9" borderId="46" xfId="0" applyFont="1" applyFill="1" applyBorder="1"/>
    <xf numFmtId="212" fontId="9" fillId="9" borderId="0" xfId="0" applyNumberFormat="1" applyFont="1" applyFill="1" applyBorder="1" applyProtection="1">
      <protection locked="0"/>
    </xf>
    <xf numFmtId="0" fontId="0" fillId="9" borderId="0" xfId="0" applyFill="1" applyBorder="1"/>
    <xf numFmtId="212" fontId="9" fillId="9" borderId="48" xfId="0" quotePrefix="1" applyNumberFormat="1" applyFont="1" applyFill="1" applyBorder="1" applyAlignment="1" applyProtection="1">
      <alignment horizontal="center"/>
    </xf>
    <xf numFmtId="212" fontId="9" fillId="9" borderId="48" xfId="0" applyNumberFormat="1" applyFont="1" applyFill="1" applyBorder="1" applyAlignment="1" applyProtection="1">
      <alignment horizontal="center"/>
    </xf>
    <xf numFmtId="3" fontId="0" fillId="0" borderId="29" xfId="0" applyNumberFormat="1" applyFill="1" applyBorder="1" applyAlignment="1">
      <alignment horizontal="center"/>
    </xf>
    <xf numFmtId="0" fontId="0" fillId="9" borderId="4" xfId="0" applyNumberFormat="1" applyFill="1" applyBorder="1" applyAlignment="1">
      <alignment horizontal="center"/>
    </xf>
    <xf numFmtId="324" fontId="0" fillId="0" borderId="0" xfId="2" applyNumberFormat="1" applyFont="1"/>
    <xf numFmtId="0" fontId="17" fillId="11" borderId="40" xfId="0" applyFont="1" applyFill="1" applyBorder="1" applyAlignment="1">
      <alignment horizontal="center"/>
    </xf>
    <xf numFmtId="2" fontId="33" fillId="11" borderId="40" xfId="2" applyNumberFormat="1" applyFont="1" applyFill="1" applyBorder="1" applyAlignment="1">
      <alignment horizontal="right"/>
    </xf>
    <xf numFmtId="0" fontId="0" fillId="0" borderId="40" xfId="0" applyBorder="1"/>
    <xf numFmtId="0" fontId="17" fillId="11" borderId="22" xfId="0" applyFont="1" applyFill="1" applyBorder="1" applyAlignment="1">
      <alignment horizontal="center"/>
    </xf>
    <xf numFmtId="0" fontId="17" fillId="11" borderId="39" xfId="0" applyFont="1" applyFill="1" applyBorder="1" applyAlignment="1">
      <alignment horizontal="center"/>
    </xf>
    <xf numFmtId="0" fontId="17" fillId="11" borderId="41" xfId="0" applyFont="1" applyFill="1" applyBorder="1" applyAlignment="1">
      <alignment horizontal="center"/>
    </xf>
    <xf numFmtId="0" fontId="17" fillId="13" borderId="0" xfId="0" quotePrefix="1" applyFont="1" applyFill="1" applyAlignment="1">
      <alignment horizontal="center"/>
    </xf>
    <xf numFmtId="0" fontId="36" fillId="9" borderId="0" xfId="0" applyFont="1" applyFill="1" applyAlignment="1">
      <alignment horizontal="center"/>
    </xf>
    <xf numFmtId="0" fontId="17" fillId="9" borderId="0" xfId="0" quotePrefix="1" applyFont="1" applyFill="1" applyAlignment="1">
      <alignment horizontal="center"/>
    </xf>
    <xf numFmtId="283" fontId="0" fillId="9" borderId="0" xfId="2" applyNumberFormat="1" applyFont="1" applyFill="1"/>
    <xf numFmtId="178" fontId="33" fillId="9" borderId="0" xfId="1" applyNumberFormat="1" applyFont="1" applyFill="1"/>
    <xf numFmtId="283" fontId="0" fillId="14" borderId="0" xfId="2" applyNumberFormat="1" applyFont="1" applyFill="1"/>
    <xf numFmtId="324" fontId="33" fillId="9" borderId="4" xfId="2" applyNumberFormat="1" applyFont="1" applyFill="1" applyBorder="1" applyAlignment="1">
      <alignment horizontal="center"/>
    </xf>
    <xf numFmtId="0" fontId="44" fillId="0" borderId="0" xfId="0" quotePrefix="1" applyFont="1" applyAlignment="1">
      <alignment horizontal="left"/>
    </xf>
    <xf numFmtId="44" fontId="33" fillId="11" borderId="0" xfId="2" applyFont="1" applyFill="1"/>
    <xf numFmtId="0" fontId="33" fillId="0" borderId="40" xfId="0" applyFont="1" applyBorder="1"/>
    <xf numFmtId="44" fontId="33" fillId="11" borderId="41" xfId="2" applyFont="1" applyFill="1" applyBorder="1" applyAlignment="1">
      <alignment horizontal="right"/>
    </xf>
    <xf numFmtId="344" fontId="40" fillId="0" borderId="0" xfId="0" quotePrefix="1" applyNumberFormat="1" applyFont="1" applyFill="1" applyBorder="1" applyAlignment="1">
      <alignment horizontal="left"/>
    </xf>
    <xf numFmtId="0" fontId="42" fillId="0" borderId="0" xfId="0" applyFont="1" applyFill="1"/>
    <xf numFmtId="0" fontId="36" fillId="9" borderId="29" xfId="0" applyFont="1" applyFill="1" applyBorder="1" applyAlignment="1">
      <alignment horizontal="center"/>
    </xf>
    <xf numFmtId="0" fontId="34" fillId="0" borderId="40" xfId="0" applyNumberFormat="1" applyFont="1" applyFill="1" applyBorder="1" applyAlignment="1" applyProtection="1">
      <alignment horizontal="center"/>
    </xf>
    <xf numFmtId="0" fontId="34" fillId="0" borderId="41" xfId="0" applyNumberFormat="1" applyFont="1" applyFill="1" applyBorder="1" applyAlignment="1" applyProtection="1">
      <alignment horizontal="center"/>
    </xf>
    <xf numFmtId="0" fontId="33" fillId="0" borderId="0" xfId="0" applyFont="1" applyBorder="1"/>
    <xf numFmtId="174" fontId="35" fillId="19" borderId="42" xfId="0" applyNumberFormat="1" applyFont="1" applyFill="1" applyBorder="1"/>
    <xf numFmtId="174" fontId="35" fillId="19" borderId="43" xfId="0" applyNumberFormat="1" applyFont="1" applyFill="1" applyBorder="1"/>
    <xf numFmtId="174" fontId="35" fillId="19" borderId="44" xfId="0" applyNumberFormat="1" applyFont="1" applyFill="1" applyBorder="1"/>
    <xf numFmtId="0" fontId="16" fillId="0" borderId="0" xfId="0" applyFont="1" applyBorder="1" applyAlignment="1" applyProtection="1">
      <alignment horizontal="centerContinuous"/>
    </xf>
    <xf numFmtId="0" fontId="0" fillId="0" borderId="0" xfId="0" applyBorder="1" applyAlignment="1" applyProtection="1">
      <alignment horizontal="centerContinuous"/>
    </xf>
    <xf numFmtId="0" fontId="0" fillId="0" borderId="0" xfId="0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8" fontId="0" fillId="0" borderId="0" xfId="0" applyNumberFormat="1" applyBorder="1" applyProtection="1"/>
    <xf numFmtId="10" fontId="11" fillId="0" borderId="0" xfId="0" applyNumberFormat="1" applyFont="1" applyBorder="1" applyProtection="1"/>
    <xf numFmtId="9" fontId="11" fillId="0" borderId="0" xfId="0" applyNumberFormat="1" applyFont="1" applyBorder="1" applyProtection="1">
      <protection locked="0"/>
    </xf>
    <xf numFmtId="7" fontId="0" fillId="0" borderId="0" xfId="0" applyNumberFormat="1" applyBorder="1" applyProtection="1"/>
    <xf numFmtId="0" fontId="12" fillId="0" borderId="0" xfId="0" applyFont="1" applyBorder="1" applyAlignment="1" applyProtection="1">
      <alignment horizontal="centerContinuous"/>
    </xf>
    <xf numFmtId="39" fontId="11" fillId="0" borderId="0" xfId="0" applyNumberFormat="1" applyFont="1" applyBorder="1" applyProtection="1">
      <protection locked="0"/>
    </xf>
    <xf numFmtId="0" fontId="12" fillId="0" borderId="5" xfId="0" quotePrefix="1" applyFont="1" applyBorder="1" applyAlignment="1" applyProtection="1">
      <alignment horizontal="left"/>
    </xf>
    <xf numFmtId="0" fontId="0" fillId="9" borderId="0" xfId="0" applyFill="1" applyBorder="1" applyProtection="1"/>
    <xf numFmtId="0" fontId="0" fillId="8" borderId="29" xfId="0" applyFill="1" applyBorder="1"/>
    <xf numFmtId="0" fontId="17" fillId="8" borderId="0" xfId="0" quotePrefix="1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44" fontId="33" fillId="8" borderId="0" xfId="2" applyNumberFormat="1" applyFont="1" applyFill="1"/>
    <xf numFmtId="44" fontId="33" fillId="8" borderId="0" xfId="0" applyNumberFormat="1" applyFont="1" applyFill="1"/>
    <xf numFmtId="0" fontId="7" fillId="11" borderId="0" xfId="0" applyFont="1" applyFill="1" applyBorder="1"/>
    <xf numFmtId="0" fontId="17" fillId="11" borderId="0" xfId="0" quotePrefix="1" applyFont="1" applyFill="1" applyBorder="1" applyAlignment="1">
      <alignment horizontal="center"/>
    </xf>
    <xf numFmtId="0" fontId="17" fillId="11" borderId="0" xfId="0" applyFont="1" applyFill="1" applyBorder="1" applyAlignment="1">
      <alignment horizontal="center"/>
    </xf>
    <xf numFmtId="1" fontId="33" fillId="11" borderId="0" xfId="0" applyNumberFormat="1" applyFont="1" applyFill="1" applyBorder="1"/>
    <xf numFmtId="324" fontId="33" fillId="11" borderId="0" xfId="2" applyNumberFormat="1" applyFont="1" applyFill="1" applyBorder="1"/>
    <xf numFmtId="2" fontId="33" fillId="11" borderId="0" xfId="2" applyNumberFormat="1" applyFont="1" applyFill="1" applyBorder="1" applyAlignment="1">
      <alignment horizontal="right"/>
    </xf>
    <xf numFmtId="44" fontId="33" fillId="11" borderId="0" xfId="2" applyFont="1" applyFill="1" applyBorder="1" applyAlignment="1">
      <alignment horizontal="right"/>
    </xf>
    <xf numFmtId="341" fontId="33" fillId="11" borderId="0" xfId="0" applyNumberFormat="1" applyFont="1" applyFill="1" applyBorder="1"/>
    <xf numFmtId="17" fontId="33" fillId="11" borderId="0" xfId="0" applyNumberFormat="1" applyFont="1" applyFill="1" applyBorder="1"/>
    <xf numFmtId="44" fontId="33" fillId="11" borderId="0" xfId="0" applyNumberFormat="1" applyFont="1" applyFill="1" applyBorder="1" applyAlignment="1">
      <alignment horizontal="right"/>
    </xf>
    <xf numFmtId="283" fontId="33" fillId="20" borderId="0" xfId="2" applyNumberFormat="1" applyFont="1" applyFill="1" applyBorder="1"/>
    <xf numFmtId="0" fontId="17" fillId="20" borderId="40" xfId="0" applyFont="1" applyFill="1" applyBorder="1" applyAlignment="1">
      <alignment horizontal="center"/>
    </xf>
    <xf numFmtId="0" fontId="17" fillId="20" borderId="0" xfId="0" applyFont="1" applyFill="1" applyBorder="1" applyAlignment="1">
      <alignment horizontal="center"/>
    </xf>
    <xf numFmtId="0" fontId="17" fillId="20" borderId="41" xfId="0" applyFont="1" applyFill="1" applyBorder="1" applyAlignment="1">
      <alignment horizontal="center"/>
    </xf>
    <xf numFmtId="283" fontId="33" fillId="20" borderId="40" xfId="2" applyNumberFormat="1" applyFont="1" applyFill="1" applyBorder="1"/>
    <xf numFmtId="283" fontId="33" fillId="20" borderId="41" xfId="2" applyNumberFormat="1" applyFont="1" applyFill="1" applyBorder="1"/>
    <xf numFmtId="44" fontId="0" fillId="8" borderId="29" xfId="2" applyFont="1" applyFill="1" applyBorder="1"/>
    <xf numFmtId="283" fontId="0" fillId="8" borderId="29" xfId="2" applyNumberFormat="1" applyFont="1" applyFill="1" applyBorder="1"/>
    <xf numFmtId="0" fontId="0" fillId="0" borderId="0" xfId="0" applyAlignment="1"/>
    <xf numFmtId="0" fontId="0" fillId="9" borderId="29" xfId="0" applyFill="1" applyBorder="1" applyAlignment="1">
      <alignment horizontal="center"/>
    </xf>
    <xf numFmtId="0" fontId="0" fillId="9" borderId="22" xfId="0" applyFill="1" applyBorder="1"/>
    <xf numFmtId="0" fontId="7" fillId="9" borderId="23" xfId="0" applyFont="1" applyFill="1" applyBorder="1" applyAlignment="1">
      <alignment horizontal="center"/>
    </xf>
    <xf numFmtId="0" fontId="7" fillId="9" borderId="39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30" fillId="0" borderId="46" xfId="0" applyFont="1" applyFill="1" applyBorder="1" applyAlignment="1" applyProtection="1">
      <alignment horizontal="left"/>
    </xf>
    <xf numFmtId="0" fontId="45" fillId="10" borderId="0" xfId="0" applyFont="1" applyFill="1"/>
    <xf numFmtId="0" fontId="0" fillId="0" borderId="29" xfId="0" applyBorder="1" applyAlignment="1">
      <alignment horizontal="center"/>
    </xf>
    <xf numFmtId="0" fontId="14" fillId="0" borderId="49" xfId="0" applyFont="1" applyFill="1" applyBorder="1" applyAlignment="1" applyProtection="1">
      <alignment horizontal="left"/>
    </xf>
    <xf numFmtId="0" fontId="14" fillId="0" borderId="50" xfId="0" applyFont="1" applyFill="1" applyBorder="1" applyAlignment="1" applyProtection="1">
      <alignment horizontal="center"/>
    </xf>
    <xf numFmtId="0" fontId="7" fillId="0" borderId="29" xfId="0" applyFont="1" applyBorder="1"/>
    <xf numFmtId="0" fontId="0" fillId="0" borderId="1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5" fillId="10" borderId="0" xfId="0" applyFont="1" applyFill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1" fontId="34" fillId="18" borderId="0" xfId="0" applyNumberFormat="1" applyFont="1" applyFill="1" applyBorder="1" applyAlignment="1">
      <alignment horizontal="center"/>
    </xf>
    <xf numFmtId="0" fontId="0" fillId="18" borderId="0" xfId="0" applyFill="1"/>
    <xf numFmtId="9" fontId="21" fillId="0" borderId="29" xfId="4" applyFont="1" applyFill="1" applyBorder="1" applyAlignment="1">
      <alignment horizontal="center"/>
    </xf>
    <xf numFmtId="9" fontId="21" fillId="0" borderId="29" xfId="4" quotePrefix="1" applyFont="1" applyFill="1" applyBorder="1" applyAlignment="1">
      <alignment horizontal="center"/>
    </xf>
    <xf numFmtId="9" fontId="21" fillId="0" borderId="29" xfId="4" quotePrefix="1" applyFont="1" applyBorder="1" applyAlignment="1">
      <alignment horizontal="center"/>
    </xf>
    <xf numFmtId="9" fontId="21" fillId="0" borderId="29" xfId="4" applyFont="1" applyBorder="1" applyAlignment="1">
      <alignment horizontal="center"/>
    </xf>
    <xf numFmtId="9" fontId="33" fillId="0" borderId="0" xfId="4" applyFont="1" applyFill="1" applyBorder="1" applyAlignment="1">
      <alignment horizontal="center"/>
    </xf>
    <xf numFmtId="0" fontId="42" fillId="0" borderId="0" xfId="0" quotePrefix="1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horizontal="center"/>
    </xf>
    <xf numFmtId="9" fontId="0" fillId="9" borderId="4" xfId="4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17" fontId="33" fillId="0" borderId="0" xfId="0" applyNumberFormat="1" applyFont="1" applyFill="1"/>
    <xf numFmtId="44" fontId="33" fillId="0" borderId="0" xfId="2" applyNumberFormat="1" applyFont="1" applyFill="1"/>
    <xf numFmtId="173" fontId="33" fillId="0" borderId="0" xfId="0" applyNumberFormat="1" applyFont="1" applyFill="1"/>
    <xf numFmtId="44" fontId="33" fillId="0" borderId="0" xfId="0" applyNumberFormat="1" applyFont="1" applyFill="1"/>
    <xf numFmtId="324" fontId="33" fillId="0" borderId="0" xfId="0" applyNumberFormat="1" applyFont="1" applyFill="1"/>
    <xf numFmtId="324" fontId="0" fillId="0" borderId="0" xfId="2" applyNumberFormat="1" applyFont="1" applyFill="1"/>
    <xf numFmtId="172" fontId="36" fillId="9" borderId="29" xfId="4" applyNumberFormat="1" applyFont="1" applyFill="1" applyBorder="1"/>
    <xf numFmtId="0" fontId="0" fillId="10" borderId="0" xfId="0" applyFill="1"/>
    <xf numFmtId="197" fontId="0" fillId="18" borderId="0" xfId="4" applyNumberFormat="1" applyFont="1" applyFill="1"/>
    <xf numFmtId="0" fontId="29" fillId="0" borderId="0" xfId="0" applyFont="1" applyAlignment="1">
      <alignment horizontal="left"/>
    </xf>
    <xf numFmtId="212" fontId="9" fillId="9" borderId="30" xfId="0" applyNumberFormat="1" applyFont="1" applyFill="1" applyBorder="1" applyAlignment="1" applyProtection="1">
      <alignment horizontal="center"/>
    </xf>
    <xf numFmtId="344" fontId="42" fillId="0" borderId="0" xfId="0" applyNumberFormat="1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36" fillId="9" borderId="14" xfId="0" applyFont="1" applyFill="1" applyBorder="1" applyAlignment="1">
      <alignment horizontal="center"/>
    </xf>
    <xf numFmtId="0" fontId="20" fillId="11" borderId="14" xfId="0" quotePrefix="1" applyFont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36" fillId="20" borderId="14" xfId="0" applyFont="1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45" xfId="0" applyFill="1" applyBorder="1" applyAlignment="1">
      <alignment horizontal="center"/>
    </xf>
    <xf numFmtId="0" fontId="17" fillId="16" borderId="15" xfId="0" applyFont="1" applyFill="1" applyBorder="1" applyAlignment="1">
      <alignment horizontal="center"/>
    </xf>
    <xf numFmtId="0" fontId="0" fillId="0" borderId="15" xfId="0" applyBorder="1" applyAlignment="1"/>
    <xf numFmtId="0" fontId="20" fillId="12" borderId="15" xfId="0" quotePrefix="1" applyFont="1" applyFill="1" applyBorder="1" applyAlignment="1">
      <alignment horizontal="center"/>
    </xf>
    <xf numFmtId="0" fontId="20" fillId="14" borderId="14" xfId="0" applyFont="1" applyFill="1" applyBorder="1" applyAlignment="1">
      <alignment horizontal="center"/>
    </xf>
    <xf numFmtId="0" fontId="20" fillId="8" borderId="14" xfId="0" quotePrefix="1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20" fillId="13" borderId="14" xfId="0" quotePrefix="1" applyFont="1" applyFill="1" applyBorder="1" applyAlignment="1">
      <alignment horizontal="center"/>
    </xf>
    <xf numFmtId="0" fontId="20" fillId="15" borderId="14" xfId="0" applyFont="1" applyFill="1" applyBorder="1" applyAlignment="1">
      <alignment horizontal="center"/>
    </xf>
    <xf numFmtId="0" fontId="36" fillId="11" borderId="14" xfId="0" quotePrefix="1" applyFont="1" applyFill="1" applyBorder="1" applyAlignment="1">
      <alignment horizontal="center"/>
    </xf>
    <xf numFmtId="0" fontId="0" fillId="0" borderId="45" xfId="0" applyBorder="1" applyAlignment="1"/>
    <xf numFmtId="0" fontId="36" fillId="13" borderId="14" xfId="0" applyFont="1" applyFill="1" applyBorder="1" applyAlignment="1">
      <alignment horizontal="center"/>
    </xf>
    <xf numFmtId="0" fontId="35" fillId="10" borderId="0" xfId="0" applyFont="1" applyFill="1" applyBorder="1" applyAlignment="1">
      <alignment horizontal="center"/>
    </xf>
    <xf numFmtId="0" fontId="39" fillId="10" borderId="0" xfId="0" quotePrefix="1" applyFont="1" applyFill="1" applyAlignment="1">
      <alignment horizontal="center"/>
    </xf>
    <xf numFmtId="0" fontId="0" fillId="0" borderId="0" xfId="0" applyAlignment="1"/>
    <xf numFmtId="0" fontId="33" fillId="0" borderId="14" xfId="0" applyFont="1" applyBorder="1" applyAlignment="1">
      <alignment horizontal="center"/>
    </xf>
    <xf numFmtId="212" fontId="34" fillId="0" borderId="14" xfId="0" applyNumberFormat="1" applyFont="1" applyFill="1" applyBorder="1" applyAlignment="1" applyProtection="1">
      <alignment horizontal="center"/>
    </xf>
  </cellXfs>
  <cellStyles count="8">
    <cellStyle name="Comma" xfId="1" builtinId="3"/>
    <cellStyle name="Currency" xfId="2" builtinId="4"/>
    <cellStyle name="Normal" xfId="0" builtinId="0"/>
    <cellStyle name="Normal_June Options 97" xfId="3"/>
    <cellStyle name="Percent" xfId="4" builtinId="5"/>
    <cellStyle name="Unprot" xfId="5"/>
    <cellStyle name="Unprot$" xfId="6"/>
    <cellStyle name="Unprotec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Drop" dropLines="23" dropStyle="combo" dx="26" fmlaLink="'Power Curves'!$DS$18" fmlaRange="'Power Curves'!$DR$19:$DR$47" sel="3" val="6"/>
</file>

<file path=xl/ctrlProps/ctrlProp2.xml><?xml version="1.0" encoding="utf-8"?>
<formControlPr xmlns="http://schemas.microsoft.com/office/spreadsheetml/2009/9/main" objectType="Drop" dropLines="15" dropStyle="combo" dx="26" fmlaLink="'Power Curves'!$DV$13" fmlaRange="'Power Curves'!$DU$14:$DU$28" sel="2" val="0"/>
</file>

<file path=xl/ctrlProps/ctrlProp3.xml><?xml version="1.0" encoding="utf-8"?>
<formControlPr xmlns="http://schemas.microsoft.com/office/spreadsheetml/2009/9/main" objectType="Drop" dropLines="10" dropStyle="combo" dx="26" fmlaLink="'Gas Curves'!$CO$2" fmlaRange="'Gas Curves'!$CL$3:$CL$17" sel="6" val="5"/>
</file>

<file path=xl/ctrlProps/ctrlProp4.xml><?xml version="1.0" encoding="utf-8"?>
<formControlPr xmlns="http://schemas.microsoft.com/office/spreadsheetml/2009/9/main" objectType="Drop" dropLines="10" dropStyle="combo" dx="26" fmlaLink="'Gas Curves'!$BX$1" fmlaRange="'Gas Curves'!$BQ$2:$BQ$409" sel="348" val="0"/>
</file>

<file path=xl/ctrlProps/ctrlProp5.xml><?xml version="1.0" encoding="utf-8"?>
<formControlPr xmlns="http://schemas.microsoft.com/office/spreadsheetml/2009/9/main" objectType="Drop" dropLines="10" dropStyle="combo" dx="26" fmlaLink="'Gas Curves'!$CH$1" fmlaRange="'Gas Curves'!$BQ$2:$BQ$415" sel="408" val="404"/>
</file>

<file path=xl/ctrlProps/ctrlProp6.xml><?xml version="1.0" encoding="utf-8"?>
<formControlPr xmlns="http://schemas.microsoft.com/office/spreadsheetml/2009/9/main" objectType="Drop" dropStyle="combo" dx="26" fmlaLink="'Pricing Inputs'!$AQ$3" fmlaRange="'Pricing Inputs'!$AR$4:$AR$12" noThreeD="1" sel="7"/>
</file>

<file path=xl/ctrlProps/ctrlProp7.xml><?xml version="1.0" encoding="utf-8"?>
<formControlPr xmlns="http://schemas.microsoft.com/office/spreadsheetml/2009/9/main" objectType="CheckBox" checked="Checked" fmlaLink="'Pricing Inputs'!$AX$10" lockText="1" noThreeD="1"/>
</file>

<file path=xl/ctrlProps/ctrlProp8.xml><?xml version="1.0" encoding="utf-8"?>
<formControlPr xmlns="http://schemas.microsoft.com/office/spreadsheetml/2009/9/main" objectType="Drop" dropStyle="combo" dx="26" fmlaLink="'Pricing Inputs'!$AN$3" fmlaRange="'Pricing Inputs'!$AO$4:$AO$6" noThreeD="1" sel="1" val="0"/>
</file>

<file path=xl/ctrlProps/ctrlProp9.xml><?xml version="1.0" encoding="utf-8"?>
<formControlPr xmlns="http://schemas.microsoft.com/office/spreadsheetml/2009/9/main" objectType="Drop" dropStyle="combo" dx="26" fmlaLink="'Pricing Inputs'!$AW$3" fmlaRange="'Pricing Inputs'!$AX$4:$AX$5" noThreeD="1" sel="2" val="0"/>
</file>

<file path=xl/ctrlProps/ctrlProp10.xml><?xml version="1.0" encoding="utf-8"?>
<formControlPr xmlns="http://schemas.microsoft.com/office/spreadsheetml/2009/9/main" objectType="Drop" dropStyle="combo" dx="26" fmlaLink="'Pricing Inputs'!$AT$3" fmlaRange="'Pricing Inputs'!$AU$4:$AU$6" noThreeD="1" sel="2" val="0"/>
</file>

<file path=xl/ctrlProps/ctrlProp11.xml><?xml version="1.0" encoding="utf-8"?>
<formControlPr xmlns="http://schemas.microsoft.com/office/spreadsheetml/2009/9/main" objectType="Drop" dropStyle="combo" dx="26" fmlaLink="'Pricing Inputs'!$AN$8" fmlaRange="'Pricing Inputs'!$AO$9:$AO$10" noThreeD="1" sel="1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CheckBox" fmlaLink="'Pricing Inputs'!$AX$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205740</xdr:colOff>
          <xdr:row>1</xdr:row>
          <xdr:rowOff>152400</xdr:rowOff>
        </xdr:from>
        <xdr:to>
          <xdr:col>3</xdr:col>
          <xdr:colOff>601980</xdr:colOff>
          <xdr:row>2</xdr:row>
          <xdr:rowOff>182880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7620</xdr:rowOff>
        </xdr:from>
        <xdr:to>
          <xdr:col>3</xdr:col>
          <xdr:colOff>601980</xdr:colOff>
          <xdr:row>4</xdr:row>
          <xdr:rowOff>30480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5</xdr:row>
          <xdr:rowOff>30480</xdr:rowOff>
        </xdr:from>
        <xdr:to>
          <xdr:col>3</xdr:col>
          <xdr:colOff>594360</xdr:colOff>
          <xdr:row>6</xdr:row>
          <xdr:rowOff>38100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6</xdr:row>
          <xdr:rowOff>198120</xdr:rowOff>
        </xdr:from>
        <xdr:to>
          <xdr:col>3</xdr:col>
          <xdr:colOff>601980</xdr:colOff>
          <xdr:row>8</xdr:row>
          <xdr:rowOff>30480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8</xdr:row>
          <xdr:rowOff>30480</xdr:rowOff>
        </xdr:from>
        <xdr:to>
          <xdr:col>3</xdr:col>
          <xdr:colOff>594360</xdr:colOff>
          <xdr:row>9</xdr:row>
          <xdr:rowOff>45720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10</xdr:row>
          <xdr:rowOff>7620</xdr:rowOff>
        </xdr:from>
        <xdr:to>
          <xdr:col>11</xdr:col>
          <xdr:colOff>0</xdr:colOff>
          <xdr:row>11</xdr:row>
          <xdr:rowOff>38100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9</xdr:row>
          <xdr:rowOff>45720</xdr:rowOff>
        </xdr:from>
        <xdr:to>
          <xdr:col>3</xdr:col>
          <xdr:colOff>342900</xdr:colOff>
          <xdr:row>10</xdr:row>
          <xdr:rowOff>106680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Gas Basis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0</xdr:rowOff>
        </xdr:from>
        <xdr:to>
          <xdr:col>10</xdr:col>
          <xdr:colOff>723900</xdr:colOff>
          <xdr:row>14</xdr:row>
          <xdr:rowOff>30480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7620</xdr:rowOff>
        </xdr:from>
        <xdr:to>
          <xdr:col>10</xdr:col>
          <xdr:colOff>708660</xdr:colOff>
          <xdr:row>17</xdr:row>
          <xdr:rowOff>45720</xdr:rowOff>
        </xdr:to>
        <xdr:sp macro="" textlink="">
          <xdr:nvSpPr>
            <xdr:cNvPr id="4108" name="Drop Dow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19</xdr:row>
          <xdr:rowOff>7620</xdr:rowOff>
        </xdr:from>
        <xdr:to>
          <xdr:col>11</xdr:col>
          <xdr:colOff>0</xdr:colOff>
          <xdr:row>20</xdr:row>
          <xdr:rowOff>45720</xdr:rowOff>
        </xdr:to>
        <xdr:sp macro="" textlink="">
          <xdr:nvSpPr>
            <xdr:cNvPr id="4110" name="Drop Dow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22</xdr:row>
          <xdr:rowOff>0</xdr:rowOff>
        </xdr:from>
        <xdr:to>
          <xdr:col>11</xdr:col>
          <xdr:colOff>0</xdr:colOff>
          <xdr:row>23</xdr:row>
          <xdr:rowOff>30480</xdr:rowOff>
        </xdr:to>
        <xdr:sp macro="" textlink="">
          <xdr:nvSpPr>
            <xdr:cNvPr id="4111" name="Drop Down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556260</xdr:colOff>
      <xdr:row>23</xdr:row>
      <xdr:rowOff>45720</xdr:rowOff>
    </xdr:from>
    <xdr:to>
      <xdr:col>9</xdr:col>
      <xdr:colOff>106680</xdr:colOff>
      <xdr:row>25</xdr:row>
      <xdr:rowOff>38100</xdr:rowOff>
    </xdr:to>
    <xdr:sp macro="" textlink="">
      <xdr:nvSpPr>
        <xdr:cNvPr id="4112" name="Line 16"/>
        <xdr:cNvSpPr>
          <a:spLocks noChangeShapeType="1"/>
        </xdr:cNvSpPr>
      </xdr:nvSpPr>
      <xdr:spPr bwMode="auto">
        <a:xfrm flipV="1">
          <a:off x="6926580" y="4061460"/>
          <a:ext cx="10668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24</xdr:row>
      <xdr:rowOff>68580</xdr:rowOff>
    </xdr:from>
    <xdr:to>
      <xdr:col>4</xdr:col>
      <xdr:colOff>563880</xdr:colOff>
      <xdr:row>25</xdr:row>
      <xdr:rowOff>99060</xdr:rowOff>
    </xdr:to>
    <xdr:sp macro="" textlink="">
      <xdr:nvSpPr>
        <xdr:cNvPr id="4113" name="Freeform 17"/>
        <xdr:cNvSpPr>
          <a:spLocks/>
        </xdr:cNvSpPr>
      </xdr:nvSpPr>
      <xdr:spPr bwMode="auto">
        <a:xfrm>
          <a:off x="3307080" y="4259580"/>
          <a:ext cx="487680" cy="205740"/>
        </a:xfrm>
        <a:custGeom>
          <a:avLst/>
          <a:gdLst>
            <a:gd name="T0" fmla="*/ 15 w 50"/>
            <a:gd name="T1" fmla="*/ 21 h 21"/>
            <a:gd name="T2" fmla="*/ 6 w 50"/>
            <a:gd name="T3" fmla="*/ 3 h 21"/>
            <a:gd name="T4" fmla="*/ 50 w 50"/>
            <a:gd name="T5" fmla="*/ 1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0" h="21">
              <a:moveTo>
                <a:pt x="15" y="21"/>
              </a:moveTo>
              <a:cubicBezTo>
                <a:pt x="7" y="13"/>
                <a:pt x="0" y="6"/>
                <a:pt x="6" y="3"/>
              </a:cubicBezTo>
              <a:cubicBezTo>
                <a:pt x="12" y="0"/>
                <a:pt x="43" y="1"/>
                <a:pt x="5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525780</xdr:colOff>
      <xdr:row>24</xdr:row>
      <xdr:rowOff>91440</xdr:rowOff>
    </xdr:from>
    <xdr:to>
      <xdr:col>4</xdr:col>
      <xdr:colOff>632460</xdr:colOff>
      <xdr:row>24</xdr:row>
      <xdr:rowOff>91440</xdr:rowOff>
    </xdr:to>
    <xdr:sp macro="" textlink="">
      <xdr:nvSpPr>
        <xdr:cNvPr id="4114" name="Line 18"/>
        <xdr:cNvSpPr>
          <a:spLocks noChangeShapeType="1"/>
        </xdr:cNvSpPr>
      </xdr:nvSpPr>
      <xdr:spPr bwMode="auto">
        <a:xfrm>
          <a:off x="3756660" y="4282440"/>
          <a:ext cx="106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281940</xdr:colOff>
          <xdr:row>0</xdr:row>
          <xdr:rowOff>76200</xdr:rowOff>
        </xdr:from>
        <xdr:to>
          <xdr:col>2</xdr:col>
          <xdr:colOff>701040</xdr:colOff>
          <xdr:row>1</xdr:row>
          <xdr:rowOff>106680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Curve 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99060</xdr:colOff>
          <xdr:row>0</xdr:row>
          <xdr:rowOff>45720</xdr:rowOff>
        </xdr:from>
        <xdr:to>
          <xdr:col>5</xdr:col>
          <xdr:colOff>548640</xdr:colOff>
          <xdr:row>2</xdr:row>
          <xdr:rowOff>76200</xdr:rowOff>
        </xdr:to>
        <xdr:sp macro="" textlink="">
          <xdr:nvSpPr>
            <xdr:cNvPr id="4116" name="Button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Gas Curve Pull/Refresh</a:t>
              </a:r>
            </a:p>
            <a:p>
              <a:pPr algn="ctr" rtl="0">
                <a:defRPr sz="1000"/>
              </a:pPr>
              <a:endPara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1036320</xdr:colOff>
          <xdr:row>24</xdr:row>
          <xdr:rowOff>137160</xdr:rowOff>
        </xdr:from>
        <xdr:to>
          <xdr:col>2</xdr:col>
          <xdr:colOff>243840</xdr:colOff>
          <xdr:row>26</xdr:row>
          <xdr:rowOff>22860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Vol Smile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33</xdr:row>
      <xdr:rowOff>68580</xdr:rowOff>
    </xdr:from>
    <xdr:to>
      <xdr:col>13</xdr:col>
      <xdr:colOff>0</xdr:colOff>
      <xdr:row>35</xdr:row>
      <xdr:rowOff>106680</xdr:rowOff>
    </xdr:to>
    <xdr:sp macro="" textlink="">
      <xdr:nvSpPr>
        <xdr:cNvPr id="6147" name="Freeform 3"/>
        <xdr:cNvSpPr>
          <a:spLocks/>
        </xdr:cNvSpPr>
      </xdr:nvSpPr>
      <xdr:spPr bwMode="auto">
        <a:xfrm>
          <a:off x="7764780" y="5615940"/>
          <a:ext cx="411480" cy="381000"/>
        </a:xfrm>
        <a:custGeom>
          <a:avLst/>
          <a:gdLst>
            <a:gd name="T0" fmla="*/ 47 w 47"/>
            <a:gd name="T1" fmla="*/ 0 h 38"/>
            <a:gd name="T2" fmla="*/ 4 w 47"/>
            <a:gd name="T3" fmla="*/ 11 h 38"/>
            <a:gd name="T4" fmla="*/ 23 w 47"/>
            <a:gd name="T5" fmla="*/ 23 h 38"/>
            <a:gd name="T6" fmla="*/ 12 w 47"/>
            <a:gd name="T7" fmla="*/ 30 h 38"/>
            <a:gd name="T8" fmla="*/ 11 w 47"/>
            <a:gd name="T9" fmla="*/ 38 h 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7" h="38">
              <a:moveTo>
                <a:pt x="47" y="0"/>
              </a:moveTo>
              <a:cubicBezTo>
                <a:pt x="27" y="3"/>
                <a:pt x="8" y="7"/>
                <a:pt x="4" y="11"/>
              </a:cubicBezTo>
              <a:cubicBezTo>
                <a:pt x="0" y="15"/>
                <a:pt x="22" y="20"/>
                <a:pt x="23" y="23"/>
              </a:cubicBezTo>
              <a:cubicBezTo>
                <a:pt x="24" y="26"/>
                <a:pt x="14" y="27"/>
                <a:pt x="12" y="30"/>
              </a:cubicBezTo>
              <a:cubicBezTo>
                <a:pt x="10" y="33"/>
                <a:pt x="11" y="37"/>
                <a:pt x="11" y="3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35</xdr:row>
      <xdr:rowOff>60960</xdr:rowOff>
    </xdr:from>
    <xdr:to>
      <xdr:col>12</xdr:col>
      <xdr:colOff>304800</xdr:colOff>
      <xdr:row>35</xdr:row>
      <xdr:rowOff>160020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7871460" y="5951220"/>
          <a:ext cx="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OPSw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controls sheet"/>
      <sheetName val="Inputs"/>
      <sheetName val="Nevada Assets Summary"/>
      <sheetName val="C1"/>
      <sheetName val="C2"/>
      <sheetName val="C3"/>
      <sheetName val="C4"/>
      <sheetName val="C5"/>
      <sheetName val="C6"/>
      <sheetName val="S1"/>
      <sheetName val="S2"/>
      <sheetName val="S3"/>
      <sheetName val="HA1"/>
      <sheetName val="Heat_Rate_Table"/>
      <sheetName val="CURVES"/>
      <sheetName val="CURVE_LOOKUP"/>
      <sheetName val="Gas_Basis"/>
      <sheetName val="POPSwap"/>
    </sheetNames>
    <definedNames>
      <definedName name="BasisCurveFetch"/>
    </defined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64"/>
  <sheetViews>
    <sheetView zoomScale="80" workbookViewId="0">
      <selection activeCell="F38" sqref="F38"/>
    </sheetView>
  </sheetViews>
  <sheetFormatPr defaultRowHeight="13.2"/>
  <cols>
    <col min="1" max="1" width="15.5546875" customWidth="1"/>
    <col min="2" max="2" width="10.88671875" customWidth="1"/>
    <col min="3" max="3" width="11.33203125" customWidth="1"/>
    <col min="4" max="4" width="9.33203125" customWidth="1"/>
    <col min="5" max="5" width="10.109375" customWidth="1"/>
    <col min="6" max="6" width="16.44140625" customWidth="1"/>
    <col min="7" max="7" width="9.88671875" customWidth="1"/>
    <col min="8" max="8" width="12.44140625" bestFit="1" customWidth="1"/>
    <col min="9" max="9" width="5" customWidth="1"/>
    <col min="10" max="10" width="14.33203125" customWidth="1"/>
    <col min="11" max="11" width="10.6640625" bestFit="1" customWidth="1"/>
    <col min="16" max="17" width="1" hidden="1" customWidth="1"/>
    <col min="19" max="19" width="9.88671875" bestFit="1" customWidth="1"/>
    <col min="20" max="20" width="12.109375" bestFit="1" customWidth="1"/>
    <col min="21" max="21" width="6.6640625" customWidth="1"/>
    <col min="22" max="22" width="9.88671875" bestFit="1" customWidth="1"/>
    <col min="23" max="23" width="12.109375" bestFit="1" customWidth="1"/>
    <col min="24" max="24" width="3.6640625" bestFit="1" customWidth="1"/>
    <col min="25" max="25" width="9.88671875" bestFit="1" customWidth="1"/>
    <col min="26" max="26" width="12.109375" bestFit="1" customWidth="1"/>
    <col min="27" max="27" width="4.109375" bestFit="1" customWidth="1"/>
  </cols>
  <sheetData>
    <row r="1" spans="1:27" ht="13.8" thickBot="1">
      <c r="A1" s="161" t="s">
        <v>0</v>
      </c>
      <c r="B1" s="162"/>
      <c r="C1" s="162"/>
      <c r="D1" s="163">
        <f ca="1">TODAY()</f>
        <v>36902</v>
      </c>
      <c r="G1" s="109" t="s">
        <v>158</v>
      </c>
      <c r="H1" s="1"/>
      <c r="K1" t="s">
        <v>1231</v>
      </c>
    </row>
    <row r="2" spans="1:27" ht="13.8" thickBot="1">
      <c r="A2" s="164" t="s">
        <v>1</v>
      </c>
      <c r="B2" s="150"/>
      <c r="C2" s="150"/>
      <c r="D2" s="165">
        <f ca="1">DateToday-1-IF(WEEKDAY(DateToday)&lt;3,WEEKDAY(DateToday),0)</f>
        <v>36901</v>
      </c>
      <c r="G2" s="1" t="s">
        <v>159</v>
      </c>
      <c r="H2" s="324">
        <v>0.5</v>
      </c>
      <c r="J2" s="242" t="s">
        <v>1232</v>
      </c>
      <c r="K2" s="323">
        <v>36892</v>
      </c>
    </row>
    <row r="3" spans="1:27" ht="15.75" customHeight="1" thickBot="1">
      <c r="A3" s="166" t="s">
        <v>2</v>
      </c>
      <c r="B3" s="357"/>
      <c r="C3" s="401"/>
      <c r="D3" s="355"/>
      <c r="G3" s="1" t="s">
        <v>160</v>
      </c>
      <c r="H3" s="325">
        <v>0.5</v>
      </c>
      <c r="J3" s="242" t="s">
        <v>1233</v>
      </c>
      <c r="K3" s="323">
        <v>36950</v>
      </c>
    </row>
    <row r="4" spans="1:27" ht="14.25" customHeight="1" thickBot="1">
      <c r="A4" s="167" t="s">
        <v>1223</v>
      </c>
      <c r="B4" s="358"/>
      <c r="C4" s="3"/>
      <c r="D4" s="355"/>
      <c r="F4" s="177" t="s">
        <v>1236</v>
      </c>
      <c r="K4" s="298" t="s">
        <v>1370</v>
      </c>
    </row>
    <row r="5" spans="1:27" ht="14.25" customHeight="1" thickBot="1">
      <c r="A5" s="164" t="s">
        <v>3</v>
      </c>
      <c r="B5" s="149"/>
      <c r="C5" s="150"/>
      <c r="D5" s="165">
        <f ca="1">CurveDate</f>
        <v>36901</v>
      </c>
      <c r="F5" s="178">
        <v>2.5</v>
      </c>
      <c r="K5" s="321">
        <f>(K3-K2)/365</f>
        <v>0.15890410958904111</v>
      </c>
    </row>
    <row r="6" spans="1:27" ht="15" customHeight="1">
      <c r="A6" s="168" t="s">
        <v>1224</v>
      </c>
      <c r="B6" s="149"/>
      <c r="C6" s="149"/>
      <c r="D6" s="169"/>
      <c r="F6" s="206" t="s">
        <v>1406</v>
      </c>
      <c r="J6" s="342" t="s">
        <v>1449</v>
      </c>
      <c r="K6" s="341"/>
      <c r="L6" s="341"/>
      <c r="M6" s="341"/>
      <c r="N6" s="341"/>
      <c r="O6" s="341"/>
      <c r="P6" s="341"/>
      <c r="Q6" s="341"/>
      <c r="R6" s="341"/>
      <c r="S6" s="341"/>
    </row>
    <row r="7" spans="1:27" ht="14.25" customHeight="1">
      <c r="A7" s="170" t="s">
        <v>1201</v>
      </c>
      <c r="B7" s="150"/>
      <c r="C7" s="150"/>
      <c r="D7" s="165">
        <f ca="1">CurveDate</f>
        <v>36901</v>
      </c>
      <c r="F7" s="461">
        <v>0</v>
      </c>
      <c r="G7" s="317" t="s">
        <v>1407</v>
      </c>
      <c r="J7" s="342" t="s">
        <v>1419</v>
      </c>
      <c r="W7" s="434" t="s">
        <v>1435</v>
      </c>
    </row>
    <row r="8" spans="1:27" ht="13.5" customHeight="1">
      <c r="A8" s="277" t="s">
        <v>1334</v>
      </c>
      <c r="B8" s="150"/>
      <c r="C8" s="150"/>
      <c r="D8" s="165"/>
      <c r="F8" s="298" t="s">
        <v>1363</v>
      </c>
      <c r="J8" s="342" t="s">
        <v>1439</v>
      </c>
      <c r="W8" s="434" t="s">
        <v>1436</v>
      </c>
    </row>
    <row r="9" spans="1:27" ht="14.25" customHeight="1">
      <c r="A9" s="277" t="s">
        <v>1335</v>
      </c>
      <c r="B9" s="150"/>
      <c r="C9" s="150"/>
      <c r="D9" s="165"/>
      <c r="F9" s="297">
        <v>0</v>
      </c>
      <c r="J9" s="342" t="s">
        <v>1378</v>
      </c>
      <c r="R9" s="467" t="s">
        <v>1434</v>
      </c>
      <c r="S9" s="468"/>
      <c r="T9" s="468"/>
      <c r="U9" s="468"/>
      <c r="V9" s="468"/>
      <c r="W9" s="468"/>
      <c r="X9" s="468"/>
      <c r="Y9" s="468"/>
      <c r="Z9" s="468"/>
      <c r="AA9" s="469"/>
    </row>
    <row r="10" spans="1:27">
      <c r="A10" s="171"/>
      <c r="B10" s="150"/>
      <c r="C10" s="150"/>
      <c r="D10" s="165"/>
      <c r="J10" s="194" t="s">
        <v>1259</v>
      </c>
      <c r="R10" s="427"/>
      <c r="S10" s="428" t="s">
        <v>1267</v>
      </c>
      <c r="T10" s="428" t="s">
        <v>1267</v>
      </c>
      <c r="U10" s="428" t="s">
        <v>1267</v>
      </c>
      <c r="V10" s="428" t="s">
        <v>1253</v>
      </c>
      <c r="W10" s="428" t="s">
        <v>1253</v>
      </c>
      <c r="X10" s="428" t="s">
        <v>1253</v>
      </c>
      <c r="Y10" s="428" t="s">
        <v>1254</v>
      </c>
      <c r="Z10" s="428" t="s">
        <v>1254</v>
      </c>
      <c r="AA10" s="429" t="s">
        <v>1254</v>
      </c>
    </row>
    <row r="11" spans="1:27" ht="13.8" thickBot="1">
      <c r="A11" s="172"/>
      <c r="B11" s="173"/>
      <c r="C11" s="173"/>
      <c r="D11" s="174"/>
      <c r="L11" s="342"/>
      <c r="R11" s="430" t="s">
        <v>9</v>
      </c>
      <c r="S11" s="431" t="s">
        <v>1250</v>
      </c>
      <c r="T11" s="431" t="s">
        <v>1268</v>
      </c>
      <c r="U11" s="431" t="s">
        <v>1269</v>
      </c>
      <c r="V11" s="431" t="s">
        <v>1250</v>
      </c>
      <c r="W11" s="431" t="s">
        <v>1268</v>
      </c>
      <c r="X11" s="431" t="s">
        <v>1269</v>
      </c>
      <c r="Y11" s="431" t="s">
        <v>1250</v>
      </c>
      <c r="Z11" s="431" t="s">
        <v>1268</v>
      </c>
      <c r="AA11" s="432" t="s">
        <v>1269</v>
      </c>
    </row>
    <row r="12" spans="1:27" ht="13.8" thickBot="1">
      <c r="A12" s="159"/>
      <c r="B12" s="359" t="s">
        <v>1386</v>
      </c>
      <c r="C12" s="360" t="s">
        <v>1387</v>
      </c>
      <c r="D12" s="160"/>
      <c r="F12" s="298" t="s">
        <v>1432</v>
      </c>
      <c r="G12" s="319" t="s">
        <v>1391</v>
      </c>
      <c r="R12" s="426">
        <v>1</v>
      </c>
      <c r="S12" s="442">
        <v>1</v>
      </c>
      <c r="T12" s="435">
        <v>1</v>
      </c>
      <c r="U12" s="442">
        <v>1</v>
      </c>
      <c r="V12" s="435">
        <v>1</v>
      </c>
      <c r="W12" s="442">
        <v>1</v>
      </c>
      <c r="X12" s="435">
        <v>1</v>
      </c>
      <c r="Y12" s="442">
        <v>1</v>
      </c>
      <c r="Z12" s="443">
        <v>1</v>
      </c>
      <c r="AA12" s="442">
        <v>1</v>
      </c>
    </row>
    <row r="13" spans="1:27" ht="13.8" thickBot="1">
      <c r="A13" s="352" t="s">
        <v>9</v>
      </c>
      <c r="B13" s="354" t="s">
        <v>1237</v>
      </c>
      <c r="C13" s="356" t="s">
        <v>1237</v>
      </c>
      <c r="E13" s="319" t="s">
        <v>159</v>
      </c>
      <c r="F13" s="328">
        <v>25</v>
      </c>
      <c r="G13" s="328">
        <v>0</v>
      </c>
      <c r="H13" s="341" t="s">
        <v>1447</v>
      </c>
      <c r="J13" s="194" t="s">
        <v>1313</v>
      </c>
      <c r="R13" s="426">
        <v>2</v>
      </c>
      <c r="S13" s="442">
        <v>1</v>
      </c>
      <c r="T13" s="435">
        <v>1</v>
      </c>
      <c r="U13" s="442">
        <v>1</v>
      </c>
      <c r="V13" s="435">
        <v>1</v>
      </c>
      <c r="W13" s="442">
        <v>1</v>
      </c>
      <c r="X13" s="435">
        <v>1</v>
      </c>
      <c r="Y13" s="442">
        <v>1</v>
      </c>
      <c r="Z13" s="443">
        <v>1</v>
      </c>
      <c r="AA13" s="442">
        <v>1</v>
      </c>
    </row>
    <row r="14" spans="1:27" ht="13.8" thickBot="1">
      <c r="A14" s="183">
        <v>1</v>
      </c>
      <c r="B14" s="353">
        <v>10000</v>
      </c>
      <c r="C14" s="361">
        <v>0</v>
      </c>
      <c r="D14" s="181"/>
      <c r="E14" s="320" t="s">
        <v>160</v>
      </c>
      <c r="F14" s="328">
        <v>25</v>
      </c>
      <c r="G14" s="362">
        <v>0</v>
      </c>
      <c r="H14" s="466" t="s">
        <v>1448</v>
      </c>
      <c r="I14" s="181"/>
      <c r="J14" s="181"/>
      <c r="K14" s="181"/>
      <c r="L14" s="381"/>
      <c r="M14" s="181"/>
      <c r="R14" s="426">
        <v>3</v>
      </c>
      <c r="S14" s="442">
        <v>1</v>
      </c>
      <c r="T14" s="435">
        <v>1</v>
      </c>
      <c r="U14" s="442">
        <v>1</v>
      </c>
      <c r="V14" s="435">
        <v>1</v>
      </c>
      <c r="W14" s="442">
        <v>1</v>
      </c>
      <c r="X14" s="435">
        <v>1</v>
      </c>
      <c r="Y14" s="442">
        <v>1</v>
      </c>
      <c r="Z14" s="443">
        <v>1</v>
      </c>
      <c r="AA14" s="442">
        <v>1</v>
      </c>
    </row>
    <row r="15" spans="1:27">
      <c r="A15" s="183">
        <v>2</v>
      </c>
      <c r="B15" s="353">
        <v>10000</v>
      </c>
      <c r="C15" s="361">
        <v>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R15" s="426">
        <v>4</v>
      </c>
      <c r="S15" s="442">
        <v>1</v>
      </c>
      <c r="T15" s="435">
        <v>1</v>
      </c>
      <c r="U15" s="442">
        <v>1</v>
      </c>
      <c r="V15" s="435">
        <v>1</v>
      </c>
      <c r="W15" s="442">
        <v>1</v>
      </c>
      <c r="X15" s="435">
        <v>1</v>
      </c>
      <c r="Y15" s="442">
        <v>1</v>
      </c>
      <c r="Z15" s="443">
        <v>1</v>
      </c>
      <c r="AA15" s="442">
        <v>1</v>
      </c>
    </row>
    <row r="16" spans="1:27">
      <c r="A16" s="184">
        <v>3</v>
      </c>
      <c r="B16" s="353">
        <v>10000</v>
      </c>
      <c r="C16" s="361">
        <v>0</v>
      </c>
      <c r="D16" s="160"/>
      <c r="J16" s="194" t="s">
        <v>1315</v>
      </c>
      <c r="R16" s="426">
        <v>5</v>
      </c>
      <c r="S16" s="442">
        <v>1</v>
      </c>
      <c r="T16" s="435">
        <v>1</v>
      </c>
      <c r="U16" s="442">
        <v>1</v>
      </c>
      <c r="V16" s="435">
        <v>1</v>
      </c>
      <c r="W16" s="442">
        <v>1</v>
      </c>
      <c r="X16" s="435">
        <v>1</v>
      </c>
      <c r="Y16" s="442">
        <v>1</v>
      </c>
      <c r="Z16" s="443">
        <v>1</v>
      </c>
      <c r="AA16" s="442">
        <v>1</v>
      </c>
    </row>
    <row r="17" spans="1:27">
      <c r="A17" s="184">
        <v>4</v>
      </c>
      <c r="B17" s="353">
        <v>10000</v>
      </c>
      <c r="C17" s="361">
        <v>0</v>
      </c>
      <c r="D17" s="160"/>
      <c r="F17" s="345" t="s">
        <v>1381</v>
      </c>
      <c r="R17" s="426">
        <v>6</v>
      </c>
      <c r="S17" s="442">
        <v>1</v>
      </c>
      <c r="T17" s="435">
        <v>1</v>
      </c>
      <c r="U17" s="442">
        <v>1</v>
      </c>
      <c r="V17" s="435">
        <v>1</v>
      </c>
      <c r="W17" s="442">
        <v>1</v>
      </c>
      <c r="X17" s="435">
        <v>1</v>
      </c>
      <c r="Y17" s="442">
        <v>1</v>
      </c>
      <c r="Z17" s="443">
        <v>1</v>
      </c>
      <c r="AA17" s="442">
        <v>1</v>
      </c>
    </row>
    <row r="18" spans="1:27" ht="13.8" thickBot="1">
      <c r="A18" s="184">
        <v>5</v>
      </c>
      <c r="B18" s="353">
        <v>10000</v>
      </c>
      <c r="C18" s="361">
        <v>0</v>
      </c>
      <c r="D18" s="160"/>
      <c r="E18" s="329"/>
      <c r="F18" s="330" t="s">
        <v>1347</v>
      </c>
      <c r="G18" s="331"/>
      <c r="R18" s="426">
        <v>7</v>
      </c>
      <c r="S18" s="442">
        <v>1</v>
      </c>
      <c r="T18" s="435">
        <v>1</v>
      </c>
      <c r="U18" s="442">
        <v>1</v>
      </c>
      <c r="V18" s="435">
        <v>1</v>
      </c>
      <c r="W18" s="442">
        <v>1</v>
      </c>
      <c r="X18" s="435">
        <v>1</v>
      </c>
      <c r="Y18" s="442">
        <v>1</v>
      </c>
      <c r="Z18" s="443">
        <v>1</v>
      </c>
      <c r="AA18" s="442">
        <v>1</v>
      </c>
    </row>
    <row r="19" spans="1:27" ht="13.8" thickBot="1">
      <c r="A19" s="184">
        <v>6</v>
      </c>
      <c r="B19" s="353">
        <v>10000</v>
      </c>
      <c r="C19" s="361">
        <v>0</v>
      </c>
      <c r="D19" s="160"/>
      <c r="E19" s="339" t="s">
        <v>1278</v>
      </c>
      <c r="F19" s="322">
        <v>1</v>
      </c>
      <c r="G19" s="332"/>
      <c r="H19" s="275"/>
      <c r="I19" s="284"/>
      <c r="J19" s="346" t="s">
        <v>1339</v>
      </c>
      <c r="K19" s="284"/>
      <c r="L19" s="286"/>
      <c r="R19" s="426">
        <v>8</v>
      </c>
      <c r="S19" s="442">
        <v>1</v>
      </c>
      <c r="T19" s="435">
        <v>1</v>
      </c>
      <c r="U19" s="442">
        <v>1</v>
      </c>
      <c r="V19" s="435">
        <v>1</v>
      </c>
      <c r="W19" s="442">
        <v>1</v>
      </c>
      <c r="X19" s="435">
        <v>1</v>
      </c>
      <c r="Y19" s="442">
        <v>1</v>
      </c>
      <c r="Z19" s="443">
        <v>1</v>
      </c>
      <c r="AA19" s="442">
        <v>1</v>
      </c>
    </row>
    <row r="20" spans="1:27">
      <c r="A20" s="184">
        <v>7</v>
      </c>
      <c r="B20" s="353">
        <v>10000</v>
      </c>
      <c r="C20" s="361">
        <v>0</v>
      </c>
      <c r="D20" s="160"/>
      <c r="E20" s="333"/>
      <c r="F20" s="291" t="s">
        <v>1348</v>
      </c>
      <c r="G20" s="334"/>
      <c r="H20" s="34"/>
      <c r="I20" s="34"/>
      <c r="J20" s="34"/>
      <c r="K20" s="34"/>
      <c r="L20" s="382" t="s">
        <v>1410</v>
      </c>
      <c r="R20" s="426">
        <v>9</v>
      </c>
      <c r="S20" s="442">
        <v>1</v>
      </c>
      <c r="T20" s="435">
        <v>1</v>
      </c>
      <c r="U20" s="442">
        <v>1</v>
      </c>
      <c r="V20" s="435">
        <v>1</v>
      </c>
      <c r="W20" s="442">
        <v>1</v>
      </c>
      <c r="X20" s="435">
        <v>1</v>
      </c>
      <c r="Y20" s="442">
        <v>1</v>
      </c>
      <c r="Z20" s="443">
        <v>1</v>
      </c>
      <c r="AA20" s="442">
        <v>1</v>
      </c>
    </row>
    <row r="21" spans="1:27">
      <c r="A21" s="184">
        <v>8</v>
      </c>
      <c r="B21" s="353">
        <v>10000</v>
      </c>
      <c r="C21" s="361">
        <v>0</v>
      </c>
      <c r="D21" s="160"/>
      <c r="E21" s="333"/>
      <c r="F21" s="291" t="s">
        <v>1349</v>
      </c>
      <c r="G21" s="335"/>
      <c r="H21" s="34"/>
      <c r="I21" s="34"/>
      <c r="J21" s="34"/>
      <c r="K21" s="34"/>
      <c r="L21" s="382" t="s">
        <v>1411</v>
      </c>
      <c r="R21" s="426">
        <v>10</v>
      </c>
      <c r="S21" s="442">
        <v>1</v>
      </c>
      <c r="T21" s="435">
        <v>1</v>
      </c>
      <c r="U21" s="442">
        <v>1</v>
      </c>
      <c r="V21" s="435">
        <v>1</v>
      </c>
      <c r="W21" s="442">
        <v>1</v>
      </c>
      <c r="X21" s="435">
        <v>1</v>
      </c>
      <c r="Y21" s="442">
        <v>1</v>
      </c>
      <c r="Z21" s="443">
        <v>1</v>
      </c>
      <c r="AA21" s="442">
        <v>1</v>
      </c>
    </row>
    <row r="22" spans="1:27" ht="13.8" thickBot="1">
      <c r="A22" s="184">
        <v>9</v>
      </c>
      <c r="B22" s="353">
        <v>10000</v>
      </c>
      <c r="C22" s="361">
        <v>0</v>
      </c>
      <c r="D22" s="4"/>
      <c r="E22" s="336"/>
      <c r="F22" s="290" t="s">
        <v>1350</v>
      </c>
      <c r="G22" s="337"/>
      <c r="H22" s="105"/>
      <c r="I22" s="285"/>
      <c r="J22" s="346" t="s">
        <v>1371</v>
      </c>
      <c r="K22" s="285"/>
      <c r="L22" s="286"/>
      <c r="R22" s="426">
        <v>11</v>
      </c>
      <c r="S22" s="442">
        <v>1</v>
      </c>
      <c r="T22" s="435">
        <v>1</v>
      </c>
      <c r="U22" s="442">
        <v>1</v>
      </c>
      <c r="V22" s="435">
        <v>1</v>
      </c>
      <c r="W22" s="442">
        <v>1</v>
      </c>
      <c r="X22" s="435">
        <v>1</v>
      </c>
      <c r="Y22" s="442">
        <v>1</v>
      </c>
      <c r="Z22" s="443">
        <v>1</v>
      </c>
      <c r="AA22" s="442">
        <v>1</v>
      </c>
    </row>
    <row r="23" spans="1:27" ht="13.8" thickBot="1">
      <c r="A23" s="184">
        <v>10</v>
      </c>
      <c r="B23" s="353">
        <v>10000</v>
      </c>
      <c r="C23" s="361">
        <v>0</v>
      </c>
      <c r="D23" s="4"/>
      <c r="E23" s="340" t="s">
        <v>10</v>
      </c>
      <c r="F23" s="328">
        <v>1</v>
      </c>
      <c r="G23" s="338"/>
      <c r="R23" s="426">
        <v>12</v>
      </c>
      <c r="S23" s="442">
        <v>1</v>
      </c>
      <c r="T23" s="435">
        <v>1</v>
      </c>
      <c r="U23" s="442">
        <v>1</v>
      </c>
      <c r="V23" s="435">
        <v>1</v>
      </c>
      <c r="W23" s="442">
        <v>1</v>
      </c>
      <c r="X23" s="435">
        <v>1</v>
      </c>
      <c r="Y23" s="442">
        <v>1</v>
      </c>
      <c r="Z23" s="443">
        <v>1</v>
      </c>
      <c r="AA23" s="442">
        <v>1</v>
      </c>
    </row>
    <row r="24" spans="1:27" ht="13.8" thickBot="1">
      <c r="A24" s="184">
        <v>11</v>
      </c>
      <c r="B24" s="353">
        <v>10000</v>
      </c>
      <c r="C24" s="361">
        <v>0</v>
      </c>
      <c r="F24" s="298" t="s">
        <v>1400</v>
      </c>
    </row>
    <row r="25" spans="1:27" ht="13.8" thickBot="1">
      <c r="A25" s="184">
        <v>12</v>
      </c>
      <c r="B25" s="353">
        <v>10000</v>
      </c>
      <c r="C25" s="361">
        <v>0</v>
      </c>
      <c r="F25" s="376">
        <v>0.01</v>
      </c>
    </row>
    <row r="26" spans="1:27">
      <c r="A26" s="180"/>
      <c r="B26" s="179"/>
      <c r="F26" s="345" t="s">
        <v>1397</v>
      </c>
      <c r="I26" s="344" t="s">
        <v>1380</v>
      </c>
      <c r="J26" s="344"/>
      <c r="K26" s="344"/>
      <c r="L26" s="344"/>
    </row>
    <row r="27" spans="1:27">
      <c r="A27" s="182" t="s">
        <v>9</v>
      </c>
      <c r="B27" s="258" t="s">
        <v>1328</v>
      </c>
      <c r="C27" s="182" t="s">
        <v>1442</v>
      </c>
      <c r="I27" s="377" t="s">
        <v>1440</v>
      </c>
      <c r="J27" s="344"/>
      <c r="K27" s="344"/>
      <c r="L27" s="344"/>
    </row>
    <row r="28" spans="1:27">
      <c r="A28" s="183">
        <v>1</v>
      </c>
      <c r="B28" s="259">
        <v>1</v>
      </c>
      <c r="C28" s="446">
        <v>1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</row>
    <row r="29" spans="1:27" ht="13.8" thickBot="1">
      <c r="A29" s="183">
        <v>2</v>
      </c>
      <c r="B29" s="259">
        <f>B28</f>
        <v>1</v>
      </c>
      <c r="C29" s="447">
        <v>1</v>
      </c>
      <c r="D29" s="451"/>
      <c r="E29" s="185"/>
      <c r="F29" s="452" t="s">
        <v>1368</v>
      </c>
      <c r="G29" s="185"/>
      <c r="H29" s="185"/>
      <c r="I29" s="185"/>
      <c r="J29" s="185"/>
      <c r="K29" s="185"/>
      <c r="L29" s="185"/>
      <c r="M29" s="185"/>
    </row>
    <row r="30" spans="1:27" ht="13.8" thickBot="1">
      <c r="A30" s="184">
        <v>3</v>
      </c>
      <c r="B30" s="259">
        <f t="shared" ref="B30:B39" si="0">B29</f>
        <v>1</v>
      </c>
      <c r="C30" s="448">
        <v>1</v>
      </c>
      <c r="F30" s="453">
        <v>1</v>
      </c>
      <c r="I30" s="242" t="s">
        <v>1428</v>
      </c>
      <c r="J30" s="424" t="e">
        <f ca="1">SUM(Calculations!BW4:BW255)</f>
        <v>#N/A</v>
      </c>
    </row>
    <row r="31" spans="1:27">
      <c r="A31" s="184">
        <v>4</v>
      </c>
      <c r="B31" s="259">
        <f t="shared" si="0"/>
        <v>1</v>
      </c>
      <c r="C31" s="448">
        <v>1</v>
      </c>
      <c r="F31" s="454" t="s">
        <v>1443</v>
      </c>
      <c r="I31" s="242" t="s">
        <v>1429</v>
      </c>
      <c r="J31" s="423" t="e">
        <f ca="1">J30/SUM(Calculations!BM4:BM255)/1000</f>
        <v>#N/A</v>
      </c>
    </row>
    <row r="32" spans="1:27">
      <c r="A32" s="184">
        <v>5</v>
      </c>
      <c r="B32" s="259">
        <f t="shared" si="0"/>
        <v>1</v>
      </c>
      <c r="C32" s="449">
        <v>1</v>
      </c>
      <c r="F32" s="450"/>
    </row>
    <row r="33" spans="1:11">
      <c r="A33" s="184">
        <v>6</v>
      </c>
      <c r="B33" s="259">
        <f t="shared" si="0"/>
        <v>1</v>
      </c>
      <c r="C33" s="449">
        <v>1</v>
      </c>
      <c r="I33" s="242" t="s">
        <v>1430</v>
      </c>
      <c r="J33" s="423" t="e">
        <f ca="1">J30/(F13*1000)</f>
        <v>#N/A</v>
      </c>
      <c r="K33" t="s">
        <v>1431</v>
      </c>
    </row>
    <row r="34" spans="1:11">
      <c r="A34" s="184">
        <v>7</v>
      </c>
      <c r="B34" s="259">
        <f t="shared" si="0"/>
        <v>1</v>
      </c>
      <c r="C34" s="449">
        <v>1</v>
      </c>
    </row>
    <row r="35" spans="1:11">
      <c r="A35" s="184">
        <v>8</v>
      </c>
      <c r="B35" s="259">
        <f t="shared" si="0"/>
        <v>1</v>
      </c>
      <c r="C35" s="449">
        <v>1</v>
      </c>
    </row>
    <row r="36" spans="1:11">
      <c r="A36" s="184">
        <v>9</v>
      </c>
      <c r="B36" s="259">
        <f t="shared" si="0"/>
        <v>1</v>
      </c>
      <c r="C36" s="449">
        <v>1</v>
      </c>
    </row>
    <row r="37" spans="1:11">
      <c r="A37" s="184">
        <v>10</v>
      </c>
      <c r="B37" s="259">
        <f t="shared" si="0"/>
        <v>1</v>
      </c>
      <c r="C37" s="449">
        <v>1</v>
      </c>
    </row>
    <row r="38" spans="1:11">
      <c r="A38" s="184">
        <v>11</v>
      </c>
      <c r="B38" s="259">
        <f t="shared" si="0"/>
        <v>1</v>
      </c>
      <c r="C38" s="449">
        <v>1</v>
      </c>
    </row>
    <row r="39" spans="1:11">
      <c r="A39" s="184">
        <v>12</v>
      </c>
      <c r="B39" s="259">
        <f t="shared" si="0"/>
        <v>1</v>
      </c>
      <c r="C39" s="449">
        <v>1</v>
      </c>
    </row>
    <row r="46" spans="1:11">
      <c r="B46" t="s">
        <v>1445</v>
      </c>
    </row>
    <row r="47" spans="1:11">
      <c r="B47" t="s">
        <v>1372</v>
      </c>
    </row>
    <row r="51" spans="1:3">
      <c r="A51" s="159"/>
      <c r="B51" s="465" t="s">
        <v>1446</v>
      </c>
      <c r="C51" s="465" t="s">
        <v>1387</v>
      </c>
    </row>
    <row r="52" spans="1:3">
      <c r="A52" s="352" t="s">
        <v>9</v>
      </c>
      <c r="B52" s="354" t="s">
        <v>1237</v>
      </c>
      <c r="C52" s="356" t="s">
        <v>1237</v>
      </c>
    </row>
    <row r="53" spans="1:3">
      <c r="A53" s="183">
        <v>1</v>
      </c>
      <c r="B53" s="353">
        <f>((($F$14*B14)-($G$14*C14))/($F$14-$G$14))</f>
        <v>10000</v>
      </c>
      <c r="C53" s="361">
        <f>C14</f>
        <v>0</v>
      </c>
    </row>
    <row r="54" spans="1:3">
      <c r="A54" s="183">
        <v>2</v>
      </c>
      <c r="B54" s="353">
        <f>((($F$14*B15)-($G$14*C15))/($F$14-$G$14))</f>
        <v>10000</v>
      </c>
      <c r="C54" s="361">
        <f t="shared" ref="C54:C64" si="1">C15</f>
        <v>0</v>
      </c>
    </row>
    <row r="55" spans="1:3">
      <c r="A55" s="184">
        <v>3</v>
      </c>
      <c r="B55" s="353">
        <f>((($F$14*B16)-($G$14*C16))/($F$14-$G$14))</f>
        <v>10000</v>
      </c>
      <c r="C55" s="361">
        <f t="shared" si="1"/>
        <v>0</v>
      </c>
    </row>
    <row r="56" spans="1:3">
      <c r="A56" s="184">
        <v>4</v>
      </c>
      <c r="B56" s="353">
        <f t="shared" ref="B56:B62" si="2">((($F$13*B17)-($G$13*C17))/($F$13-$G$13))</f>
        <v>10000</v>
      </c>
      <c r="C56" s="361">
        <f t="shared" si="1"/>
        <v>0</v>
      </c>
    </row>
    <row r="57" spans="1:3">
      <c r="A57" s="184">
        <v>5</v>
      </c>
      <c r="B57" s="353">
        <f t="shared" si="2"/>
        <v>10000</v>
      </c>
      <c r="C57" s="361">
        <f t="shared" si="1"/>
        <v>0</v>
      </c>
    </row>
    <row r="58" spans="1:3">
      <c r="A58" s="184">
        <v>6</v>
      </c>
      <c r="B58" s="353">
        <f t="shared" si="2"/>
        <v>10000</v>
      </c>
      <c r="C58" s="361">
        <f t="shared" si="1"/>
        <v>0</v>
      </c>
    </row>
    <row r="59" spans="1:3">
      <c r="A59" s="184">
        <v>7</v>
      </c>
      <c r="B59" s="353">
        <f t="shared" si="2"/>
        <v>10000</v>
      </c>
      <c r="C59" s="361">
        <f t="shared" si="1"/>
        <v>0</v>
      </c>
    </row>
    <row r="60" spans="1:3">
      <c r="A60" s="184">
        <v>8</v>
      </c>
      <c r="B60" s="353">
        <f t="shared" si="2"/>
        <v>10000</v>
      </c>
      <c r="C60" s="361">
        <f t="shared" si="1"/>
        <v>0</v>
      </c>
    </row>
    <row r="61" spans="1:3">
      <c r="A61" s="184">
        <v>9</v>
      </c>
      <c r="B61" s="353">
        <f t="shared" si="2"/>
        <v>10000</v>
      </c>
      <c r="C61" s="361">
        <f t="shared" si="1"/>
        <v>0</v>
      </c>
    </row>
    <row r="62" spans="1:3">
      <c r="A62" s="184">
        <v>10</v>
      </c>
      <c r="B62" s="353">
        <f t="shared" si="2"/>
        <v>10000</v>
      </c>
      <c r="C62" s="361">
        <f t="shared" si="1"/>
        <v>0</v>
      </c>
    </row>
    <row r="63" spans="1:3">
      <c r="A63" s="184">
        <v>11</v>
      </c>
      <c r="B63" s="353">
        <f>((($F$14*B24)-($G$14*C24))/($F$14-$G$14))</f>
        <v>10000</v>
      </c>
      <c r="C63" s="361">
        <f t="shared" si="1"/>
        <v>0</v>
      </c>
    </row>
    <row r="64" spans="1:3">
      <c r="A64" s="184">
        <v>12</v>
      </c>
      <c r="B64" s="353">
        <f>((($F$14*B25)-($G$14*C25))/($F$14-$G$14))</f>
        <v>10000</v>
      </c>
      <c r="C64" s="361">
        <f t="shared" si="1"/>
        <v>0</v>
      </c>
    </row>
  </sheetData>
  <mergeCells count="1">
    <mergeCell ref="R9:AA9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Fill="0" autoLine="0" autoPict="0" macro="[0]!PriceCurveFetch">
                <anchor moveWithCells="1">
                  <from>
                    <xdr:col>1</xdr:col>
                    <xdr:colOff>205740</xdr:colOff>
                    <xdr:row>1</xdr:row>
                    <xdr:rowOff>152400</xdr:rowOff>
                  </from>
                  <to>
                    <xdr:col>3</xdr:col>
                    <xdr:colOff>601980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Fill="0" autoLine="0" autoPict="0" macro="[1]!BasisCurveFetch">
                <anchor moveWithCells="1">
                  <from>
                    <xdr:col>1</xdr:col>
                    <xdr:colOff>228600</xdr:colOff>
                    <xdr:row>3</xdr:row>
                    <xdr:rowOff>7620</xdr:rowOff>
                  </from>
                  <to>
                    <xdr:col>3</xdr:col>
                    <xdr:colOff>601980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Drop Down 4">
              <controlPr defaultSize="0" autoFill="0" autoLine="0" autoPict="0">
                <anchor moveWithCells="1">
                  <from>
                    <xdr:col>1</xdr:col>
                    <xdr:colOff>236220</xdr:colOff>
                    <xdr:row>5</xdr:row>
                    <xdr:rowOff>30480</xdr:rowOff>
                  </from>
                  <to>
                    <xdr:col>3</xdr:col>
                    <xdr:colOff>594360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Drop Down 5">
              <controlPr defaultSize="0" autoLine="0" autoPict="0">
                <anchor moveWithCells="1">
                  <from>
                    <xdr:col>1</xdr:col>
                    <xdr:colOff>236220</xdr:colOff>
                    <xdr:row>6</xdr:row>
                    <xdr:rowOff>198120</xdr:rowOff>
                  </from>
                  <to>
                    <xdr:col>3</xdr:col>
                    <xdr:colOff>601980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Drop Down 6">
              <controlPr defaultSize="0" autoLine="0" autoPict="0">
                <anchor moveWithCells="1">
                  <from>
                    <xdr:col>1</xdr:col>
                    <xdr:colOff>236220</xdr:colOff>
                    <xdr:row>8</xdr:row>
                    <xdr:rowOff>30480</xdr:rowOff>
                  </from>
                  <to>
                    <xdr:col>3</xdr:col>
                    <xdr:colOff>594360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9" name="Drop Down 8">
              <controlPr defaultSize="0" autoLine="0" autoPict="0">
                <anchor moveWithCells="1">
                  <from>
                    <xdr:col>9</xdr:col>
                    <xdr:colOff>30480</xdr:colOff>
                    <xdr:row>10</xdr:row>
                    <xdr:rowOff>7620</xdr:rowOff>
                  </from>
                  <to>
                    <xdr:col>11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0" name="Check Box 9">
              <controlPr defaultSize="0" autoFill="0" autoLine="0" autoPict="0">
                <anchor moveWithCells="1">
                  <from>
                    <xdr:col>2</xdr:col>
                    <xdr:colOff>99060</xdr:colOff>
                    <xdr:row>9</xdr:row>
                    <xdr:rowOff>45720</xdr:rowOff>
                  </from>
                  <to>
                    <xdr:col>3</xdr:col>
                    <xdr:colOff>342900</xdr:colOff>
                    <xdr:row>10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Drop Down 11">
              <controlPr defaultSize="0" autoLine="0" autoPict="0">
                <anchor moveWithCells="1">
                  <from>
                    <xdr:col>9</xdr:col>
                    <xdr:colOff>38100</xdr:colOff>
                    <xdr:row>13</xdr:row>
                    <xdr:rowOff>0</xdr:rowOff>
                  </from>
                  <to>
                    <xdr:col>10</xdr:col>
                    <xdr:colOff>723900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2" name="Drop Down 12">
              <controlPr defaultSize="0" autoLine="0" autoPict="0">
                <anchor moveWithCells="1">
                  <from>
                    <xdr:col>9</xdr:col>
                    <xdr:colOff>38100</xdr:colOff>
                    <xdr:row>16</xdr:row>
                    <xdr:rowOff>7620</xdr:rowOff>
                  </from>
                  <to>
                    <xdr:col>10</xdr:col>
                    <xdr:colOff>708660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Drop Down 14">
              <controlPr defaultSize="0" autoLine="0" autoPict="0">
                <anchor moveWithCells="1">
                  <from>
                    <xdr:col>9</xdr:col>
                    <xdr:colOff>30480</xdr:colOff>
                    <xdr:row>19</xdr:row>
                    <xdr:rowOff>7620</xdr:rowOff>
                  </from>
                  <to>
                    <xdr:col>11</xdr:col>
                    <xdr:colOff>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Drop Down 15">
              <controlPr defaultSize="0" autoLine="0" autoPict="0">
                <anchor moveWithCells="1">
                  <from>
                    <xdr:col>9</xdr:col>
                    <xdr:colOff>30480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5" name="Button 19">
              <controlPr defaultSize="0" print="0" autoFill="0" autoPict="0" macro="[0]!Curverefresh">
                <anchor moveWithCells="1" sizeWithCells="1">
                  <from>
                    <xdr:col>1</xdr:col>
                    <xdr:colOff>281940</xdr:colOff>
                    <xdr:row>0</xdr:row>
                    <xdr:rowOff>76200</xdr:rowOff>
                  </from>
                  <to>
                    <xdr:col>2</xdr:col>
                    <xdr:colOff>701040</xdr:colOff>
                    <xdr:row>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6" name="Button 20">
              <controlPr defaultSize="0" print="0" autoFill="0" autoPict="0" macro="[0]!LoadInTheCurves">
                <anchor moveWithCells="1" sizeWithCells="1">
                  <from>
                    <xdr:col>4</xdr:col>
                    <xdr:colOff>99060</xdr:colOff>
                    <xdr:row>0</xdr:row>
                    <xdr:rowOff>45720</xdr:rowOff>
                  </from>
                  <to>
                    <xdr:col>5</xdr:col>
                    <xdr:colOff>548640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7" name="Check Box 22">
              <controlPr defaultSize="0" autoFill="0" autoLine="0" autoPict="0">
                <anchor moveWithCells="1">
                  <from>
                    <xdr:col>0</xdr:col>
                    <xdr:colOff>1036320</xdr:colOff>
                    <xdr:row>24</xdr:row>
                    <xdr:rowOff>137160</xdr:rowOff>
                  </from>
                  <to>
                    <xdr:col>2</xdr:col>
                    <xdr:colOff>243840</xdr:colOff>
                    <xdr:row>26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ED519"/>
  <sheetViews>
    <sheetView showGridLines="0" zoomScale="75" workbookViewId="0"/>
  </sheetViews>
  <sheetFormatPr defaultRowHeight="13.2"/>
  <cols>
    <col min="1" max="1" width="15.109375" style="2" customWidth="1"/>
    <col min="2" max="2" width="9.44140625" style="2" customWidth="1"/>
    <col min="3" max="3" width="6.6640625" style="3" customWidth="1"/>
    <col min="4" max="4" width="11" style="3" customWidth="1"/>
    <col min="5" max="5" width="8.5546875" style="1" customWidth="1"/>
    <col min="6" max="6" width="8.44140625" style="1" customWidth="1"/>
    <col min="7" max="7" width="9.109375" style="1" bestFit="1" customWidth="1"/>
    <col min="8" max="9" width="7.88671875" style="1" customWidth="1"/>
    <col min="10" max="10" width="9.5546875" style="1" customWidth="1"/>
    <col min="11" max="12" width="7.88671875" style="1" customWidth="1"/>
    <col min="13" max="13" width="9.109375" style="1" bestFit="1" customWidth="1"/>
    <col min="14" max="22" width="7.88671875" style="1" customWidth="1"/>
    <col min="23" max="23" width="9.109375" style="1" customWidth="1"/>
    <col min="24" max="59" width="7.88671875" style="1" customWidth="1"/>
    <col min="60" max="60" width="9.109375" style="1" bestFit="1" customWidth="1"/>
    <col min="61" max="77" width="7.88671875" style="1" customWidth="1"/>
    <col min="78" max="86" width="9.109375" style="1" customWidth="1"/>
    <col min="87" max="87" width="15" style="1" customWidth="1"/>
    <col min="88" max="89" width="11.44140625" style="1" customWidth="1"/>
    <col min="90" max="90" width="9.109375" style="2" customWidth="1"/>
    <col min="91" max="91" width="10.6640625" customWidth="1"/>
    <col min="93" max="93" width="9.109375" style="2" customWidth="1"/>
    <col min="94" max="94" width="9.109375" style="3" customWidth="1"/>
    <col min="95" max="95" width="19" style="3" customWidth="1"/>
    <col min="96" max="99" width="9.109375" style="3" customWidth="1"/>
    <col min="100" max="100" width="13.5546875" customWidth="1"/>
    <col min="101" max="109" width="10.33203125" customWidth="1"/>
    <col min="110" max="110" width="10.88671875" customWidth="1"/>
    <col min="111" max="111" width="11.88671875" customWidth="1"/>
    <col min="112" max="113" width="11.6640625" customWidth="1"/>
    <col min="114" max="124" width="11" customWidth="1"/>
    <col min="125" max="125" width="16.44140625" customWidth="1"/>
    <col min="126" max="129" width="11" customWidth="1"/>
    <col min="130" max="134" width="10.33203125" customWidth="1"/>
  </cols>
  <sheetData>
    <row r="1" spans="1:134">
      <c r="H1" s="158"/>
      <c r="I1" s="156"/>
      <c r="J1" s="157"/>
      <c r="K1" s="158"/>
      <c r="CX1" s="252"/>
      <c r="CY1" s="22"/>
    </row>
    <row r="2" spans="1:134">
      <c r="CX2" s="22"/>
      <c r="CY2" s="22"/>
      <c r="DU2" s="4"/>
      <c r="DV2" s="4"/>
      <c r="DW2" s="4"/>
      <c r="DX2" s="4"/>
      <c r="DY2" s="4"/>
    </row>
    <row r="3" spans="1:134" ht="22.5" customHeight="1">
      <c r="CX3" s="22"/>
      <c r="CY3" s="22"/>
      <c r="DW3" s="4"/>
    </row>
    <row r="4" spans="1:134" ht="22.5" customHeight="1">
      <c r="DW4" s="4"/>
    </row>
    <row r="5" spans="1:134" ht="22.5" customHeight="1"/>
    <row r="7" spans="1:134" ht="18.75" customHeight="1"/>
    <row r="8" spans="1:134" ht="21.75" customHeight="1"/>
    <row r="11" spans="1:134" ht="23.4" thickBot="1">
      <c r="A11" s="5" t="s">
        <v>4</v>
      </c>
      <c r="C11" s="2"/>
      <c r="D11" s="5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P11" s="5"/>
    </row>
    <row r="12" spans="1:134" ht="27" customHeight="1" thickBot="1">
      <c r="A12" s="2" t="s">
        <v>1242</v>
      </c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  <c r="P12" s="7"/>
      <c r="Q12" s="7"/>
      <c r="R12" s="7"/>
      <c r="S12" s="400" t="s">
        <v>1422</v>
      </c>
      <c r="T12" s="10"/>
      <c r="U12" s="10"/>
      <c r="V12" s="11"/>
      <c r="W12" s="12">
        <f>MAX(D19:D271)</f>
        <v>43556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/>
      <c r="AX12"/>
      <c r="AY12" s="7"/>
      <c r="AZ12" s="7"/>
      <c r="BA12" s="7"/>
      <c r="BB12" s="7"/>
      <c r="BC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/>
      <c r="BZ12" s="7"/>
      <c r="CA12" s="7"/>
      <c r="CB12" s="7"/>
      <c r="CC12" s="7"/>
      <c r="CD12" s="7"/>
      <c r="CE12" s="7"/>
      <c r="CF12" s="7"/>
      <c r="CG12" s="7"/>
      <c r="CH12" s="13"/>
      <c r="CI12" s="2"/>
      <c r="CJ12" s="13"/>
      <c r="CK12" s="13"/>
      <c r="CM12" s="146"/>
      <c r="CN12" s="146"/>
      <c r="DJ12" s="13"/>
      <c r="DK12" s="13"/>
      <c r="DU12" s="14" t="s">
        <v>6</v>
      </c>
      <c r="DV12" s="15"/>
    </row>
    <row r="13" spans="1:134" ht="14.4" thickBot="1">
      <c r="A13" s="16">
        <f ca="1">IF(MONTH(CurveDate)=12,DATE(YEAR(CurveDate)+1,1,1),DATE(YEAR(CurveDate),MONTH(CurveDate)+1,1))</f>
        <v>36923</v>
      </c>
      <c r="B13" s="17">
        <f>'Gas Curves'!C17</f>
        <v>6.1210621866435007E-2</v>
      </c>
      <c r="C13" s="17"/>
      <c r="D13" s="440" t="s">
        <v>1452</v>
      </c>
      <c r="E13" s="18" t="s">
        <v>1453</v>
      </c>
      <c r="F13" s="19"/>
      <c r="G13" s="20">
        <v>36805</v>
      </c>
      <c r="H13" s="21"/>
      <c r="I13" s="22"/>
      <c r="J13" s="22"/>
      <c r="K13" s="22"/>
      <c r="L13" s="23"/>
      <c r="M13" s="24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4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3"/>
      <c r="CI13" s="2"/>
      <c r="CJ13" s="2"/>
      <c r="CK13" s="2"/>
      <c r="CM13" s="146"/>
      <c r="CN13" s="146"/>
      <c r="DJ13" s="13"/>
      <c r="DK13" s="13"/>
      <c r="DU13" s="25" t="str">
        <f>INDEX(DU15:DU28,DV13)</f>
        <v>1  BUSBAR</v>
      </c>
      <c r="DV13" s="26">
        <v>2</v>
      </c>
      <c r="DZ13" s="2"/>
      <c r="EA13" s="2"/>
      <c r="EB13" s="2"/>
      <c r="EC13" s="2"/>
    </row>
    <row r="14" spans="1:134" ht="13.8">
      <c r="A14" s="27">
        <f t="shared" ref="A14:A77" ca="1" si="0">EOMONTH(A13,0)+1</f>
        <v>36951</v>
      </c>
      <c r="B14" s="17">
        <f>'Gas Curves'!C18</f>
        <v>5.9682982997529006E-2</v>
      </c>
      <c r="C14" s="17"/>
      <c r="D14" s="28"/>
      <c r="E14" s="19"/>
      <c r="F14" s="19"/>
      <c r="G14" s="19"/>
      <c r="H14" s="23"/>
      <c r="I14" s="22"/>
      <c r="J14" s="22"/>
      <c r="K14" s="22"/>
      <c r="L14" s="23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 t="s">
        <v>7</v>
      </c>
      <c r="AA14" s="22"/>
      <c r="AB14" s="22"/>
      <c r="AC14" s="22"/>
      <c r="AD14" s="22"/>
      <c r="AE14" s="22"/>
      <c r="AF14" s="22"/>
      <c r="AG14" s="22"/>
      <c r="AH14" s="22" t="s">
        <v>8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4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3"/>
      <c r="CI14" s="390"/>
      <c r="CJ14" s="391"/>
      <c r="CK14" s="391"/>
      <c r="CM14" s="392"/>
      <c r="CN14" s="392"/>
      <c r="CO14" s="29"/>
      <c r="CP14"/>
      <c r="CQ14"/>
      <c r="CR14"/>
      <c r="CS14"/>
      <c r="CT14"/>
      <c r="DJ14" s="13"/>
      <c r="DK14" s="13"/>
      <c r="DU14" s="30" t="s">
        <v>11</v>
      </c>
      <c r="DV14" s="31" t="s">
        <v>12</v>
      </c>
      <c r="DZ14" s="2"/>
      <c r="EA14" s="2"/>
      <c r="EB14" s="2"/>
      <c r="EC14" s="2"/>
    </row>
    <row r="15" spans="1:134" ht="13.8">
      <c r="A15" s="27">
        <f t="shared" ca="1" si="0"/>
        <v>36982</v>
      </c>
      <c r="B15" s="17">
        <f>'Gas Curves'!C19</f>
        <v>5.8415947446132994E-2</v>
      </c>
      <c r="C15" s="17"/>
      <c r="D15" s="23"/>
      <c r="E15" s="23"/>
      <c r="F15" s="23" t="s">
        <v>13</v>
      </c>
      <c r="G15" s="23"/>
      <c r="H15" s="23"/>
      <c r="I15" s="23"/>
      <c r="J15" s="23" t="s">
        <v>14</v>
      </c>
      <c r="K15" s="23"/>
      <c r="L15" s="23"/>
      <c r="M15" s="24"/>
      <c r="N15" s="23"/>
      <c r="O15" s="23" t="s">
        <v>15</v>
      </c>
      <c r="P15" s="23"/>
      <c r="Q15" s="23"/>
      <c r="R15" s="23"/>
      <c r="S15" s="23" t="s">
        <v>16</v>
      </c>
      <c r="T15" s="23"/>
      <c r="U15" s="23"/>
      <c r="V15" s="23"/>
      <c r="W15" s="23" t="s">
        <v>17</v>
      </c>
      <c r="X15" s="23"/>
      <c r="Y15" s="22"/>
      <c r="Z15" s="23"/>
      <c r="AA15" s="23" t="s">
        <v>18</v>
      </c>
      <c r="AB15" s="23"/>
      <c r="AC15" s="22"/>
      <c r="AD15" s="23"/>
      <c r="AE15" s="23" t="s">
        <v>19</v>
      </c>
      <c r="AF15" s="23"/>
      <c r="AG15" s="22"/>
      <c r="AH15" s="23"/>
      <c r="AI15" s="23" t="s">
        <v>18</v>
      </c>
      <c r="AJ15" s="23"/>
      <c r="AK15" s="22"/>
      <c r="AL15" s="23"/>
      <c r="AM15" s="23" t="s">
        <v>19</v>
      </c>
      <c r="AN15" s="23"/>
      <c r="AO15" s="22"/>
      <c r="AP15" s="23" t="s">
        <v>20</v>
      </c>
      <c r="AQ15" s="23" t="s">
        <v>21</v>
      </c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4"/>
      <c r="BI15" s="23" t="s">
        <v>22</v>
      </c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3"/>
      <c r="CI15" s="393"/>
      <c r="CJ15" s="393"/>
      <c r="CK15" s="393"/>
      <c r="CM15" s="394"/>
      <c r="CN15" s="395"/>
      <c r="CO15" s="3"/>
      <c r="CP15"/>
      <c r="CQ15"/>
      <c r="CR15"/>
      <c r="CS15"/>
      <c r="CT15"/>
      <c r="DJ15" s="9"/>
      <c r="DK15" s="9"/>
      <c r="DU15" s="32" t="s">
        <v>26</v>
      </c>
      <c r="DV15" s="33"/>
      <c r="DY15" s="34"/>
      <c r="DZ15" s="9"/>
      <c r="EA15" s="9"/>
      <c r="EB15" s="9"/>
      <c r="EC15" s="9"/>
      <c r="ED15" s="9"/>
    </row>
    <row r="16" spans="1:134" ht="13.8">
      <c r="A16" s="27">
        <f t="shared" ca="1" si="0"/>
        <v>37012</v>
      </c>
      <c r="B16" s="17">
        <f>'Gas Curves'!C20</f>
        <v>5.7620465192262015E-2</v>
      </c>
      <c r="C16" s="17"/>
      <c r="D16" s="35"/>
      <c r="E16" s="36" t="s">
        <v>24</v>
      </c>
      <c r="F16" s="36" t="s">
        <v>23</v>
      </c>
      <c r="G16" s="37" t="s">
        <v>25</v>
      </c>
      <c r="H16" s="38"/>
      <c r="I16" s="39" t="s">
        <v>24</v>
      </c>
      <c r="J16" s="39" t="s">
        <v>23</v>
      </c>
      <c r="K16" s="39" t="s">
        <v>25</v>
      </c>
      <c r="L16" s="23"/>
      <c r="M16" s="24"/>
      <c r="N16" s="36" t="s">
        <v>24</v>
      </c>
      <c r="O16" s="36" t="s">
        <v>23</v>
      </c>
      <c r="P16" s="40" t="s">
        <v>25</v>
      </c>
      <c r="Q16" s="37"/>
      <c r="R16" s="36" t="s">
        <v>24</v>
      </c>
      <c r="S16" s="36" t="s">
        <v>23</v>
      </c>
      <c r="T16" s="40" t="s">
        <v>25</v>
      </c>
      <c r="U16" s="37"/>
      <c r="V16" s="36" t="s">
        <v>24</v>
      </c>
      <c r="W16" s="36" t="s">
        <v>23</v>
      </c>
      <c r="X16" s="37" t="s">
        <v>25</v>
      </c>
      <c r="Y16" s="22"/>
      <c r="Z16" s="36" t="s">
        <v>24</v>
      </c>
      <c r="AA16" s="36" t="s">
        <v>23</v>
      </c>
      <c r="AB16" s="37" t="s">
        <v>25</v>
      </c>
      <c r="AC16" s="22"/>
      <c r="AD16" s="36" t="s">
        <v>24</v>
      </c>
      <c r="AE16" s="36" t="s">
        <v>23</v>
      </c>
      <c r="AF16" s="37" t="s">
        <v>25</v>
      </c>
      <c r="AG16" s="22"/>
      <c r="AH16" s="36" t="s">
        <v>24</v>
      </c>
      <c r="AI16" s="36" t="s">
        <v>23</v>
      </c>
      <c r="AJ16" s="37" t="s">
        <v>25</v>
      </c>
      <c r="AK16" s="22"/>
      <c r="AL16" s="36" t="s">
        <v>24</v>
      </c>
      <c r="AM16" s="36" t="s">
        <v>23</v>
      </c>
      <c r="AN16" s="37" t="s">
        <v>25</v>
      </c>
      <c r="AO16" s="22"/>
      <c r="AP16" s="23" t="s">
        <v>27</v>
      </c>
      <c r="AQ16" s="23" t="s">
        <v>28</v>
      </c>
      <c r="AR16" s="22"/>
      <c r="AS16" s="23"/>
      <c r="AT16" s="19" t="s">
        <v>29</v>
      </c>
      <c r="AU16" s="19" t="s">
        <v>30</v>
      </c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2"/>
      <c r="BH16" s="24"/>
      <c r="BI16" s="23" t="s">
        <v>31</v>
      </c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3"/>
      <c r="CI16" s="393"/>
      <c r="CJ16" s="393"/>
      <c r="CK16" s="393"/>
      <c r="CM16" s="394"/>
      <c r="CN16" s="395"/>
      <c r="CO16" s="3"/>
      <c r="CP16"/>
      <c r="CQ16"/>
      <c r="CR16"/>
      <c r="CS16"/>
      <c r="CT16"/>
      <c r="DA16" s="200" t="s">
        <v>1343</v>
      </c>
      <c r="DD16" t="s">
        <v>1365</v>
      </c>
      <c r="DI16" s="101" t="s">
        <v>1365</v>
      </c>
      <c r="DJ16" s="44"/>
      <c r="DK16" s="44"/>
      <c r="DU16" s="45" t="s">
        <v>32</v>
      </c>
      <c r="DV16" s="46">
        <v>1</v>
      </c>
      <c r="DY16" s="47"/>
      <c r="DZ16" s="44"/>
      <c r="EA16" s="44"/>
      <c r="EB16" s="44"/>
      <c r="EC16" s="44"/>
      <c r="ED16" s="44"/>
    </row>
    <row r="17" spans="1:134" ht="14.4" thickBot="1">
      <c r="A17" s="27">
        <f t="shared" ca="1" si="0"/>
        <v>37043</v>
      </c>
      <c r="B17" s="17">
        <f>'Gas Curves'!C21</f>
        <v>5.6951683570872005E-2</v>
      </c>
      <c r="C17" s="17"/>
      <c r="D17" s="23"/>
      <c r="E17" s="23" t="s">
        <v>33</v>
      </c>
      <c r="F17" s="23" t="s">
        <v>33</v>
      </c>
      <c r="G17" s="23" t="s">
        <v>33</v>
      </c>
      <c r="H17" s="38"/>
      <c r="I17" s="38" t="s">
        <v>33</v>
      </c>
      <c r="J17" s="38" t="s">
        <v>33</v>
      </c>
      <c r="K17" s="38" t="s">
        <v>33</v>
      </c>
      <c r="L17" s="23"/>
      <c r="M17" s="24"/>
      <c r="N17" s="23" t="s">
        <v>33</v>
      </c>
      <c r="O17" s="23" t="s">
        <v>33</v>
      </c>
      <c r="P17" s="23" t="s">
        <v>33</v>
      </c>
      <c r="Q17" s="23"/>
      <c r="R17" s="23" t="s">
        <v>33</v>
      </c>
      <c r="S17" s="23" t="s">
        <v>33</v>
      </c>
      <c r="T17" s="23" t="s">
        <v>33</v>
      </c>
      <c r="U17" s="23"/>
      <c r="V17" s="23" t="s">
        <v>33</v>
      </c>
      <c r="W17" s="23" t="s">
        <v>33</v>
      </c>
      <c r="X17" s="23" t="s">
        <v>33</v>
      </c>
      <c r="Y17" s="22"/>
      <c r="Z17" s="23"/>
      <c r="AA17" s="23"/>
      <c r="AB17" s="23"/>
      <c r="AC17" s="22"/>
      <c r="AD17" s="23"/>
      <c r="AE17" s="23"/>
      <c r="AF17" s="23"/>
      <c r="AG17" s="22"/>
      <c r="AH17" s="23"/>
      <c r="AI17" s="23"/>
      <c r="AJ17" s="23"/>
      <c r="AK17" s="22"/>
      <c r="AL17" s="23"/>
      <c r="AM17" s="23"/>
      <c r="AN17" s="23"/>
      <c r="AO17" s="22"/>
      <c r="AP17" s="22"/>
      <c r="AQ17" s="22"/>
      <c r="AR17" s="22"/>
      <c r="AS17" s="40" t="s">
        <v>18</v>
      </c>
      <c r="AT17" s="48">
        <v>800</v>
      </c>
      <c r="AU17" s="48">
        <v>2300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2"/>
      <c r="BH17" s="24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3"/>
      <c r="CI17" s="396"/>
      <c r="CJ17" s="396"/>
      <c r="CK17" s="396"/>
      <c r="CM17" s="394"/>
      <c r="CN17" s="395"/>
      <c r="CO17" s="49"/>
      <c r="CP17"/>
      <c r="CQ17"/>
      <c r="CR17"/>
      <c r="CS17"/>
      <c r="CT17"/>
      <c r="CZ17" s="470" t="s">
        <v>1342</v>
      </c>
      <c r="DA17" s="470"/>
      <c r="DB17" s="470"/>
      <c r="DE17" t="s">
        <v>1366</v>
      </c>
      <c r="DI17" s="101" t="s">
        <v>22</v>
      </c>
      <c r="DJ17" s="3"/>
      <c r="DK17" s="3"/>
      <c r="DU17" s="45" t="s">
        <v>34</v>
      </c>
      <c r="DV17" s="46">
        <v>2</v>
      </c>
      <c r="DY17" s="47"/>
      <c r="DZ17" s="3"/>
      <c r="EA17" s="3"/>
      <c r="EB17" s="3"/>
      <c r="EC17" s="3"/>
      <c r="ED17" s="3"/>
    </row>
    <row r="18" spans="1:134" ht="14.4" thickBot="1">
      <c r="A18" s="27">
        <f t="shared" ca="1" si="0"/>
        <v>37073</v>
      </c>
      <c r="B18" s="17">
        <f>'Gas Curves'!C22</f>
        <v>5.6350655408428006E-2</v>
      </c>
      <c r="C18" s="17"/>
      <c r="D18" s="19" t="s">
        <v>9</v>
      </c>
      <c r="E18" s="19"/>
      <c r="F18" s="19"/>
      <c r="G18" s="19"/>
      <c r="H18" s="40"/>
      <c r="I18" s="19"/>
      <c r="J18" s="40"/>
      <c r="K18" s="40"/>
      <c r="L18" s="23"/>
      <c r="M18" s="24" t="s">
        <v>9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50" t="s">
        <v>35</v>
      </c>
      <c r="AT18" s="51"/>
      <c r="AU18" s="51"/>
      <c r="AV18" s="51"/>
      <c r="AW18" s="51"/>
      <c r="AX18" s="39"/>
      <c r="AY18" s="39"/>
      <c r="AZ18" s="51"/>
      <c r="BA18" s="51"/>
      <c r="BB18" s="51"/>
      <c r="BC18" s="51"/>
      <c r="BD18" s="51"/>
      <c r="BE18" s="51"/>
      <c r="BF18" s="51"/>
      <c r="BG18" s="22"/>
      <c r="BH18" s="24" t="s">
        <v>9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3"/>
      <c r="CI18" s="396"/>
      <c r="CJ18" s="396"/>
      <c r="CK18" s="396"/>
      <c r="CM18" s="394"/>
      <c r="CN18" s="395"/>
      <c r="CO18" s="49"/>
      <c r="CP18"/>
      <c r="CQ18"/>
      <c r="CR18"/>
      <c r="CS18"/>
      <c r="CT18"/>
      <c r="CZ18" s="101" t="s">
        <v>24</v>
      </c>
      <c r="DA18" s="101" t="s">
        <v>23</v>
      </c>
      <c r="DB18" s="101" t="s">
        <v>25</v>
      </c>
      <c r="DD18" s="101" t="s">
        <v>24</v>
      </c>
      <c r="DE18" s="101" t="s">
        <v>23</v>
      </c>
      <c r="DF18" s="101" t="s">
        <v>25</v>
      </c>
      <c r="DJ18" s="3"/>
      <c r="DK18" s="3"/>
      <c r="DQ18" s="52" t="s">
        <v>36</v>
      </c>
      <c r="DR18" s="53" t="s">
        <v>11</v>
      </c>
      <c r="DS18" s="54">
        <v>3</v>
      </c>
      <c r="DT18" s="22"/>
      <c r="DU18" s="45" t="s">
        <v>37</v>
      </c>
      <c r="DV18" s="46">
        <v>3</v>
      </c>
      <c r="DY18" s="47"/>
      <c r="DZ18" s="3"/>
      <c r="EA18" s="3"/>
      <c r="EB18" s="3"/>
      <c r="EC18" s="3"/>
      <c r="ED18" s="3"/>
    </row>
    <row r="19" spans="1:134" ht="13.8">
      <c r="A19" s="27">
        <f t="shared" ca="1" si="0"/>
        <v>37104</v>
      </c>
      <c r="B19" s="17">
        <f>'Gas Curves'!C23</f>
        <v>5.5818790797591014E-2</v>
      </c>
      <c r="C19" s="17"/>
      <c r="D19" s="55">
        <v>36806</v>
      </c>
      <c r="E19" s="56">
        <v>55.5</v>
      </c>
      <c r="F19" s="56">
        <v>56</v>
      </c>
      <c r="G19" s="56">
        <v>56.6</v>
      </c>
      <c r="H19" s="40"/>
      <c r="I19" s="56">
        <v>26.75</v>
      </c>
      <c r="J19" s="56">
        <v>27</v>
      </c>
      <c r="K19" s="56">
        <v>27.3</v>
      </c>
      <c r="L19" s="23"/>
      <c r="M19" s="24">
        <v>36770</v>
      </c>
      <c r="N19" s="57">
        <v>0</v>
      </c>
      <c r="O19" s="57">
        <v>0</v>
      </c>
      <c r="P19" s="57">
        <v>0</v>
      </c>
      <c r="Q19" s="22"/>
      <c r="R19" s="57">
        <v>0</v>
      </c>
      <c r="S19" s="57">
        <v>0</v>
      </c>
      <c r="T19" s="57">
        <v>0</v>
      </c>
      <c r="U19" s="22"/>
      <c r="V19" s="57">
        <v>2.75</v>
      </c>
      <c r="W19" s="57">
        <v>2.75</v>
      </c>
      <c r="X19" s="57">
        <v>2.75</v>
      </c>
      <c r="Y19" s="22"/>
      <c r="Z19" s="57">
        <v>0.28525</v>
      </c>
      <c r="AA19" s="57">
        <v>0.57050000000000001</v>
      </c>
      <c r="AB19" s="57">
        <v>0.85575000000000001</v>
      </c>
      <c r="AC19" s="22"/>
      <c r="AD19" s="57">
        <v>0.04</v>
      </c>
      <c r="AE19" s="57">
        <v>0.08</v>
      </c>
      <c r="AF19" s="57">
        <v>0.12</v>
      </c>
      <c r="AG19" s="22"/>
      <c r="AH19" s="57">
        <v>-0.5</v>
      </c>
      <c r="AI19" s="57">
        <v>3</v>
      </c>
      <c r="AJ19" s="57">
        <v>0.5</v>
      </c>
      <c r="AK19" s="22"/>
      <c r="AL19" s="57">
        <v>-0.15</v>
      </c>
      <c r="AM19" s="57">
        <v>0.4</v>
      </c>
      <c r="AN19" s="57">
        <v>0.2</v>
      </c>
      <c r="AO19" s="22"/>
      <c r="AP19" s="23">
        <v>1</v>
      </c>
      <c r="AQ19" s="58">
        <v>0</v>
      </c>
      <c r="AR19" s="22"/>
      <c r="AS19" s="59"/>
      <c r="AT19" s="59" t="s">
        <v>38</v>
      </c>
      <c r="AU19" s="59" t="s">
        <v>39</v>
      </c>
      <c r="AV19" s="59" t="s">
        <v>40</v>
      </c>
      <c r="AW19" s="59" t="s">
        <v>41</v>
      </c>
      <c r="AX19" s="59" t="s">
        <v>42</v>
      </c>
      <c r="AY19" s="59" t="s">
        <v>43</v>
      </c>
      <c r="AZ19" s="59" t="s">
        <v>44</v>
      </c>
      <c r="BA19" s="59" t="s">
        <v>45</v>
      </c>
      <c r="BB19" s="59" t="s">
        <v>46</v>
      </c>
      <c r="BC19" s="59" t="s">
        <v>47</v>
      </c>
      <c r="BD19" s="59" t="s">
        <v>48</v>
      </c>
      <c r="BE19" s="59" t="s">
        <v>49</v>
      </c>
      <c r="BF19" s="59"/>
      <c r="BG19" s="22"/>
      <c r="BH19" s="24">
        <v>36770</v>
      </c>
      <c r="BI19" s="60">
        <v>0.9</v>
      </c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3"/>
      <c r="CI19" s="396"/>
      <c r="CJ19" s="396"/>
      <c r="CK19" s="396"/>
      <c r="CM19" s="394"/>
      <c r="CN19" s="395"/>
      <c r="CO19" s="61"/>
      <c r="CP19"/>
      <c r="CQ19"/>
      <c r="CR19"/>
      <c r="CS19"/>
      <c r="CT19"/>
      <c r="CY19" s="282">
        <f>M19</f>
        <v>36770</v>
      </c>
      <c r="CZ19" s="281">
        <f>AI19+AH19</f>
        <v>2.5</v>
      </c>
      <c r="DA19" s="281">
        <f>AI19</f>
        <v>3</v>
      </c>
      <c r="DB19" s="281">
        <f>AI19+AJ19</f>
        <v>3.5</v>
      </c>
      <c r="DD19" s="281">
        <f>Z19</f>
        <v>0.28525</v>
      </c>
      <c r="DE19" s="281">
        <f>AA19</f>
        <v>0.57050000000000001</v>
      </c>
      <c r="DF19" s="281">
        <f>AB19</f>
        <v>0.85575000000000001</v>
      </c>
      <c r="DH19" s="282">
        <f>BH19</f>
        <v>36770</v>
      </c>
      <c r="DI19" s="17">
        <f>BI19</f>
        <v>0.9</v>
      </c>
      <c r="DJ19" s="3"/>
      <c r="DK19" s="3"/>
      <c r="DP19">
        <v>1</v>
      </c>
      <c r="DQ19" s="62" t="s">
        <v>50</v>
      </c>
      <c r="DR19" s="151" t="s">
        <v>51</v>
      </c>
      <c r="DS19" s="63" t="s">
        <v>52</v>
      </c>
      <c r="DT19" s="64"/>
      <c r="DU19" s="45" t="s">
        <v>53</v>
      </c>
      <c r="DV19" s="46">
        <v>4</v>
      </c>
      <c r="DY19" s="47"/>
      <c r="DZ19" s="3"/>
      <c r="EA19" s="3"/>
      <c r="EB19" s="3"/>
      <c r="EC19" s="3"/>
      <c r="ED19" s="3"/>
    </row>
    <row r="20" spans="1:134" ht="13.8">
      <c r="A20" s="27">
        <f t="shared" ca="1" si="0"/>
        <v>37135</v>
      </c>
      <c r="B20" s="17">
        <f>'Gas Curves'!C24</f>
        <v>5.5286926280937017E-2</v>
      </c>
      <c r="C20" s="17"/>
      <c r="D20" s="55">
        <v>36807</v>
      </c>
      <c r="E20" s="56">
        <v>55.5</v>
      </c>
      <c r="F20" s="56">
        <v>56</v>
      </c>
      <c r="G20" s="56">
        <v>56.6</v>
      </c>
      <c r="H20" s="40"/>
      <c r="I20" s="56">
        <v>26.75</v>
      </c>
      <c r="J20" s="56">
        <v>27</v>
      </c>
      <c r="K20" s="56">
        <v>27.3</v>
      </c>
      <c r="L20" s="23"/>
      <c r="M20" s="24">
        <v>36800</v>
      </c>
      <c r="N20" s="57">
        <v>0</v>
      </c>
      <c r="O20" s="57">
        <v>0</v>
      </c>
      <c r="P20" s="57">
        <v>0</v>
      </c>
      <c r="Q20" s="22"/>
      <c r="R20" s="57">
        <v>0</v>
      </c>
      <c r="S20" s="57">
        <v>0</v>
      </c>
      <c r="T20" s="57">
        <v>0</v>
      </c>
      <c r="U20" s="22"/>
      <c r="V20" s="57">
        <v>2.75</v>
      </c>
      <c r="W20" s="57">
        <v>2.75</v>
      </c>
      <c r="X20" s="57">
        <v>2.75</v>
      </c>
      <c r="Y20" s="22"/>
      <c r="Z20" s="57">
        <v>0.21274999999999999</v>
      </c>
      <c r="AA20" s="57">
        <v>0.42549999999999999</v>
      </c>
      <c r="AB20" s="57">
        <v>0.63824999999999998</v>
      </c>
      <c r="AC20" s="22"/>
      <c r="AD20" s="57">
        <v>0.03</v>
      </c>
      <c r="AE20" s="57">
        <v>0.06</v>
      </c>
      <c r="AF20" s="57">
        <v>0.09</v>
      </c>
      <c r="AG20" s="22"/>
      <c r="AH20" s="57">
        <v>-0.25</v>
      </c>
      <c r="AI20" s="57">
        <v>1.5</v>
      </c>
      <c r="AJ20" s="57">
        <v>0.3</v>
      </c>
      <c r="AK20" s="22"/>
      <c r="AL20" s="57">
        <v>-0.15</v>
      </c>
      <c r="AM20" s="57">
        <v>0.35</v>
      </c>
      <c r="AN20" s="57">
        <v>0.2</v>
      </c>
      <c r="AO20" s="22"/>
      <c r="AP20" s="23">
        <v>1</v>
      </c>
      <c r="AQ20" s="58">
        <v>0</v>
      </c>
      <c r="AR20" s="22"/>
      <c r="AS20" s="40" t="s">
        <v>54</v>
      </c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 t="s">
        <v>55</v>
      </c>
      <c r="BG20" s="22"/>
      <c r="BH20" s="24">
        <v>36800</v>
      </c>
      <c r="BI20" s="60">
        <v>0.9</v>
      </c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392"/>
      <c r="CI20" s="396"/>
      <c r="CJ20" s="396"/>
      <c r="CK20" s="396"/>
      <c r="CM20" s="394"/>
      <c r="CN20" s="395"/>
      <c r="CO20" s="61"/>
      <c r="CP20"/>
      <c r="CQ20"/>
      <c r="CR20"/>
      <c r="CS20"/>
      <c r="CT20"/>
      <c r="CY20" s="282">
        <f t="shared" ref="CY20:CY83" si="1">M20</f>
        <v>36800</v>
      </c>
      <c r="CZ20" s="281">
        <f t="shared" ref="CZ20:CZ83" si="2">AI20+AH20</f>
        <v>1.25</v>
      </c>
      <c r="DA20" s="281">
        <f t="shared" ref="DA20:DA83" si="3">AI20</f>
        <v>1.5</v>
      </c>
      <c r="DB20" s="281">
        <f t="shared" ref="DB20:DB83" si="4">AI20+AJ20</f>
        <v>1.8</v>
      </c>
      <c r="DD20" s="281">
        <f t="shared" ref="DD20:DD83" si="5">Z20</f>
        <v>0.21274999999999999</v>
      </c>
      <c r="DE20" s="281">
        <f t="shared" ref="DE20:DE83" si="6">AA20</f>
        <v>0.42549999999999999</v>
      </c>
      <c r="DF20" s="281">
        <f t="shared" ref="DF20:DF83" si="7">AB20</f>
        <v>0.63824999999999998</v>
      </c>
      <c r="DH20" s="282">
        <f t="shared" ref="DH20:DH83" si="8">BH20</f>
        <v>36800</v>
      </c>
      <c r="DI20" s="17">
        <f t="shared" ref="DI20:DI83" si="9">BI20</f>
        <v>0.9</v>
      </c>
      <c r="DJ20" s="44"/>
      <c r="DK20" s="44"/>
      <c r="DP20">
        <v>2</v>
      </c>
      <c r="DQ20" s="65" t="s">
        <v>56</v>
      </c>
      <c r="DR20" s="152" t="s">
        <v>57</v>
      </c>
      <c r="DS20" s="66" t="s">
        <v>58</v>
      </c>
      <c r="DT20" s="4"/>
      <c r="DU20" s="45" t="s">
        <v>59</v>
      </c>
      <c r="DV20" s="46">
        <v>5</v>
      </c>
      <c r="DY20" s="47"/>
      <c r="DZ20" s="44"/>
      <c r="EA20" s="44"/>
      <c r="EB20" s="44"/>
      <c r="EC20" s="44"/>
      <c r="ED20" s="44"/>
    </row>
    <row r="21" spans="1:134" ht="13.8">
      <c r="A21" s="27">
        <f t="shared" ca="1" si="0"/>
        <v>37165</v>
      </c>
      <c r="B21" s="17">
        <f>'Gas Curves'!C25</f>
        <v>5.4847843829286015E-2</v>
      </c>
      <c r="C21" s="17"/>
      <c r="D21" s="55">
        <v>36808</v>
      </c>
      <c r="E21" s="56">
        <v>60.5</v>
      </c>
      <c r="F21" s="56">
        <v>61</v>
      </c>
      <c r="G21" s="56">
        <v>61.6</v>
      </c>
      <c r="H21" s="40"/>
      <c r="I21" s="56">
        <v>26.75</v>
      </c>
      <c r="J21" s="56">
        <v>27</v>
      </c>
      <c r="K21" s="56">
        <v>27.3</v>
      </c>
      <c r="L21" s="23"/>
      <c r="M21" s="24">
        <v>36831</v>
      </c>
      <c r="N21" s="57">
        <v>29.700000762939453</v>
      </c>
      <c r="O21" s="57">
        <v>30.075000762939453</v>
      </c>
      <c r="P21" s="57">
        <v>30.525000762939452</v>
      </c>
      <c r="Q21" s="22"/>
      <c r="R21" s="57">
        <v>22.899999618530273</v>
      </c>
      <c r="S21" s="57">
        <v>26.899999618530273</v>
      </c>
      <c r="T21" s="57">
        <v>27.124999618530275</v>
      </c>
      <c r="U21" s="22"/>
      <c r="V21" s="57">
        <v>2.75</v>
      </c>
      <c r="W21" s="57">
        <v>2.75</v>
      </c>
      <c r="X21" s="57">
        <v>2.75</v>
      </c>
      <c r="Y21" s="22"/>
      <c r="Z21" s="57">
        <v>0.20125000000000001</v>
      </c>
      <c r="AA21" s="57">
        <v>0.40250000000000002</v>
      </c>
      <c r="AB21" s="57">
        <v>0.60375000000000001</v>
      </c>
      <c r="AC21" s="22"/>
      <c r="AD21" s="57">
        <v>0.03</v>
      </c>
      <c r="AE21" s="57">
        <v>0.06</v>
      </c>
      <c r="AF21" s="57">
        <v>0.09</v>
      </c>
      <c r="AG21" s="22"/>
      <c r="AH21" s="57">
        <v>-0.25</v>
      </c>
      <c r="AI21" s="57">
        <v>1.7</v>
      </c>
      <c r="AJ21" s="57">
        <v>0.3</v>
      </c>
      <c r="AK21" s="22"/>
      <c r="AL21" s="57">
        <v>-0.15</v>
      </c>
      <c r="AM21" s="57">
        <v>0.3</v>
      </c>
      <c r="AN21" s="57">
        <v>0.2</v>
      </c>
      <c r="AO21" s="22"/>
      <c r="AP21" s="23">
        <v>2</v>
      </c>
      <c r="AQ21" s="58">
        <v>0</v>
      </c>
      <c r="AR21" s="22"/>
      <c r="AS21" s="23">
        <v>100</v>
      </c>
      <c r="AT21" s="67">
        <v>0.84009140360859491</v>
      </c>
      <c r="AU21" s="67">
        <v>0.84009140360859491</v>
      </c>
      <c r="AV21" s="67">
        <v>0.88009140360859495</v>
      </c>
      <c r="AW21" s="67">
        <v>0.93009140360859499</v>
      </c>
      <c r="AX21" s="67">
        <v>0.99487413888798193</v>
      </c>
      <c r="AY21" s="67">
        <v>1.1566015393724096</v>
      </c>
      <c r="AZ21" s="67">
        <v>1.1151212088270464</v>
      </c>
      <c r="BA21" s="67">
        <v>1.091611616602268</v>
      </c>
      <c r="BB21" s="67">
        <v>0.99664578191253639</v>
      </c>
      <c r="BC21" s="67">
        <v>0.94950000000000001</v>
      </c>
      <c r="BD21" s="67">
        <v>0.92949999999999999</v>
      </c>
      <c r="BE21" s="67">
        <v>0.92949999999999999</v>
      </c>
      <c r="BF21" s="23" t="s">
        <v>60</v>
      </c>
      <c r="BG21" s="22"/>
      <c r="BH21" s="24">
        <v>36831</v>
      </c>
      <c r="BI21" s="60">
        <v>0.9</v>
      </c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396"/>
      <c r="CI21" s="396"/>
      <c r="CJ21" s="396"/>
      <c r="CK21" s="396"/>
      <c r="CM21" s="394"/>
      <c r="CN21" s="395"/>
      <c r="CO21" s="61"/>
      <c r="CP21"/>
      <c r="CQ21"/>
      <c r="CR21"/>
      <c r="CS21"/>
      <c r="CT21"/>
      <c r="CY21" s="282">
        <f t="shared" si="1"/>
        <v>36831</v>
      </c>
      <c r="CZ21" s="281">
        <f t="shared" si="2"/>
        <v>1.45</v>
      </c>
      <c r="DA21" s="281">
        <f t="shared" si="3"/>
        <v>1.7</v>
      </c>
      <c r="DB21" s="281">
        <f t="shared" si="4"/>
        <v>2</v>
      </c>
      <c r="DD21" s="281">
        <f t="shared" si="5"/>
        <v>0.20125000000000001</v>
      </c>
      <c r="DE21" s="281">
        <f t="shared" si="6"/>
        <v>0.40250000000000002</v>
      </c>
      <c r="DF21" s="281">
        <f t="shared" si="7"/>
        <v>0.60375000000000001</v>
      </c>
      <c r="DH21" s="282">
        <f t="shared" si="8"/>
        <v>36831</v>
      </c>
      <c r="DI21" s="17">
        <f t="shared" si="9"/>
        <v>0.9</v>
      </c>
      <c r="DJ21" s="3"/>
      <c r="DK21" s="3"/>
      <c r="DP21">
        <v>3</v>
      </c>
      <c r="DQ21" s="65" t="s">
        <v>61</v>
      </c>
      <c r="DR21" s="152" t="s">
        <v>62</v>
      </c>
      <c r="DS21" s="66" t="s">
        <v>63</v>
      </c>
      <c r="DT21" s="4"/>
      <c r="DU21" s="45" t="s">
        <v>64</v>
      </c>
      <c r="DV21" s="46">
        <v>6</v>
      </c>
      <c r="DY21" s="47"/>
      <c r="DZ21" s="3"/>
      <c r="EA21" s="3"/>
      <c r="EB21" s="3"/>
      <c r="EC21" s="3"/>
      <c r="ED21" s="3"/>
    </row>
    <row r="22" spans="1:134" ht="13.8">
      <c r="A22" s="27">
        <f t="shared" ca="1" si="0"/>
        <v>37196</v>
      </c>
      <c r="B22" s="17">
        <f>'Gas Curves'!C26</f>
        <v>5.4516709290840015E-2</v>
      </c>
      <c r="C22" s="17"/>
      <c r="D22" s="55">
        <v>36809</v>
      </c>
      <c r="E22" s="56">
        <v>61.5</v>
      </c>
      <c r="F22" s="56">
        <v>62</v>
      </c>
      <c r="G22" s="56">
        <v>62.6</v>
      </c>
      <c r="H22" s="40"/>
      <c r="I22" s="56">
        <v>26.75</v>
      </c>
      <c r="J22" s="56">
        <v>27</v>
      </c>
      <c r="K22" s="56">
        <v>27.3</v>
      </c>
      <c r="L22" s="23"/>
      <c r="M22" s="24">
        <v>36861</v>
      </c>
      <c r="N22" s="57">
        <v>30.600000381469727</v>
      </c>
      <c r="O22" s="57">
        <v>30.975000381469727</v>
      </c>
      <c r="P22" s="57">
        <v>31.425000381469726</v>
      </c>
      <c r="Q22" s="22"/>
      <c r="R22" s="57">
        <v>23.700000762939453</v>
      </c>
      <c r="S22" s="57">
        <v>27.700000762939453</v>
      </c>
      <c r="T22" s="57">
        <v>27.925000762939455</v>
      </c>
      <c r="U22" s="22"/>
      <c r="V22" s="57">
        <v>2.75</v>
      </c>
      <c r="W22" s="57">
        <v>2.75</v>
      </c>
      <c r="X22" s="57">
        <v>2.75</v>
      </c>
      <c r="Y22" s="22"/>
      <c r="Z22" s="57">
        <v>0.21274999999999999</v>
      </c>
      <c r="AA22" s="57">
        <v>0.42549999999999999</v>
      </c>
      <c r="AB22" s="57">
        <v>0.63824999999999998</v>
      </c>
      <c r="AC22" s="22"/>
      <c r="AD22" s="57">
        <v>0.03</v>
      </c>
      <c r="AE22" s="57">
        <v>0.06</v>
      </c>
      <c r="AF22" s="57">
        <v>0.09</v>
      </c>
      <c r="AG22" s="22"/>
      <c r="AH22" s="57">
        <v>-0.25</v>
      </c>
      <c r="AI22" s="57">
        <v>1.7</v>
      </c>
      <c r="AJ22" s="57">
        <v>0.35</v>
      </c>
      <c r="AK22" s="22"/>
      <c r="AL22" s="57">
        <v>-0.15</v>
      </c>
      <c r="AM22" s="57">
        <v>0.3</v>
      </c>
      <c r="AN22" s="57">
        <v>0.2</v>
      </c>
      <c r="AO22" s="22"/>
      <c r="AP22" s="23">
        <v>2</v>
      </c>
      <c r="AQ22" s="58">
        <v>0</v>
      </c>
      <c r="AR22" s="22"/>
      <c r="AS22" s="23">
        <v>200</v>
      </c>
      <c r="AT22" s="67">
        <v>0.82216545967600496</v>
      </c>
      <c r="AU22" s="67">
        <v>0.82216545967600496</v>
      </c>
      <c r="AV22" s="67">
        <v>0.83216545967600497</v>
      </c>
      <c r="AW22" s="67">
        <v>0.88216545967600501</v>
      </c>
      <c r="AX22" s="67">
        <v>0.89614417708707417</v>
      </c>
      <c r="AY22" s="67">
        <v>0.95825932504440481</v>
      </c>
      <c r="AZ22" s="67">
        <v>1.0185889770627239</v>
      </c>
      <c r="BA22" s="67">
        <v>0.98541692633678146</v>
      </c>
      <c r="BB22" s="67">
        <v>0.87437503955445783</v>
      </c>
      <c r="BC22" s="67">
        <v>0.9012</v>
      </c>
      <c r="BD22" s="67">
        <v>0.88119999999999998</v>
      </c>
      <c r="BE22" s="67">
        <v>0.88119999999999998</v>
      </c>
      <c r="BF22" s="23" t="s">
        <v>60</v>
      </c>
      <c r="BG22" s="22"/>
      <c r="BH22" s="24">
        <v>36861</v>
      </c>
      <c r="BI22" s="60">
        <v>0.9</v>
      </c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396"/>
      <c r="CI22" s="396"/>
      <c r="CJ22" s="396"/>
      <c r="CK22" s="396"/>
      <c r="CM22" s="394"/>
      <c r="CN22" s="395"/>
      <c r="CO22" s="61"/>
      <c r="CP22"/>
      <c r="CQ22"/>
      <c r="CR22"/>
      <c r="CS22"/>
      <c r="CT22"/>
      <c r="CY22" s="282">
        <f t="shared" si="1"/>
        <v>36861</v>
      </c>
      <c r="CZ22" s="281">
        <f t="shared" si="2"/>
        <v>1.45</v>
      </c>
      <c r="DA22" s="281">
        <f t="shared" si="3"/>
        <v>1.7</v>
      </c>
      <c r="DB22" s="281">
        <f t="shared" si="4"/>
        <v>2.0499999999999998</v>
      </c>
      <c r="DD22" s="281">
        <f t="shared" si="5"/>
        <v>0.21274999999999999</v>
      </c>
      <c r="DE22" s="281">
        <f t="shared" si="6"/>
        <v>0.42549999999999999</v>
      </c>
      <c r="DF22" s="281">
        <f t="shared" si="7"/>
        <v>0.63824999999999998</v>
      </c>
      <c r="DH22" s="282">
        <f t="shared" si="8"/>
        <v>36861</v>
      </c>
      <c r="DI22" s="17">
        <f t="shared" si="9"/>
        <v>0.9</v>
      </c>
      <c r="DJ22" s="44"/>
      <c r="DK22" s="44"/>
      <c r="DP22">
        <v>4</v>
      </c>
      <c r="DQ22" s="65" t="s">
        <v>65</v>
      </c>
      <c r="DR22" s="152" t="s">
        <v>66</v>
      </c>
      <c r="DS22" s="66" t="s">
        <v>67</v>
      </c>
      <c r="DT22" s="4"/>
      <c r="DU22" s="45" t="s">
        <v>68</v>
      </c>
      <c r="DV22" s="46">
        <v>7</v>
      </c>
      <c r="DY22" s="47"/>
      <c r="DZ22" s="44"/>
      <c r="EA22" s="44"/>
      <c r="EB22" s="44"/>
      <c r="EC22" s="44"/>
      <c r="ED22" s="44"/>
    </row>
    <row r="23" spans="1:134" ht="13.8">
      <c r="A23" s="27">
        <f t="shared" ca="1" si="0"/>
        <v>37226</v>
      </c>
      <c r="B23" s="17">
        <f>'Gas Curves'!C27</f>
        <v>5.4196256546480005E-2</v>
      </c>
      <c r="C23" s="17"/>
      <c r="D23" s="55">
        <v>36810</v>
      </c>
      <c r="E23" s="56">
        <v>61.5</v>
      </c>
      <c r="F23" s="56">
        <v>62</v>
      </c>
      <c r="G23" s="56">
        <v>62.6</v>
      </c>
      <c r="H23" s="40"/>
      <c r="I23" s="56">
        <v>26.75</v>
      </c>
      <c r="J23" s="56">
        <v>27</v>
      </c>
      <c r="K23" s="56">
        <v>27.3</v>
      </c>
      <c r="L23" s="23"/>
      <c r="M23" s="24">
        <v>36892</v>
      </c>
      <c r="N23" s="57">
        <v>59.629496765136722</v>
      </c>
      <c r="O23" s="57">
        <v>60.304496765136719</v>
      </c>
      <c r="P23" s="57">
        <v>60.90449676513672</v>
      </c>
      <c r="Q23" s="22"/>
      <c r="R23" s="57">
        <v>52.603996276855469</v>
      </c>
      <c r="S23" s="57">
        <v>56.603996276855469</v>
      </c>
      <c r="T23" s="57">
        <v>56.903996276855466</v>
      </c>
      <c r="U23" s="22"/>
      <c r="V23" s="57">
        <v>2.5049979686737061</v>
      </c>
      <c r="W23" s="57">
        <v>2.5049979686737061</v>
      </c>
      <c r="X23" s="57">
        <v>2.5049979686737061</v>
      </c>
      <c r="Y23" s="22"/>
      <c r="Z23" s="57">
        <v>0.2505</v>
      </c>
      <c r="AA23" s="57">
        <v>0.501</v>
      </c>
      <c r="AB23" s="57">
        <v>0.75150000000000006</v>
      </c>
      <c r="AC23" s="22"/>
      <c r="AD23" s="57">
        <v>3.4300000000000004E-2</v>
      </c>
      <c r="AE23" s="57">
        <v>6.8600000000000008E-2</v>
      </c>
      <c r="AF23" s="57">
        <v>0.10290000000000002</v>
      </c>
      <c r="AG23" s="22"/>
      <c r="AH23" s="57">
        <v>-0.75</v>
      </c>
      <c r="AI23" s="57">
        <v>2.75</v>
      </c>
      <c r="AJ23" s="57">
        <v>0.75</v>
      </c>
      <c r="AK23" s="22"/>
      <c r="AL23" s="57">
        <v>-0.15</v>
      </c>
      <c r="AM23" s="57">
        <v>0.5</v>
      </c>
      <c r="AN23" s="57">
        <v>0.2</v>
      </c>
      <c r="AO23" s="22"/>
      <c r="AP23" s="23">
        <v>2</v>
      </c>
      <c r="AQ23" s="58">
        <v>0</v>
      </c>
      <c r="AR23" s="22"/>
      <c r="AS23" s="23">
        <v>300</v>
      </c>
      <c r="AT23" s="67">
        <v>0.74669983553583485</v>
      </c>
      <c r="AU23" s="67">
        <v>0.74669983553583485</v>
      </c>
      <c r="AV23" s="67">
        <v>0.7966998355358349</v>
      </c>
      <c r="AW23" s="67">
        <v>0.84669983553583494</v>
      </c>
      <c r="AX23" s="67">
        <v>0.84808514806229396</v>
      </c>
      <c r="AY23" s="67">
        <v>0.80550621669626976</v>
      </c>
      <c r="AZ23" s="67">
        <v>0.97054027611696914</v>
      </c>
      <c r="BA23" s="67">
        <v>0.88495575221238931</v>
      </c>
      <c r="BB23" s="67">
        <v>0.81994810455034439</v>
      </c>
      <c r="BC23" s="67">
        <v>0.86570000000000003</v>
      </c>
      <c r="BD23" s="67">
        <v>0.84570000000000001</v>
      </c>
      <c r="BE23" s="67">
        <v>0.84570000000000001</v>
      </c>
      <c r="BF23" s="23" t="s">
        <v>60</v>
      </c>
      <c r="BG23" s="22"/>
      <c r="BH23" s="24">
        <v>36892</v>
      </c>
      <c r="BI23" s="60">
        <v>0.9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396"/>
      <c r="CI23" s="396"/>
      <c r="CJ23" s="396"/>
      <c r="CK23" s="396"/>
      <c r="CM23" s="394"/>
      <c r="CN23" s="395"/>
      <c r="CO23" s="61"/>
      <c r="CP23"/>
      <c r="CQ23"/>
      <c r="CR23"/>
      <c r="CS23"/>
      <c r="CT23"/>
      <c r="CY23" s="282">
        <f t="shared" si="1"/>
        <v>36892</v>
      </c>
      <c r="CZ23" s="281">
        <f t="shared" si="2"/>
        <v>2</v>
      </c>
      <c r="DA23" s="281">
        <f t="shared" si="3"/>
        <v>2.75</v>
      </c>
      <c r="DB23" s="281">
        <f t="shared" si="4"/>
        <v>3.5</v>
      </c>
      <c r="DD23" s="281">
        <f t="shared" si="5"/>
        <v>0.2505</v>
      </c>
      <c r="DE23" s="281">
        <f t="shared" si="6"/>
        <v>0.501</v>
      </c>
      <c r="DF23" s="281">
        <f t="shared" si="7"/>
        <v>0.75150000000000006</v>
      </c>
      <c r="DH23" s="282">
        <f t="shared" si="8"/>
        <v>36892</v>
      </c>
      <c r="DI23" s="17">
        <f t="shared" si="9"/>
        <v>0.9</v>
      </c>
      <c r="DJ23" s="3"/>
      <c r="DK23" s="3"/>
      <c r="DP23">
        <v>5</v>
      </c>
      <c r="DQ23" s="65"/>
      <c r="DR23" s="152" t="s">
        <v>69</v>
      </c>
      <c r="DS23" s="66" t="s">
        <v>70</v>
      </c>
      <c r="DT23" s="4"/>
      <c r="DU23" s="45" t="s">
        <v>71</v>
      </c>
      <c r="DV23" s="46">
        <v>8</v>
      </c>
      <c r="DY23" s="47"/>
      <c r="DZ23" s="3"/>
      <c r="EA23" s="3"/>
      <c r="EB23" s="3"/>
      <c r="EC23" s="3"/>
      <c r="ED23" s="3"/>
    </row>
    <row r="24" spans="1:134" ht="13.8">
      <c r="A24" s="27">
        <f t="shared" ca="1" si="0"/>
        <v>37257</v>
      </c>
      <c r="B24" s="17">
        <f>'Gas Curves'!C28</f>
        <v>5.3977796992254003E-2</v>
      </c>
      <c r="C24" s="17"/>
      <c r="D24" s="55">
        <v>36811</v>
      </c>
      <c r="E24" s="56">
        <v>61.5</v>
      </c>
      <c r="F24" s="56">
        <v>62</v>
      </c>
      <c r="G24" s="56">
        <v>62.6</v>
      </c>
      <c r="H24" s="40"/>
      <c r="I24" s="56">
        <v>26.75</v>
      </c>
      <c r="J24" s="56">
        <v>27</v>
      </c>
      <c r="K24" s="56">
        <v>27.3</v>
      </c>
      <c r="L24" s="23"/>
      <c r="M24" s="24">
        <v>36923</v>
      </c>
      <c r="N24" s="57">
        <v>59.104493713378908</v>
      </c>
      <c r="O24" s="57">
        <v>59.629493713378906</v>
      </c>
      <c r="P24" s="57">
        <v>60.229493713378908</v>
      </c>
      <c r="Q24" s="22"/>
      <c r="R24" s="57">
        <v>52.003997802734375</v>
      </c>
      <c r="S24" s="57">
        <v>56.003997802734375</v>
      </c>
      <c r="T24" s="57">
        <v>56.303997802734372</v>
      </c>
      <c r="U24" s="22"/>
      <c r="V24" s="57">
        <v>2.5049979686737061</v>
      </c>
      <c r="W24" s="57">
        <v>2.5049979686737061</v>
      </c>
      <c r="X24" s="57">
        <v>2.5049979686737061</v>
      </c>
      <c r="Y24" s="22"/>
      <c r="Z24" s="57">
        <v>0.24199999999999999</v>
      </c>
      <c r="AA24" s="57">
        <v>0.48399999999999999</v>
      </c>
      <c r="AB24" s="57">
        <v>0.72599999999999998</v>
      </c>
      <c r="AC24" s="22"/>
      <c r="AD24" s="57">
        <v>3.4300000000000004E-2</v>
      </c>
      <c r="AE24" s="57">
        <v>6.8600000000000008E-2</v>
      </c>
      <c r="AF24" s="57">
        <v>0.10290000000000002</v>
      </c>
      <c r="AG24" s="22"/>
      <c r="AH24" s="57">
        <v>-0.75</v>
      </c>
      <c r="AI24" s="57">
        <v>2.75</v>
      </c>
      <c r="AJ24" s="57">
        <v>0.75</v>
      </c>
      <c r="AK24" s="22"/>
      <c r="AL24" s="57">
        <v>-0.15</v>
      </c>
      <c r="AM24" s="57">
        <v>0.5</v>
      </c>
      <c r="AN24" s="57">
        <v>0.2</v>
      </c>
      <c r="AO24" s="22"/>
      <c r="AP24" s="23">
        <v>3</v>
      </c>
      <c r="AQ24" s="58">
        <v>0.15</v>
      </c>
      <c r="AR24" s="22"/>
      <c r="AS24" s="23">
        <v>400</v>
      </c>
      <c r="AT24" s="67">
        <v>0.74619999999999997</v>
      </c>
      <c r="AU24" s="67">
        <v>0.74619999999999997</v>
      </c>
      <c r="AV24" s="67">
        <v>0.79719995084774298</v>
      </c>
      <c r="AW24" s="67">
        <v>0.84719995084774302</v>
      </c>
      <c r="AX24" s="67">
        <v>0.82222730092396068</v>
      </c>
      <c r="AY24" s="67">
        <v>0.74777975133214913</v>
      </c>
      <c r="AZ24" s="67">
        <v>0.87400804435264667</v>
      </c>
      <c r="BA24" s="67">
        <v>0.83260625701109281</v>
      </c>
      <c r="BB24" s="67">
        <v>0.83209923422568155</v>
      </c>
      <c r="BC24" s="67">
        <v>0.86619999999999997</v>
      </c>
      <c r="BD24" s="67">
        <v>0.84619999999999995</v>
      </c>
      <c r="BE24" s="67">
        <v>0.84619999999999995</v>
      </c>
      <c r="BF24" s="23" t="s">
        <v>60</v>
      </c>
      <c r="BG24" s="22"/>
      <c r="BH24" s="24">
        <v>36923</v>
      </c>
      <c r="BI24" s="60">
        <v>0.9</v>
      </c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396"/>
      <c r="CI24" s="396"/>
      <c r="CJ24" s="396"/>
      <c r="CK24" s="396"/>
      <c r="CM24" s="394"/>
      <c r="CN24" s="395"/>
      <c r="CO24" s="61"/>
      <c r="CP24"/>
      <c r="CQ24"/>
      <c r="CR24"/>
      <c r="CS24"/>
      <c r="CT24"/>
      <c r="CY24" s="282">
        <f t="shared" si="1"/>
        <v>36923</v>
      </c>
      <c r="CZ24" s="281">
        <f t="shared" si="2"/>
        <v>2</v>
      </c>
      <c r="DA24" s="281">
        <f t="shared" si="3"/>
        <v>2.75</v>
      </c>
      <c r="DB24" s="281">
        <f t="shared" si="4"/>
        <v>3.5</v>
      </c>
      <c r="DD24" s="281">
        <f t="shared" si="5"/>
        <v>0.24199999999999999</v>
      </c>
      <c r="DE24" s="281">
        <f t="shared" si="6"/>
        <v>0.48399999999999999</v>
      </c>
      <c r="DF24" s="281">
        <f t="shared" si="7"/>
        <v>0.72599999999999998</v>
      </c>
      <c r="DH24" s="282">
        <f t="shared" si="8"/>
        <v>36923</v>
      </c>
      <c r="DI24" s="17">
        <f t="shared" si="9"/>
        <v>0.9</v>
      </c>
      <c r="DJ24" s="44"/>
      <c r="DK24" s="44"/>
      <c r="DP24">
        <v>6</v>
      </c>
      <c r="DQ24" s="65"/>
      <c r="DR24" s="152" t="s">
        <v>72</v>
      </c>
      <c r="DS24" s="66" t="s">
        <v>73</v>
      </c>
      <c r="DU24" s="45" t="s">
        <v>74</v>
      </c>
      <c r="DV24" s="46">
        <v>10</v>
      </c>
      <c r="DY24" s="47"/>
      <c r="DZ24" s="44"/>
      <c r="EA24" s="44"/>
      <c r="EB24" s="44"/>
      <c r="EC24" s="44"/>
      <c r="ED24" s="44"/>
    </row>
    <row r="25" spans="1:134" ht="13.8">
      <c r="A25" s="27">
        <f t="shared" ca="1" si="0"/>
        <v>37288</v>
      </c>
      <c r="B25" s="17">
        <f>'Gas Curves'!C29</f>
        <v>5.3915348866635009E-2</v>
      </c>
      <c r="C25" s="17"/>
      <c r="D25" s="55">
        <v>36812</v>
      </c>
      <c r="E25" s="56">
        <v>61.5</v>
      </c>
      <c r="F25" s="56">
        <v>62</v>
      </c>
      <c r="G25" s="56">
        <v>62.6</v>
      </c>
      <c r="H25" s="40"/>
      <c r="I25" s="56">
        <v>26.75</v>
      </c>
      <c r="J25" s="56">
        <v>27</v>
      </c>
      <c r="K25" s="56">
        <v>27.3</v>
      </c>
      <c r="L25" s="23"/>
      <c r="M25" s="24">
        <v>36951</v>
      </c>
      <c r="N25" s="57">
        <v>43.249993896484376</v>
      </c>
      <c r="O25" s="57">
        <v>43.774993896484375</v>
      </c>
      <c r="P25" s="57">
        <v>44.374993896484376</v>
      </c>
      <c r="Q25" s="22"/>
      <c r="R25" s="57">
        <v>36.799995422363281</v>
      </c>
      <c r="S25" s="57">
        <v>40.799995422363281</v>
      </c>
      <c r="T25" s="57">
        <v>41.099995422363278</v>
      </c>
      <c r="U25" s="22"/>
      <c r="V25" s="57">
        <v>1.9999985694885254</v>
      </c>
      <c r="W25" s="57">
        <v>1.9999985694885254</v>
      </c>
      <c r="X25" s="57">
        <v>1.9999985694885254</v>
      </c>
      <c r="Y25" s="22"/>
      <c r="Z25" s="57">
        <v>0.18174999999999999</v>
      </c>
      <c r="AA25" s="57">
        <v>0.36349999999999999</v>
      </c>
      <c r="AB25" s="57">
        <v>0.54525000000000001</v>
      </c>
      <c r="AC25" s="22"/>
      <c r="AD25" s="57">
        <v>0.03</v>
      </c>
      <c r="AE25" s="57">
        <v>0.06</v>
      </c>
      <c r="AF25" s="57">
        <v>0.09</v>
      </c>
      <c r="AG25" s="22"/>
      <c r="AH25" s="57">
        <v>-0.25</v>
      </c>
      <c r="AI25" s="57">
        <v>1.6</v>
      </c>
      <c r="AJ25" s="57">
        <v>0.3</v>
      </c>
      <c r="AK25" s="22"/>
      <c r="AL25" s="57">
        <v>-0.15</v>
      </c>
      <c r="AM25" s="57">
        <v>0.35</v>
      </c>
      <c r="AN25" s="57">
        <v>0.2</v>
      </c>
      <c r="AO25" s="22"/>
      <c r="AP25" s="23">
        <v>3</v>
      </c>
      <c r="AQ25" s="58">
        <v>0.15</v>
      </c>
      <c r="AR25" s="22"/>
      <c r="AS25" s="23">
        <v>500</v>
      </c>
      <c r="AT25" s="67">
        <v>0.76649999999999996</v>
      </c>
      <c r="AU25" s="67">
        <v>0.76649999999999996</v>
      </c>
      <c r="AV25" s="67">
        <v>0.85749044781089889</v>
      </c>
      <c r="AW25" s="67">
        <v>0.90749044781089894</v>
      </c>
      <c r="AX25" s="67">
        <v>0.89013679845897664</v>
      </c>
      <c r="AY25" s="67">
        <v>0.81113084665482538</v>
      </c>
      <c r="AZ25" s="67">
        <v>0.8296553973257963</v>
      </c>
      <c r="BA25" s="67">
        <v>0.86426523744235273</v>
      </c>
      <c r="BB25" s="67">
        <v>0.89842415037022905</v>
      </c>
      <c r="BC25" s="67">
        <v>0.92649999999999999</v>
      </c>
      <c r="BD25" s="67">
        <v>0.90649999999999997</v>
      </c>
      <c r="BE25" s="67">
        <v>0.90649999999999997</v>
      </c>
      <c r="BF25" s="23" t="s">
        <v>60</v>
      </c>
      <c r="BG25" s="22"/>
      <c r="BH25" s="24">
        <v>36951</v>
      </c>
      <c r="BI25" s="60">
        <v>0.9</v>
      </c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396"/>
      <c r="CI25" s="396"/>
      <c r="CJ25" s="396"/>
      <c r="CK25" s="396"/>
      <c r="CM25" s="394"/>
      <c r="CN25" s="395"/>
      <c r="CO25" s="61"/>
      <c r="CP25"/>
      <c r="CQ25"/>
      <c r="CR25"/>
      <c r="CS25"/>
      <c r="CT25"/>
      <c r="CY25" s="282">
        <f t="shared" si="1"/>
        <v>36951</v>
      </c>
      <c r="CZ25" s="281">
        <f t="shared" si="2"/>
        <v>1.35</v>
      </c>
      <c r="DA25" s="281">
        <f t="shared" si="3"/>
        <v>1.6</v>
      </c>
      <c r="DB25" s="281">
        <f t="shared" si="4"/>
        <v>1.9000000000000001</v>
      </c>
      <c r="DD25" s="281">
        <f t="shared" si="5"/>
        <v>0.18174999999999999</v>
      </c>
      <c r="DE25" s="281">
        <f t="shared" si="6"/>
        <v>0.36349999999999999</v>
      </c>
      <c r="DF25" s="281">
        <f t="shared" si="7"/>
        <v>0.54525000000000001</v>
      </c>
      <c r="DH25" s="282">
        <f t="shared" si="8"/>
        <v>36951</v>
      </c>
      <c r="DI25" s="17">
        <f t="shared" si="9"/>
        <v>0.9</v>
      </c>
      <c r="DJ25" s="3"/>
      <c r="DK25" s="3"/>
      <c r="DP25">
        <v>7</v>
      </c>
      <c r="DQ25" s="65"/>
      <c r="DR25" s="152" t="s">
        <v>75</v>
      </c>
      <c r="DS25" s="66" t="s">
        <v>76</v>
      </c>
      <c r="DU25" s="45" t="s">
        <v>77</v>
      </c>
      <c r="DV25" s="46">
        <v>11</v>
      </c>
      <c r="DY25" s="47"/>
      <c r="DZ25" s="3"/>
      <c r="EA25" s="3"/>
      <c r="EB25" s="3"/>
      <c r="EC25" s="3"/>
      <c r="ED25" s="3"/>
    </row>
    <row r="26" spans="1:134" ht="13.8">
      <c r="A26" s="27">
        <f t="shared" ca="1" si="0"/>
        <v>37316</v>
      </c>
      <c r="B26" s="17">
        <f>'Gas Curves'!C30</f>
        <v>5.3858944109129017E-2</v>
      </c>
      <c r="C26" s="17"/>
      <c r="D26" s="55">
        <v>36813</v>
      </c>
      <c r="E26" s="56">
        <v>47.5</v>
      </c>
      <c r="F26" s="56">
        <v>48</v>
      </c>
      <c r="G26" s="56">
        <v>48.6</v>
      </c>
      <c r="H26" s="40"/>
      <c r="I26" s="56">
        <v>26.75</v>
      </c>
      <c r="J26" s="56">
        <v>27</v>
      </c>
      <c r="K26" s="56">
        <v>27.3</v>
      </c>
      <c r="L26" s="23"/>
      <c r="M26" s="24">
        <v>36982</v>
      </c>
      <c r="N26" s="57">
        <v>42.424998474121097</v>
      </c>
      <c r="O26" s="57">
        <v>43.099998474121094</v>
      </c>
      <c r="P26" s="57">
        <v>43.699998474121095</v>
      </c>
      <c r="Q26" s="22"/>
      <c r="R26" s="57">
        <v>36.199996948242188</v>
      </c>
      <c r="S26" s="57">
        <v>40.199996948242188</v>
      </c>
      <c r="T26" s="57">
        <v>40.499996948242185</v>
      </c>
      <c r="U26" s="22"/>
      <c r="V26" s="57">
        <v>2.1500005722045898</v>
      </c>
      <c r="W26" s="57">
        <v>2.1500005722045898</v>
      </c>
      <c r="X26" s="57">
        <v>2.1500005722045898</v>
      </c>
      <c r="Y26" s="22"/>
      <c r="Z26" s="57">
        <v>0.18149999999999999</v>
      </c>
      <c r="AA26" s="57">
        <v>0.36299999999999999</v>
      </c>
      <c r="AB26" s="57">
        <v>0.54449999999999998</v>
      </c>
      <c r="AC26" s="22"/>
      <c r="AD26" s="57">
        <v>0.03</v>
      </c>
      <c r="AE26" s="57">
        <v>0.06</v>
      </c>
      <c r="AF26" s="57">
        <v>0.09</v>
      </c>
      <c r="AG26" s="22"/>
      <c r="AH26" s="57">
        <v>-0.25</v>
      </c>
      <c r="AI26" s="57">
        <v>1.7</v>
      </c>
      <c r="AJ26" s="57">
        <v>0.3</v>
      </c>
      <c r="AK26" s="22"/>
      <c r="AL26" s="57">
        <v>-0.15</v>
      </c>
      <c r="AM26" s="57">
        <v>0.35</v>
      </c>
      <c r="AN26" s="57">
        <v>0.2</v>
      </c>
      <c r="AO26" s="22"/>
      <c r="AP26" s="23">
        <v>3</v>
      </c>
      <c r="AQ26" s="58">
        <v>0.15</v>
      </c>
      <c r="AR26" s="22"/>
      <c r="AS26" s="23">
        <v>600</v>
      </c>
      <c r="AT26" s="67">
        <v>0.82339999999999991</v>
      </c>
      <c r="AU26" s="67">
        <v>0.82339999999999991</v>
      </c>
      <c r="AV26" s="67">
        <v>0.99535202187631988</v>
      </c>
      <c r="AW26" s="67">
        <v>1.0453520218763199</v>
      </c>
      <c r="AX26" s="67">
        <v>1.079238630056482</v>
      </c>
      <c r="AY26" s="67">
        <v>0.98963883955002951</v>
      </c>
      <c r="AZ26" s="67">
        <v>0.91466463746059334</v>
      </c>
      <c r="BA26" s="67">
        <v>0.960239311978063</v>
      </c>
      <c r="BB26" s="67">
        <v>1.0396810328460215</v>
      </c>
      <c r="BC26" s="67">
        <v>1.0644</v>
      </c>
      <c r="BD26" s="67">
        <v>1.0444</v>
      </c>
      <c r="BE26" s="67">
        <v>1.0444</v>
      </c>
      <c r="BF26" s="23" t="s">
        <v>60</v>
      </c>
      <c r="BG26" s="22"/>
      <c r="BH26" s="24">
        <v>36982</v>
      </c>
      <c r="BI26" s="60">
        <v>0.9</v>
      </c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396"/>
      <c r="CI26" s="396"/>
      <c r="CJ26" s="396"/>
      <c r="CK26" s="396"/>
      <c r="CM26" s="397"/>
      <c r="CN26" s="395"/>
      <c r="CO26" s="61"/>
      <c r="CP26"/>
      <c r="CQ26"/>
      <c r="CR26"/>
      <c r="CS26"/>
      <c r="CT26"/>
      <c r="CY26" s="282">
        <f t="shared" si="1"/>
        <v>36982</v>
      </c>
      <c r="CZ26" s="281">
        <f t="shared" si="2"/>
        <v>1.45</v>
      </c>
      <c r="DA26" s="281">
        <f t="shared" si="3"/>
        <v>1.7</v>
      </c>
      <c r="DB26" s="281">
        <f t="shared" si="4"/>
        <v>2</v>
      </c>
      <c r="DD26" s="281">
        <f t="shared" si="5"/>
        <v>0.18149999999999999</v>
      </c>
      <c r="DE26" s="281">
        <f t="shared" si="6"/>
        <v>0.36299999999999999</v>
      </c>
      <c r="DF26" s="281">
        <f t="shared" si="7"/>
        <v>0.54449999999999998</v>
      </c>
      <c r="DH26" s="282">
        <f t="shared" si="8"/>
        <v>36982</v>
      </c>
      <c r="DI26" s="17">
        <f t="shared" si="9"/>
        <v>0.9</v>
      </c>
      <c r="DJ26" s="44"/>
      <c r="DK26" s="44"/>
      <c r="DP26">
        <v>8</v>
      </c>
      <c r="DQ26" s="81"/>
      <c r="DR26" s="153" t="s">
        <v>78</v>
      </c>
      <c r="DS26" s="82" t="s">
        <v>79</v>
      </c>
      <c r="DT26" s="23"/>
      <c r="DU26" s="45" t="s">
        <v>80</v>
      </c>
      <c r="DV26" s="46">
        <v>12</v>
      </c>
      <c r="DY26" s="47"/>
      <c r="DZ26" s="44"/>
      <c r="EA26" s="44"/>
      <c r="EB26" s="44"/>
      <c r="EC26" s="44"/>
      <c r="ED26" s="44"/>
    </row>
    <row r="27" spans="1:134" ht="13.8">
      <c r="A27" s="27">
        <f t="shared" ca="1" si="0"/>
        <v>37347</v>
      </c>
      <c r="B27" s="17">
        <f>'Gas Curves'!C31</f>
        <v>5.3811179361892003E-2</v>
      </c>
      <c r="C27" s="17"/>
      <c r="D27" s="55">
        <v>36814</v>
      </c>
      <c r="E27" s="56">
        <v>47.5</v>
      </c>
      <c r="F27" s="56">
        <v>48</v>
      </c>
      <c r="G27" s="56">
        <v>48.6</v>
      </c>
      <c r="H27" s="40"/>
      <c r="I27" s="56">
        <v>26.75</v>
      </c>
      <c r="J27" s="56">
        <v>27</v>
      </c>
      <c r="K27" s="56">
        <v>27.3</v>
      </c>
      <c r="L27" s="23"/>
      <c r="M27" s="24">
        <v>37012</v>
      </c>
      <c r="N27" s="57">
        <v>46.02499694824219</v>
      </c>
      <c r="O27" s="57">
        <v>46.699996948242188</v>
      </c>
      <c r="P27" s="57">
        <v>47.824996948242188</v>
      </c>
      <c r="Q27" s="22"/>
      <c r="R27" s="57">
        <v>39.399997711181641</v>
      </c>
      <c r="S27" s="57">
        <v>43.399997711181641</v>
      </c>
      <c r="T27" s="57">
        <v>43.962497711181641</v>
      </c>
      <c r="U27" s="22"/>
      <c r="V27" s="57">
        <v>2.2500004768371582</v>
      </c>
      <c r="W27" s="57">
        <v>2.2500004768371582</v>
      </c>
      <c r="X27" s="57">
        <v>2.2500004768371582</v>
      </c>
      <c r="Y27" s="22"/>
      <c r="Z27" s="57">
        <v>0.20850000000000002</v>
      </c>
      <c r="AA27" s="57">
        <v>0.41700000000000004</v>
      </c>
      <c r="AB27" s="57">
        <v>0.62550000000000006</v>
      </c>
      <c r="AC27" s="22"/>
      <c r="AD27" s="57">
        <v>3.4300000000000004E-2</v>
      </c>
      <c r="AE27" s="57">
        <v>6.8600000000000008E-2</v>
      </c>
      <c r="AF27" s="57">
        <v>0.10290000000000002</v>
      </c>
      <c r="AG27" s="22"/>
      <c r="AH27" s="57">
        <v>-0.25</v>
      </c>
      <c r="AI27" s="57">
        <v>2</v>
      </c>
      <c r="AJ27" s="57">
        <v>0.3</v>
      </c>
      <c r="AK27" s="22"/>
      <c r="AL27" s="57">
        <v>-0.15</v>
      </c>
      <c r="AM27" s="57">
        <v>0.5</v>
      </c>
      <c r="AN27" s="57">
        <v>0.2</v>
      </c>
      <c r="AO27" s="22"/>
      <c r="AP27" s="23">
        <v>4</v>
      </c>
      <c r="AQ27" s="58">
        <v>0.15</v>
      </c>
      <c r="AR27" s="22"/>
      <c r="AS27" s="23">
        <v>700</v>
      </c>
      <c r="AT27" s="67">
        <v>2.0299999999999998</v>
      </c>
      <c r="AU27" s="67">
        <v>2.0299999999999998</v>
      </c>
      <c r="AV27" s="67">
        <v>1.7959999999999998</v>
      </c>
      <c r="AW27" s="67">
        <v>1.4909756812084298</v>
      </c>
      <c r="AX27" s="67">
        <v>1.2913252146658396</v>
      </c>
      <c r="AY27" s="67">
        <v>1.134695085849615</v>
      </c>
      <c r="AZ27" s="67">
        <v>1.0157625828894443</v>
      </c>
      <c r="BA27" s="67">
        <v>1.1172877975819515</v>
      </c>
      <c r="BB27" s="67">
        <v>1.4138345674324397</v>
      </c>
      <c r="BC27" s="67">
        <v>1.3759999999999999</v>
      </c>
      <c r="BD27" s="67">
        <v>1.496</v>
      </c>
      <c r="BE27" s="67">
        <v>1.496</v>
      </c>
      <c r="BF27" s="23" t="s">
        <v>60</v>
      </c>
      <c r="BG27" s="22"/>
      <c r="BH27" s="24">
        <v>37012</v>
      </c>
      <c r="BI27" s="60">
        <v>0.9</v>
      </c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396"/>
      <c r="CI27" s="396"/>
      <c r="CJ27" s="396"/>
      <c r="CK27" s="396"/>
      <c r="CM27" s="397"/>
      <c r="CN27" s="395"/>
      <c r="CO27" s="61"/>
      <c r="CP27"/>
      <c r="CQ27"/>
      <c r="CR27"/>
      <c r="CS27"/>
      <c r="CT27"/>
      <c r="CY27" s="282">
        <f t="shared" si="1"/>
        <v>37012</v>
      </c>
      <c r="CZ27" s="281">
        <f t="shared" si="2"/>
        <v>1.75</v>
      </c>
      <c r="DA27" s="281">
        <f t="shared" si="3"/>
        <v>2</v>
      </c>
      <c r="DB27" s="281">
        <f t="shared" si="4"/>
        <v>2.2999999999999998</v>
      </c>
      <c r="DD27" s="281">
        <f t="shared" si="5"/>
        <v>0.20850000000000002</v>
      </c>
      <c r="DE27" s="281">
        <f t="shared" si="6"/>
        <v>0.41700000000000004</v>
      </c>
      <c r="DF27" s="281">
        <f t="shared" si="7"/>
        <v>0.62550000000000006</v>
      </c>
      <c r="DH27" s="282">
        <f t="shared" si="8"/>
        <v>37012</v>
      </c>
      <c r="DI27" s="17">
        <f t="shared" si="9"/>
        <v>0.9</v>
      </c>
      <c r="DJ27" s="44"/>
      <c r="DK27" s="44"/>
      <c r="DP27">
        <v>9</v>
      </c>
      <c r="DQ27" s="32"/>
      <c r="DR27" s="438" t="s">
        <v>1437</v>
      </c>
      <c r="DS27" s="439" t="s">
        <v>1438</v>
      </c>
      <c r="DT27" s="23"/>
      <c r="DU27" s="45" t="s">
        <v>83</v>
      </c>
      <c r="DV27" s="46">
        <v>14</v>
      </c>
      <c r="DY27" s="47"/>
      <c r="DZ27" s="44"/>
      <c r="EA27" s="44"/>
      <c r="EB27" s="44"/>
      <c r="EC27" s="44"/>
      <c r="ED27" s="44"/>
    </row>
    <row r="28" spans="1:134" ht="14.4" thickBot="1">
      <c r="A28" s="27">
        <f t="shared" ca="1" si="0"/>
        <v>37377</v>
      </c>
      <c r="B28" s="17">
        <f>'Gas Curves'!C32</f>
        <v>5.3783211531939011E-2</v>
      </c>
      <c r="C28" s="17"/>
      <c r="D28" s="55">
        <v>36815</v>
      </c>
      <c r="E28" s="56">
        <v>63.25</v>
      </c>
      <c r="F28" s="56">
        <v>63.75</v>
      </c>
      <c r="G28" s="56">
        <v>64.349999999999994</v>
      </c>
      <c r="H28" s="40"/>
      <c r="I28" s="56">
        <v>26.75</v>
      </c>
      <c r="J28" s="56">
        <v>27</v>
      </c>
      <c r="K28" s="56">
        <v>27.3</v>
      </c>
      <c r="L28" s="23"/>
      <c r="M28" s="24">
        <v>37043</v>
      </c>
      <c r="N28" s="57">
        <v>53.050001525878905</v>
      </c>
      <c r="O28" s="57">
        <v>54.400001525878906</v>
      </c>
      <c r="P28" s="57">
        <v>56.125001525878908</v>
      </c>
      <c r="Q28" s="22"/>
      <c r="R28" s="57">
        <v>45.800003051757813</v>
      </c>
      <c r="S28" s="57">
        <v>49.800003051757813</v>
      </c>
      <c r="T28" s="57">
        <v>50.66250305175781</v>
      </c>
      <c r="U28" s="22"/>
      <c r="V28" s="57">
        <v>2.450000524520874</v>
      </c>
      <c r="W28" s="57">
        <v>2.450000524520874</v>
      </c>
      <c r="X28" s="57">
        <v>2.450000524520874</v>
      </c>
      <c r="Y28" s="22"/>
      <c r="Z28" s="57">
        <v>0.25524999999999998</v>
      </c>
      <c r="AA28" s="57">
        <v>0.51049999999999995</v>
      </c>
      <c r="AB28" s="57">
        <v>0.76574999999999993</v>
      </c>
      <c r="AC28" s="22"/>
      <c r="AD28" s="57">
        <v>4.41E-2</v>
      </c>
      <c r="AE28" s="57">
        <v>8.8200000000000001E-2</v>
      </c>
      <c r="AF28" s="57">
        <v>0.1323</v>
      </c>
      <c r="AG28" s="22"/>
      <c r="AH28" s="57">
        <v>-0.35</v>
      </c>
      <c r="AI28" s="57">
        <v>3.25</v>
      </c>
      <c r="AJ28" s="57">
        <v>0.3</v>
      </c>
      <c r="AK28" s="22"/>
      <c r="AL28" s="57">
        <v>-0.15</v>
      </c>
      <c r="AM28" s="57">
        <v>0.65</v>
      </c>
      <c r="AN28" s="57">
        <v>0.2</v>
      </c>
      <c r="AO28" s="22"/>
      <c r="AP28" s="23">
        <v>4</v>
      </c>
      <c r="AQ28" s="58">
        <v>0.15</v>
      </c>
      <c r="AR28" s="22"/>
      <c r="AS28" s="23">
        <v>800</v>
      </c>
      <c r="AT28" s="67">
        <v>1.1000000000000001</v>
      </c>
      <c r="AU28" s="67">
        <v>1.1000000000000001</v>
      </c>
      <c r="AV28" s="67">
        <v>1.1358999999999999</v>
      </c>
      <c r="AW28" s="67">
        <v>1.1232726508202047</v>
      </c>
      <c r="AX28" s="67">
        <v>0.75</v>
      </c>
      <c r="AY28" s="67">
        <v>0.55000000000000004</v>
      </c>
      <c r="AZ28" s="67">
        <v>0.4</v>
      </c>
      <c r="BA28" s="67">
        <v>0.4</v>
      </c>
      <c r="BB28" s="67">
        <v>0.65</v>
      </c>
      <c r="BC28" s="67">
        <v>1.0615000000000001</v>
      </c>
      <c r="BD28" s="67">
        <v>1.0714999999999999</v>
      </c>
      <c r="BE28" s="67">
        <v>1.0874999999999999</v>
      </c>
      <c r="BF28" s="23" t="s">
        <v>52</v>
      </c>
      <c r="BG28" s="22"/>
      <c r="BH28" s="24">
        <v>37043</v>
      </c>
      <c r="BI28" s="60">
        <v>0.9</v>
      </c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396"/>
      <c r="CI28" s="396"/>
      <c r="CJ28" s="396"/>
      <c r="CK28" s="396"/>
      <c r="CM28" s="397"/>
      <c r="CN28" s="395"/>
      <c r="CO28" s="61"/>
      <c r="CP28"/>
      <c r="CQ28"/>
      <c r="CR28"/>
      <c r="CS28"/>
      <c r="CT28"/>
      <c r="CY28" s="282">
        <f t="shared" si="1"/>
        <v>37043</v>
      </c>
      <c r="CZ28" s="281">
        <f t="shared" si="2"/>
        <v>2.9</v>
      </c>
      <c r="DA28" s="281">
        <f t="shared" si="3"/>
        <v>3.25</v>
      </c>
      <c r="DB28" s="281">
        <f t="shared" si="4"/>
        <v>3.55</v>
      </c>
      <c r="DD28" s="281">
        <f t="shared" si="5"/>
        <v>0.25524999999999998</v>
      </c>
      <c r="DE28" s="281">
        <f t="shared" si="6"/>
        <v>0.51049999999999995</v>
      </c>
      <c r="DF28" s="281">
        <f t="shared" si="7"/>
        <v>0.76574999999999993</v>
      </c>
      <c r="DH28" s="282">
        <f t="shared" si="8"/>
        <v>37043</v>
      </c>
      <c r="DI28" s="17">
        <f t="shared" si="9"/>
        <v>0.9</v>
      </c>
      <c r="DP28">
        <v>10</v>
      </c>
      <c r="DQ28" s="436" t="s">
        <v>81</v>
      </c>
      <c r="DR28" s="433" t="s">
        <v>82</v>
      </c>
      <c r="DS28" s="437" t="s">
        <v>60</v>
      </c>
      <c r="DT28" s="23"/>
      <c r="DU28" s="68" t="s">
        <v>87</v>
      </c>
      <c r="DV28" s="69">
        <v>15</v>
      </c>
      <c r="DY28" s="47"/>
    </row>
    <row r="29" spans="1:134" ht="14.4" thickBot="1">
      <c r="A29" s="27">
        <f t="shared" ca="1" si="0"/>
        <v>37408</v>
      </c>
      <c r="B29" s="17">
        <f>'Gas Curves'!C33</f>
        <v>5.3754311441261013E-2</v>
      </c>
      <c r="C29" s="17"/>
      <c r="D29" s="55">
        <v>36816</v>
      </c>
      <c r="E29" s="56">
        <v>63.25</v>
      </c>
      <c r="F29" s="56">
        <v>63.75</v>
      </c>
      <c r="G29" s="56">
        <v>64.349999999999994</v>
      </c>
      <c r="H29" s="40"/>
      <c r="I29" s="56">
        <v>26.75</v>
      </c>
      <c r="J29" s="56">
        <v>27</v>
      </c>
      <c r="K29" s="56">
        <v>27.3</v>
      </c>
      <c r="L29" s="23"/>
      <c r="M29" s="24">
        <v>37073</v>
      </c>
      <c r="N29" s="57">
        <v>61.2</v>
      </c>
      <c r="O29" s="57">
        <v>64.5</v>
      </c>
      <c r="P29" s="57">
        <v>68.174999999999997</v>
      </c>
      <c r="Q29" s="22"/>
      <c r="R29" s="57">
        <v>54</v>
      </c>
      <c r="S29" s="57">
        <v>58</v>
      </c>
      <c r="T29" s="57">
        <v>59.837499999999999</v>
      </c>
      <c r="U29" s="22"/>
      <c r="V29" s="57">
        <v>2.7499988079071045</v>
      </c>
      <c r="W29" s="57">
        <v>2.7499988079071045</v>
      </c>
      <c r="X29" s="57">
        <v>2.7499988079071045</v>
      </c>
      <c r="Y29" s="22"/>
      <c r="Z29" s="57">
        <v>0.28525</v>
      </c>
      <c r="AA29" s="57">
        <v>0.57050000000000001</v>
      </c>
      <c r="AB29" s="57">
        <v>0.85575000000000001</v>
      </c>
      <c r="AC29" s="22"/>
      <c r="AD29" s="57">
        <v>5.8799999999999998E-2</v>
      </c>
      <c r="AE29" s="57">
        <v>0.1176</v>
      </c>
      <c r="AF29" s="57">
        <v>0.1764</v>
      </c>
      <c r="AG29" s="22"/>
      <c r="AH29" s="57">
        <v>-0.35</v>
      </c>
      <c r="AI29" s="57">
        <v>5</v>
      </c>
      <c r="AJ29" s="57">
        <v>0.5</v>
      </c>
      <c r="AK29" s="22"/>
      <c r="AL29" s="57">
        <v>-0.15</v>
      </c>
      <c r="AM29" s="57">
        <v>0.75</v>
      </c>
      <c r="AN29" s="57">
        <v>0.2</v>
      </c>
      <c r="AO29" s="22"/>
      <c r="AP29" s="23">
        <v>4</v>
      </c>
      <c r="AQ29" s="58">
        <v>0.15</v>
      </c>
      <c r="AR29" s="22"/>
      <c r="AS29" s="23">
        <v>900</v>
      </c>
      <c r="AT29" s="67">
        <v>1.3</v>
      </c>
      <c r="AU29" s="67">
        <v>1.3</v>
      </c>
      <c r="AV29" s="67">
        <v>1.1898</v>
      </c>
      <c r="AW29" s="67">
        <v>1.1413154461256174</v>
      </c>
      <c r="AX29" s="67">
        <v>0.75</v>
      </c>
      <c r="AY29" s="67">
        <v>0.55000000000000004</v>
      </c>
      <c r="AZ29" s="67">
        <v>0.4</v>
      </c>
      <c r="BA29" s="67">
        <v>0.4</v>
      </c>
      <c r="BB29" s="67">
        <v>0.65</v>
      </c>
      <c r="BC29" s="67">
        <v>1.1326000000000001</v>
      </c>
      <c r="BD29" s="67">
        <v>1.1426000000000001</v>
      </c>
      <c r="BE29" s="67">
        <v>1.1637999999999999</v>
      </c>
      <c r="BF29" s="23" t="s">
        <v>52</v>
      </c>
      <c r="BG29" s="22"/>
      <c r="BH29" s="24">
        <v>37073</v>
      </c>
      <c r="BI29" s="60">
        <v>0.9</v>
      </c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396"/>
      <c r="CI29" s="3"/>
      <c r="CJ29" s="3"/>
      <c r="CK29" s="3"/>
      <c r="CM29" s="397"/>
      <c r="CN29" s="395"/>
      <c r="CO29" s="61"/>
      <c r="CP29"/>
      <c r="CQ29"/>
      <c r="CR29"/>
      <c r="CS29"/>
      <c r="CT29"/>
      <c r="CY29" s="282">
        <f t="shared" si="1"/>
        <v>37073</v>
      </c>
      <c r="CZ29" s="281">
        <f t="shared" si="2"/>
        <v>4.6500000000000004</v>
      </c>
      <c r="DA29" s="281">
        <f t="shared" si="3"/>
        <v>5</v>
      </c>
      <c r="DB29" s="281">
        <f t="shared" si="4"/>
        <v>5.5</v>
      </c>
      <c r="DD29" s="281">
        <f t="shared" si="5"/>
        <v>0.28525</v>
      </c>
      <c r="DE29" s="281">
        <f t="shared" si="6"/>
        <v>0.57050000000000001</v>
      </c>
      <c r="DF29" s="281">
        <f t="shared" si="7"/>
        <v>0.85575000000000001</v>
      </c>
      <c r="DH29" s="282">
        <f t="shared" si="8"/>
        <v>37073</v>
      </c>
      <c r="DI29" s="17">
        <f t="shared" si="9"/>
        <v>0.9</v>
      </c>
      <c r="DP29">
        <v>11</v>
      </c>
      <c r="DQ29" s="65" t="s">
        <v>84</v>
      </c>
      <c r="DR29" s="152" t="s">
        <v>85</v>
      </c>
      <c r="DS29" s="66" t="s">
        <v>86</v>
      </c>
      <c r="DT29" s="23"/>
      <c r="DU29" s="70" t="s">
        <v>91</v>
      </c>
      <c r="DY29" s="47"/>
    </row>
    <row r="30" spans="1:134" ht="13.8">
      <c r="A30" s="27">
        <f t="shared" ca="1" si="0"/>
        <v>37438</v>
      </c>
      <c r="B30" s="17">
        <f>'Gas Curves'!C34</f>
        <v>5.3753867875072019E-2</v>
      </c>
      <c r="C30" s="17"/>
      <c r="D30" s="55">
        <v>36817</v>
      </c>
      <c r="E30" s="56">
        <v>63.25</v>
      </c>
      <c r="F30" s="56">
        <v>63.75</v>
      </c>
      <c r="G30" s="56">
        <v>64.349999999999994</v>
      </c>
      <c r="H30" s="40"/>
      <c r="I30" s="56">
        <v>26.75</v>
      </c>
      <c r="J30" s="56">
        <v>27</v>
      </c>
      <c r="K30" s="56">
        <v>27.3</v>
      </c>
      <c r="L30" s="23"/>
      <c r="M30" s="24">
        <v>37104</v>
      </c>
      <c r="N30" s="57">
        <v>58.850001525878909</v>
      </c>
      <c r="O30" s="57">
        <v>62.150001525878906</v>
      </c>
      <c r="P30" s="57">
        <v>65.825001525878903</v>
      </c>
      <c r="Q30" s="22"/>
      <c r="R30" s="57">
        <v>51.700000762939453</v>
      </c>
      <c r="S30" s="57">
        <v>55.700000762939453</v>
      </c>
      <c r="T30" s="57">
        <v>57.537500762939452</v>
      </c>
      <c r="U30" s="22"/>
      <c r="V30" s="57">
        <v>2.75</v>
      </c>
      <c r="W30" s="57">
        <v>2.75</v>
      </c>
      <c r="X30" s="57">
        <v>2.75</v>
      </c>
      <c r="Y30" s="22"/>
      <c r="Z30" s="57">
        <v>0.27900000000000003</v>
      </c>
      <c r="AA30" s="57">
        <v>0.55800000000000005</v>
      </c>
      <c r="AB30" s="57">
        <v>0.83700000000000008</v>
      </c>
      <c r="AC30" s="22"/>
      <c r="AD30" s="57">
        <v>5.8799999999999998E-2</v>
      </c>
      <c r="AE30" s="57">
        <v>0.1176</v>
      </c>
      <c r="AF30" s="57">
        <v>0.1764</v>
      </c>
      <c r="AG30" s="22"/>
      <c r="AH30" s="57">
        <v>-0.35</v>
      </c>
      <c r="AI30" s="57">
        <v>5</v>
      </c>
      <c r="AJ30" s="57">
        <v>0.5</v>
      </c>
      <c r="AK30" s="22"/>
      <c r="AL30" s="57">
        <v>-0.15</v>
      </c>
      <c r="AM30" s="57">
        <v>0.75</v>
      </c>
      <c r="AN30" s="57">
        <v>0.2</v>
      </c>
      <c r="AO30" s="22"/>
      <c r="AP30" s="23">
        <v>5</v>
      </c>
      <c r="AQ30" s="58">
        <v>0.15</v>
      </c>
      <c r="AR30" s="22"/>
      <c r="AS30" s="23">
        <v>1000</v>
      </c>
      <c r="AT30" s="67">
        <v>1.3</v>
      </c>
      <c r="AU30" s="67">
        <v>1.3</v>
      </c>
      <c r="AV30" s="67">
        <v>1.1861999999999999</v>
      </c>
      <c r="AW30" s="67">
        <v>1.09378612004454</v>
      </c>
      <c r="AX30" s="67">
        <v>0.75</v>
      </c>
      <c r="AY30" s="67">
        <v>0.55000000000000004</v>
      </c>
      <c r="AZ30" s="67">
        <v>0.4</v>
      </c>
      <c r="BA30" s="67">
        <v>0.4</v>
      </c>
      <c r="BB30" s="67">
        <v>0.65</v>
      </c>
      <c r="BC30" s="67">
        <v>1.1291</v>
      </c>
      <c r="BD30" s="67">
        <v>1.1352</v>
      </c>
      <c r="BE30" s="67">
        <v>1.1578999999999999</v>
      </c>
      <c r="BF30" s="23" t="s">
        <v>52</v>
      </c>
      <c r="BG30" s="22"/>
      <c r="BH30" s="24">
        <v>37104</v>
      </c>
      <c r="BI30" s="60">
        <v>0.9</v>
      </c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396"/>
      <c r="CI30" s="3"/>
      <c r="CJ30" s="3"/>
      <c r="CK30" s="3"/>
      <c r="CM30" s="397"/>
      <c r="CN30" s="395"/>
      <c r="CO30" s="61"/>
      <c r="CP30"/>
      <c r="CQ30"/>
      <c r="CR30"/>
      <c r="CS30"/>
      <c r="CT30"/>
      <c r="CY30" s="282">
        <f t="shared" si="1"/>
        <v>37104</v>
      </c>
      <c r="CZ30" s="281">
        <f t="shared" si="2"/>
        <v>4.6500000000000004</v>
      </c>
      <c r="DA30" s="281">
        <f t="shared" si="3"/>
        <v>5</v>
      </c>
      <c r="DB30" s="281">
        <f t="shared" si="4"/>
        <v>5.5</v>
      </c>
      <c r="DD30" s="281">
        <f t="shared" si="5"/>
        <v>0.27900000000000003</v>
      </c>
      <c r="DE30" s="281">
        <f t="shared" si="6"/>
        <v>0.55800000000000005</v>
      </c>
      <c r="DF30" s="281">
        <f t="shared" si="7"/>
        <v>0.83700000000000008</v>
      </c>
      <c r="DH30" s="282">
        <f t="shared" si="8"/>
        <v>37104</v>
      </c>
      <c r="DI30" s="17">
        <f t="shared" si="9"/>
        <v>0.9</v>
      </c>
      <c r="DP30">
        <v>12</v>
      </c>
      <c r="DQ30" s="65" t="s">
        <v>88</v>
      </c>
      <c r="DR30" s="152" t="s">
        <v>89</v>
      </c>
      <c r="DS30" s="66" t="s">
        <v>90</v>
      </c>
      <c r="DT30" s="23"/>
      <c r="DY30" s="47"/>
    </row>
    <row r="31" spans="1:134" ht="13.8">
      <c r="A31" s="27">
        <f t="shared" ca="1" si="0"/>
        <v>37469</v>
      </c>
      <c r="B31" s="17">
        <f>'Gas Curves'!C35</f>
        <v>5.3798596544218022E-2</v>
      </c>
      <c r="C31" s="17"/>
      <c r="D31" s="55">
        <v>36818</v>
      </c>
      <c r="E31" s="56">
        <v>63.25</v>
      </c>
      <c r="F31" s="56">
        <v>63.75</v>
      </c>
      <c r="G31" s="56">
        <v>64.349999999999994</v>
      </c>
      <c r="H31" s="40"/>
      <c r="I31" s="56">
        <v>26.75</v>
      </c>
      <c r="J31" s="56">
        <v>27</v>
      </c>
      <c r="K31" s="56">
        <v>27.3</v>
      </c>
      <c r="L31" s="23"/>
      <c r="M31" s="24">
        <v>37135</v>
      </c>
      <c r="N31" s="57">
        <v>30.575001144409178</v>
      </c>
      <c r="O31" s="57">
        <v>31.92500114440918</v>
      </c>
      <c r="P31" s="57">
        <v>33.05000114440918</v>
      </c>
      <c r="Q31" s="22"/>
      <c r="R31" s="57">
        <v>25.400001525878906</v>
      </c>
      <c r="S31" s="57">
        <v>29.400001525878906</v>
      </c>
      <c r="T31" s="57">
        <v>29.962501525878906</v>
      </c>
      <c r="U31" s="22"/>
      <c r="V31" s="57">
        <v>2.2500004768371582</v>
      </c>
      <c r="W31" s="57">
        <v>2.2500004768371582</v>
      </c>
      <c r="X31" s="57">
        <v>2.2500004768371582</v>
      </c>
      <c r="Y31" s="22"/>
      <c r="Z31" s="57">
        <v>0.19025</v>
      </c>
      <c r="AA31" s="57">
        <v>0.3805</v>
      </c>
      <c r="AB31" s="57">
        <v>0.57074999999999998</v>
      </c>
      <c r="AC31" s="22"/>
      <c r="AD31" s="57">
        <v>3.9199999999999999E-2</v>
      </c>
      <c r="AE31" s="57">
        <v>7.8399999999999997E-2</v>
      </c>
      <c r="AF31" s="57">
        <v>0.1176</v>
      </c>
      <c r="AG31" s="22"/>
      <c r="AH31" s="57">
        <v>-0.35</v>
      </c>
      <c r="AI31" s="57">
        <v>2.2000000000000002</v>
      </c>
      <c r="AJ31" s="57">
        <v>0.3</v>
      </c>
      <c r="AK31" s="22"/>
      <c r="AL31" s="57">
        <v>-0.15</v>
      </c>
      <c r="AM31" s="57">
        <v>0.4</v>
      </c>
      <c r="AN31" s="57">
        <v>0.2</v>
      </c>
      <c r="AO31" s="22"/>
      <c r="AP31" s="23">
        <v>5</v>
      </c>
      <c r="AQ31" s="58">
        <v>0.15</v>
      </c>
      <c r="AR31" s="22"/>
      <c r="AS31" s="23">
        <v>1100</v>
      </c>
      <c r="AT31" s="67">
        <v>0.8</v>
      </c>
      <c r="AU31" s="67">
        <v>0.8</v>
      </c>
      <c r="AV31" s="67">
        <v>1.1653</v>
      </c>
      <c r="AW31" s="67">
        <v>1.1163355903593366</v>
      </c>
      <c r="AX31" s="67">
        <v>0.75</v>
      </c>
      <c r="AY31" s="67">
        <v>0.55000000000000004</v>
      </c>
      <c r="AZ31" s="67">
        <v>0.4</v>
      </c>
      <c r="BA31" s="67">
        <v>0.4</v>
      </c>
      <c r="BB31" s="67">
        <v>0.65</v>
      </c>
      <c r="BC31" s="67">
        <v>1.1227</v>
      </c>
      <c r="BD31" s="67">
        <v>1.1133</v>
      </c>
      <c r="BE31" s="67">
        <v>1.1327</v>
      </c>
      <c r="BF31" s="23" t="s">
        <v>52</v>
      </c>
      <c r="BG31" s="22"/>
      <c r="BH31" s="24">
        <v>37135</v>
      </c>
      <c r="BI31" s="60">
        <v>0.9</v>
      </c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396"/>
      <c r="CI31" s="3"/>
      <c r="CJ31" s="3"/>
      <c r="CK31" s="3"/>
      <c r="CM31" s="397"/>
      <c r="CN31" s="395"/>
      <c r="CO31" s="61"/>
      <c r="CP31"/>
      <c r="CQ31"/>
      <c r="CR31"/>
      <c r="CS31"/>
      <c r="CT31"/>
      <c r="CY31" s="282">
        <f t="shared" si="1"/>
        <v>37135</v>
      </c>
      <c r="CZ31" s="281">
        <f t="shared" si="2"/>
        <v>1.85</v>
      </c>
      <c r="DA31" s="281">
        <f t="shared" si="3"/>
        <v>2.2000000000000002</v>
      </c>
      <c r="DB31" s="281">
        <f t="shared" si="4"/>
        <v>2.5</v>
      </c>
      <c r="DD31" s="281">
        <f t="shared" si="5"/>
        <v>0.19025</v>
      </c>
      <c r="DE31" s="281">
        <f t="shared" si="6"/>
        <v>0.3805</v>
      </c>
      <c r="DF31" s="281">
        <f t="shared" si="7"/>
        <v>0.57074999999999998</v>
      </c>
      <c r="DH31" s="282">
        <f t="shared" si="8"/>
        <v>37135</v>
      </c>
      <c r="DI31" s="17">
        <f t="shared" si="9"/>
        <v>0.9</v>
      </c>
      <c r="DP31">
        <v>13</v>
      </c>
      <c r="DQ31" s="65" t="s">
        <v>92</v>
      </c>
      <c r="DR31" s="152" t="s">
        <v>93</v>
      </c>
      <c r="DS31" s="66" t="s">
        <v>94</v>
      </c>
      <c r="DT31" s="23"/>
      <c r="DU31" s="145"/>
      <c r="DV31" s="146"/>
      <c r="DW31" s="147"/>
      <c r="DX31" s="147"/>
      <c r="DY31" s="47"/>
    </row>
    <row r="32" spans="1:134" ht="13.8">
      <c r="A32" s="27">
        <f t="shared" ca="1" si="0"/>
        <v>37500</v>
      </c>
      <c r="B32" s="17">
        <f>'Gas Curves'!C36</f>
        <v>5.3843325214032012E-2</v>
      </c>
      <c r="C32" s="17"/>
      <c r="D32" s="55">
        <v>36819</v>
      </c>
      <c r="E32" s="56">
        <v>63.25</v>
      </c>
      <c r="F32" s="56">
        <v>63.75</v>
      </c>
      <c r="G32" s="56">
        <v>64.349999999999994</v>
      </c>
      <c r="H32" s="40"/>
      <c r="I32" s="56">
        <v>26.75</v>
      </c>
      <c r="J32" s="56">
        <v>27</v>
      </c>
      <c r="K32" s="56">
        <v>27.3</v>
      </c>
      <c r="L32" s="23"/>
      <c r="M32" s="24">
        <v>37165</v>
      </c>
      <c r="N32" s="57">
        <v>27.250001144409179</v>
      </c>
      <c r="O32" s="57">
        <v>27.92500114440918</v>
      </c>
      <c r="P32" s="57">
        <v>28.60000114440918</v>
      </c>
      <c r="Q32" s="22"/>
      <c r="R32" s="57">
        <v>20.900001525878906</v>
      </c>
      <c r="S32" s="57">
        <v>24.900001525878906</v>
      </c>
      <c r="T32" s="57">
        <v>25.237501525878905</v>
      </c>
      <c r="U32" s="22"/>
      <c r="V32" s="57">
        <v>2.25</v>
      </c>
      <c r="W32" s="57">
        <v>2.25</v>
      </c>
      <c r="X32" s="57">
        <v>2.25</v>
      </c>
      <c r="Y32" s="22"/>
      <c r="Z32" s="57">
        <v>0.16925000000000001</v>
      </c>
      <c r="AA32" s="57">
        <v>0.33850000000000002</v>
      </c>
      <c r="AB32" s="57">
        <v>0.50775000000000003</v>
      </c>
      <c r="AC32" s="22"/>
      <c r="AD32" s="57">
        <v>2.9399999999999999E-2</v>
      </c>
      <c r="AE32" s="57">
        <v>5.8799999999999998E-2</v>
      </c>
      <c r="AF32" s="57">
        <v>8.8200000000000001E-2</v>
      </c>
      <c r="AG32" s="22"/>
      <c r="AH32" s="57">
        <v>-0.25</v>
      </c>
      <c r="AI32" s="57">
        <v>1.4</v>
      </c>
      <c r="AJ32" s="57">
        <v>0.3</v>
      </c>
      <c r="AK32" s="22"/>
      <c r="AL32" s="57">
        <v>-0.15</v>
      </c>
      <c r="AM32" s="57">
        <v>0.35</v>
      </c>
      <c r="AN32" s="57">
        <v>0.2</v>
      </c>
      <c r="AO32" s="22"/>
      <c r="AP32" s="23">
        <v>5</v>
      </c>
      <c r="AQ32" s="58">
        <v>0.15</v>
      </c>
      <c r="AR32" s="22"/>
      <c r="AS32" s="23">
        <v>1200</v>
      </c>
      <c r="AT32" s="67">
        <v>0.8</v>
      </c>
      <c r="AU32" s="67">
        <v>0.8</v>
      </c>
      <c r="AV32" s="67">
        <v>0.89039999999999997</v>
      </c>
      <c r="AW32" s="67">
        <v>1.1185245467924647</v>
      </c>
      <c r="AX32" s="67">
        <v>1</v>
      </c>
      <c r="AY32" s="67">
        <v>1.2</v>
      </c>
      <c r="AZ32" s="67">
        <v>1.3</v>
      </c>
      <c r="BA32" s="67">
        <v>1.3</v>
      </c>
      <c r="BB32" s="67">
        <v>1.3</v>
      </c>
      <c r="BC32" s="67">
        <v>0.94740000000000002</v>
      </c>
      <c r="BD32" s="67">
        <v>0.93740000000000001</v>
      </c>
      <c r="BE32" s="67">
        <v>0.9204</v>
      </c>
      <c r="BF32" s="23" t="s">
        <v>52</v>
      </c>
      <c r="BG32" s="22"/>
      <c r="BH32" s="24">
        <v>37165</v>
      </c>
      <c r="BI32" s="60">
        <v>0.9</v>
      </c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396"/>
      <c r="CI32" s="3"/>
      <c r="CJ32" s="3"/>
      <c r="CK32" s="3"/>
      <c r="CM32" s="397"/>
      <c r="CN32" s="395"/>
      <c r="CO32" s="61"/>
      <c r="CP32"/>
      <c r="CQ32"/>
      <c r="CR32"/>
      <c r="CS32"/>
      <c r="CT32"/>
      <c r="CY32" s="282">
        <f t="shared" si="1"/>
        <v>37165</v>
      </c>
      <c r="CZ32" s="281">
        <f t="shared" si="2"/>
        <v>1.1499999999999999</v>
      </c>
      <c r="DA32" s="281">
        <f t="shared" si="3"/>
        <v>1.4</v>
      </c>
      <c r="DB32" s="281">
        <f t="shared" si="4"/>
        <v>1.7</v>
      </c>
      <c r="DD32" s="281">
        <f t="shared" si="5"/>
        <v>0.16925000000000001</v>
      </c>
      <c r="DE32" s="281">
        <f t="shared" si="6"/>
        <v>0.33850000000000002</v>
      </c>
      <c r="DF32" s="281">
        <f t="shared" si="7"/>
        <v>0.50775000000000003</v>
      </c>
      <c r="DH32" s="282">
        <f t="shared" si="8"/>
        <v>37165</v>
      </c>
      <c r="DI32" s="17">
        <f t="shared" si="9"/>
        <v>0.9</v>
      </c>
      <c r="DP32">
        <v>14</v>
      </c>
      <c r="DQ32" s="65" t="s">
        <v>1464</v>
      </c>
      <c r="DR32" s="152" t="s">
        <v>1463</v>
      </c>
      <c r="DS32" s="66" t="s">
        <v>95</v>
      </c>
      <c r="DT32" s="23"/>
      <c r="DU32" s="88"/>
      <c r="DV32" s="89"/>
      <c r="DW32" s="2"/>
      <c r="DX32" s="22"/>
      <c r="DY32" s="47"/>
    </row>
    <row r="33" spans="1:129" ht="13.8">
      <c r="A33" s="27">
        <f t="shared" ca="1" si="0"/>
        <v>37530</v>
      </c>
      <c r="B33" s="17">
        <f>'Gas Curves'!C37</f>
        <v>5.3898883775664999E-2</v>
      </c>
      <c r="C33" s="17"/>
      <c r="D33" s="55">
        <v>36820</v>
      </c>
      <c r="E33" s="56">
        <v>47.5</v>
      </c>
      <c r="F33" s="56">
        <v>48</v>
      </c>
      <c r="G33" s="56">
        <v>48.6</v>
      </c>
      <c r="H33" s="40"/>
      <c r="I33" s="56">
        <v>26.75</v>
      </c>
      <c r="J33" s="56">
        <v>27</v>
      </c>
      <c r="K33" s="56">
        <v>27.3</v>
      </c>
      <c r="L33" s="23"/>
      <c r="M33" s="24">
        <v>37196</v>
      </c>
      <c r="N33" s="57">
        <v>29.600001525878906</v>
      </c>
      <c r="O33" s="57">
        <v>30.275001525878906</v>
      </c>
      <c r="P33" s="57">
        <v>30.950001525878907</v>
      </c>
      <c r="Q33" s="22"/>
      <c r="R33" s="57">
        <v>23.100000381469727</v>
      </c>
      <c r="S33" s="57">
        <v>27.100000381469727</v>
      </c>
      <c r="T33" s="57">
        <v>27.437500381469725</v>
      </c>
      <c r="U33" s="22"/>
      <c r="V33" s="57">
        <v>2.25</v>
      </c>
      <c r="W33" s="57">
        <v>2.25</v>
      </c>
      <c r="X33" s="57">
        <v>2.25</v>
      </c>
      <c r="Y33" s="22"/>
      <c r="Z33" s="57">
        <v>0.16925000000000001</v>
      </c>
      <c r="AA33" s="57">
        <v>0.33850000000000002</v>
      </c>
      <c r="AB33" s="57">
        <v>0.50775000000000003</v>
      </c>
      <c r="AC33" s="22"/>
      <c r="AD33" s="57">
        <v>2.9399999999999999E-2</v>
      </c>
      <c r="AE33" s="57">
        <v>5.8799999999999998E-2</v>
      </c>
      <c r="AF33" s="57">
        <v>8.8200000000000001E-2</v>
      </c>
      <c r="AG33" s="22"/>
      <c r="AH33" s="57">
        <v>-0.25</v>
      </c>
      <c r="AI33" s="57">
        <v>1.4</v>
      </c>
      <c r="AJ33" s="57">
        <v>0.3</v>
      </c>
      <c r="AK33" s="22"/>
      <c r="AL33" s="57">
        <v>-0.15</v>
      </c>
      <c r="AM33" s="57">
        <v>0.3</v>
      </c>
      <c r="AN33" s="57">
        <v>0.2</v>
      </c>
      <c r="AO33" s="22"/>
      <c r="AP33" s="23">
        <v>6</v>
      </c>
      <c r="AQ33" s="58">
        <v>0.15</v>
      </c>
      <c r="AR33" s="22"/>
      <c r="AS33" s="23">
        <v>1300</v>
      </c>
      <c r="AT33" s="67">
        <v>0.8</v>
      </c>
      <c r="AU33" s="67">
        <v>0.8</v>
      </c>
      <c r="AV33" s="67">
        <v>0.86480000000000001</v>
      </c>
      <c r="AW33" s="67">
        <v>1.0164322625621052</v>
      </c>
      <c r="AX33" s="67">
        <v>1</v>
      </c>
      <c r="AY33" s="67">
        <v>1.2</v>
      </c>
      <c r="AZ33" s="67">
        <v>1.3</v>
      </c>
      <c r="BA33" s="67">
        <v>1.3</v>
      </c>
      <c r="BB33" s="67">
        <v>1.3</v>
      </c>
      <c r="BC33" s="67">
        <v>0.88990000000000002</v>
      </c>
      <c r="BD33" s="67">
        <v>0.88290000000000002</v>
      </c>
      <c r="BE33" s="67">
        <v>0.87490000000000001</v>
      </c>
      <c r="BF33" s="23" t="s">
        <v>52</v>
      </c>
      <c r="BG33" s="22"/>
      <c r="BH33" s="24">
        <v>37196</v>
      </c>
      <c r="BI33" s="60">
        <v>0.9</v>
      </c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3"/>
      <c r="CI33" s="2"/>
      <c r="CJ33" s="2"/>
      <c r="CK33" s="2"/>
      <c r="CM33" s="397"/>
      <c r="CN33" s="395"/>
      <c r="CO33" s="61"/>
      <c r="CP33"/>
      <c r="CQ33"/>
      <c r="CR33"/>
      <c r="CS33"/>
      <c r="CT33"/>
      <c r="CY33" s="282">
        <f t="shared" si="1"/>
        <v>37196</v>
      </c>
      <c r="CZ33" s="281">
        <f t="shared" si="2"/>
        <v>1.1499999999999999</v>
      </c>
      <c r="DA33" s="281">
        <f t="shared" si="3"/>
        <v>1.4</v>
      </c>
      <c r="DB33" s="281">
        <f t="shared" si="4"/>
        <v>1.7</v>
      </c>
      <c r="DD33" s="281">
        <f t="shared" si="5"/>
        <v>0.16925000000000001</v>
      </c>
      <c r="DE33" s="281">
        <f t="shared" si="6"/>
        <v>0.33850000000000002</v>
      </c>
      <c r="DF33" s="281">
        <f t="shared" si="7"/>
        <v>0.50775000000000003</v>
      </c>
      <c r="DH33" s="282">
        <f t="shared" si="8"/>
        <v>37196</v>
      </c>
      <c r="DI33" s="17">
        <f t="shared" si="9"/>
        <v>0.9</v>
      </c>
      <c r="DP33">
        <v>15</v>
      </c>
      <c r="DQ33" s="65" t="s">
        <v>98</v>
      </c>
      <c r="DR33" s="152" t="s">
        <v>99</v>
      </c>
      <c r="DS33" s="66" t="s">
        <v>100</v>
      </c>
      <c r="DT33" s="23"/>
      <c r="DU33" s="88"/>
      <c r="DV33" s="89"/>
      <c r="DW33" s="2"/>
      <c r="DX33" s="22"/>
      <c r="DY33" s="47"/>
    </row>
    <row r="34" spans="1:129" ht="13.8">
      <c r="A34" s="27">
        <f t="shared" ca="1" si="0"/>
        <v>37561</v>
      </c>
      <c r="B34" s="17">
        <f>'Gas Curves'!C38</f>
        <v>5.3973871330398999E-2</v>
      </c>
      <c r="C34" s="17"/>
      <c r="D34" s="55">
        <v>36821</v>
      </c>
      <c r="E34" s="56">
        <v>47.5</v>
      </c>
      <c r="F34" s="56">
        <v>48</v>
      </c>
      <c r="G34" s="56">
        <v>48.6</v>
      </c>
      <c r="H34" s="40"/>
      <c r="I34" s="56">
        <v>26.75</v>
      </c>
      <c r="J34" s="56">
        <v>27</v>
      </c>
      <c r="K34" s="56">
        <v>27.3</v>
      </c>
      <c r="L34" s="23"/>
      <c r="M34" s="24">
        <v>37226</v>
      </c>
      <c r="N34" s="57">
        <v>30.2</v>
      </c>
      <c r="O34" s="57">
        <v>30.875</v>
      </c>
      <c r="P34" s="57">
        <v>31.55</v>
      </c>
      <c r="Q34" s="22"/>
      <c r="R34" s="57">
        <v>23.600000381469727</v>
      </c>
      <c r="S34" s="57">
        <v>27.600000381469727</v>
      </c>
      <c r="T34" s="57">
        <v>27.937500381469725</v>
      </c>
      <c r="U34" s="22"/>
      <c r="V34" s="57">
        <v>2.25</v>
      </c>
      <c r="W34" s="57">
        <v>2.25</v>
      </c>
      <c r="X34" s="57">
        <v>2.25</v>
      </c>
      <c r="Y34" s="22"/>
      <c r="Z34" s="57">
        <v>0.17075000000000001</v>
      </c>
      <c r="AA34" s="57">
        <v>0.34150000000000003</v>
      </c>
      <c r="AB34" s="57">
        <v>0.51225000000000009</v>
      </c>
      <c r="AC34" s="22"/>
      <c r="AD34" s="57">
        <v>2.9399999999999999E-2</v>
      </c>
      <c r="AE34" s="57">
        <v>5.8799999999999998E-2</v>
      </c>
      <c r="AF34" s="57">
        <v>8.8200000000000001E-2</v>
      </c>
      <c r="AG34" s="22"/>
      <c r="AH34" s="57">
        <v>-0.25</v>
      </c>
      <c r="AI34" s="57">
        <v>1.4</v>
      </c>
      <c r="AJ34" s="57">
        <v>0.35</v>
      </c>
      <c r="AK34" s="22"/>
      <c r="AL34" s="57">
        <v>-0.15</v>
      </c>
      <c r="AM34" s="57">
        <v>0.3</v>
      </c>
      <c r="AN34" s="57">
        <v>0.2</v>
      </c>
      <c r="AO34" s="22"/>
      <c r="AP34" s="23">
        <v>6</v>
      </c>
      <c r="AQ34" s="58">
        <v>0.15</v>
      </c>
      <c r="AR34" s="22"/>
      <c r="AS34" s="23">
        <v>1400</v>
      </c>
      <c r="AT34" s="67">
        <v>0.8</v>
      </c>
      <c r="AU34" s="67">
        <v>0.8</v>
      </c>
      <c r="AV34" s="67">
        <v>0.83720000000000006</v>
      </c>
      <c r="AW34" s="67">
        <v>1.0175267407786688</v>
      </c>
      <c r="AX34" s="67">
        <v>1.5</v>
      </c>
      <c r="AY34" s="67">
        <v>1.7</v>
      </c>
      <c r="AZ34" s="67">
        <v>1.9</v>
      </c>
      <c r="BA34" s="67">
        <v>1.9</v>
      </c>
      <c r="BB34" s="67">
        <v>1.4</v>
      </c>
      <c r="BC34" s="67">
        <v>0.86519999999999997</v>
      </c>
      <c r="BD34" s="67">
        <v>0.85919999999999996</v>
      </c>
      <c r="BE34" s="67">
        <v>0.83720000000000006</v>
      </c>
      <c r="BF34" s="23" t="s">
        <v>52</v>
      </c>
      <c r="BG34" s="22"/>
      <c r="BH34" s="24">
        <v>37226</v>
      </c>
      <c r="BI34" s="60">
        <v>0.9</v>
      </c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3"/>
      <c r="CI34" s="398"/>
      <c r="CJ34" s="391"/>
      <c r="CK34" s="391"/>
      <c r="CM34" s="397"/>
      <c r="CN34" s="395"/>
      <c r="CO34" s="61"/>
      <c r="CP34"/>
      <c r="CQ34"/>
      <c r="CR34"/>
      <c r="CS34"/>
      <c r="CT34"/>
      <c r="CY34" s="282">
        <f t="shared" si="1"/>
        <v>37226</v>
      </c>
      <c r="CZ34" s="281">
        <f t="shared" si="2"/>
        <v>1.1499999999999999</v>
      </c>
      <c r="DA34" s="281">
        <f t="shared" si="3"/>
        <v>1.4</v>
      </c>
      <c r="DB34" s="281">
        <f t="shared" si="4"/>
        <v>1.75</v>
      </c>
      <c r="DD34" s="281">
        <f t="shared" si="5"/>
        <v>0.17075000000000001</v>
      </c>
      <c r="DE34" s="281">
        <f t="shared" si="6"/>
        <v>0.34150000000000003</v>
      </c>
      <c r="DF34" s="281">
        <f t="shared" si="7"/>
        <v>0.51225000000000009</v>
      </c>
      <c r="DH34" s="282">
        <f t="shared" si="8"/>
        <v>37226</v>
      </c>
      <c r="DI34" s="17">
        <f t="shared" si="9"/>
        <v>0.9</v>
      </c>
      <c r="DP34">
        <v>16</v>
      </c>
      <c r="DQ34" s="65" t="s">
        <v>1460</v>
      </c>
      <c r="DR34" s="152" t="s">
        <v>1461</v>
      </c>
      <c r="DS34" s="66" t="s">
        <v>1462</v>
      </c>
      <c r="DT34" s="23"/>
      <c r="DU34" s="88"/>
      <c r="DV34" s="89"/>
      <c r="DW34" s="2"/>
      <c r="DX34" s="22"/>
      <c r="DY34" s="47"/>
    </row>
    <row r="35" spans="1:129" ht="13.8">
      <c r="A35" s="27">
        <f t="shared" ca="1" si="0"/>
        <v>37591</v>
      </c>
      <c r="B35" s="17">
        <f>'Gas Curves'!C39</f>
        <v>5.4046439933537006E-2</v>
      </c>
      <c r="C35" s="17"/>
      <c r="D35" s="55">
        <v>36822</v>
      </c>
      <c r="E35" s="56">
        <v>63.25</v>
      </c>
      <c r="F35" s="56">
        <v>63.75</v>
      </c>
      <c r="G35" s="56">
        <v>64.349999999999994</v>
      </c>
      <c r="H35" s="40"/>
      <c r="I35" s="56">
        <v>26.75</v>
      </c>
      <c r="J35" s="56">
        <v>27</v>
      </c>
      <c r="K35" s="56">
        <v>27.3</v>
      </c>
      <c r="L35" s="23"/>
      <c r="M35" s="24">
        <v>37257</v>
      </c>
      <c r="N35" s="57">
        <v>32.054496002197268</v>
      </c>
      <c r="O35" s="57">
        <v>33.104496002197266</v>
      </c>
      <c r="P35" s="57">
        <v>33.854496002197266</v>
      </c>
      <c r="Q35" s="22"/>
      <c r="R35" s="57">
        <v>25.403997421264648</v>
      </c>
      <c r="S35" s="57">
        <v>29.403997421264648</v>
      </c>
      <c r="T35" s="57">
        <v>29.778997421264648</v>
      </c>
      <c r="U35" s="22"/>
      <c r="V35" s="57">
        <v>2</v>
      </c>
      <c r="W35" s="57">
        <v>2</v>
      </c>
      <c r="X35" s="57">
        <v>2</v>
      </c>
      <c r="Y35" s="22"/>
      <c r="Z35" s="57">
        <v>0.22545000000000001</v>
      </c>
      <c r="AA35" s="57">
        <v>0.45090000000000002</v>
      </c>
      <c r="AB35" s="57">
        <v>0.67635000000000001</v>
      </c>
      <c r="AC35" s="22"/>
      <c r="AD35" s="57">
        <v>3.3614000000000005E-2</v>
      </c>
      <c r="AE35" s="57">
        <v>6.722800000000001E-2</v>
      </c>
      <c r="AF35" s="57">
        <v>0.10084200000000001</v>
      </c>
      <c r="AG35" s="22"/>
      <c r="AH35" s="57">
        <v>-0.75</v>
      </c>
      <c r="AI35" s="57">
        <v>2.5</v>
      </c>
      <c r="AJ35" s="57">
        <v>0.75</v>
      </c>
      <c r="AK35" s="22"/>
      <c r="AL35" s="57">
        <v>-0.15</v>
      </c>
      <c r="AM35" s="57">
        <v>0.5</v>
      </c>
      <c r="AN35" s="57">
        <v>0.2</v>
      </c>
      <c r="AO35" s="22"/>
      <c r="AP35" s="23">
        <v>6</v>
      </c>
      <c r="AQ35" s="58">
        <v>0.15</v>
      </c>
      <c r="AR35" s="22"/>
      <c r="AS35" s="23">
        <v>1500</v>
      </c>
      <c r="AT35" s="67">
        <v>0.8</v>
      </c>
      <c r="AU35" s="67">
        <v>0.8</v>
      </c>
      <c r="AV35" s="67">
        <v>0.79510000000000003</v>
      </c>
      <c r="AW35" s="67">
        <v>0.95436890957577869</v>
      </c>
      <c r="AX35" s="67">
        <v>1.5</v>
      </c>
      <c r="AY35" s="67">
        <v>1.7</v>
      </c>
      <c r="AZ35" s="67">
        <v>1.9</v>
      </c>
      <c r="BA35" s="67">
        <v>1.9</v>
      </c>
      <c r="BB35" s="67">
        <v>1.4</v>
      </c>
      <c r="BC35" s="67">
        <v>0.84509999999999996</v>
      </c>
      <c r="BD35" s="67">
        <v>0.83909999999999996</v>
      </c>
      <c r="BE35" s="67">
        <v>0.79510000000000003</v>
      </c>
      <c r="BF35" s="23" t="s">
        <v>52</v>
      </c>
      <c r="BG35" s="22"/>
      <c r="BH35" s="24">
        <v>37257</v>
      </c>
      <c r="BI35" s="60">
        <v>0.9</v>
      </c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3"/>
      <c r="CI35" s="393"/>
      <c r="CJ35" s="393"/>
      <c r="CK35" s="393"/>
      <c r="CM35" s="397"/>
      <c r="CN35" s="395"/>
      <c r="CO35" s="61"/>
      <c r="CP35"/>
      <c r="CQ35"/>
      <c r="CR35"/>
      <c r="CS35"/>
      <c r="CT35"/>
      <c r="CY35" s="282">
        <f t="shared" si="1"/>
        <v>37257</v>
      </c>
      <c r="CZ35" s="281">
        <f t="shared" si="2"/>
        <v>1.75</v>
      </c>
      <c r="DA35" s="281">
        <f t="shared" si="3"/>
        <v>2.5</v>
      </c>
      <c r="DB35" s="281">
        <f t="shared" si="4"/>
        <v>3.25</v>
      </c>
      <c r="DD35" s="281">
        <f t="shared" si="5"/>
        <v>0.22545000000000001</v>
      </c>
      <c r="DE35" s="281">
        <f t="shared" si="6"/>
        <v>0.45090000000000002</v>
      </c>
      <c r="DF35" s="281">
        <f t="shared" si="7"/>
        <v>0.67635000000000001</v>
      </c>
      <c r="DH35" s="282">
        <f t="shared" si="8"/>
        <v>37257</v>
      </c>
      <c r="DI35" s="17">
        <f t="shared" si="9"/>
        <v>0.9</v>
      </c>
      <c r="DP35">
        <v>17</v>
      </c>
      <c r="DQ35" s="65" t="s">
        <v>103</v>
      </c>
      <c r="DR35" s="152" t="s">
        <v>104</v>
      </c>
      <c r="DS35" s="66" t="s">
        <v>105</v>
      </c>
      <c r="DT35" s="23"/>
      <c r="DU35" s="88"/>
      <c r="DV35" s="89"/>
      <c r="DW35" s="2"/>
      <c r="DX35" s="22"/>
      <c r="DY35" s="47"/>
    </row>
    <row r="36" spans="1:129" ht="13.8">
      <c r="A36" s="27">
        <f t="shared" ca="1" si="0"/>
        <v>37622</v>
      </c>
      <c r="B36" s="17">
        <f>'Gas Curves'!C40</f>
        <v>5.4138502291509009E-2</v>
      </c>
      <c r="C36" s="17"/>
      <c r="D36" s="55">
        <v>36823</v>
      </c>
      <c r="E36" s="56">
        <v>63.25</v>
      </c>
      <c r="F36" s="56">
        <v>63.75</v>
      </c>
      <c r="G36" s="56">
        <v>64.349999999999994</v>
      </c>
      <c r="H36" s="40"/>
      <c r="I36" s="56">
        <v>26.75</v>
      </c>
      <c r="J36" s="56">
        <v>27</v>
      </c>
      <c r="K36" s="56">
        <v>27.3</v>
      </c>
      <c r="L36" s="23"/>
      <c r="M36" s="24">
        <v>37288</v>
      </c>
      <c r="N36" s="57">
        <v>31.604496765136719</v>
      </c>
      <c r="O36" s="57">
        <v>32.429496765136719</v>
      </c>
      <c r="P36" s="57">
        <v>33.179496765136719</v>
      </c>
      <c r="Q36" s="22"/>
      <c r="R36" s="57">
        <v>24.803997039794922</v>
      </c>
      <c r="S36" s="57">
        <v>28.803997039794922</v>
      </c>
      <c r="T36" s="57">
        <v>29.178997039794922</v>
      </c>
      <c r="U36" s="22"/>
      <c r="V36" s="57">
        <v>2</v>
      </c>
      <c r="W36" s="57">
        <v>2</v>
      </c>
      <c r="X36" s="57">
        <v>2</v>
      </c>
      <c r="Y36" s="22"/>
      <c r="Z36" s="57">
        <v>0.21779999999999999</v>
      </c>
      <c r="AA36" s="57">
        <v>0.43559999999999999</v>
      </c>
      <c r="AB36" s="57">
        <v>0.65339999999999998</v>
      </c>
      <c r="AC36" s="22"/>
      <c r="AD36" s="57">
        <v>3.3614000000000005E-2</v>
      </c>
      <c r="AE36" s="57">
        <v>6.722800000000001E-2</v>
      </c>
      <c r="AF36" s="57">
        <v>0.10084200000000001</v>
      </c>
      <c r="AG36" s="22"/>
      <c r="AH36" s="57">
        <v>-0.75</v>
      </c>
      <c r="AI36" s="57">
        <v>2.5</v>
      </c>
      <c r="AJ36" s="57">
        <v>0.75</v>
      </c>
      <c r="AK36" s="22"/>
      <c r="AL36" s="57">
        <v>-0.15</v>
      </c>
      <c r="AM36" s="57">
        <v>0.5</v>
      </c>
      <c r="AN36" s="57">
        <v>0.2</v>
      </c>
      <c r="AO36" s="22"/>
      <c r="AP36" s="23">
        <v>7</v>
      </c>
      <c r="AQ36" s="58">
        <v>0.2</v>
      </c>
      <c r="AR36" s="22"/>
      <c r="AS36" s="23">
        <v>1600</v>
      </c>
      <c r="AT36" s="67">
        <v>0.8</v>
      </c>
      <c r="AU36" s="67">
        <v>0.8</v>
      </c>
      <c r="AV36" s="67">
        <v>0.77929999999999999</v>
      </c>
      <c r="AW36" s="67">
        <v>0.89196755596374933</v>
      </c>
      <c r="AX36" s="67">
        <v>1.5</v>
      </c>
      <c r="AY36" s="67">
        <v>1.7</v>
      </c>
      <c r="AZ36" s="67">
        <v>1.9</v>
      </c>
      <c r="BA36" s="67">
        <v>1.9</v>
      </c>
      <c r="BB36" s="67">
        <v>1.4</v>
      </c>
      <c r="BC36" s="67">
        <v>0.83930000000000005</v>
      </c>
      <c r="BD36" s="67">
        <v>0.82530000000000003</v>
      </c>
      <c r="BE36" s="67">
        <v>0.78129999999999999</v>
      </c>
      <c r="BF36" s="23" t="s">
        <v>52</v>
      </c>
      <c r="BG36" s="22"/>
      <c r="BH36" s="24">
        <v>37288</v>
      </c>
      <c r="BI36" s="60">
        <v>0.9</v>
      </c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3"/>
      <c r="CI36" s="393"/>
      <c r="CJ36" s="393"/>
      <c r="CK36" s="393"/>
      <c r="CM36" s="399"/>
      <c r="CN36" s="399"/>
      <c r="CO36" s="61"/>
      <c r="CP36"/>
      <c r="CQ36"/>
      <c r="CR36"/>
      <c r="CS36"/>
      <c r="CT36"/>
      <c r="CY36" s="282">
        <f t="shared" si="1"/>
        <v>37288</v>
      </c>
      <c r="CZ36" s="281">
        <f t="shared" si="2"/>
        <v>1.75</v>
      </c>
      <c r="DA36" s="281">
        <f t="shared" si="3"/>
        <v>2.5</v>
      </c>
      <c r="DB36" s="281">
        <f t="shared" si="4"/>
        <v>3.25</v>
      </c>
      <c r="DD36" s="281">
        <f t="shared" si="5"/>
        <v>0.21779999999999999</v>
      </c>
      <c r="DE36" s="281">
        <f t="shared" si="6"/>
        <v>0.43559999999999999</v>
      </c>
      <c r="DF36" s="281">
        <f t="shared" si="7"/>
        <v>0.65339999999999998</v>
      </c>
      <c r="DH36" s="282">
        <f t="shared" si="8"/>
        <v>37288</v>
      </c>
      <c r="DI36" s="17">
        <f t="shared" si="9"/>
        <v>0.9</v>
      </c>
      <c r="DP36">
        <v>18</v>
      </c>
      <c r="DQ36" s="65" t="s">
        <v>108</v>
      </c>
      <c r="DR36" s="152" t="s">
        <v>109</v>
      </c>
      <c r="DS36" s="66" t="s">
        <v>110</v>
      </c>
      <c r="DT36" s="23"/>
      <c r="DU36" s="88"/>
      <c r="DV36" s="89"/>
      <c r="DW36" s="2"/>
      <c r="DX36" s="22"/>
      <c r="DY36" s="47"/>
    </row>
    <row r="37" spans="1:129" ht="13.8">
      <c r="A37" s="27">
        <f t="shared" ca="1" si="0"/>
        <v>37653</v>
      </c>
      <c r="B37" s="17">
        <f>'Gas Curves'!C41</f>
        <v>5.4251298338240009E-2</v>
      </c>
      <c r="C37" s="17"/>
      <c r="D37" s="55">
        <v>36824</v>
      </c>
      <c r="E37" s="56">
        <v>63.25</v>
      </c>
      <c r="F37" s="56">
        <v>63.75</v>
      </c>
      <c r="G37" s="56">
        <v>64.349999999999994</v>
      </c>
      <c r="H37" s="40"/>
      <c r="I37" s="56">
        <v>26.75</v>
      </c>
      <c r="J37" s="56">
        <v>27</v>
      </c>
      <c r="K37" s="56">
        <v>27.3</v>
      </c>
      <c r="L37" s="23"/>
      <c r="M37" s="24">
        <v>37316</v>
      </c>
      <c r="N37" s="57">
        <v>25.749996948242188</v>
      </c>
      <c r="O37" s="57">
        <v>26.574996948242188</v>
      </c>
      <c r="P37" s="57">
        <v>27.324996948242188</v>
      </c>
      <c r="Q37" s="22"/>
      <c r="R37" s="57">
        <v>19.599998474121094</v>
      </c>
      <c r="S37" s="57">
        <v>23.599998474121094</v>
      </c>
      <c r="T37" s="57">
        <v>23.974998474121094</v>
      </c>
      <c r="U37" s="22"/>
      <c r="V37" s="57">
        <v>2</v>
      </c>
      <c r="W37" s="57">
        <v>2</v>
      </c>
      <c r="X37" s="57">
        <v>2</v>
      </c>
      <c r="Y37" s="22"/>
      <c r="Z37" s="57">
        <v>0.1726625</v>
      </c>
      <c r="AA37" s="57">
        <v>0.34532499999999999</v>
      </c>
      <c r="AB37" s="57">
        <v>0.51798750000000005</v>
      </c>
      <c r="AC37" s="22"/>
      <c r="AD37" s="57">
        <v>2.9399999999999999E-2</v>
      </c>
      <c r="AE37" s="57">
        <v>5.8799999999999998E-2</v>
      </c>
      <c r="AF37" s="57">
        <v>8.8200000000000001E-2</v>
      </c>
      <c r="AG37" s="22"/>
      <c r="AH37" s="57">
        <v>-0.25</v>
      </c>
      <c r="AI37" s="57">
        <v>1.4</v>
      </c>
      <c r="AJ37" s="57">
        <v>0.3</v>
      </c>
      <c r="AK37" s="22"/>
      <c r="AL37" s="57">
        <v>-0.15</v>
      </c>
      <c r="AM37" s="57">
        <v>0.35</v>
      </c>
      <c r="AN37" s="57">
        <v>0.2</v>
      </c>
      <c r="AO37" s="22"/>
      <c r="AP37" s="23">
        <v>7</v>
      </c>
      <c r="AQ37" s="58">
        <v>0.2</v>
      </c>
      <c r="AR37" s="22"/>
      <c r="AS37" s="23">
        <v>1700</v>
      </c>
      <c r="AT37" s="67">
        <v>1.2</v>
      </c>
      <c r="AU37" s="67">
        <v>1.2</v>
      </c>
      <c r="AV37" s="67">
        <v>0.84960000000000002</v>
      </c>
      <c r="AW37" s="67">
        <v>0.87001361056090987</v>
      </c>
      <c r="AX37" s="67">
        <v>1.5</v>
      </c>
      <c r="AY37" s="67">
        <v>1.7</v>
      </c>
      <c r="AZ37" s="67">
        <v>1.9</v>
      </c>
      <c r="BA37" s="67">
        <v>1.9</v>
      </c>
      <c r="BB37" s="67">
        <v>1.4</v>
      </c>
      <c r="BC37" s="67">
        <v>0.88959999999999995</v>
      </c>
      <c r="BD37" s="67">
        <v>0.88660000000000005</v>
      </c>
      <c r="BE37" s="67">
        <v>0.87960000000000005</v>
      </c>
      <c r="BF37" s="23" t="s">
        <v>52</v>
      </c>
      <c r="BG37" s="22"/>
      <c r="BH37" s="24">
        <v>37316</v>
      </c>
      <c r="BI37" s="60">
        <v>0.9</v>
      </c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3"/>
      <c r="CI37" s="396"/>
      <c r="CJ37" s="396"/>
      <c r="CK37" s="396"/>
      <c r="CM37" s="399"/>
      <c r="CN37" s="399"/>
      <c r="CO37" s="61"/>
      <c r="CP37"/>
      <c r="CQ37"/>
      <c r="CR37"/>
      <c r="CS37"/>
      <c r="CT37"/>
      <c r="CY37" s="282">
        <f t="shared" si="1"/>
        <v>37316</v>
      </c>
      <c r="CZ37" s="281">
        <f t="shared" si="2"/>
        <v>1.1499999999999999</v>
      </c>
      <c r="DA37" s="281">
        <f t="shared" si="3"/>
        <v>1.4</v>
      </c>
      <c r="DB37" s="281">
        <f t="shared" si="4"/>
        <v>1.7</v>
      </c>
      <c r="DD37" s="281">
        <f t="shared" si="5"/>
        <v>0.1726625</v>
      </c>
      <c r="DE37" s="281">
        <f t="shared" si="6"/>
        <v>0.34532499999999999</v>
      </c>
      <c r="DF37" s="281">
        <f t="shared" si="7"/>
        <v>0.51798750000000005</v>
      </c>
      <c r="DH37" s="282">
        <f t="shared" si="8"/>
        <v>37316</v>
      </c>
      <c r="DI37" s="17">
        <f t="shared" si="9"/>
        <v>0.9</v>
      </c>
      <c r="DP37">
        <v>19</v>
      </c>
      <c r="DQ37" s="65" t="s">
        <v>113</v>
      </c>
      <c r="DR37" s="152" t="s">
        <v>114</v>
      </c>
      <c r="DS37" s="66" t="s">
        <v>115</v>
      </c>
      <c r="DT37" s="23"/>
      <c r="DU37" s="88"/>
      <c r="DV37" s="89"/>
      <c r="DW37" s="2"/>
      <c r="DX37" s="22"/>
      <c r="DY37" s="47"/>
    </row>
    <row r="38" spans="1:129" ht="13.8">
      <c r="A38" s="27">
        <f t="shared" ca="1" si="0"/>
        <v>37681</v>
      </c>
      <c r="B38" s="17">
        <f>'Gas Curves'!C42</f>
        <v>5.435317864215701E-2</v>
      </c>
      <c r="C38" s="17"/>
      <c r="D38" s="55">
        <v>36825</v>
      </c>
      <c r="E38" s="56">
        <v>63.25</v>
      </c>
      <c r="F38" s="56">
        <v>63.75</v>
      </c>
      <c r="G38" s="56">
        <v>64.349999999999994</v>
      </c>
      <c r="H38" s="40"/>
      <c r="I38" s="56">
        <v>26.75</v>
      </c>
      <c r="J38" s="56">
        <v>27</v>
      </c>
      <c r="K38" s="56">
        <v>27.3</v>
      </c>
      <c r="L38" s="23"/>
      <c r="M38" s="24">
        <v>37347</v>
      </c>
      <c r="N38" s="57">
        <v>24.849999618530273</v>
      </c>
      <c r="O38" s="57">
        <v>25.899999618530273</v>
      </c>
      <c r="P38" s="57">
        <v>26.649999618530273</v>
      </c>
      <c r="Q38" s="22"/>
      <c r="R38" s="57">
        <v>19</v>
      </c>
      <c r="S38" s="57">
        <v>23</v>
      </c>
      <c r="T38" s="57">
        <v>23.375</v>
      </c>
      <c r="U38" s="22"/>
      <c r="V38" s="57">
        <v>2</v>
      </c>
      <c r="W38" s="57">
        <v>2</v>
      </c>
      <c r="X38" s="57">
        <v>2</v>
      </c>
      <c r="Y38" s="22"/>
      <c r="Z38" s="57">
        <v>0.17242499999999999</v>
      </c>
      <c r="AA38" s="57">
        <v>0.34484999999999999</v>
      </c>
      <c r="AB38" s="57">
        <v>0.51727499999999993</v>
      </c>
      <c r="AC38" s="22"/>
      <c r="AD38" s="57">
        <v>2.9399999999999999E-2</v>
      </c>
      <c r="AE38" s="57">
        <v>5.8799999999999998E-2</v>
      </c>
      <c r="AF38" s="57">
        <v>8.8200000000000001E-2</v>
      </c>
      <c r="AG38" s="22"/>
      <c r="AH38" s="57">
        <v>-0.25</v>
      </c>
      <c r="AI38" s="57">
        <v>1.4</v>
      </c>
      <c r="AJ38" s="57">
        <v>0.3</v>
      </c>
      <c r="AK38" s="22"/>
      <c r="AL38" s="57">
        <v>-0.15</v>
      </c>
      <c r="AM38" s="57">
        <v>0.35</v>
      </c>
      <c r="AN38" s="57">
        <v>0.2</v>
      </c>
      <c r="AO38" s="22"/>
      <c r="AP38" s="23">
        <v>7</v>
      </c>
      <c r="AQ38" s="58">
        <v>0.2</v>
      </c>
      <c r="AR38" s="22"/>
      <c r="AS38" s="23">
        <v>1800</v>
      </c>
      <c r="AT38" s="67">
        <v>1.2</v>
      </c>
      <c r="AU38" s="67">
        <v>1.2</v>
      </c>
      <c r="AV38" s="67">
        <v>1.1583000000000001</v>
      </c>
      <c r="AW38" s="67">
        <v>0.8586986372337867</v>
      </c>
      <c r="AX38" s="67">
        <v>1</v>
      </c>
      <c r="AY38" s="67">
        <v>1.2</v>
      </c>
      <c r="AZ38" s="67">
        <v>1.3</v>
      </c>
      <c r="BA38" s="67">
        <v>1.3</v>
      </c>
      <c r="BB38" s="67">
        <v>1.3</v>
      </c>
      <c r="BC38" s="67">
        <v>1.2000999999999999</v>
      </c>
      <c r="BD38" s="67">
        <v>1.2171000000000001</v>
      </c>
      <c r="BE38" s="67">
        <v>1.2396592528631896</v>
      </c>
      <c r="BF38" s="23" t="s">
        <v>52</v>
      </c>
      <c r="BG38" s="22"/>
      <c r="BH38" s="24">
        <v>37347</v>
      </c>
      <c r="BI38" s="60">
        <v>0.9</v>
      </c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3"/>
      <c r="CI38" s="396"/>
      <c r="CJ38" s="396"/>
      <c r="CK38" s="396"/>
      <c r="CM38" s="399"/>
      <c r="CN38" s="399"/>
      <c r="CO38" s="61"/>
      <c r="CP38"/>
      <c r="CQ38"/>
      <c r="CR38"/>
      <c r="CS38"/>
      <c r="CT38"/>
      <c r="CY38" s="282">
        <f t="shared" si="1"/>
        <v>37347</v>
      </c>
      <c r="CZ38" s="281">
        <f t="shared" si="2"/>
        <v>1.1499999999999999</v>
      </c>
      <c r="DA38" s="281">
        <f t="shared" si="3"/>
        <v>1.4</v>
      </c>
      <c r="DB38" s="281">
        <f t="shared" si="4"/>
        <v>1.7</v>
      </c>
      <c r="DD38" s="281">
        <f t="shared" si="5"/>
        <v>0.17242499999999999</v>
      </c>
      <c r="DE38" s="281">
        <f t="shared" si="6"/>
        <v>0.34484999999999999</v>
      </c>
      <c r="DF38" s="281">
        <f t="shared" si="7"/>
        <v>0.51727499999999993</v>
      </c>
      <c r="DH38" s="282">
        <f t="shared" si="8"/>
        <v>37347</v>
      </c>
      <c r="DI38" s="17">
        <f t="shared" si="9"/>
        <v>0.9</v>
      </c>
      <c r="DP38">
        <v>20</v>
      </c>
      <c r="DQ38" s="65" t="s">
        <v>118</v>
      </c>
      <c r="DR38" s="152" t="s">
        <v>119</v>
      </c>
      <c r="DS38" s="66" t="s">
        <v>120</v>
      </c>
      <c r="DT38" s="23"/>
      <c r="DU38" s="88"/>
      <c r="DV38" s="89"/>
      <c r="DW38" s="2"/>
      <c r="DX38" s="22"/>
      <c r="DY38" s="47"/>
    </row>
    <row r="39" spans="1:129" ht="13.8">
      <c r="A39" s="27">
        <f t="shared" ca="1" si="0"/>
        <v>37712</v>
      </c>
      <c r="B39" s="17">
        <f>'Gas Curves'!C43</f>
        <v>5.4454190075276021E-2</v>
      </c>
      <c r="C39" s="17"/>
      <c r="D39" s="55">
        <v>36826</v>
      </c>
      <c r="E39" s="56">
        <v>63.25</v>
      </c>
      <c r="F39" s="56">
        <v>63.75</v>
      </c>
      <c r="G39" s="56">
        <v>64.349999999999994</v>
      </c>
      <c r="H39" s="40"/>
      <c r="I39" s="56">
        <v>26.75</v>
      </c>
      <c r="J39" s="56">
        <v>27</v>
      </c>
      <c r="K39" s="56">
        <v>27.3</v>
      </c>
      <c r="L39" s="23"/>
      <c r="M39" s="24">
        <v>37377</v>
      </c>
      <c r="N39" s="57">
        <v>28.45</v>
      </c>
      <c r="O39" s="57">
        <v>29.5</v>
      </c>
      <c r="P39" s="57">
        <v>30.925000000000001</v>
      </c>
      <c r="Q39" s="22"/>
      <c r="R39" s="57">
        <v>22.19999885559082</v>
      </c>
      <c r="S39" s="57">
        <v>26.19999885559082</v>
      </c>
      <c r="T39" s="57">
        <v>26.912498855590819</v>
      </c>
      <c r="U39" s="22"/>
      <c r="V39" s="57">
        <v>2</v>
      </c>
      <c r="W39" s="57">
        <v>2</v>
      </c>
      <c r="X39" s="57">
        <v>2</v>
      </c>
      <c r="Y39" s="22"/>
      <c r="Z39" s="57">
        <v>0.18139500000000003</v>
      </c>
      <c r="AA39" s="57">
        <v>0.36279000000000006</v>
      </c>
      <c r="AB39" s="57">
        <v>0.54418500000000014</v>
      </c>
      <c r="AC39" s="22"/>
      <c r="AD39" s="57">
        <v>3.3614000000000005E-2</v>
      </c>
      <c r="AE39" s="57">
        <v>6.722800000000001E-2</v>
      </c>
      <c r="AF39" s="57">
        <v>0.10084200000000001</v>
      </c>
      <c r="AG39" s="22"/>
      <c r="AH39" s="57">
        <v>-0.25</v>
      </c>
      <c r="AI39" s="57">
        <v>1.5</v>
      </c>
      <c r="AJ39" s="57">
        <v>0.3</v>
      </c>
      <c r="AK39" s="22"/>
      <c r="AL39" s="57">
        <v>-0.15</v>
      </c>
      <c r="AM39" s="57">
        <v>0.5</v>
      </c>
      <c r="AN39" s="57">
        <v>0.2</v>
      </c>
      <c r="AO39" s="22"/>
      <c r="AP39" s="23">
        <v>8</v>
      </c>
      <c r="AQ39" s="58">
        <v>0.2</v>
      </c>
      <c r="AR39" s="22"/>
      <c r="AS39" s="23">
        <v>1900</v>
      </c>
      <c r="AT39" s="67">
        <v>1.2</v>
      </c>
      <c r="AU39" s="67">
        <v>1.2</v>
      </c>
      <c r="AV39" s="67">
        <v>1.2719</v>
      </c>
      <c r="AW39" s="67">
        <v>0.85409539061706241</v>
      </c>
      <c r="AX39" s="67">
        <v>1</v>
      </c>
      <c r="AY39" s="67">
        <v>1.2</v>
      </c>
      <c r="AZ39" s="67">
        <v>1.3</v>
      </c>
      <c r="BA39" s="67">
        <v>1.3</v>
      </c>
      <c r="BB39" s="67">
        <v>1.3</v>
      </c>
      <c r="BC39" s="67">
        <v>1.2095</v>
      </c>
      <c r="BD39" s="67">
        <v>1.2269000000000001</v>
      </c>
      <c r="BE39" s="67">
        <v>1.2314000000000001</v>
      </c>
      <c r="BF39" s="23" t="s">
        <v>52</v>
      </c>
      <c r="BG39" s="22"/>
      <c r="BH39" s="24">
        <v>37377</v>
      </c>
      <c r="BI39" s="60">
        <v>0.9</v>
      </c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3"/>
      <c r="CI39" s="396"/>
      <c r="CJ39" s="396"/>
      <c r="CK39" s="396"/>
      <c r="CM39" s="399"/>
      <c r="CN39" s="399"/>
      <c r="CO39" s="61"/>
      <c r="CP39"/>
      <c r="CQ39"/>
      <c r="CR39"/>
      <c r="CS39"/>
      <c r="CT39"/>
      <c r="CY39" s="282">
        <f t="shared" si="1"/>
        <v>37377</v>
      </c>
      <c r="CZ39" s="281">
        <f t="shared" si="2"/>
        <v>1.25</v>
      </c>
      <c r="DA39" s="281">
        <f t="shared" si="3"/>
        <v>1.5</v>
      </c>
      <c r="DB39" s="281">
        <f t="shared" si="4"/>
        <v>1.8</v>
      </c>
      <c r="DD39" s="281">
        <f t="shared" si="5"/>
        <v>0.18139500000000003</v>
      </c>
      <c r="DE39" s="281">
        <f t="shared" si="6"/>
        <v>0.36279000000000006</v>
      </c>
      <c r="DF39" s="281">
        <f t="shared" si="7"/>
        <v>0.54418500000000014</v>
      </c>
      <c r="DH39" s="282">
        <f t="shared" si="8"/>
        <v>37377</v>
      </c>
      <c r="DI39" s="17">
        <f t="shared" si="9"/>
        <v>0.9</v>
      </c>
      <c r="DP39">
        <v>21</v>
      </c>
      <c r="DQ39" s="65" t="s">
        <v>123</v>
      </c>
      <c r="DR39" s="152" t="s">
        <v>124</v>
      </c>
      <c r="DS39" s="66" t="s">
        <v>125</v>
      </c>
      <c r="DT39" s="4"/>
      <c r="DU39" s="88"/>
      <c r="DV39" s="89"/>
      <c r="DW39" s="2"/>
      <c r="DX39" s="22"/>
      <c r="DY39" s="47"/>
    </row>
    <row r="40" spans="1:129" ht="13.8">
      <c r="A40" s="27">
        <f t="shared" ca="1" si="0"/>
        <v>37742</v>
      </c>
      <c r="B40" s="17">
        <f>'Gas Curves'!C44</f>
        <v>5.4536343531129017E-2</v>
      </c>
      <c r="C40" s="17"/>
      <c r="D40" s="55">
        <v>36827</v>
      </c>
      <c r="E40" s="56">
        <v>47.5</v>
      </c>
      <c r="F40" s="56">
        <v>48</v>
      </c>
      <c r="G40" s="56">
        <v>48.6</v>
      </c>
      <c r="H40" s="40"/>
      <c r="I40" s="56">
        <v>26.75</v>
      </c>
      <c r="J40" s="56">
        <v>27</v>
      </c>
      <c r="K40" s="56">
        <v>27.3</v>
      </c>
      <c r="L40" s="23"/>
      <c r="M40" s="24">
        <v>37408</v>
      </c>
      <c r="N40" s="57">
        <v>34.275003051757814</v>
      </c>
      <c r="O40" s="57">
        <v>36.300003051757813</v>
      </c>
      <c r="P40" s="57">
        <v>38.47500305175781</v>
      </c>
      <c r="Q40" s="22"/>
      <c r="R40" s="57">
        <v>27.700002670288086</v>
      </c>
      <c r="S40" s="57">
        <v>31.700002670288086</v>
      </c>
      <c r="T40" s="57">
        <v>32.787502670288085</v>
      </c>
      <c r="U40" s="22"/>
      <c r="V40" s="57">
        <v>2</v>
      </c>
      <c r="W40" s="57">
        <v>2</v>
      </c>
      <c r="X40" s="57">
        <v>2</v>
      </c>
      <c r="Y40" s="22"/>
      <c r="Z40" s="57">
        <v>0.19399</v>
      </c>
      <c r="AA40" s="57">
        <v>0.38797999999999999</v>
      </c>
      <c r="AB40" s="57">
        <v>0.58196999999999999</v>
      </c>
      <c r="AC40" s="22"/>
      <c r="AD40" s="57">
        <v>4.3217999999999999E-2</v>
      </c>
      <c r="AE40" s="57">
        <v>8.6435999999999999E-2</v>
      </c>
      <c r="AF40" s="57">
        <v>0.12965399999999999</v>
      </c>
      <c r="AG40" s="22"/>
      <c r="AH40" s="57">
        <v>-0.35</v>
      </c>
      <c r="AI40" s="57">
        <v>3</v>
      </c>
      <c r="AJ40" s="57">
        <v>0.3</v>
      </c>
      <c r="AK40" s="22"/>
      <c r="AL40" s="57">
        <v>-0.15</v>
      </c>
      <c r="AM40" s="57">
        <v>0.65</v>
      </c>
      <c r="AN40" s="57">
        <v>0.2</v>
      </c>
      <c r="AO40" s="22"/>
      <c r="AP40" s="23">
        <v>8</v>
      </c>
      <c r="AQ40" s="58">
        <v>0.2</v>
      </c>
      <c r="AR40" s="22"/>
      <c r="AS40" s="23">
        <v>2000</v>
      </c>
      <c r="AT40" s="67">
        <v>1.2</v>
      </c>
      <c r="AU40" s="67">
        <v>1.2</v>
      </c>
      <c r="AV40" s="67">
        <v>1.2170000000000001</v>
      </c>
      <c r="AW40" s="67">
        <v>0.93680897230708571</v>
      </c>
      <c r="AX40" s="67">
        <v>0.75</v>
      </c>
      <c r="AY40" s="67">
        <v>0.55000000000000004</v>
      </c>
      <c r="AZ40" s="67">
        <v>0.4</v>
      </c>
      <c r="BA40" s="67">
        <v>0.4</v>
      </c>
      <c r="BB40" s="67">
        <v>0.65</v>
      </c>
      <c r="BC40" s="67">
        <v>1.1567000000000001</v>
      </c>
      <c r="BD40" s="67">
        <v>1.1767000000000001</v>
      </c>
      <c r="BE40" s="67">
        <v>1.1889963083145296</v>
      </c>
      <c r="BF40" s="23" t="s">
        <v>52</v>
      </c>
      <c r="BG40" s="22"/>
      <c r="BH40" s="24">
        <v>37408</v>
      </c>
      <c r="BI40" s="60">
        <v>0.9</v>
      </c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3"/>
      <c r="CI40" s="396"/>
      <c r="CJ40" s="396"/>
      <c r="CK40" s="396"/>
      <c r="CM40" s="399"/>
      <c r="CN40" s="399"/>
      <c r="CO40" s="61"/>
      <c r="CP40"/>
      <c r="CQ40"/>
      <c r="CR40"/>
      <c r="CS40"/>
      <c r="CT40"/>
      <c r="CY40" s="282">
        <f t="shared" si="1"/>
        <v>37408</v>
      </c>
      <c r="CZ40" s="281">
        <f t="shared" si="2"/>
        <v>2.65</v>
      </c>
      <c r="DA40" s="281">
        <f t="shared" si="3"/>
        <v>3</v>
      </c>
      <c r="DB40" s="281">
        <f t="shared" si="4"/>
        <v>3.3</v>
      </c>
      <c r="DD40" s="281">
        <f t="shared" si="5"/>
        <v>0.19399</v>
      </c>
      <c r="DE40" s="281">
        <f t="shared" si="6"/>
        <v>0.38797999999999999</v>
      </c>
      <c r="DF40" s="281">
        <f t="shared" si="7"/>
        <v>0.58196999999999999</v>
      </c>
      <c r="DH40" s="282">
        <f t="shared" si="8"/>
        <v>37408</v>
      </c>
      <c r="DI40" s="17">
        <f t="shared" si="9"/>
        <v>0.9</v>
      </c>
      <c r="DP40">
        <v>22</v>
      </c>
      <c r="DQ40" s="65" t="s">
        <v>128</v>
      </c>
      <c r="DR40" s="152" t="s">
        <v>129</v>
      </c>
      <c r="DS40" s="66" t="s">
        <v>130</v>
      </c>
      <c r="DT40" s="4"/>
      <c r="DU40" s="88"/>
      <c r="DV40" s="89"/>
      <c r="DW40" s="2"/>
      <c r="DX40" s="22"/>
      <c r="DY40" s="47"/>
    </row>
    <row r="41" spans="1:129" ht="13.8">
      <c r="A41" s="27">
        <f t="shared" ca="1" si="0"/>
        <v>37773</v>
      </c>
      <c r="B41" s="17">
        <f>'Gas Curves'!C45</f>
        <v>5.4621235437872014E-2</v>
      </c>
      <c r="C41" s="17"/>
      <c r="D41" s="55">
        <v>36828</v>
      </c>
      <c r="E41" s="56">
        <v>47.5</v>
      </c>
      <c r="F41" s="56">
        <v>48</v>
      </c>
      <c r="G41" s="56">
        <v>48.6</v>
      </c>
      <c r="H41" s="40"/>
      <c r="I41" s="56">
        <v>26.75</v>
      </c>
      <c r="J41" s="56">
        <v>27</v>
      </c>
      <c r="K41" s="56">
        <v>27.3</v>
      </c>
      <c r="L41" s="23"/>
      <c r="M41" s="24">
        <v>37438</v>
      </c>
      <c r="N41" s="57">
        <v>40.450001525878903</v>
      </c>
      <c r="O41" s="57">
        <v>45.400001525878906</v>
      </c>
      <c r="P41" s="57">
        <v>50.050001525878905</v>
      </c>
      <c r="Q41" s="22"/>
      <c r="R41" s="57">
        <v>34.900001525878906</v>
      </c>
      <c r="S41" s="57">
        <v>38.900001525878906</v>
      </c>
      <c r="T41" s="57">
        <v>41.225001525878909</v>
      </c>
      <c r="U41" s="22"/>
      <c r="V41" s="57">
        <v>2</v>
      </c>
      <c r="W41" s="57">
        <v>2</v>
      </c>
      <c r="X41" s="57">
        <v>2</v>
      </c>
      <c r="Y41" s="22"/>
      <c r="Z41" s="57">
        <v>0.23105250000000002</v>
      </c>
      <c r="AA41" s="57">
        <v>0.46210500000000004</v>
      </c>
      <c r="AB41" s="57">
        <v>0.69315750000000009</v>
      </c>
      <c r="AC41" s="22"/>
      <c r="AD41" s="57">
        <v>5.7623999999999995E-2</v>
      </c>
      <c r="AE41" s="57">
        <v>0.11524799999999999</v>
      </c>
      <c r="AF41" s="57">
        <v>0.17287199999999997</v>
      </c>
      <c r="AG41" s="22"/>
      <c r="AH41" s="57">
        <v>-0.35</v>
      </c>
      <c r="AI41" s="57">
        <v>3.75</v>
      </c>
      <c r="AJ41" s="57">
        <v>0.5</v>
      </c>
      <c r="AK41" s="22"/>
      <c r="AL41" s="57">
        <v>-0.15</v>
      </c>
      <c r="AM41" s="57">
        <v>0.75</v>
      </c>
      <c r="AN41" s="57">
        <v>0.2</v>
      </c>
      <c r="AO41" s="22"/>
      <c r="AP41" s="23">
        <v>8</v>
      </c>
      <c r="AQ41" s="58">
        <v>0.2</v>
      </c>
      <c r="AR41" s="22"/>
      <c r="AS41" s="23">
        <v>2100</v>
      </c>
      <c r="AT41" s="67">
        <v>1.1000000000000001</v>
      </c>
      <c r="AU41" s="67">
        <v>1.1000000000000001</v>
      </c>
      <c r="AV41" s="67">
        <v>1.1451</v>
      </c>
      <c r="AW41" s="67">
        <v>1.1543365178491491</v>
      </c>
      <c r="AX41" s="67">
        <v>0.75</v>
      </c>
      <c r="AY41" s="67">
        <v>0.55000000000000004</v>
      </c>
      <c r="AZ41" s="67">
        <v>0.4</v>
      </c>
      <c r="BA41" s="67">
        <v>0.4</v>
      </c>
      <c r="BB41" s="67">
        <v>0.65</v>
      </c>
      <c r="BC41" s="67">
        <v>1.0689</v>
      </c>
      <c r="BD41" s="67">
        <v>1.0889</v>
      </c>
      <c r="BE41" s="67">
        <v>1.1550523732727651</v>
      </c>
      <c r="BF41" s="23" t="s">
        <v>52</v>
      </c>
      <c r="BG41" s="22"/>
      <c r="BH41" s="24">
        <v>37438</v>
      </c>
      <c r="BI41" s="60">
        <v>0.9</v>
      </c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3"/>
      <c r="CI41" s="396"/>
      <c r="CJ41" s="396"/>
      <c r="CK41" s="396"/>
      <c r="CM41" s="399"/>
      <c r="CN41" s="399"/>
      <c r="CO41" s="61"/>
      <c r="CP41"/>
      <c r="CQ41"/>
      <c r="CR41"/>
      <c r="CS41"/>
      <c r="CT41"/>
      <c r="CY41" s="282">
        <f t="shared" si="1"/>
        <v>37438</v>
      </c>
      <c r="CZ41" s="281">
        <f t="shared" si="2"/>
        <v>3.4</v>
      </c>
      <c r="DA41" s="281">
        <f t="shared" si="3"/>
        <v>3.75</v>
      </c>
      <c r="DB41" s="281">
        <f t="shared" si="4"/>
        <v>4.25</v>
      </c>
      <c r="DD41" s="281">
        <f t="shared" si="5"/>
        <v>0.23105250000000002</v>
      </c>
      <c r="DE41" s="281">
        <f t="shared" si="6"/>
        <v>0.46210500000000004</v>
      </c>
      <c r="DF41" s="281">
        <f t="shared" si="7"/>
        <v>0.69315750000000009</v>
      </c>
      <c r="DH41" s="282">
        <f t="shared" si="8"/>
        <v>37438</v>
      </c>
      <c r="DI41" s="17">
        <f t="shared" si="9"/>
        <v>0.9</v>
      </c>
      <c r="DP41">
        <v>23</v>
      </c>
      <c r="DQ41" s="65" t="s">
        <v>133</v>
      </c>
      <c r="DR41" s="152" t="s">
        <v>134</v>
      </c>
      <c r="DS41" s="66" t="s">
        <v>135</v>
      </c>
      <c r="DT41" s="4"/>
      <c r="DU41" s="88"/>
      <c r="DV41" s="89"/>
      <c r="DW41" s="2"/>
      <c r="DX41" s="22"/>
      <c r="DY41" s="47"/>
    </row>
    <row r="42" spans="1:129" ht="13.8">
      <c r="A42" s="27">
        <f t="shared" ca="1" si="0"/>
        <v>37803</v>
      </c>
      <c r="B42" s="17">
        <f>'Gas Curves'!C46</f>
        <v>5.470319453314601E-2</v>
      </c>
      <c r="C42" s="17"/>
      <c r="D42" s="55">
        <v>36829</v>
      </c>
      <c r="E42" s="56">
        <v>63.25</v>
      </c>
      <c r="F42" s="56">
        <v>63.75</v>
      </c>
      <c r="G42" s="56">
        <v>64.349999999999994</v>
      </c>
      <c r="H42" s="40"/>
      <c r="I42" s="56">
        <v>26.75</v>
      </c>
      <c r="J42" s="56">
        <v>27</v>
      </c>
      <c r="K42" s="56">
        <v>27.3</v>
      </c>
      <c r="L42" s="23"/>
      <c r="M42" s="24">
        <v>37469</v>
      </c>
      <c r="N42" s="57">
        <v>52.200001525878903</v>
      </c>
      <c r="O42" s="57">
        <v>57.150001525878906</v>
      </c>
      <c r="P42" s="57">
        <v>61.800001525878905</v>
      </c>
      <c r="Q42" s="22"/>
      <c r="R42" s="57">
        <v>46.700000762939453</v>
      </c>
      <c r="S42" s="57">
        <v>50.700000762939453</v>
      </c>
      <c r="T42" s="57">
        <v>53.025000762939456</v>
      </c>
      <c r="U42" s="22"/>
      <c r="V42" s="57">
        <v>2</v>
      </c>
      <c r="W42" s="57">
        <v>2</v>
      </c>
      <c r="X42" s="57">
        <v>2</v>
      </c>
      <c r="Y42" s="22"/>
      <c r="Z42" s="57">
        <v>0.22599000000000002</v>
      </c>
      <c r="AA42" s="57">
        <v>0.45198000000000005</v>
      </c>
      <c r="AB42" s="57">
        <v>0.67797000000000007</v>
      </c>
      <c r="AC42" s="22"/>
      <c r="AD42" s="57">
        <v>5.7623999999999995E-2</v>
      </c>
      <c r="AE42" s="57">
        <v>0.11524799999999999</v>
      </c>
      <c r="AF42" s="57">
        <v>0.17287199999999997</v>
      </c>
      <c r="AG42" s="22"/>
      <c r="AH42" s="57">
        <v>-0.35</v>
      </c>
      <c r="AI42" s="57">
        <v>3.75</v>
      </c>
      <c r="AJ42" s="57">
        <v>0.5</v>
      </c>
      <c r="AK42" s="22"/>
      <c r="AL42" s="57">
        <v>-0.15</v>
      </c>
      <c r="AM42" s="57">
        <v>0.75</v>
      </c>
      <c r="AN42" s="57">
        <v>0.2</v>
      </c>
      <c r="AO42" s="22"/>
      <c r="AP42" s="23">
        <v>9</v>
      </c>
      <c r="AQ42" s="58">
        <v>0.2</v>
      </c>
      <c r="AR42" s="22"/>
      <c r="AS42" s="23">
        <v>2200</v>
      </c>
      <c r="AT42" s="67">
        <v>0.8</v>
      </c>
      <c r="AU42" s="67">
        <v>0.8</v>
      </c>
      <c r="AV42" s="67">
        <v>0.83150000000000002</v>
      </c>
      <c r="AW42" s="67">
        <v>0.98358182079729883</v>
      </c>
      <c r="AX42" s="67">
        <v>0.75</v>
      </c>
      <c r="AY42" s="67">
        <v>0.55000000000000004</v>
      </c>
      <c r="AZ42" s="67">
        <v>0.4</v>
      </c>
      <c r="BA42" s="67">
        <v>0.4</v>
      </c>
      <c r="BB42" s="67">
        <v>0.65</v>
      </c>
      <c r="BC42" s="67">
        <v>0.88670000000000004</v>
      </c>
      <c r="BD42" s="67">
        <v>0.86619999999999997</v>
      </c>
      <c r="BE42" s="67">
        <v>0.85150000000000003</v>
      </c>
      <c r="BF42" s="23" t="s">
        <v>52</v>
      </c>
      <c r="BG42" s="22"/>
      <c r="BH42" s="24">
        <v>37469</v>
      </c>
      <c r="BI42" s="60">
        <v>0.9</v>
      </c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392"/>
      <c r="CI42" s="396"/>
      <c r="CJ42" s="396"/>
      <c r="CK42" s="396"/>
      <c r="CM42" s="399"/>
      <c r="CN42" s="399"/>
      <c r="CO42" s="61"/>
      <c r="CP42"/>
      <c r="CQ42"/>
      <c r="CR42"/>
      <c r="CS42"/>
      <c r="CT42"/>
      <c r="CY42" s="282">
        <f t="shared" si="1"/>
        <v>37469</v>
      </c>
      <c r="CZ42" s="281">
        <f t="shared" si="2"/>
        <v>3.4</v>
      </c>
      <c r="DA42" s="281">
        <f t="shared" si="3"/>
        <v>3.75</v>
      </c>
      <c r="DB42" s="281">
        <f t="shared" si="4"/>
        <v>4.25</v>
      </c>
      <c r="DD42" s="281">
        <f t="shared" si="5"/>
        <v>0.22599000000000002</v>
      </c>
      <c r="DE42" s="281">
        <f t="shared" si="6"/>
        <v>0.45198000000000005</v>
      </c>
      <c r="DF42" s="281">
        <f t="shared" si="7"/>
        <v>0.67797000000000007</v>
      </c>
      <c r="DH42" s="282">
        <f t="shared" si="8"/>
        <v>37469</v>
      </c>
      <c r="DI42" s="17">
        <f t="shared" si="9"/>
        <v>0.9</v>
      </c>
      <c r="DP42">
        <v>24</v>
      </c>
      <c r="DQ42" s="65" t="s">
        <v>138</v>
      </c>
      <c r="DR42" s="152" t="s">
        <v>139</v>
      </c>
      <c r="DS42" s="66" t="s">
        <v>140</v>
      </c>
      <c r="DT42" s="4"/>
      <c r="DV42" s="88"/>
      <c r="DW42" s="89"/>
      <c r="DX42" s="2"/>
      <c r="DY42" s="22"/>
    </row>
    <row r="43" spans="1:129" ht="13.8">
      <c r="A43" s="27">
        <f t="shared" ca="1" si="0"/>
        <v>37834</v>
      </c>
      <c r="B43" s="17">
        <f>'Gas Curves'!C47</f>
        <v>5.4787606551798998E-2</v>
      </c>
      <c r="C43" s="17"/>
      <c r="D43" s="55">
        <v>36830</v>
      </c>
      <c r="E43" s="56">
        <v>63.25</v>
      </c>
      <c r="F43" s="56">
        <v>63.75</v>
      </c>
      <c r="G43" s="56">
        <v>64.349999999999994</v>
      </c>
      <c r="H43" s="40"/>
      <c r="I43" s="56">
        <v>26.75</v>
      </c>
      <c r="J43" s="56">
        <v>27</v>
      </c>
      <c r="K43" s="56">
        <v>27.3</v>
      </c>
      <c r="L43" s="23"/>
      <c r="M43" s="24">
        <v>37500</v>
      </c>
      <c r="N43" s="57">
        <v>29.80000114440918</v>
      </c>
      <c r="O43" s="57">
        <v>31.825001144409178</v>
      </c>
      <c r="P43" s="57">
        <v>33.250001144409175</v>
      </c>
      <c r="Q43" s="22"/>
      <c r="R43" s="57">
        <v>25.300001525878905</v>
      </c>
      <c r="S43" s="57">
        <v>29.300001525878905</v>
      </c>
      <c r="T43" s="57">
        <v>30.012501525878903</v>
      </c>
      <c r="U43" s="22"/>
      <c r="V43" s="57">
        <v>2</v>
      </c>
      <c r="W43" s="57">
        <v>2</v>
      </c>
      <c r="X43" s="57">
        <v>2</v>
      </c>
      <c r="Y43" s="22"/>
      <c r="Z43" s="57">
        <v>0.17122500000000002</v>
      </c>
      <c r="AA43" s="57">
        <v>0.34245000000000003</v>
      </c>
      <c r="AB43" s="57">
        <v>0.5136750000000001</v>
      </c>
      <c r="AC43" s="22"/>
      <c r="AD43" s="57">
        <v>3.8415999999999999E-2</v>
      </c>
      <c r="AE43" s="57">
        <v>7.6831999999999998E-2</v>
      </c>
      <c r="AF43" s="57">
        <v>0.11524799999999999</v>
      </c>
      <c r="AG43" s="22"/>
      <c r="AH43" s="57">
        <v>-0.35</v>
      </c>
      <c r="AI43" s="57">
        <v>2</v>
      </c>
      <c r="AJ43" s="57">
        <v>0.3</v>
      </c>
      <c r="AK43" s="22"/>
      <c r="AL43" s="57">
        <v>-0.15</v>
      </c>
      <c r="AM43" s="57">
        <v>0.4</v>
      </c>
      <c r="AN43" s="57">
        <v>0.2</v>
      </c>
      <c r="AO43" s="22"/>
      <c r="AP43" s="23">
        <v>9</v>
      </c>
      <c r="AQ43" s="58">
        <v>0.2</v>
      </c>
      <c r="AR43" s="22"/>
      <c r="AS43" s="23">
        <v>2300</v>
      </c>
      <c r="AT43" s="67">
        <v>0.8</v>
      </c>
      <c r="AU43" s="67">
        <v>0.8</v>
      </c>
      <c r="AV43" s="67">
        <v>0.6825</v>
      </c>
      <c r="AW43" s="67">
        <v>0.86893522761223685</v>
      </c>
      <c r="AX43" s="67">
        <v>0.75</v>
      </c>
      <c r="AY43" s="67">
        <v>0.55000000000000004</v>
      </c>
      <c r="AZ43" s="67">
        <v>0.4</v>
      </c>
      <c r="BA43" s="67">
        <v>0.4</v>
      </c>
      <c r="BB43" s="67">
        <v>0.65</v>
      </c>
      <c r="BC43" s="67">
        <v>0.75600000000000001</v>
      </c>
      <c r="BD43" s="67">
        <v>0.73050000000000004</v>
      </c>
      <c r="BE43" s="67">
        <v>0.70250000000000001</v>
      </c>
      <c r="BF43" s="23" t="s">
        <v>52</v>
      </c>
      <c r="BG43" s="22"/>
      <c r="BH43" s="24">
        <v>37500</v>
      </c>
      <c r="BI43" s="60">
        <v>0.9</v>
      </c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396"/>
      <c r="CI43" s="396"/>
      <c r="CJ43" s="396"/>
      <c r="CK43" s="396"/>
      <c r="CM43" s="399"/>
      <c r="CN43" s="399"/>
      <c r="CO43" s="61"/>
      <c r="CP43"/>
      <c r="CQ43"/>
      <c r="CR43"/>
      <c r="CS43"/>
      <c r="CT43"/>
      <c r="CY43" s="282">
        <f t="shared" si="1"/>
        <v>37500</v>
      </c>
      <c r="CZ43" s="281">
        <f t="shared" si="2"/>
        <v>1.65</v>
      </c>
      <c r="DA43" s="281">
        <f t="shared" si="3"/>
        <v>2</v>
      </c>
      <c r="DB43" s="281">
        <f t="shared" si="4"/>
        <v>2.2999999999999998</v>
      </c>
      <c r="DD43" s="281">
        <f t="shared" si="5"/>
        <v>0.17122500000000002</v>
      </c>
      <c r="DE43" s="281">
        <f t="shared" si="6"/>
        <v>0.34245000000000003</v>
      </c>
      <c r="DF43" s="281">
        <f t="shared" si="7"/>
        <v>0.5136750000000001</v>
      </c>
      <c r="DH43" s="282">
        <f t="shared" si="8"/>
        <v>37500</v>
      </c>
      <c r="DI43" s="17">
        <f t="shared" si="9"/>
        <v>0.9</v>
      </c>
      <c r="DP43">
        <v>25</v>
      </c>
      <c r="DQ43" s="81" t="s">
        <v>137</v>
      </c>
      <c r="DR43" s="153" t="s">
        <v>143</v>
      </c>
      <c r="DS43" s="82" t="s">
        <v>144</v>
      </c>
      <c r="DT43" s="4"/>
      <c r="DV43" s="88"/>
      <c r="DW43" s="89"/>
      <c r="DX43" s="2"/>
      <c r="DY43" s="22"/>
    </row>
    <row r="44" spans="1:129" ht="13.8">
      <c r="A44" s="27">
        <f t="shared" ca="1" si="0"/>
        <v>37865</v>
      </c>
      <c r="B44" s="17">
        <f>'Gas Curves'!C48</f>
        <v>5.4872018572825011E-2</v>
      </c>
      <c r="C44" s="17"/>
      <c r="D44" s="55">
        <v>36831</v>
      </c>
      <c r="E44" s="56">
        <v>65.5</v>
      </c>
      <c r="F44" s="56">
        <v>66</v>
      </c>
      <c r="G44" s="56">
        <v>66.599999999999994</v>
      </c>
      <c r="H44" s="40"/>
      <c r="I44" s="56">
        <v>27.899999618530273</v>
      </c>
      <c r="J44" s="56">
        <v>28.149999618530273</v>
      </c>
      <c r="K44" s="56">
        <v>28.449999618530274</v>
      </c>
      <c r="L44" s="23"/>
      <c r="M44" s="24">
        <v>37530</v>
      </c>
      <c r="N44" s="57">
        <v>26.775001144409178</v>
      </c>
      <c r="O44" s="57">
        <v>27.825001144409178</v>
      </c>
      <c r="P44" s="57">
        <v>28.725001144409177</v>
      </c>
      <c r="Q44" s="22"/>
      <c r="R44" s="57">
        <v>20.800001525878905</v>
      </c>
      <c r="S44" s="57">
        <v>24.800001525878905</v>
      </c>
      <c r="T44" s="57">
        <v>25.250001525878904</v>
      </c>
      <c r="U44" s="22"/>
      <c r="V44" s="57">
        <v>2</v>
      </c>
      <c r="W44" s="57">
        <v>2</v>
      </c>
      <c r="X44" s="57">
        <v>2</v>
      </c>
      <c r="Y44" s="22"/>
      <c r="Z44" s="57">
        <v>0.14809375000000002</v>
      </c>
      <c r="AA44" s="57">
        <v>0.29618750000000005</v>
      </c>
      <c r="AB44" s="57">
        <v>0.44428125000000007</v>
      </c>
      <c r="AC44" s="22"/>
      <c r="AD44" s="57">
        <v>2.8811999999999997E-2</v>
      </c>
      <c r="AE44" s="57">
        <v>5.7623999999999995E-2</v>
      </c>
      <c r="AF44" s="57">
        <v>8.6435999999999985E-2</v>
      </c>
      <c r="AG44" s="22"/>
      <c r="AH44" s="57">
        <v>-0.25</v>
      </c>
      <c r="AI44" s="57">
        <v>1.25</v>
      </c>
      <c r="AJ44" s="57">
        <v>0.3</v>
      </c>
      <c r="AK44" s="22"/>
      <c r="AL44" s="57">
        <v>-0.15</v>
      </c>
      <c r="AM44" s="57">
        <v>0.35</v>
      </c>
      <c r="AN44" s="57">
        <v>0.2</v>
      </c>
      <c r="AO44" s="22"/>
      <c r="AP44" s="23">
        <v>9</v>
      </c>
      <c r="AQ44" s="58">
        <v>0.2</v>
      </c>
      <c r="AR44" s="22"/>
      <c r="AS44" s="23">
        <v>2400</v>
      </c>
      <c r="AT44" s="67">
        <v>1.2250000000000001</v>
      </c>
      <c r="AU44" s="67">
        <v>1.2250000000000001</v>
      </c>
      <c r="AV44" s="67">
        <v>1.0449999999999999</v>
      </c>
      <c r="AW44" s="67">
        <v>1.0496774949890499</v>
      </c>
      <c r="AX44" s="67">
        <v>1.1779685918573899</v>
      </c>
      <c r="AY44" s="67">
        <v>1.3963883955002958</v>
      </c>
      <c r="AZ44" s="67">
        <v>1.2616588759647784</v>
      </c>
      <c r="BA44" s="67">
        <v>1.2636171008350987</v>
      </c>
      <c r="BB44" s="67">
        <v>1.1249920891082836</v>
      </c>
      <c r="BC44" s="67">
        <v>1.0505</v>
      </c>
      <c r="BD44" s="67">
        <v>1.0505</v>
      </c>
      <c r="BE44" s="67">
        <v>1.0505</v>
      </c>
      <c r="BF44" s="23" t="s">
        <v>60</v>
      </c>
      <c r="BG44" s="22"/>
      <c r="BH44" s="24">
        <v>37530</v>
      </c>
      <c r="BI44" s="60">
        <v>0.9</v>
      </c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396"/>
      <c r="CI44" s="396"/>
      <c r="CJ44" s="396"/>
      <c r="CK44" s="396"/>
      <c r="CM44" s="399"/>
      <c r="CN44" s="399"/>
      <c r="CO44" s="61"/>
      <c r="CP44"/>
      <c r="CQ44"/>
      <c r="CR44"/>
      <c r="CS44"/>
      <c r="CT44"/>
      <c r="CY44" s="282">
        <f t="shared" si="1"/>
        <v>37530</v>
      </c>
      <c r="CZ44" s="281">
        <f t="shared" si="2"/>
        <v>1</v>
      </c>
      <c r="DA44" s="281">
        <f t="shared" si="3"/>
        <v>1.25</v>
      </c>
      <c r="DB44" s="281">
        <f t="shared" si="4"/>
        <v>1.55</v>
      </c>
      <c r="DD44" s="281">
        <f t="shared" si="5"/>
        <v>0.14809375000000002</v>
      </c>
      <c r="DE44" s="281">
        <f t="shared" si="6"/>
        <v>0.29618750000000005</v>
      </c>
      <c r="DF44" s="281">
        <f t="shared" si="7"/>
        <v>0.44428125000000007</v>
      </c>
      <c r="DH44" s="282">
        <f t="shared" si="8"/>
        <v>37530</v>
      </c>
      <c r="DI44" s="17">
        <f t="shared" si="9"/>
        <v>0.9</v>
      </c>
      <c r="DP44">
        <v>26</v>
      </c>
      <c r="DQ44" s="81" t="s">
        <v>147</v>
      </c>
      <c r="DR44" s="153" t="s">
        <v>148</v>
      </c>
      <c r="DS44" s="82" t="s">
        <v>149</v>
      </c>
      <c r="DT44" s="4"/>
      <c r="DV44" s="88"/>
      <c r="DW44" s="89"/>
      <c r="DX44" s="2"/>
      <c r="DY44" s="22"/>
    </row>
    <row r="45" spans="1:129" ht="13.8">
      <c r="A45" s="27">
        <f t="shared" ca="1" si="0"/>
        <v>37895</v>
      </c>
      <c r="B45" s="17">
        <f>'Gas Curves'!C49</f>
        <v>5.4953513215957005E-2</v>
      </c>
      <c r="C45" s="17"/>
      <c r="D45" s="55">
        <v>36832</v>
      </c>
      <c r="E45" s="56">
        <v>65.5</v>
      </c>
      <c r="F45" s="56">
        <v>66</v>
      </c>
      <c r="G45" s="56">
        <v>66.599999999999994</v>
      </c>
      <c r="H45" s="40"/>
      <c r="I45" s="56">
        <v>27.899999618530273</v>
      </c>
      <c r="J45" s="56">
        <v>28.149999618530273</v>
      </c>
      <c r="K45" s="56">
        <v>28.449999618530274</v>
      </c>
      <c r="L45" s="23"/>
      <c r="M45" s="24">
        <v>37561</v>
      </c>
      <c r="N45" s="57">
        <v>29.125001525878904</v>
      </c>
      <c r="O45" s="57">
        <v>30.175001525878905</v>
      </c>
      <c r="P45" s="57">
        <v>31.075001525878903</v>
      </c>
      <c r="Q45" s="22"/>
      <c r="R45" s="57">
        <v>23.000000381469725</v>
      </c>
      <c r="S45" s="57">
        <v>27.000000381469725</v>
      </c>
      <c r="T45" s="57">
        <v>27.450000381469724</v>
      </c>
      <c r="U45" s="22"/>
      <c r="V45" s="57">
        <v>2</v>
      </c>
      <c r="W45" s="57">
        <v>2</v>
      </c>
      <c r="X45" s="57">
        <v>2</v>
      </c>
      <c r="Y45" s="22"/>
      <c r="Z45" s="57">
        <v>0.14809375000000002</v>
      </c>
      <c r="AA45" s="57">
        <v>0.29618750000000005</v>
      </c>
      <c r="AB45" s="57">
        <v>0.44428125000000007</v>
      </c>
      <c r="AC45" s="22"/>
      <c r="AD45" s="57">
        <v>2.8811999999999997E-2</v>
      </c>
      <c r="AE45" s="57">
        <v>5.7623999999999995E-2</v>
      </c>
      <c r="AF45" s="57">
        <v>8.6435999999999985E-2</v>
      </c>
      <c r="AG45" s="22"/>
      <c r="AH45" s="57">
        <v>-0.25</v>
      </c>
      <c r="AI45" s="57">
        <v>1.25</v>
      </c>
      <c r="AJ45" s="57">
        <v>0.3</v>
      </c>
      <c r="AK45" s="22"/>
      <c r="AL45" s="57">
        <v>-0.15</v>
      </c>
      <c r="AM45" s="57">
        <v>0.3</v>
      </c>
      <c r="AN45" s="57">
        <v>0.2</v>
      </c>
      <c r="AO45" s="22"/>
      <c r="AP45" s="23">
        <v>10</v>
      </c>
      <c r="AQ45" s="58">
        <v>0.2</v>
      </c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4">
        <v>37561</v>
      </c>
      <c r="BI45" s="60">
        <v>0.9</v>
      </c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396"/>
      <c r="CI45" s="396"/>
      <c r="CJ45" s="396"/>
      <c r="CK45" s="396"/>
      <c r="CM45" s="399"/>
      <c r="CN45" s="399"/>
      <c r="CO45" s="61"/>
      <c r="CP45"/>
      <c r="CQ45"/>
      <c r="CR45"/>
      <c r="CS45"/>
      <c r="CT45"/>
      <c r="CY45" s="282">
        <f t="shared" si="1"/>
        <v>37561</v>
      </c>
      <c r="CZ45" s="281">
        <f t="shared" si="2"/>
        <v>1</v>
      </c>
      <c r="DA45" s="281">
        <f t="shared" si="3"/>
        <v>1.25</v>
      </c>
      <c r="DB45" s="281">
        <f t="shared" si="4"/>
        <v>1.55</v>
      </c>
      <c r="DD45" s="281">
        <f t="shared" si="5"/>
        <v>0.14809375000000002</v>
      </c>
      <c r="DE45" s="281">
        <f t="shared" si="6"/>
        <v>0.29618750000000005</v>
      </c>
      <c r="DF45" s="281">
        <f t="shared" si="7"/>
        <v>0.44428125000000007</v>
      </c>
      <c r="DH45" s="282">
        <f t="shared" si="8"/>
        <v>37561</v>
      </c>
      <c r="DI45" s="17">
        <f t="shared" si="9"/>
        <v>0.9</v>
      </c>
      <c r="DP45">
        <v>27</v>
      </c>
      <c r="DQ45" s="81" t="s">
        <v>150</v>
      </c>
      <c r="DR45" s="153" t="s">
        <v>151</v>
      </c>
      <c r="DS45" s="82">
        <v>9</v>
      </c>
      <c r="DT45" s="4"/>
      <c r="DV45" s="88"/>
      <c r="DW45" s="89"/>
      <c r="DX45" s="2"/>
      <c r="DY45" s="22"/>
    </row>
    <row r="46" spans="1:129" ht="13.8">
      <c r="A46" s="27">
        <f t="shared" ca="1" si="0"/>
        <v>37926</v>
      </c>
      <c r="B46" s="17">
        <f>'Gas Curves'!C50</f>
        <v>5.5037480368084014E-2</v>
      </c>
      <c r="C46" s="17"/>
      <c r="D46" s="55">
        <v>36833</v>
      </c>
      <c r="E46" s="56">
        <v>65.5</v>
      </c>
      <c r="F46" s="56">
        <v>66</v>
      </c>
      <c r="G46" s="56">
        <v>66.599999999999994</v>
      </c>
      <c r="H46" s="40"/>
      <c r="I46" s="56">
        <v>27.899999618530273</v>
      </c>
      <c r="J46" s="56">
        <v>28.149999618530273</v>
      </c>
      <c r="K46" s="56">
        <v>28.449999618530274</v>
      </c>
      <c r="L46" s="23"/>
      <c r="M46" s="24">
        <v>37591</v>
      </c>
      <c r="N46" s="57">
        <v>29.725000000000001</v>
      </c>
      <c r="O46" s="57">
        <v>30.774999999999999</v>
      </c>
      <c r="P46" s="57">
        <v>31.675000000000001</v>
      </c>
      <c r="Q46" s="22"/>
      <c r="R46" s="57">
        <v>23.500000381469725</v>
      </c>
      <c r="S46" s="57">
        <v>27.500000381469725</v>
      </c>
      <c r="T46" s="57">
        <v>27.950000381469724</v>
      </c>
      <c r="U46" s="22"/>
      <c r="V46" s="57">
        <v>2</v>
      </c>
      <c r="W46" s="57">
        <v>2</v>
      </c>
      <c r="X46" s="57">
        <v>2</v>
      </c>
      <c r="Y46" s="22"/>
      <c r="Z46" s="57">
        <v>0.1451375</v>
      </c>
      <c r="AA46" s="57">
        <v>0.29027500000000001</v>
      </c>
      <c r="AB46" s="57">
        <v>0.43541249999999998</v>
      </c>
      <c r="AC46" s="22"/>
      <c r="AD46" s="57">
        <v>2.8811999999999997E-2</v>
      </c>
      <c r="AE46" s="57">
        <v>5.7623999999999995E-2</v>
      </c>
      <c r="AF46" s="57">
        <v>8.6435999999999985E-2</v>
      </c>
      <c r="AG46" s="22"/>
      <c r="AH46" s="57">
        <v>-0.25</v>
      </c>
      <c r="AI46" s="57">
        <v>1.3</v>
      </c>
      <c r="AJ46" s="57">
        <v>0.35</v>
      </c>
      <c r="AK46" s="22"/>
      <c r="AL46" s="57">
        <v>-0.15</v>
      </c>
      <c r="AM46" s="57">
        <v>0.3</v>
      </c>
      <c r="AN46" s="57">
        <v>0.2</v>
      </c>
      <c r="AO46" s="22"/>
      <c r="AP46" s="23">
        <v>10</v>
      </c>
      <c r="AQ46" s="58">
        <v>0.2</v>
      </c>
      <c r="AR46" s="22"/>
      <c r="AS46" s="23" t="s">
        <v>156</v>
      </c>
      <c r="AT46" s="22"/>
      <c r="AU46" s="22"/>
      <c r="AV46" s="23" t="s">
        <v>157</v>
      </c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4">
        <v>37591</v>
      </c>
      <c r="BI46" s="60">
        <v>0.9</v>
      </c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396"/>
      <c r="CI46" s="396"/>
      <c r="CJ46" s="396"/>
      <c r="CK46" s="396"/>
      <c r="CM46" s="399"/>
      <c r="CN46" s="399"/>
      <c r="CO46" s="61"/>
      <c r="CP46"/>
      <c r="CQ46"/>
      <c r="CR46"/>
      <c r="CS46"/>
      <c r="CT46"/>
      <c r="CY46" s="282">
        <f t="shared" si="1"/>
        <v>37591</v>
      </c>
      <c r="CZ46" s="281">
        <f t="shared" si="2"/>
        <v>1.05</v>
      </c>
      <c r="DA46" s="281">
        <f t="shared" si="3"/>
        <v>1.3</v>
      </c>
      <c r="DB46" s="281">
        <f t="shared" si="4"/>
        <v>1.65</v>
      </c>
      <c r="DD46" s="281">
        <f t="shared" si="5"/>
        <v>0.1451375</v>
      </c>
      <c r="DE46" s="281">
        <f t="shared" si="6"/>
        <v>0.29027500000000001</v>
      </c>
      <c r="DF46" s="281">
        <f t="shared" si="7"/>
        <v>0.43541249999999998</v>
      </c>
      <c r="DH46" s="282">
        <f t="shared" si="8"/>
        <v>37591</v>
      </c>
      <c r="DI46" s="17">
        <f t="shared" si="9"/>
        <v>0.9</v>
      </c>
      <c r="DP46">
        <v>28</v>
      </c>
      <c r="DQ46" s="81" t="s">
        <v>152</v>
      </c>
      <c r="DR46" s="153" t="s">
        <v>153</v>
      </c>
      <c r="DS46" s="82">
        <v>10</v>
      </c>
      <c r="DT46" s="4"/>
      <c r="DV46" s="88"/>
      <c r="DW46" s="89"/>
      <c r="DX46" s="2"/>
      <c r="DY46" s="22"/>
    </row>
    <row r="47" spans="1:129" ht="14.4" thickBot="1">
      <c r="A47" s="27">
        <f t="shared" ca="1" si="0"/>
        <v>37956</v>
      </c>
      <c r="B47" s="17">
        <f>'Gas Curves'!C51</f>
        <v>5.5118738904638011E-2</v>
      </c>
      <c r="C47" s="17"/>
      <c r="D47" s="55">
        <v>36834</v>
      </c>
      <c r="E47" s="56">
        <v>47.5</v>
      </c>
      <c r="F47" s="56">
        <v>48</v>
      </c>
      <c r="G47" s="56">
        <v>48.6</v>
      </c>
      <c r="H47" s="40"/>
      <c r="I47" s="56">
        <v>27.899999618530273</v>
      </c>
      <c r="J47" s="56">
        <v>28.149999618530273</v>
      </c>
      <c r="K47" s="56">
        <v>28.449999618530274</v>
      </c>
      <c r="L47" s="23"/>
      <c r="M47" s="24">
        <v>37622</v>
      </c>
      <c r="N47" s="57">
        <v>30.529496002197266</v>
      </c>
      <c r="O47" s="57">
        <v>32.104496002197266</v>
      </c>
      <c r="P47" s="57">
        <v>33.041996002197266</v>
      </c>
      <c r="Q47" s="22"/>
      <c r="R47" s="57">
        <v>24.403997421264648</v>
      </c>
      <c r="S47" s="57">
        <v>28.403997421264648</v>
      </c>
      <c r="T47" s="57">
        <v>28.872747421264648</v>
      </c>
      <c r="U47" s="22"/>
      <c r="V47" s="57">
        <v>2</v>
      </c>
      <c r="W47" s="57">
        <v>2</v>
      </c>
      <c r="X47" s="57">
        <v>2</v>
      </c>
      <c r="Y47" s="22"/>
      <c r="Z47" s="57">
        <v>0.21417749999999999</v>
      </c>
      <c r="AA47" s="57">
        <v>0.42835499999999999</v>
      </c>
      <c r="AB47" s="57">
        <v>0.64253249999999995</v>
      </c>
      <c r="AC47" s="22"/>
      <c r="AD47" s="57">
        <v>3.2941720000000008E-2</v>
      </c>
      <c r="AE47" s="57">
        <v>6.5883440000000015E-2</v>
      </c>
      <c r="AF47" s="57">
        <v>9.8825160000000023E-2</v>
      </c>
      <c r="AG47" s="22"/>
      <c r="AH47" s="57">
        <v>-0.75</v>
      </c>
      <c r="AI47" s="57">
        <v>2</v>
      </c>
      <c r="AJ47" s="57">
        <v>0.75</v>
      </c>
      <c r="AK47" s="22"/>
      <c r="AL47" s="57">
        <v>-0.15</v>
      </c>
      <c r="AM47" s="57">
        <v>0.5</v>
      </c>
      <c r="AN47" s="57">
        <v>0.2</v>
      </c>
      <c r="AO47" s="22"/>
      <c r="AP47" s="23">
        <v>10</v>
      </c>
      <c r="AQ47" s="58">
        <v>0.2</v>
      </c>
      <c r="AR47" s="22"/>
      <c r="AS47" s="58">
        <v>-5</v>
      </c>
      <c r="AT47" s="92">
        <v>1.4999999999999999E-2</v>
      </c>
      <c r="AU47" s="22"/>
      <c r="AV47" s="58">
        <v>1</v>
      </c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4">
        <v>37622</v>
      </c>
      <c r="BI47" s="60">
        <v>0.9</v>
      </c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396"/>
      <c r="CI47" s="396"/>
      <c r="CJ47" s="396"/>
      <c r="CK47" s="396"/>
      <c r="CM47" s="399"/>
      <c r="CN47" s="399"/>
      <c r="CO47" s="61"/>
      <c r="CP47"/>
      <c r="CQ47"/>
      <c r="CR47"/>
      <c r="CS47"/>
      <c r="CT47"/>
      <c r="CY47" s="282">
        <f t="shared" si="1"/>
        <v>37622</v>
      </c>
      <c r="CZ47" s="281">
        <f t="shared" si="2"/>
        <v>1.25</v>
      </c>
      <c r="DA47" s="281">
        <f t="shared" si="3"/>
        <v>2</v>
      </c>
      <c r="DB47" s="281">
        <f t="shared" si="4"/>
        <v>2.75</v>
      </c>
      <c r="DD47" s="281">
        <f t="shared" si="5"/>
        <v>0.21417749999999999</v>
      </c>
      <c r="DE47" s="281">
        <f t="shared" si="6"/>
        <v>0.42835499999999999</v>
      </c>
      <c r="DF47" s="281">
        <f t="shared" si="7"/>
        <v>0.64253249999999995</v>
      </c>
      <c r="DH47" s="282">
        <f t="shared" si="8"/>
        <v>37622</v>
      </c>
      <c r="DI47" s="17">
        <f t="shared" si="9"/>
        <v>0.9</v>
      </c>
      <c r="DP47">
        <v>29</v>
      </c>
      <c r="DQ47" s="90" t="s">
        <v>154</v>
      </c>
      <c r="DR47" s="154" t="s">
        <v>155</v>
      </c>
      <c r="DS47" s="91">
        <v>11</v>
      </c>
      <c r="DT47" s="4"/>
      <c r="DV47" s="88"/>
      <c r="DW47" s="89"/>
      <c r="DX47" s="2"/>
      <c r="DY47" s="22"/>
    </row>
    <row r="48" spans="1:129" ht="13.8">
      <c r="A48" s="27">
        <f t="shared" ca="1" si="0"/>
        <v>37987</v>
      </c>
      <c r="B48" s="17">
        <f>'Gas Curves'!C52</f>
        <v>5.5209084886415009E-2</v>
      </c>
      <c r="C48" s="17"/>
      <c r="D48" s="55">
        <v>36835</v>
      </c>
      <c r="E48" s="56">
        <v>47.5</v>
      </c>
      <c r="F48" s="56">
        <v>48</v>
      </c>
      <c r="G48" s="56">
        <v>48.6</v>
      </c>
      <c r="H48" s="40"/>
      <c r="I48" s="56">
        <v>27.899999618530273</v>
      </c>
      <c r="J48" s="56">
        <v>28.149999618530273</v>
      </c>
      <c r="K48" s="56">
        <v>28.449999618530274</v>
      </c>
      <c r="L48" s="23"/>
      <c r="M48" s="24">
        <v>37653</v>
      </c>
      <c r="N48" s="57">
        <v>30.191996765136718</v>
      </c>
      <c r="O48" s="57">
        <v>31.429496765136719</v>
      </c>
      <c r="P48" s="57">
        <v>32.366996765136719</v>
      </c>
      <c r="Q48" s="22"/>
      <c r="R48" s="57">
        <v>23.803997039794922</v>
      </c>
      <c r="S48" s="57">
        <v>27.803997039794922</v>
      </c>
      <c r="T48" s="57">
        <v>28.272747039794922</v>
      </c>
      <c r="U48" s="22"/>
      <c r="V48" s="57">
        <v>2</v>
      </c>
      <c r="W48" s="57">
        <v>2</v>
      </c>
      <c r="X48" s="57">
        <v>2</v>
      </c>
      <c r="Y48" s="22"/>
      <c r="Z48" s="57">
        <v>0.20690999999999998</v>
      </c>
      <c r="AA48" s="57">
        <v>0.41381999999999997</v>
      </c>
      <c r="AB48" s="57">
        <v>0.62073</v>
      </c>
      <c r="AC48" s="22"/>
      <c r="AD48" s="57">
        <v>3.2941720000000008E-2</v>
      </c>
      <c r="AE48" s="57">
        <v>6.5883440000000015E-2</v>
      </c>
      <c r="AF48" s="57">
        <v>9.8825160000000023E-2</v>
      </c>
      <c r="AG48" s="22"/>
      <c r="AH48" s="57">
        <v>-0.75</v>
      </c>
      <c r="AI48" s="57">
        <v>2</v>
      </c>
      <c r="AJ48" s="57">
        <v>0.75</v>
      </c>
      <c r="AK48" s="22"/>
      <c r="AL48" s="57">
        <v>-0.15</v>
      </c>
      <c r="AM48" s="57">
        <v>0.5</v>
      </c>
      <c r="AN48" s="57">
        <v>0.2</v>
      </c>
      <c r="AO48" s="22"/>
      <c r="AP48" s="23">
        <v>11</v>
      </c>
      <c r="AQ48" s="58">
        <v>0.3</v>
      </c>
      <c r="AR48" s="22"/>
      <c r="AS48" s="58">
        <v>-4.5</v>
      </c>
      <c r="AT48" s="60">
        <v>1.4999999999999999E-2</v>
      </c>
      <c r="AU48" s="22"/>
      <c r="AV48" s="58">
        <v>2</v>
      </c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4">
        <v>37653</v>
      </c>
      <c r="BI48" s="60">
        <v>0.9</v>
      </c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396"/>
      <c r="CI48" s="396"/>
      <c r="CJ48" s="396"/>
      <c r="CK48" s="396"/>
      <c r="CM48" s="399"/>
      <c r="CN48" s="399"/>
      <c r="CO48" s="61"/>
      <c r="CP48"/>
      <c r="CQ48"/>
      <c r="CR48"/>
      <c r="CS48"/>
      <c r="CT48"/>
      <c r="CY48" s="282">
        <f t="shared" si="1"/>
        <v>37653</v>
      </c>
      <c r="CZ48" s="281">
        <f t="shared" si="2"/>
        <v>1.25</v>
      </c>
      <c r="DA48" s="281">
        <f t="shared" si="3"/>
        <v>2</v>
      </c>
      <c r="DB48" s="281">
        <f t="shared" si="4"/>
        <v>2.75</v>
      </c>
      <c r="DD48" s="281">
        <f t="shared" si="5"/>
        <v>0.20690999999999998</v>
      </c>
      <c r="DE48" s="281">
        <f t="shared" si="6"/>
        <v>0.41381999999999997</v>
      </c>
      <c r="DF48" s="281">
        <f t="shared" si="7"/>
        <v>0.62073</v>
      </c>
      <c r="DH48" s="282">
        <f t="shared" si="8"/>
        <v>37653</v>
      </c>
      <c r="DI48" s="17">
        <f t="shared" si="9"/>
        <v>0.9</v>
      </c>
      <c r="DT48" s="4"/>
      <c r="DV48" s="88"/>
      <c r="DW48" s="89"/>
      <c r="DX48" s="2"/>
      <c r="DY48" s="22"/>
    </row>
    <row r="49" spans="1:129" ht="13.8">
      <c r="A49" s="27">
        <f t="shared" ca="1" si="0"/>
        <v>38018</v>
      </c>
      <c r="B49" s="17">
        <f>'Gas Curves'!C53</f>
        <v>5.5306234951161014E-2</v>
      </c>
      <c r="C49" s="17"/>
      <c r="D49" s="55">
        <v>36836</v>
      </c>
      <c r="E49" s="56">
        <v>65.5</v>
      </c>
      <c r="F49" s="56">
        <v>66</v>
      </c>
      <c r="G49" s="56">
        <v>66.599999999999994</v>
      </c>
      <c r="H49" s="40"/>
      <c r="I49" s="56">
        <v>27.899999618530273</v>
      </c>
      <c r="J49" s="56">
        <v>28.149999618530273</v>
      </c>
      <c r="K49" s="56">
        <v>28.449999618530274</v>
      </c>
      <c r="L49" s="23"/>
      <c r="M49" s="24">
        <v>37681</v>
      </c>
      <c r="N49" s="57">
        <v>24.337496948242187</v>
      </c>
      <c r="O49" s="57">
        <v>25.574996948242188</v>
      </c>
      <c r="P49" s="57">
        <v>26.512496948242188</v>
      </c>
      <c r="Q49" s="22"/>
      <c r="R49" s="57">
        <v>18.599998474121094</v>
      </c>
      <c r="S49" s="57">
        <v>22.599998474121094</v>
      </c>
      <c r="T49" s="57">
        <v>23.068748474121094</v>
      </c>
      <c r="U49" s="22"/>
      <c r="V49" s="57">
        <v>2</v>
      </c>
      <c r="W49" s="57">
        <v>2</v>
      </c>
      <c r="X49" s="57">
        <v>2</v>
      </c>
      <c r="Y49" s="22"/>
      <c r="Z49" s="57">
        <v>0.16402937499999998</v>
      </c>
      <c r="AA49" s="57">
        <v>0.32805874999999995</v>
      </c>
      <c r="AB49" s="57">
        <v>0.49208812499999993</v>
      </c>
      <c r="AC49" s="22"/>
      <c r="AD49" s="57">
        <v>2.8811999999999997E-2</v>
      </c>
      <c r="AE49" s="57">
        <v>5.7623999999999995E-2</v>
      </c>
      <c r="AF49" s="57">
        <v>8.6435999999999985E-2</v>
      </c>
      <c r="AG49" s="22"/>
      <c r="AH49" s="57">
        <v>-0.25</v>
      </c>
      <c r="AI49" s="57">
        <v>1.3</v>
      </c>
      <c r="AJ49" s="57">
        <v>0.3</v>
      </c>
      <c r="AK49" s="22"/>
      <c r="AL49" s="57">
        <v>-0.15</v>
      </c>
      <c r="AM49" s="57">
        <v>0.35</v>
      </c>
      <c r="AN49" s="57">
        <v>0.2</v>
      </c>
      <c r="AO49" s="22"/>
      <c r="AP49" s="23">
        <v>11</v>
      </c>
      <c r="AQ49" s="58">
        <v>0.3</v>
      </c>
      <c r="AR49" s="22"/>
      <c r="AS49" s="93">
        <v>-4</v>
      </c>
      <c r="AT49" s="92">
        <v>1.2500000000000001E-2</v>
      </c>
      <c r="AU49" s="22"/>
      <c r="AV49" s="58">
        <v>3</v>
      </c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4">
        <v>37681</v>
      </c>
      <c r="BI49" s="60">
        <v>0.9</v>
      </c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396"/>
      <c r="CI49" s="3"/>
      <c r="CJ49" s="3"/>
      <c r="CK49" s="3"/>
      <c r="CM49" s="399"/>
      <c r="CN49" s="399"/>
      <c r="CO49" s="61"/>
      <c r="CP49"/>
      <c r="CQ49"/>
      <c r="CR49"/>
      <c r="CS49"/>
      <c r="CT49"/>
      <c r="CY49" s="282">
        <f t="shared" si="1"/>
        <v>37681</v>
      </c>
      <c r="CZ49" s="281">
        <f t="shared" si="2"/>
        <v>1.05</v>
      </c>
      <c r="DA49" s="281">
        <f t="shared" si="3"/>
        <v>1.3</v>
      </c>
      <c r="DB49" s="281">
        <f t="shared" si="4"/>
        <v>1.6</v>
      </c>
      <c r="DD49" s="281">
        <f t="shared" si="5"/>
        <v>0.16402937499999998</v>
      </c>
      <c r="DE49" s="281">
        <f t="shared" si="6"/>
        <v>0.32805874999999995</v>
      </c>
      <c r="DF49" s="281">
        <f t="shared" si="7"/>
        <v>0.49208812499999993</v>
      </c>
      <c r="DH49" s="282">
        <f t="shared" si="8"/>
        <v>37681</v>
      </c>
      <c r="DI49" s="17">
        <f t="shared" si="9"/>
        <v>0.9</v>
      </c>
      <c r="DT49" s="4"/>
    </row>
    <row r="50" spans="1:129" ht="13.8">
      <c r="A50" s="27">
        <f t="shared" ca="1" si="0"/>
        <v>38047</v>
      </c>
      <c r="B50" s="17">
        <f>'Gas Curves'!C54</f>
        <v>5.539711727264001E-2</v>
      </c>
      <c r="C50" s="17"/>
      <c r="D50" s="55">
        <v>36860</v>
      </c>
      <c r="E50" s="56">
        <v>65.5</v>
      </c>
      <c r="F50" s="56">
        <v>66</v>
      </c>
      <c r="G50" s="56">
        <v>66.599999999999994</v>
      </c>
      <c r="H50" s="40"/>
      <c r="I50" s="56">
        <v>27.899999618530273</v>
      </c>
      <c r="J50" s="56">
        <v>28.149999618530273</v>
      </c>
      <c r="K50" s="56">
        <v>28.449999618530274</v>
      </c>
      <c r="L50" s="23"/>
      <c r="M50" s="24">
        <v>37712</v>
      </c>
      <c r="N50" s="57">
        <v>23.324999618530274</v>
      </c>
      <c r="O50" s="57">
        <v>24.899999618530273</v>
      </c>
      <c r="P50" s="57">
        <v>25.837499618530273</v>
      </c>
      <c r="Q50" s="22"/>
      <c r="R50" s="57">
        <v>18</v>
      </c>
      <c r="S50" s="57">
        <v>22</v>
      </c>
      <c r="T50" s="57">
        <v>22.46875</v>
      </c>
      <c r="U50" s="22"/>
      <c r="V50" s="57">
        <v>2</v>
      </c>
      <c r="W50" s="57">
        <v>2</v>
      </c>
      <c r="X50" s="57">
        <v>2</v>
      </c>
      <c r="Y50" s="22"/>
      <c r="Z50" s="57">
        <v>0.16380375</v>
      </c>
      <c r="AA50" s="57">
        <v>0.3276075</v>
      </c>
      <c r="AB50" s="57">
        <v>0.49141124999999997</v>
      </c>
      <c r="AC50" s="22"/>
      <c r="AD50" s="57">
        <v>2.8811999999999997E-2</v>
      </c>
      <c r="AE50" s="57">
        <v>5.7623999999999995E-2</v>
      </c>
      <c r="AF50" s="57">
        <v>8.6435999999999985E-2</v>
      </c>
      <c r="AG50" s="22"/>
      <c r="AH50" s="57">
        <v>-0.25</v>
      </c>
      <c r="AI50" s="57">
        <v>1.1000000000000001</v>
      </c>
      <c r="AJ50" s="57">
        <v>0.3</v>
      </c>
      <c r="AK50" s="22"/>
      <c r="AL50" s="57">
        <v>-0.15</v>
      </c>
      <c r="AM50" s="57">
        <v>0.35</v>
      </c>
      <c r="AN50" s="57">
        <v>0.2</v>
      </c>
      <c r="AO50" s="22"/>
      <c r="AP50" s="23">
        <v>11</v>
      </c>
      <c r="AQ50" s="58">
        <v>0.3</v>
      </c>
      <c r="AR50" s="22"/>
      <c r="AS50" s="58">
        <v>-3.5</v>
      </c>
      <c r="AT50" s="92">
        <v>1.2500000000000001E-2</v>
      </c>
      <c r="AU50" s="22"/>
      <c r="AV50" s="58">
        <v>4</v>
      </c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4">
        <v>37712</v>
      </c>
      <c r="BI50" s="60">
        <v>0.9</v>
      </c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396"/>
      <c r="CI50" s="390"/>
      <c r="CJ50" s="391"/>
      <c r="CK50" s="391"/>
      <c r="CM50" s="399"/>
      <c r="CN50" s="399"/>
      <c r="CO50" s="61"/>
      <c r="CP50"/>
      <c r="CQ50"/>
      <c r="CR50"/>
      <c r="CS50"/>
      <c r="CT50"/>
      <c r="CY50" s="282">
        <f t="shared" si="1"/>
        <v>37712</v>
      </c>
      <c r="CZ50" s="281">
        <f t="shared" si="2"/>
        <v>0.85000000000000009</v>
      </c>
      <c r="DA50" s="281">
        <f t="shared" si="3"/>
        <v>1.1000000000000001</v>
      </c>
      <c r="DB50" s="281">
        <f t="shared" si="4"/>
        <v>1.4000000000000001</v>
      </c>
      <c r="DD50" s="281">
        <f t="shared" si="5"/>
        <v>0.16380375</v>
      </c>
      <c r="DE50" s="281">
        <f t="shared" si="6"/>
        <v>0.3276075</v>
      </c>
      <c r="DF50" s="281">
        <f t="shared" si="7"/>
        <v>0.49141124999999997</v>
      </c>
      <c r="DH50" s="282">
        <f t="shared" si="8"/>
        <v>37712</v>
      </c>
      <c r="DI50" s="17">
        <f t="shared" si="9"/>
        <v>0.9</v>
      </c>
      <c r="DT50" s="4"/>
      <c r="DU50" s="4"/>
      <c r="DV50" s="4"/>
      <c r="DW50" s="4"/>
      <c r="DX50" s="4"/>
      <c r="DY50" s="4"/>
    </row>
    <row r="51" spans="1:129" ht="13.8">
      <c r="A51" s="27">
        <f t="shared" ca="1" si="0"/>
        <v>38078</v>
      </c>
      <c r="B51" s="17">
        <f>'Gas Curves'!C55</f>
        <v>5.5483670787007007E-2</v>
      </c>
      <c r="C51" s="17"/>
      <c r="D51" s="55">
        <v>36861</v>
      </c>
      <c r="E51" s="56">
        <v>70</v>
      </c>
      <c r="F51" s="56">
        <v>70.5</v>
      </c>
      <c r="G51" s="56">
        <v>71.099999999999994</v>
      </c>
      <c r="H51" s="40"/>
      <c r="I51" s="56">
        <v>28.149999618530273</v>
      </c>
      <c r="J51" s="56">
        <v>28.399999618530273</v>
      </c>
      <c r="K51" s="56">
        <v>28.699999618530274</v>
      </c>
      <c r="L51" s="23"/>
      <c r="M51" s="24">
        <v>37742</v>
      </c>
      <c r="N51" s="57">
        <v>26.925000000000001</v>
      </c>
      <c r="O51" s="57">
        <v>28.5</v>
      </c>
      <c r="P51" s="57">
        <v>30.285</v>
      </c>
      <c r="Q51" s="22"/>
      <c r="R51" s="57">
        <v>21.19999885559082</v>
      </c>
      <c r="S51" s="57">
        <v>25.19999885559082</v>
      </c>
      <c r="T51" s="57">
        <v>26.092498855590819</v>
      </c>
      <c r="U51" s="22"/>
      <c r="V51" s="57">
        <v>2</v>
      </c>
      <c r="W51" s="57">
        <v>2</v>
      </c>
      <c r="X51" s="57">
        <v>2</v>
      </c>
      <c r="Y51" s="22"/>
      <c r="Z51" s="57">
        <v>0.17232525000000001</v>
      </c>
      <c r="AA51" s="57">
        <v>0.34465050000000003</v>
      </c>
      <c r="AB51" s="57">
        <v>0.51697575000000007</v>
      </c>
      <c r="AC51" s="22"/>
      <c r="AD51" s="57">
        <v>3.2941720000000008E-2</v>
      </c>
      <c r="AE51" s="57">
        <v>6.5883440000000015E-2</v>
      </c>
      <c r="AF51" s="57">
        <v>9.8825160000000023E-2</v>
      </c>
      <c r="AG51" s="22"/>
      <c r="AH51" s="57">
        <v>-0.25</v>
      </c>
      <c r="AI51" s="57">
        <v>1.1000000000000001</v>
      </c>
      <c r="AJ51" s="57">
        <v>0.3</v>
      </c>
      <c r="AK51" s="22"/>
      <c r="AL51" s="57">
        <v>-0.15</v>
      </c>
      <c r="AM51" s="57">
        <v>0.5</v>
      </c>
      <c r="AN51" s="57">
        <v>0.2</v>
      </c>
      <c r="AO51" s="22"/>
      <c r="AP51" s="23">
        <v>12</v>
      </c>
      <c r="AQ51" s="58">
        <v>0.3</v>
      </c>
      <c r="AR51" s="22"/>
      <c r="AS51" s="58">
        <v>-3</v>
      </c>
      <c r="AT51" s="92">
        <v>0.01</v>
      </c>
      <c r="AU51" s="22"/>
      <c r="AV51" s="58">
        <v>10</v>
      </c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4">
        <v>37742</v>
      </c>
      <c r="BI51" s="60">
        <v>0.9</v>
      </c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396"/>
      <c r="CI51" s="393"/>
      <c r="CJ51" s="393"/>
      <c r="CK51" s="393"/>
      <c r="CM51" s="399"/>
      <c r="CN51" s="399"/>
      <c r="CO51" s="61"/>
      <c r="CP51"/>
      <c r="CQ51"/>
      <c r="CR51"/>
      <c r="CS51"/>
      <c r="CT51"/>
      <c r="CY51" s="282">
        <f t="shared" si="1"/>
        <v>37742</v>
      </c>
      <c r="CZ51" s="281">
        <f t="shared" si="2"/>
        <v>0.85000000000000009</v>
      </c>
      <c r="DA51" s="281">
        <f t="shared" si="3"/>
        <v>1.1000000000000001</v>
      </c>
      <c r="DB51" s="281">
        <f t="shared" si="4"/>
        <v>1.4000000000000001</v>
      </c>
      <c r="DD51" s="281">
        <f t="shared" si="5"/>
        <v>0.17232525000000001</v>
      </c>
      <c r="DE51" s="281">
        <f t="shared" si="6"/>
        <v>0.34465050000000003</v>
      </c>
      <c r="DF51" s="281">
        <f t="shared" si="7"/>
        <v>0.51697575000000007</v>
      </c>
      <c r="DH51" s="282">
        <f t="shared" si="8"/>
        <v>37742</v>
      </c>
      <c r="DI51" s="17">
        <f t="shared" si="9"/>
        <v>0.9</v>
      </c>
      <c r="DT51" s="4"/>
      <c r="DU51" s="4"/>
      <c r="DV51" s="4"/>
      <c r="DW51" s="4"/>
      <c r="DX51" s="4"/>
      <c r="DY51" s="4"/>
    </row>
    <row r="52" spans="1:129" ht="13.8">
      <c r="A52" s="27">
        <f t="shared" ca="1" si="0"/>
        <v>38108</v>
      </c>
      <c r="B52" s="17">
        <f>'Gas Curves'!C56</f>
        <v>5.5556493873767016E-2</v>
      </c>
      <c r="C52" s="17"/>
      <c r="D52" s="55">
        <v>36892</v>
      </c>
      <c r="E52" s="56">
        <v>92.1</v>
      </c>
      <c r="F52" s="56">
        <v>93</v>
      </c>
      <c r="G52" s="56">
        <v>93.8</v>
      </c>
      <c r="H52" s="40"/>
      <c r="I52" s="56">
        <v>53.05</v>
      </c>
      <c r="J52" s="56">
        <v>53.5</v>
      </c>
      <c r="K52" s="56">
        <v>53.9</v>
      </c>
      <c r="L52" s="23"/>
      <c r="M52" s="24">
        <v>37773</v>
      </c>
      <c r="N52" s="57">
        <v>32.262503051757811</v>
      </c>
      <c r="O52" s="57">
        <v>35.300003051757813</v>
      </c>
      <c r="P52" s="57">
        <v>38.022503051757809</v>
      </c>
      <c r="Q52" s="22"/>
      <c r="R52" s="57">
        <v>26.700002670288086</v>
      </c>
      <c r="S52" s="57">
        <v>30.700002670288086</v>
      </c>
      <c r="T52" s="57">
        <v>32.061252670288084</v>
      </c>
      <c r="U52" s="22"/>
      <c r="V52" s="57">
        <v>2</v>
      </c>
      <c r="W52" s="57">
        <v>2</v>
      </c>
      <c r="X52" s="57">
        <v>2</v>
      </c>
      <c r="Y52" s="22"/>
      <c r="Z52" s="57">
        <v>0.1842905</v>
      </c>
      <c r="AA52" s="57">
        <v>0.36858099999999999</v>
      </c>
      <c r="AB52" s="57">
        <v>0.55287149999999996</v>
      </c>
      <c r="AC52" s="22"/>
      <c r="AD52" s="57">
        <v>4.2353639999999998E-2</v>
      </c>
      <c r="AE52" s="57">
        <v>8.4707279999999996E-2</v>
      </c>
      <c r="AF52" s="57">
        <v>0.12706091999999999</v>
      </c>
      <c r="AG52" s="22"/>
      <c r="AH52" s="57">
        <v>-0.35</v>
      </c>
      <c r="AI52" s="57">
        <v>2</v>
      </c>
      <c r="AJ52" s="57">
        <v>0.3</v>
      </c>
      <c r="AK52" s="22"/>
      <c r="AL52" s="57">
        <v>-0.15</v>
      </c>
      <c r="AM52" s="57">
        <v>0.65</v>
      </c>
      <c r="AN52" s="57">
        <v>0.2</v>
      </c>
      <c r="AO52" s="22"/>
      <c r="AP52" s="23">
        <v>12</v>
      </c>
      <c r="AQ52" s="58">
        <v>0.3</v>
      </c>
      <c r="AR52" s="22"/>
      <c r="AS52" s="58">
        <v>-2.5</v>
      </c>
      <c r="AT52" s="60">
        <v>5.0000000000000001E-3</v>
      </c>
      <c r="AU52" s="22"/>
      <c r="AV52" s="58">
        <v>0</v>
      </c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4">
        <v>37773</v>
      </c>
      <c r="BI52" s="60">
        <v>0.9</v>
      </c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396"/>
      <c r="CI52" s="393"/>
      <c r="CJ52" s="393"/>
      <c r="CK52" s="393"/>
      <c r="CM52" s="399"/>
      <c r="CN52" s="399"/>
      <c r="CO52" s="61"/>
      <c r="CP52"/>
      <c r="CQ52"/>
      <c r="CR52"/>
      <c r="CS52"/>
      <c r="CT52"/>
      <c r="CY52" s="282">
        <f t="shared" si="1"/>
        <v>37773</v>
      </c>
      <c r="CZ52" s="281">
        <f t="shared" si="2"/>
        <v>1.65</v>
      </c>
      <c r="DA52" s="281">
        <f t="shared" si="3"/>
        <v>2</v>
      </c>
      <c r="DB52" s="281">
        <f t="shared" si="4"/>
        <v>2.2999999999999998</v>
      </c>
      <c r="DD52" s="281">
        <f t="shared" si="5"/>
        <v>0.1842905</v>
      </c>
      <c r="DE52" s="281">
        <f t="shared" si="6"/>
        <v>0.36858099999999999</v>
      </c>
      <c r="DF52" s="281">
        <f t="shared" si="7"/>
        <v>0.55287149999999996</v>
      </c>
      <c r="DH52" s="282">
        <f t="shared" si="8"/>
        <v>37773</v>
      </c>
      <c r="DI52" s="17">
        <f t="shared" si="9"/>
        <v>0.9</v>
      </c>
      <c r="DT52" s="4"/>
      <c r="DU52" s="4"/>
      <c r="DV52" s="4"/>
      <c r="DW52" s="4"/>
      <c r="DX52" s="4"/>
      <c r="DY52" s="4"/>
    </row>
    <row r="53" spans="1:129" ht="13.8">
      <c r="A53" s="27">
        <f t="shared" ca="1" si="0"/>
        <v>38139</v>
      </c>
      <c r="B53" s="17">
        <f>'Gas Curves'!C57</f>
        <v>5.5631744398608012E-2</v>
      </c>
      <c r="C53" s="17"/>
      <c r="D53" s="55">
        <v>36923</v>
      </c>
      <c r="E53" s="56">
        <v>92.3</v>
      </c>
      <c r="F53" s="56">
        <v>93</v>
      </c>
      <c r="G53" s="56">
        <v>93.8</v>
      </c>
      <c r="H53" s="40"/>
      <c r="I53" s="56">
        <v>52.999998474121092</v>
      </c>
      <c r="J53" s="56">
        <v>53.349998474121094</v>
      </c>
      <c r="K53" s="56">
        <v>53.749998474121092</v>
      </c>
      <c r="L53" s="23"/>
      <c r="M53" s="24">
        <v>37803</v>
      </c>
      <c r="N53" s="57">
        <v>34.975001525878909</v>
      </c>
      <c r="O53" s="57">
        <v>42.400001525878906</v>
      </c>
      <c r="P53" s="57">
        <v>48.212501525878906</v>
      </c>
      <c r="Q53" s="22"/>
      <c r="R53" s="57">
        <v>31.900001525878906</v>
      </c>
      <c r="S53" s="57">
        <v>35.900001525878906</v>
      </c>
      <c r="T53" s="57">
        <v>38.806251525878906</v>
      </c>
      <c r="U53" s="22"/>
      <c r="V53" s="57">
        <v>2</v>
      </c>
      <c r="W53" s="57">
        <v>2</v>
      </c>
      <c r="X53" s="57">
        <v>2</v>
      </c>
      <c r="Y53" s="22"/>
      <c r="Z53" s="57">
        <v>0.21949987500000001</v>
      </c>
      <c r="AA53" s="57">
        <v>0.43899975000000002</v>
      </c>
      <c r="AB53" s="57">
        <v>0.65849962500000003</v>
      </c>
      <c r="AC53" s="22"/>
      <c r="AD53" s="57">
        <v>5.647151999999999E-2</v>
      </c>
      <c r="AE53" s="57">
        <v>0.11294303999999998</v>
      </c>
      <c r="AF53" s="57">
        <v>0.16941455999999996</v>
      </c>
      <c r="AG53" s="22"/>
      <c r="AH53" s="57">
        <v>-0.35</v>
      </c>
      <c r="AI53" s="57">
        <v>3</v>
      </c>
      <c r="AJ53" s="57">
        <v>0.5</v>
      </c>
      <c r="AK53" s="22"/>
      <c r="AL53" s="57">
        <v>-0.15</v>
      </c>
      <c r="AM53" s="57">
        <v>0.75</v>
      </c>
      <c r="AN53" s="57">
        <v>0.2</v>
      </c>
      <c r="AO53" s="22"/>
      <c r="AP53" s="23">
        <v>12</v>
      </c>
      <c r="AQ53" s="58">
        <v>0.3</v>
      </c>
      <c r="AR53" s="22"/>
      <c r="AS53" s="58">
        <v>-2</v>
      </c>
      <c r="AT53" s="60">
        <v>2.5000000000000001E-3</v>
      </c>
      <c r="AU53" s="22"/>
      <c r="AV53" s="58">
        <v>0</v>
      </c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4">
        <v>37803</v>
      </c>
      <c r="BI53" s="60">
        <v>0.9</v>
      </c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396"/>
      <c r="CI53" s="396"/>
      <c r="CJ53" s="396"/>
      <c r="CK53" s="396"/>
      <c r="CM53" s="399"/>
      <c r="CN53" s="399"/>
      <c r="CO53" s="61"/>
      <c r="CP53"/>
      <c r="CQ53"/>
      <c r="CR53"/>
      <c r="CS53"/>
      <c r="CT53"/>
      <c r="CY53" s="282">
        <f t="shared" si="1"/>
        <v>37803</v>
      </c>
      <c r="CZ53" s="281">
        <f t="shared" si="2"/>
        <v>2.65</v>
      </c>
      <c r="DA53" s="281">
        <f t="shared" si="3"/>
        <v>3</v>
      </c>
      <c r="DB53" s="281">
        <f t="shared" si="4"/>
        <v>3.5</v>
      </c>
      <c r="DD53" s="281">
        <f t="shared" si="5"/>
        <v>0.21949987500000001</v>
      </c>
      <c r="DE53" s="281">
        <f t="shared" si="6"/>
        <v>0.43899975000000002</v>
      </c>
      <c r="DF53" s="281">
        <f t="shared" si="7"/>
        <v>0.65849962500000003</v>
      </c>
      <c r="DH53" s="282">
        <f t="shared" si="8"/>
        <v>37803</v>
      </c>
      <c r="DI53" s="17">
        <f t="shared" si="9"/>
        <v>0.9</v>
      </c>
      <c r="DP53" s="2"/>
      <c r="DT53" s="4"/>
      <c r="DU53" s="4"/>
      <c r="DV53" s="4"/>
      <c r="DW53" s="4"/>
      <c r="DX53" s="4"/>
      <c r="DY53" s="4"/>
    </row>
    <row r="54" spans="1:129" ht="13.8">
      <c r="A54" s="27">
        <f t="shared" ca="1" si="0"/>
        <v>38169</v>
      </c>
      <c r="B54" s="17">
        <f>'Gas Curves'!C58</f>
        <v>5.5704124471487003E-2</v>
      </c>
      <c r="C54" s="17"/>
      <c r="D54" s="55">
        <v>36951</v>
      </c>
      <c r="E54" s="56">
        <v>63.05</v>
      </c>
      <c r="F54" s="56">
        <v>63.75</v>
      </c>
      <c r="G54" s="56">
        <v>64.55</v>
      </c>
      <c r="H54" s="40"/>
      <c r="I54" s="56">
        <v>41.9</v>
      </c>
      <c r="J54" s="56">
        <v>42.25</v>
      </c>
      <c r="K54" s="56">
        <v>42.65</v>
      </c>
      <c r="L54" s="23"/>
      <c r="M54" s="24">
        <v>37834</v>
      </c>
      <c r="N54" s="57">
        <v>46.725001525878909</v>
      </c>
      <c r="O54" s="57">
        <v>54.150001525878906</v>
      </c>
      <c r="P54" s="57">
        <v>59.962501525878906</v>
      </c>
      <c r="Q54" s="22"/>
      <c r="R54" s="57">
        <v>43.700000762939453</v>
      </c>
      <c r="S54" s="57">
        <v>47.700000762939453</v>
      </c>
      <c r="T54" s="57">
        <v>50.606250762939453</v>
      </c>
      <c r="U54" s="22"/>
      <c r="V54" s="57">
        <v>2</v>
      </c>
      <c r="W54" s="57">
        <v>2</v>
      </c>
      <c r="X54" s="57">
        <v>2</v>
      </c>
      <c r="Y54" s="22"/>
      <c r="Z54" s="57">
        <v>0.21469050000000001</v>
      </c>
      <c r="AA54" s="57">
        <v>0.42938100000000001</v>
      </c>
      <c r="AB54" s="57">
        <v>0.64407150000000002</v>
      </c>
      <c r="AC54" s="22"/>
      <c r="AD54" s="57">
        <v>5.647151999999999E-2</v>
      </c>
      <c r="AE54" s="57">
        <v>0.11294303999999998</v>
      </c>
      <c r="AF54" s="57">
        <v>0.16941455999999996</v>
      </c>
      <c r="AG54" s="22"/>
      <c r="AH54" s="57">
        <v>-0.35</v>
      </c>
      <c r="AI54" s="57">
        <v>3</v>
      </c>
      <c r="AJ54" s="57">
        <v>0.5</v>
      </c>
      <c r="AK54" s="22"/>
      <c r="AL54" s="57">
        <v>-0.15</v>
      </c>
      <c r="AM54" s="57">
        <v>0.75</v>
      </c>
      <c r="AN54" s="57">
        <v>0.2</v>
      </c>
      <c r="AO54" s="22"/>
      <c r="AP54" s="23">
        <v>13</v>
      </c>
      <c r="AQ54" s="58">
        <v>0.3</v>
      </c>
      <c r="AR54" s="22"/>
      <c r="AS54" s="58">
        <v>-1.5</v>
      </c>
      <c r="AT54" s="60">
        <v>0</v>
      </c>
      <c r="AU54" s="22"/>
      <c r="AV54" s="58">
        <v>0</v>
      </c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4">
        <v>37834</v>
      </c>
      <c r="BI54" s="60">
        <v>0.9</v>
      </c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396"/>
      <c r="CI54" s="396"/>
      <c r="CJ54" s="396"/>
      <c r="CK54" s="396"/>
      <c r="CM54" s="399"/>
      <c r="CN54" s="399"/>
      <c r="CO54" s="61"/>
      <c r="CP54"/>
      <c r="CQ54"/>
      <c r="CR54"/>
      <c r="CS54"/>
      <c r="CT54"/>
      <c r="CY54" s="282">
        <f t="shared" si="1"/>
        <v>37834</v>
      </c>
      <c r="CZ54" s="281">
        <f t="shared" si="2"/>
        <v>2.65</v>
      </c>
      <c r="DA54" s="281">
        <f t="shared" si="3"/>
        <v>3</v>
      </c>
      <c r="DB54" s="281">
        <f t="shared" si="4"/>
        <v>3.5</v>
      </c>
      <c r="DD54" s="281">
        <f t="shared" si="5"/>
        <v>0.21469050000000001</v>
      </c>
      <c r="DE54" s="281">
        <f t="shared" si="6"/>
        <v>0.42938100000000001</v>
      </c>
      <c r="DF54" s="281">
        <f t="shared" si="7"/>
        <v>0.64407150000000002</v>
      </c>
      <c r="DH54" s="282">
        <f t="shared" si="8"/>
        <v>37834</v>
      </c>
      <c r="DI54" s="17">
        <f t="shared" si="9"/>
        <v>0.9</v>
      </c>
    </row>
    <row r="55" spans="1:129" ht="13.8">
      <c r="A55" s="27">
        <f t="shared" ca="1" si="0"/>
        <v>38200</v>
      </c>
      <c r="B55" s="17">
        <f>'Gas Curves'!C59</f>
        <v>5.5778430336502018E-2</v>
      </c>
      <c r="C55" s="17"/>
      <c r="D55" s="55">
        <v>36982</v>
      </c>
      <c r="E55" s="56">
        <v>56.1</v>
      </c>
      <c r="F55" s="56">
        <v>57</v>
      </c>
      <c r="G55" s="56">
        <v>57.8</v>
      </c>
      <c r="H55" s="40"/>
      <c r="I55" s="56">
        <v>40.549999999999997</v>
      </c>
      <c r="J55" s="56">
        <v>41</v>
      </c>
      <c r="K55" s="56">
        <v>41.4</v>
      </c>
      <c r="L55" s="23"/>
      <c r="M55" s="24">
        <v>37865</v>
      </c>
      <c r="N55" s="57">
        <v>27.787501144409177</v>
      </c>
      <c r="O55" s="57">
        <v>30.825001144409178</v>
      </c>
      <c r="P55" s="57">
        <v>32.610001144409175</v>
      </c>
      <c r="Q55" s="22"/>
      <c r="R55" s="57">
        <v>24.300001525878905</v>
      </c>
      <c r="S55" s="57">
        <v>28.300001525878905</v>
      </c>
      <c r="T55" s="57">
        <v>29.192501525878903</v>
      </c>
      <c r="U55" s="22"/>
      <c r="V55" s="57">
        <v>2</v>
      </c>
      <c r="W55" s="57">
        <v>2</v>
      </c>
      <c r="X55" s="57">
        <v>2</v>
      </c>
      <c r="Y55" s="22"/>
      <c r="Z55" s="57">
        <v>0.16266375</v>
      </c>
      <c r="AA55" s="57">
        <v>0.32532749999999999</v>
      </c>
      <c r="AB55" s="57">
        <v>0.48799124999999999</v>
      </c>
      <c r="AC55" s="22"/>
      <c r="AD55" s="57">
        <v>3.7647679999999996E-2</v>
      </c>
      <c r="AE55" s="57">
        <v>7.5295359999999992E-2</v>
      </c>
      <c r="AF55" s="57">
        <v>0.11294303999999999</v>
      </c>
      <c r="AG55" s="22"/>
      <c r="AH55" s="57">
        <v>-0.35</v>
      </c>
      <c r="AI55" s="57">
        <v>1.5</v>
      </c>
      <c r="AJ55" s="57">
        <v>0.3</v>
      </c>
      <c r="AK55" s="22"/>
      <c r="AL55" s="57">
        <v>-0.15</v>
      </c>
      <c r="AM55" s="57">
        <v>0.4</v>
      </c>
      <c r="AN55" s="57">
        <v>0.2</v>
      </c>
      <c r="AO55" s="22"/>
      <c r="AP55" s="23">
        <v>13</v>
      </c>
      <c r="AQ55" s="58">
        <v>0.3</v>
      </c>
      <c r="AR55" s="22"/>
      <c r="AS55" s="58">
        <v>-1</v>
      </c>
      <c r="AT55" s="60">
        <v>0</v>
      </c>
      <c r="AU55" s="22"/>
      <c r="AV55" s="58">
        <v>0</v>
      </c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4">
        <v>37865</v>
      </c>
      <c r="BI55" s="60">
        <v>0.9</v>
      </c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3"/>
      <c r="CI55" s="396"/>
      <c r="CJ55" s="396"/>
      <c r="CK55" s="396"/>
      <c r="CM55" s="399"/>
      <c r="CN55" s="399"/>
      <c r="CO55" s="61"/>
      <c r="CP55"/>
      <c r="CQ55"/>
      <c r="CR55"/>
      <c r="CS55"/>
      <c r="CT55"/>
      <c r="CY55" s="282">
        <f t="shared" si="1"/>
        <v>37865</v>
      </c>
      <c r="CZ55" s="281">
        <f t="shared" si="2"/>
        <v>1.1499999999999999</v>
      </c>
      <c r="DA55" s="281">
        <f t="shared" si="3"/>
        <v>1.5</v>
      </c>
      <c r="DB55" s="281">
        <f t="shared" si="4"/>
        <v>1.8</v>
      </c>
      <c r="DD55" s="281">
        <f t="shared" si="5"/>
        <v>0.16266375</v>
      </c>
      <c r="DE55" s="281">
        <f t="shared" si="6"/>
        <v>0.32532749999999999</v>
      </c>
      <c r="DF55" s="281">
        <f t="shared" si="7"/>
        <v>0.48799124999999999</v>
      </c>
      <c r="DH55" s="282">
        <f t="shared" si="8"/>
        <v>37865</v>
      </c>
      <c r="DI55" s="17">
        <f t="shared" si="9"/>
        <v>0.9</v>
      </c>
    </row>
    <row r="56" spans="1:129" ht="13.8">
      <c r="A56" s="27">
        <f t="shared" ca="1" si="0"/>
        <v>38231</v>
      </c>
      <c r="B56" s="17">
        <f>'Gas Curves'!C60</f>
        <v>5.5852736203356013E-2</v>
      </c>
      <c r="C56" s="17"/>
      <c r="D56" s="55">
        <v>37012</v>
      </c>
      <c r="E56" s="56">
        <v>62.6</v>
      </c>
      <c r="F56" s="56">
        <v>63.5</v>
      </c>
      <c r="G56" s="56">
        <v>65</v>
      </c>
      <c r="H56" s="40"/>
      <c r="I56" s="56">
        <v>41.55</v>
      </c>
      <c r="J56" s="56">
        <v>42</v>
      </c>
      <c r="K56" s="56">
        <v>42.75</v>
      </c>
      <c r="L56" s="23"/>
      <c r="M56" s="24">
        <v>37895</v>
      </c>
      <c r="N56" s="57">
        <v>25.250001144409179</v>
      </c>
      <c r="O56" s="57">
        <v>26.825001144409178</v>
      </c>
      <c r="P56" s="57">
        <v>27.950001144409178</v>
      </c>
      <c r="Q56" s="22"/>
      <c r="R56" s="57">
        <v>19.800001525878905</v>
      </c>
      <c r="S56" s="57">
        <v>23.800001525878905</v>
      </c>
      <c r="T56" s="57">
        <v>24.362501525878905</v>
      </c>
      <c r="U56" s="22"/>
      <c r="V56" s="57">
        <v>2</v>
      </c>
      <c r="W56" s="57">
        <v>2</v>
      </c>
      <c r="X56" s="57">
        <v>2</v>
      </c>
      <c r="Y56" s="22"/>
      <c r="Z56" s="57">
        <v>0.14068906250000002</v>
      </c>
      <c r="AA56" s="57">
        <v>0.28137812500000003</v>
      </c>
      <c r="AB56" s="57">
        <v>0.42206718750000005</v>
      </c>
      <c r="AC56" s="22"/>
      <c r="AD56" s="57">
        <v>2.8235759999999995E-2</v>
      </c>
      <c r="AE56" s="57">
        <v>5.647151999999999E-2</v>
      </c>
      <c r="AF56" s="57">
        <v>8.4707279999999982E-2</v>
      </c>
      <c r="AG56" s="22"/>
      <c r="AH56" s="57">
        <v>-0.25</v>
      </c>
      <c r="AI56" s="57">
        <v>1.1000000000000001</v>
      </c>
      <c r="AJ56" s="57">
        <v>0.3</v>
      </c>
      <c r="AK56" s="22"/>
      <c r="AL56" s="57">
        <v>-0.15</v>
      </c>
      <c r="AM56" s="57">
        <v>0.35</v>
      </c>
      <c r="AN56" s="57">
        <v>0.2</v>
      </c>
      <c r="AO56" s="22"/>
      <c r="AP56" s="23">
        <v>13</v>
      </c>
      <c r="AQ56" s="58">
        <v>0.3</v>
      </c>
      <c r="AR56" s="22"/>
      <c r="AS56" s="58">
        <v>-0.5</v>
      </c>
      <c r="AT56" s="60">
        <v>0</v>
      </c>
      <c r="AU56" s="22"/>
      <c r="AV56" s="58">
        <v>0</v>
      </c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4">
        <v>37895</v>
      </c>
      <c r="BI56" s="60">
        <v>0.9</v>
      </c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3"/>
      <c r="CI56" s="396"/>
      <c r="CJ56" s="396"/>
      <c r="CK56" s="396"/>
      <c r="CM56" s="399"/>
      <c r="CN56" s="399"/>
      <c r="CO56" s="61"/>
      <c r="CP56"/>
      <c r="CQ56"/>
      <c r="CR56"/>
      <c r="CS56"/>
      <c r="CT56"/>
      <c r="CY56" s="282">
        <f t="shared" si="1"/>
        <v>37895</v>
      </c>
      <c r="CZ56" s="281">
        <f t="shared" si="2"/>
        <v>0.85000000000000009</v>
      </c>
      <c r="DA56" s="281">
        <f t="shared" si="3"/>
        <v>1.1000000000000001</v>
      </c>
      <c r="DB56" s="281">
        <f t="shared" si="4"/>
        <v>1.4000000000000001</v>
      </c>
      <c r="DD56" s="281">
        <f t="shared" si="5"/>
        <v>0.14068906250000002</v>
      </c>
      <c r="DE56" s="281">
        <f t="shared" si="6"/>
        <v>0.28137812500000003</v>
      </c>
      <c r="DF56" s="281">
        <f t="shared" si="7"/>
        <v>0.42206718750000005</v>
      </c>
      <c r="DH56" s="282">
        <f t="shared" si="8"/>
        <v>37895</v>
      </c>
      <c r="DI56" s="17">
        <f t="shared" si="9"/>
        <v>0.9</v>
      </c>
    </row>
    <row r="57" spans="1:129" ht="13.8">
      <c r="A57" s="27">
        <f t="shared" ca="1" si="0"/>
        <v>38261</v>
      </c>
      <c r="B57" s="17">
        <f>'Gas Curves'!C61</f>
        <v>5.5924454309932016E-2</v>
      </c>
      <c r="C57" s="17"/>
      <c r="D57" s="55">
        <v>37043</v>
      </c>
      <c r="E57" s="56">
        <v>73.2</v>
      </c>
      <c r="F57" s="56">
        <v>75</v>
      </c>
      <c r="G57" s="56">
        <v>77.3</v>
      </c>
      <c r="H57" s="40"/>
      <c r="I57" s="56">
        <v>42.725000000000001</v>
      </c>
      <c r="J57" s="56">
        <v>43.625</v>
      </c>
      <c r="K57" s="56">
        <v>44.774999999999999</v>
      </c>
      <c r="L57" s="23"/>
      <c r="M57" s="24">
        <v>37926</v>
      </c>
      <c r="N57" s="57">
        <v>27.600001525878906</v>
      </c>
      <c r="O57" s="57">
        <v>29.175001525878905</v>
      </c>
      <c r="P57" s="57">
        <v>30.300001525878905</v>
      </c>
      <c r="Q57" s="22"/>
      <c r="R57" s="57">
        <v>22.000000381469725</v>
      </c>
      <c r="S57" s="57">
        <v>26.000000381469725</v>
      </c>
      <c r="T57" s="57">
        <v>26.562500381469725</v>
      </c>
      <c r="U57" s="22"/>
      <c r="V57" s="57">
        <v>2</v>
      </c>
      <c r="W57" s="57">
        <v>2</v>
      </c>
      <c r="X57" s="57">
        <v>2</v>
      </c>
      <c r="Y57" s="22"/>
      <c r="Z57" s="57">
        <v>0.14068906250000002</v>
      </c>
      <c r="AA57" s="57">
        <v>0.28137812500000003</v>
      </c>
      <c r="AB57" s="57">
        <v>0.42206718750000005</v>
      </c>
      <c r="AC57" s="22"/>
      <c r="AD57" s="57">
        <v>2.8235759999999995E-2</v>
      </c>
      <c r="AE57" s="57">
        <v>5.647151999999999E-2</v>
      </c>
      <c r="AF57" s="57">
        <v>8.4707279999999982E-2</v>
      </c>
      <c r="AG57" s="22"/>
      <c r="AH57" s="57">
        <v>-0.25</v>
      </c>
      <c r="AI57" s="57">
        <v>1.25</v>
      </c>
      <c r="AJ57" s="57">
        <v>0.3</v>
      </c>
      <c r="AK57" s="22"/>
      <c r="AL57" s="57">
        <v>-0.15</v>
      </c>
      <c r="AM57" s="57">
        <v>0.3</v>
      </c>
      <c r="AN57" s="57">
        <v>0.2</v>
      </c>
      <c r="AO57" s="22"/>
      <c r="AP57" s="23">
        <v>14</v>
      </c>
      <c r="AQ57" s="58">
        <v>0.3</v>
      </c>
      <c r="AR57" s="22"/>
      <c r="AS57" s="58">
        <v>0</v>
      </c>
      <c r="AT57" s="60">
        <v>0</v>
      </c>
      <c r="AU57" s="22"/>
      <c r="AV57" s="58">
        <v>0</v>
      </c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4">
        <v>37926</v>
      </c>
      <c r="BI57" s="60">
        <v>0.9</v>
      </c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3"/>
      <c r="CI57" s="396"/>
      <c r="CJ57" s="396"/>
      <c r="CK57" s="396"/>
      <c r="CM57" s="399"/>
      <c r="CN57" s="399"/>
      <c r="CO57" s="61"/>
      <c r="CP57"/>
      <c r="CQ57"/>
      <c r="CR57"/>
      <c r="CS57"/>
      <c r="CT57"/>
      <c r="CY57" s="282">
        <f t="shared" si="1"/>
        <v>37926</v>
      </c>
      <c r="CZ57" s="281">
        <f t="shared" si="2"/>
        <v>1</v>
      </c>
      <c r="DA57" s="281">
        <f t="shared" si="3"/>
        <v>1.25</v>
      </c>
      <c r="DB57" s="281">
        <f t="shared" si="4"/>
        <v>1.55</v>
      </c>
      <c r="DD57" s="281">
        <f t="shared" si="5"/>
        <v>0.14068906250000002</v>
      </c>
      <c r="DE57" s="281">
        <f t="shared" si="6"/>
        <v>0.28137812500000003</v>
      </c>
      <c r="DF57" s="281">
        <f t="shared" si="7"/>
        <v>0.42206718750000005</v>
      </c>
      <c r="DH57" s="282">
        <f t="shared" si="8"/>
        <v>37926</v>
      </c>
      <c r="DI57" s="17">
        <f t="shared" si="9"/>
        <v>0.9</v>
      </c>
    </row>
    <row r="58" spans="1:129" ht="13.8">
      <c r="A58" s="27">
        <f t="shared" ca="1" si="0"/>
        <v>38292</v>
      </c>
      <c r="B58" s="17">
        <f>'Gas Curves'!C62</f>
        <v>5.5998379425680006E-2</v>
      </c>
      <c r="C58" s="17"/>
      <c r="D58" s="55">
        <v>37073</v>
      </c>
      <c r="E58" s="56">
        <v>96.6</v>
      </c>
      <c r="F58" s="56">
        <v>101</v>
      </c>
      <c r="G58" s="56">
        <v>105.9</v>
      </c>
      <c r="H58" s="40"/>
      <c r="I58" s="56">
        <v>44.149998474121091</v>
      </c>
      <c r="J58" s="56">
        <v>46.349998474121094</v>
      </c>
      <c r="K58" s="56">
        <v>48.799998474121097</v>
      </c>
      <c r="L58" s="23"/>
      <c r="M58" s="24">
        <v>37956</v>
      </c>
      <c r="N58" s="57">
        <v>28.2</v>
      </c>
      <c r="O58" s="57">
        <v>29.774999999999999</v>
      </c>
      <c r="P58" s="57">
        <v>30.9</v>
      </c>
      <c r="Q58" s="22"/>
      <c r="R58" s="57">
        <v>22.500000381469725</v>
      </c>
      <c r="S58" s="57">
        <v>26.500000381469725</v>
      </c>
      <c r="T58" s="57">
        <v>27.062500381469725</v>
      </c>
      <c r="U58" s="22"/>
      <c r="V58" s="57">
        <v>2</v>
      </c>
      <c r="W58" s="57">
        <v>2</v>
      </c>
      <c r="X58" s="57">
        <v>2</v>
      </c>
      <c r="Y58" s="22"/>
      <c r="Z58" s="57">
        <v>0.13788062500000001</v>
      </c>
      <c r="AA58" s="57">
        <v>0.27576125000000001</v>
      </c>
      <c r="AB58" s="57">
        <v>0.41364187500000005</v>
      </c>
      <c r="AC58" s="22"/>
      <c r="AD58" s="57">
        <v>2.8235759999999995E-2</v>
      </c>
      <c r="AE58" s="57">
        <v>5.647151999999999E-2</v>
      </c>
      <c r="AF58" s="57">
        <v>8.4707279999999982E-2</v>
      </c>
      <c r="AG58" s="22"/>
      <c r="AH58" s="57">
        <v>-0.25</v>
      </c>
      <c r="AI58" s="57">
        <v>1.25</v>
      </c>
      <c r="AJ58" s="57">
        <v>0.35</v>
      </c>
      <c r="AK58" s="22"/>
      <c r="AL58" s="57">
        <v>-0.15</v>
      </c>
      <c r="AM58" s="57">
        <v>0.3</v>
      </c>
      <c r="AN58" s="57">
        <v>0.2</v>
      </c>
      <c r="AO58" s="22"/>
      <c r="AP58" s="23">
        <v>14</v>
      </c>
      <c r="AQ58" s="58">
        <v>0.3</v>
      </c>
      <c r="AR58" s="22"/>
      <c r="AS58" s="58">
        <v>1</v>
      </c>
      <c r="AT58" s="60">
        <v>0</v>
      </c>
      <c r="AU58" s="22"/>
      <c r="AV58" s="58">
        <v>0</v>
      </c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4">
        <v>37956</v>
      </c>
      <c r="BI58" s="60">
        <v>0.9</v>
      </c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3"/>
      <c r="CI58" s="396"/>
      <c r="CJ58" s="396"/>
      <c r="CK58" s="396"/>
      <c r="CM58" s="399"/>
      <c r="CN58" s="399"/>
      <c r="CO58" s="61"/>
      <c r="CP58"/>
      <c r="CQ58"/>
      <c r="CR58"/>
      <c r="CS58"/>
      <c r="CT58"/>
      <c r="CY58" s="282">
        <f t="shared" si="1"/>
        <v>37956</v>
      </c>
      <c r="CZ58" s="281">
        <f t="shared" si="2"/>
        <v>1</v>
      </c>
      <c r="DA58" s="281">
        <f t="shared" si="3"/>
        <v>1.25</v>
      </c>
      <c r="DB58" s="281">
        <f t="shared" si="4"/>
        <v>1.6</v>
      </c>
      <c r="DD58" s="281">
        <f t="shared" si="5"/>
        <v>0.13788062500000001</v>
      </c>
      <c r="DE58" s="281">
        <f t="shared" si="6"/>
        <v>0.27576125000000001</v>
      </c>
      <c r="DF58" s="281">
        <f t="shared" si="7"/>
        <v>0.41364187500000005</v>
      </c>
      <c r="DH58" s="282">
        <f t="shared" si="8"/>
        <v>37956</v>
      </c>
      <c r="DI58" s="17">
        <f t="shared" si="9"/>
        <v>0.9</v>
      </c>
    </row>
    <row r="59" spans="1:129" ht="13.8">
      <c r="A59" s="27">
        <f t="shared" ca="1" si="0"/>
        <v>38322</v>
      </c>
      <c r="B59" s="17">
        <f>'Gas Curves'!C63</f>
        <v>5.6069919862008009E-2</v>
      </c>
      <c r="C59" s="17"/>
      <c r="D59" s="55">
        <v>37104</v>
      </c>
      <c r="E59" s="56">
        <v>96.6</v>
      </c>
      <c r="F59" s="56">
        <v>101</v>
      </c>
      <c r="G59" s="56">
        <v>105.9</v>
      </c>
      <c r="H59" s="40"/>
      <c r="I59" s="56">
        <v>39.200001525878903</v>
      </c>
      <c r="J59" s="56">
        <v>41.400001525878906</v>
      </c>
      <c r="K59" s="56">
        <v>43.850001525878909</v>
      </c>
      <c r="L59" s="23"/>
      <c r="M59" s="24">
        <v>37987</v>
      </c>
      <c r="N59" s="57">
        <v>30.729496002197269</v>
      </c>
      <c r="O59" s="57">
        <v>32.304496002197268</v>
      </c>
      <c r="P59" s="57">
        <v>33.339496002197265</v>
      </c>
      <c r="Q59" s="22"/>
      <c r="R59" s="57">
        <v>24.403997421264648</v>
      </c>
      <c r="S59" s="57">
        <v>28.403997421264648</v>
      </c>
      <c r="T59" s="57">
        <v>28.921497421264647</v>
      </c>
      <c r="U59" s="22"/>
      <c r="V59" s="57">
        <v>0</v>
      </c>
      <c r="W59" s="57">
        <v>0</v>
      </c>
      <c r="X59" s="57">
        <v>0</v>
      </c>
      <c r="Y59" s="22"/>
      <c r="Z59" s="57">
        <v>0.20346862499999999</v>
      </c>
      <c r="AA59" s="57">
        <v>0.40693724999999997</v>
      </c>
      <c r="AB59" s="57">
        <v>0.61040587499999999</v>
      </c>
      <c r="AC59" s="22"/>
      <c r="AD59" s="57">
        <v>3.2282885600000005E-2</v>
      </c>
      <c r="AE59" s="57">
        <v>6.4565771200000011E-2</v>
      </c>
      <c r="AF59" s="57">
        <v>9.6848656800000016E-2</v>
      </c>
      <c r="AG59" s="22"/>
      <c r="AH59" s="57">
        <v>-0.75</v>
      </c>
      <c r="AI59" s="57">
        <v>2</v>
      </c>
      <c r="AJ59" s="57">
        <v>0.75</v>
      </c>
      <c r="AK59" s="22"/>
      <c r="AL59" s="57">
        <v>-0.15</v>
      </c>
      <c r="AM59" s="57">
        <v>0.5</v>
      </c>
      <c r="AN59" s="57">
        <v>0.2</v>
      </c>
      <c r="AO59" s="22"/>
      <c r="AP59" s="23">
        <v>14</v>
      </c>
      <c r="AQ59" s="58">
        <v>0.3</v>
      </c>
      <c r="AR59" s="22"/>
      <c r="AS59" s="58">
        <v>2</v>
      </c>
      <c r="AT59" s="60">
        <v>0</v>
      </c>
      <c r="AU59" s="22"/>
      <c r="AV59" s="58">
        <v>0</v>
      </c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4">
        <v>37987</v>
      </c>
      <c r="BI59" s="60">
        <v>0.9</v>
      </c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3"/>
      <c r="CI59" s="396"/>
      <c r="CJ59" s="396"/>
      <c r="CK59" s="396"/>
      <c r="CM59" s="399"/>
      <c r="CN59" s="399"/>
      <c r="CO59" s="61"/>
      <c r="CP59"/>
      <c r="CQ59"/>
      <c r="CR59"/>
      <c r="CS59"/>
      <c r="CT59"/>
      <c r="CY59" s="282">
        <f t="shared" si="1"/>
        <v>37987</v>
      </c>
      <c r="CZ59" s="281">
        <f t="shared" si="2"/>
        <v>1.25</v>
      </c>
      <c r="DA59" s="281">
        <f t="shared" si="3"/>
        <v>2</v>
      </c>
      <c r="DB59" s="281">
        <f t="shared" si="4"/>
        <v>2.75</v>
      </c>
      <c r="DD59" s="281">
        <f t="shared" si="5"/>
        <v>0.20346862499999999</v>
      </c>
      <c r="DE59" s="281">
        <f t="shared" si="6"/>
        <v>0.40693724999999997</v>
      </c>
      <c r="DF59" s="281">
        <f t="shared" si="7"/>
        <v>0.61040587499999999</v>
      </c>
      <c r="DH59" s="282">
        <f t="shared" si="8"/>
        <v>37987</v>
      </c>
      <c r="DI59" s="17">
        <f t="shared" si="9"/>
        <v>0.9</v>
      </c>
    </row>
    <row r="60" spans="1:129" ht="13.8">
      <c r="A60" s="27">
        <f t="shared" ca="1" si="0"/>
        <v>38353</v>
      </c>
      <c r="B60" s="17">
        <f>'Gas Curves'!C64</f>
        <v>5.6149749946644012E-2</v>
      </c>
      <c r="C60" s="17"/>
      <c r="D60" s="55">
        <v>37135</v>
      </c>
      <c r="E60" s="56">
        <v>56.45</v>
      </c>
      <c r="F60" s="56">
        <v>58.25</v>
      </c>
      <c r="G60" s="56">
        <v>59.75</v>
      </c>
      <c r="H60" s="40"/>
      <c r="I60" s="56">
        <v>27.749999618530275</v>
      </c>
      <c r="J60" s="56">
        <v>28.649999618530273</v>
      </c>
      <c r="K60" s="56">
        <v>29.399999618530273</v>
      </c>
      <c r="L60" s="23"/>
      <c r="M60" s="24">
        <v>38018</v>
      </c>
      <c r="N60" s="57">
        <v>30.391996765136717</v>
      </c>
      <c r="O60" s="57">
        <v>31.629496765136718</v>
      </c>
      <c r="P60" s="57">
        <v>32.664496765136718</v>
      </c>
      <c r="Q60" s="22"/>
      <c r="R60" s="57">
        <v>23.803997039794922</v>
      </c>
      <c r="S60" s="57">
        <v>27.803997039794922</v>
      </c>
      <c r="T60" s="57">
        <v>28.32149703979492</v>
      </c>
      <c r="U60" s="22"/>
      <c r="V60" s="57">
        <v>0</v>
      </c>
      <c r="W60" s="57">
        <v>0</v>
      </c>
      <c r="X60" s="57">
        <v>0</v>
      </c>
      <c r="Y60" s="22"/>
      <c r="Z60" s="57">
        <v>0.19656449999999998</v>
      </c>
      <c r="AA60" s="57">
        <v>0.39312899999999995</v>
      </c>
      <c r="AB60" s="57">
        <v>0.58969349999999987</v>
      </c>
      <c r="AC60" s="22"/>
      <c r="AD60" s="57">
        <v>3.2282885600000005E-2</v>
      </c>
      <c r="AE60" s="57">
        <v>6.4565771200000011E-2</v>
      </c>
      <c r="AF60" s="57">
        <v>9.6848656800000016E-2</v>
      </c>
      <c r="AG60" s="22"/>
      <c r="AH60" s="57">
        <v>-0.75</v>
      </c>
      <c r="AI60" s="57">
        <v>2</v>
      </c>
      <c r="AJ60" s="57">
        <v>0.75</v>
      </c>
      <c r="AK60" s="22"/>
      <c r="AL60" s="57">
        <v>-0.15</v>
      </c>
      <c r="AM60" s="57">
        <v>0.5</v>
      </c>
      <c r="AN60" s="57">
        <v>0.2</v>
      </c>
      <c r="AO60" s="22"/>
      <c r="AP60" s="23">
        <v>15</v>
      </c>
      <c r="AQ60" s="58">
        <v>0.4</v>
      </c>
      <c r="AR60" s="22"/>
      <c r="AS60" s="58">
        <v>3</v>
      </c>
      <c r="AT60" s="60">
        <v>0.01</v>
      </c>
      <c r="AU60" s="22"/>
      <c r="AV60" s="58">
        <v>0</v>
      </c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4">
        <v>38018</v>
      </c>
      <c r="BI60" s="60">
        <v>0.9</v>
      </c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3"/>
      <c r="CI60" s="396"/>
      <c r="CJ60" s="396"/>
      <c r="CK60" s="396"/>
      <c r="CM60" s="399"/>
      <c r="CN60" s="399"/>
      <c r="CO60" s="61"/>
      <c r="CP60"/>
      <c r="CQ60"/>
      <c r="CR60"/>
      <c r="CS60"/>
      <c r="CT60"/>
      <c r="CY60" s="282">
        <f t="shared" si="1"/>
        <v>38018</v>
      </c>
      <c r="CZ60" s="281">
        <f t="shared" si="2"/>
        <v>1.25</v>
      </c>
      <c r="DA60" s="281">
        <f t="shared" si="3"/>
        <v>2</v>
      </c>
      <c r="DB60" s="281">
        <f t="shared" si="4"/>
        <v>2.75</v>
      </c>
      <c r="DD60" s="281">
        <f t="shared" si="5"/>
        <v>0.19656449999999998</v>
      </c>
      <c r="DE60" s="281">
        <f t="shared" si="6"/>
        <v>0.39312899999999995</v>
      </c>
      <c r="DF60" s="281">
        <f t="shared" si="7"/>
        <v>0.58969349999999987</v>
      </c>
      <c r="DH60" s="282">
        <f t="shared" si="8"/>
        <v>38018</v>
      </c>
      <c r="DI60" s="17">
        <f t="shared" si="9"/>
        <v>0.9</v>
      </c>
    </row>
    <row r="61" spans="1:129" ht="13.8">
      <c r="A61" s="27">
        <f t="shared" ca="1" si="0"/>
        <v>38384</v>
      </c>
      <c r="B61" s="17">
        <f>'Gas Curves'!C65</f>
        <v>5.6234442946145012E-2</v>
      </c>
      <c r="C61" s="17"/>
      <c r="D61" s="55">
        <v>37165</v>
      </c>
      <c r="E61" s="56">
        <v>52.1</v>
      </c>
      <c r="F61" s="56">
        <v>53</v>
      </c>
      <c r="G61" s="56">
        <v>53.9</v>
      </c>
      <c r="H61" s="40"/>
      <c r="I61" s="56">
        <v>26.199999618530274</v>
      </c>
      <c r="J61" s="56">
        <v>26.649999618530273</v>
      </c>
      <c r="K61" s="56">
        <v>27.099999618530273</v>
      </c>
      <c r="L61" s="23"/>
      <c r="M61" s="24">
        <v>38047</v>
      </c>
      <c r="N61" s="57">
        <v>24.537496948242186</v>
      </c>
      <c r="O61" s="57">
        <v>25.774996948242187</v>
      </c>
      <c r="P61" s="57">
        <v>26.809996948242187</v>
      </c>
      <c r="Q61" s="22"/>
      <c r="R61" s="57">
        <v>18.599998474121094</v>
      </c>
      <c r="S61" s="57">
        <v>22.599998474121094</v>
      </c>
      <c r="T61" s="57">
        <v>23.117498474121092</v>
      </c>
      <c r="U61" s="22"/>
      <c r="V61" s="57">
        <v>0</v>
      </c>
      <c r="W61" s="57">
        <v>0</v>
      </c>
      <c r="X61" s="57">
        <v>0</v>
      </c>
      <c r="Y61" s="22"/>
      <c r="Z61" s="57">
        <v>0.15582790624999998</v>
      </c>
      <c r="AA61" s="57">
        <v>0.31165581249999996</v>
      </c>
      <c r="AB61" s="57">
        <v>0.46748371874999994</v>
      </c>
      <c r="AC61" s="22"/>
      <c r="AD61" s="57">
        <v>2.8235759999999995E-2</v>
      </c>
      <c r="AE61" s="57">
        <v>5.647151999999999E-2</v>
      </c>
      <c r="AF61" s="57">
        <v>8.4707279999999982E-2</v>
      </c>
      <c r="AG61" s="22"/>
      <c r="AH61" s="57">
        <v>-0.25</v>
      </c>
      <c r="AI61" s="57">
        <v>1.3</v>
      </c>
      <c r="AJ61" s="57">
        <v>0.3</v>
      </c>
      <c r="AK61" s="22"/>
      <c r="AL61" s="57">
        <v>-0.15</v>
      </c>
      <c r="AM61" s="57">
        <v>0.35</v>
      </c>
      <c r="AN61" s="57">
        <v>0.2</v>
      </c>
      <c r="AO61" s="22"/>
      <c r="AP61" s="23">
        <v>15</v>
      </c>
      <c r="AQ61" s="58">
        <v>0.4</v>
      </c>
      <c r="AR61" s="22"/>
      <c r="AS61" s="58">
        <v>4</v>
      </c>
      <c r="AT61" s="60">
        <v>1.4999999999999999E-2</v>
      </c>
      <c r="AU61" s="22"/>
      <c r="AV61" s="58">
        <v>0</v>
      </c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4">
        <v>38047</v>
      </c>
      <c r="BI61" s="60">
        <v>0.9</v>
      </c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"/>
      <c r="CI61" s="396"/>
      <c r="CJ61" s="396"/>
      <c r="CK61" s="396"/>
      <c r="CM61" s="399"/>
      <c r="CN61" s="399"/>
      <c r="CO61" s="61"/>
      <c r="CP61"/>
      <c r="CQ61"/>
      <c r="CR61"/>
      <c r="CS61"/>
      <c r="CT61"/>
      <c r="CY61" s="282">
        <f t="shared" si="1"/>
        <v>38047</v>
      </c>
      <c r="CZ61" s="281">
        <f t="shared" si="2"/>
        <v>1.05</v>
      </c>
      <c r="DA61" s="281">
        <f t="shared" si="3"/>
        <v>1.3</v>
      </c>
      <c r="DB61" s="281">
        <f t="shared" si="4"/>
        <v>1.6</v>
      </c>
      <c r="DD61" s="281">
        <f t="shared" si="5"/>
        <v>0.15582790624999998</v>
      </c>
      <c r="DE61" s="281">
        <f t="shared" si="6"/>
        <v>0.31165581249999996</v>
      </c>
      <c r="DF61" s="281">
        <f t="shared" si="7"/>
        <v>0.46748371874999994</v>
      </c>
      <c r="DH61" s="282">
        <f t="shared" si="8"/>
        <v>38047</v>
      </c>
      <c r="DI61" s="17">
        <f t="shared" si="9"/>
        <v>0.9</v>
      </c>
    </row>
    <row r="62" spans="1:129" ht="13.8">
      <c r="A62" s="27">
        <f t="shared" ca="1" si="0"/>
        <v>38412</v>
      </c>
      <c r="B62" s="17">
        <f>'Gas Curves'!C66</f>
        <v>5.6310939850973005E-2</v>
      </c>
      <c r="C62" s="17"/>
      <c r="D62" s="55">
        <v>37196</v>
      </c>
      <c r="E62" s="56">
        <v>52.1</v>
      </c>
      <c r="F62" s="56">
        <v>53</v>
      </c>
      <c r="G62" s="56">
        <v>53.9</v>
      </c>
      <c r="H62" s="40"/>
      <c r="I62" s="56">
        <v>26.949999618530274</v>
      </c>
      <c r="J62" s="56">
        <v>27.399999618530273</v>
      </c>
      <c r="K62" s="56">
        <v>27.849999618530273</v>
      </c>
      <c r="L62" s="23"/>
      <c r="M62" s="24">
        <v>38078</v>
      </c>
      <c r="N62" s="57">
        <v>23.524999618530273</v>
      </c>
      <c r="O62" s="57">
        <v>25.099999618530273</v>
      </c>
      <c r="P62" s="57">
        <v>26.134999618530273</v>
      </c>
      <c r="Q62" s="22"/>
      <c r="R62" s="57">
        <v>18</v>
      </c>
      <c r="S62" s="57">
        <v>22</v>
      </c>
      <c r="T62" s="57">
        <v>22.517499999999998</v>
      </c>
      <c r="U62" s="22"/>
      <c r="V62" s="57">
        <v>0</v>
      </c>
      <c r="W62" s="57">
        <v>0</v>
      </c>
      <c r="X62" s="57">
        <v>0</v>
      </c>
      <c r="Y62" s="22"/>
      <c r="Z62" s="57">
        <v>0.1556135625</v>
      </c>
      <c r="AA62" s="57">
        <v>0.31122712499999999</v>
      </c>
      <c r="AB62" s="57">
        <v>0.46684068749999996</v>
      </c>
      <c r="AC62" s="22"/>
      <c r="AD62" s="57">
        <v>2.8235759999999995E-2</v>
      </c>
      <c r="AE62" s="57">
        <v>5.647151999999999E-2</v>
      </c>
      <c r="AF62" s="57">
        <v>8.4707279999999982E-2</v>
      </c>
      <c r="AG62" s="22"/>
      <c r="AH62" s="57">
        <v>-0.25</v>
      </c>
      <c r="AI62" s="57">
        <v>1.1000000000000001</v>
      </c>
      <c r="AJ62" s="57">
        <v>0.3</v>
      </c>
      <c r="AK62" s="22"/>
      <c r="AL62" s="57">
        <v>-0.15</v>
      </c>
      <c r="AM62" s="57">
        <v>0.35</v>
      </c>
      <c r="AN62" s="57">
        <v>0.2</v>
      </c>
      <c r="AO62" s="22"/>
      <c r="AP62" s="23">
        <v>15</v>
      </c>
      <c r="AQ62" s="58">
        <v>0.4</v>
      </c>
      <c r="AR62" s="22"/>
      <c r="AS62" s="58">
        <v>5</v>
      </c>
      <c r="AT62" s="60">
        <v>1.7500000000000002E-2</v>
      </c>
      <c r="AU62" s="22"/>
      <c r="AV62" s="58">
        <v>0</v>
      </c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4">
        <v>38078</v>
      </c>
      <c r="BI62" s="60">
        <v>0.9</v>
      </c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"/>
      <c r="CI62" s="396"/>
      <c r="CJ62" s="396"/>
      <c r="CK62" s="396"/>
      <c r="CM62" s="399"/>
      <c r="CN62" s="399"/>
      <c r="CO62" s="61"/>
      <c r="CP62"/>
      <c r="CQ62"/>
      <c r="CR62"/>
      <c r="CS62"/>
      <c r="CT62"/>
      <c r="CY62" s="282">
        <f t="shared" si="1"/>
        <v>38078</v>
      </c>
      <c r="CZ62" s="281">
        <f t="shared" si="2"/>
        <v>0.85000000000000009</v>
      </c>
      <c r="DA62" s="281">
        <f t="shared" si="3"/>
        <v>1.1000000000000001</v>
      </c>
      <c r="DB62" s="281">
        <f t="shared" si="4"/>
        <v>1.4000000000000001</v>
      </c>
      <c r="DD62" s="281">
        <f t="shared" si="5"/>
        <v>0.1556135625</v>
      </c>
      <c r="DE62" s="281">
        <f t="shared" si="6"/>
        <v>0.31122712499999999</v>
      </c>
      <c r="DF62" s="281">
        <f t="shared" si="7"/>
        <v>0.46684068749999996</v>
      </c>
      <c r="DH62" s="282">
        <f t="shared" si="8"/>
        <v>38078</v>
      </c>
      <c r="DI62" s="17">
        <f t="shared" si="9"/>
        <v>0.9</v>
      </c>
    </row>
    <row r="63" spans="1:129" ht="13.8">
      <c r="A63" s="27">
        <f t="shared" ca="1" si="0"/>
        <v>38443</v>
      </c>
      <c r="B63" s="17">
        <f>'Gas Curves'!C67</f>
        <v>5.6383429443268004E-2</v>
      </c>
      <c r="C63" s="17"/>
      <c r="D63" s="55">
        <v>37226</v>
      </c>
      <c r="E63" s="56">
        <v>52.1</v>
      </c>
      <c r="F63" s="56">
        <v>53</v>
      </c>
      <c r="G63" s="56">
        <v>53.9</v>
      </c>
      <c r="H63" s="40"/>
      <c r="I63" s="56">
        <v>26.849999237060548</v>
      </c>
      <c r="J63" s="56">
        <v>27.299999237060547</v>
      </c>
      <c r="K63" s="56">
        <v>27.749999237060546</v>
      </c>
      <c r="L63" s="23"/>
      <c r="M63" s="24">
        <v>38108</v>
      </c>
      <c r="N63" s="57">
        <v>27.125</v>
      </c>
      <c r="O63" s="57">
        <v>28.7</v>
      </c>
      <c r="P63" s="57">
        <v>30.664999999999999</v>
      </c>
      <c r="Q63" s="22"/>
      <c r="R63" s="57">
        <v>21.19999885559082</v>
      </c>
      <c r="S63" s="57">
        <v>25.19999885559082</v>
      </c>
      <c r="T63" s="57">
        <v>26.182498855590822</v>
      </c>
      <c r="U63" s="22"/>
      <c r="V63" s="57">
        <v>0</v>
      </c>
      <c r="W63" s="57">
        <v>0</v>
      </c>
      <c r="X63" s="57">
        <v>0</v>
      </c>
      <c r="Y63" s="22"/>
      <c r="Z63" s="57">
        <v>0.16370898750000001</v>
      </c>
      <c r="AA63" s="57">
        <v>0.32741797500000003</v>
      </c>
      <c r="AB63" s="57">
        <v>0.49112696250000004</v>
      </c>
      <c r="AC63" s="22"/>
      <c r="AD63" s="57">
        <v>3.2282885600000005E-2</v>
      </c>
      <c r="AE63" s="57">
        <v>6.4565771200000011E-2</v>
      </c>
      <c r="AF63" s="57">
        <v>9.6848656800000016E-2</v>
      </c>
      <c r="AG63" s="22"/>
      <c r="AH63" s="57">
        <v>-0.25</v>
      </c>
      <c r="AI63" s="57">
        <v>1.1000000000000001</v>
      </c>
      <c r="AJ63" s="57">
        <v>0.3</v>
      </c>
      <c r="AK63" s="22"/>
      <c r="AL63" s="57">
        <v>-0.15</v>
      </c>
      <c r="AM63" s="57">
        <v>0.5</v>
      </c>
      <c r="AN63" s="57">
        <v>0.2</v>
      </c>
      <c r="AO63" s="22"/>
      <c r="AP63" s="23">
        <v>16</v>
      </c>
      <c r="AQ63" s="58">
        <v>0.4</v>
      </c>
      <c r="AR63" s="22"/>
      <c r="AS63" s="58">
        <v>6</v>
      </c>
      <c r="AT63" s="60">
        <v>2.5000000000000001E-2</v>
      </c>
      <c r="AU63" s="22"/>
      <c r="AV63" s="58">
        <v>0</v>
      </c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4">
        <v>38108</v>
      </c>
      <c r="BI63" s="60">
        <v>0.9</v>
      </c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"/>
      <c r="CI63" s="396"/>
      <c r="CJ63" s="396"/>
      <c r="CK63" s="396"/>
      <c r="CM63" s="399"/>
      <c r="CN63" s="399"/>
      <c r="CO63" s="61"/>
      <c r="CP63"/>
      <c r="CQ63"/>
      <c r="CR63"/>
      <c r="CS63"/>
      <c r="CT63"/>
      <c r="CY63" s="282">
        <f t="shared" si="1"/>
        <v>38108</v>
      </c>
      <c r="CZ63" s="281">
        <f t="shared" si="2"/>
        <v>0.85000000000000009</v>
      </c>
      <c r="DA63" s="281">
        <f t="shared" si="3"/>
        <v>1.1000000000000001</v>
      </c>
      <c r="DB63" s="281">
        <f t="shared" si="4"/>
        <v>1.4000000000000001</v>
      </c>
      <c r="DD63" s="281">
        <f t="shared" si="5"/>
        <v>0.16370898750000001</v>
      </c>
      <c r="DE63" s="281">
        <f t="shared" si="6"/>
        <v>0.32741797500000003</v>
      </c>
      <c r="DF63" s="281">
        <f t="shared" si="7"/>
        <v>0.49112696250000004</v>
      </c>
      <c r="DH63" s="282">
        <f t="shared" si="8"/>
        <v>38108</v>
      </c>
      <c r="DI63" s="17">
        <f t="shared" si="9"/>
        <v>0.9</v>
      </c>
    </row>
    <row r="64" spans="1:129" ht="13.8">
      <c r="A64" s="27">
        <f t="shared" ca="1" si="0"/>
        <v>38473</v>
      </c>
      <c r="B64" s="17">
        <f>'Gas Curves'!C68</f>
        <v>5.6443854983896008E-2</v>
      </c>
      <c r="C64" s="17"/>
      <c r="D64" s="55">
        <v>37257</v>
      </c>
      <c r="E64" s="56">
        <v>66.099999999999994</v>
      </c>
      <c r="F64" s="56">
        <v>67.5</v>
      </c>
      <c r="G64" s="56">
        <v>68.5</v>
      </c>
      <c r="H64" s="40"/>
      <c r="I64" s="56">
        <v>27.150000381469727</v>
      </c>
      <c r="J64" s="56">
        <v>27.850000381469727</v>
      </c>
      <c r="K64" s="56">
        <v>28.350000381469727</v>
      </c>
      <c r="L64" s="23"/>
      <c r="M64" s="24">
        <v>38139</v>
      </c>
      <c r="N64" s="57">
        <v>32.462503051757814</v>
      </c>
      <c r="O64" s="57">
        <v>35.500003051757815</v>
      </c>
      <c r="P64" s="57">
        <v>38.500003051757815</v>
      </c>
      <c r="Q64" s="22"/>
      <c r="R64" s="57">
        <v>26.700002670288086</v>
      </c>
      <c r="S64" s="57">
        <v>30.700002670288086</v>
      </c>
      <c r="T64" s="57">
        <v>32.200002670288086</v>
      </c>
      <c r="U64" s="22"/>
      <c r="V64" s="57">
        <v>0</v>
      </c>
      <c r="W64" s="57">
        <v>0</v>
      </c>
      <c r="X64" s="57">
        <v>0</v>
      </c>
      <c r="Y64" s="22"/>
      <c r="Z64" s="57">
        <v>0.17507597499999999</v>
      </c>
      <c r="AA64" s="57">
        <v>0.35015194999999999</v>
      </c>
      <c r="AB64" s="57">
        <v>0.52522792500000004</v>
      </c>
      <c r="AC64" s="22"/>
      <c r="AD64" s="57">
        <v>4.1506567199999997E-2</v>
      </c>
      <c r="AE64" s="57">
        <v>8.3013134399999994E-2</v>
      </c>
      <c r="AF64" s="57">
        <v>0.12451970159999999</v>
      </c>
      <c r="AG64" s="22"/>
      <c r="AH64" s="57">
        <v>-0.35</v>
      </c>
      <c r="AI64" s="57">
        <v>2</v>
      </c>
      <c r="AJ64" s="57">
        <v>0.3</v>
      </c>
      <c r="AK64" s="22"/>
      <c r="AL64" s="57">
        <v>-0.15</v>
      </c>
      <c r="AM64" s="57">
        <v>0.65</v>
      </c>
      <c r="AN64" s="57">
        <v>0.2</v>
      </c>
      <c r="AO64" s="22"/>
      <c r="AP64" s="23">
        <v>16</v>
      </c>
      <c r="AQ64" s="58">
        <v>0.4</v>
      </c>
      <c r="AR64" s="22"/>
      <c r="AS64" s="58">
        <v>7</v>
      </c>
      <c r="AT64" s="60">
        <v>3.5000000000000003E-2</v>
      </c>
      <c r="AU64" s="22"/>
      <c r="AV64" s="58">
        <v>0</v>
      </c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4">
        <v>38139</v>
      </c>
      <c r="BI64" s="60">
        <v>0.9</v>
      </c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"/>
      <c r="CI64" s="396"/>
      <c r="CJ64" s="396"/>
      <c r="CK64" s="396"/>
      <c r="CM64" s="399"/>
      <c r="CN64" s="399"/>
      <c r="CO64" s="61"/>
      <c r="CP64"/>
      <c r="CQ64"/>
      <c r="CR64"/>
      <c r="CS64"/>
      <c r="CT64"/>
      <c r="CY64" s="282">
        <f t="shared" si="1"/>
        <v>38139</v>
      </c>
      <c r="CZ64" s="281">
        <f t="shared" si="2"/>
        <v>1.65</v>
      </c>
      <c r="DA64" s="281">
        <f t="shared" si="3"/>
        <v>2</v>
      </c>
      <c r="DB64" s="281">
        <f t="shared" si="4"/>
        <v>2.2999999999999998</v>
      </c>
      <c r="DD64" s="281">
        <f t="shared" si="5"/>
        <v>0.17507597499999999</v>
      </c>
      <c r="DE64" s="281">
        <f t="shared" si="6"/>
        <v>0.35015194999999999</v>
      </c>
      <c r="DF64" s="281">
        <f t="shared" si="7"/>
        <v>0.52522792500000004</v>
      </c>
      <c r="DH64" s="282">
        <f t="shared" si="8"/>
        <v>38139</v>
      </c>
      <c r="DI64" s="17">
        <f t="shared" si="9"/>
        <v>0.9</v>
      </c>
    </row>
    <row r="65" spans="1:113" ht="13.8">
      <c r="A65" s="27">
        <f t="shared" ca="1" si="0"/>
        <v>38504</v>
      </c>
      <c r="B65" s="17">
        <f>'Gas Curves'!C69</f>
        <v>5.6506294710490013E-2</v>
      </c>
      <c r="C65" s="17"/>
      <c r="D65" s="55">
        <v>37288</v>
      </c>
      <c r="E65" s="56">
        <v>66.400000000000006</v>
      </c>
      <c r="F65" s="56">
        <v>67.5</v>
      </c>
      <c r="G65" s="56">
        <v>68.5</v>
      </c>
      <c r="H65" s="40"/>
      <c r="I65" s="56">
        <v>23.95</v>
      </c>
      <c r="J65" s="56">
        <v>24.5</v>
      </c>
      <c r="K65" s="56">
        <v>25</v>
      </c>
      <c r="L65" s="23"/>
      <c r="M65" s="24">
        <v>38169</v>
      </c>
      <c r="N65" s="57">
        <v>34.475001525878909</v>
      </c>
      <c r="O65" s="57">
        <v>41.900001525878906</v>
      </c>
      <c r="P65" s="57">
        <v>48.297501525878907</v>
      </c>
      <c r="Q65" s="22"/>
      <c r="R65" s="57">
        <v>31.900001525878906</v>
      </c>
      <c r="S65" s="57">
        <v>35.900001525878906</v>
      </c>
      <c r="T65" s="57">
        <v>39.098751525878903</v>
      </c>
      <c r="U65" s="22"/>
      <c r="V65" s="57">
        <v>0</v>
      </c>
      <c r="W65" s="57">
        <v>0</v>
      </c>
      <c r="X65" s="57">
        <v>0</v>
      </c>
      <c r="Y65" s="22"/>
      <c r="Z65" s="57">
        <v>0.20852488124999999</v>
      </c>
      <c r="AA65" s="57">
        <v>0.41704976249999998</v>
      </c>
      <c r="AB65" s="57">
        <v>0.62557464374999994</v>
      </c>
      <c r="AC65" s="22"/>
      <c r="AD65" s="57">
        <v>5.5342089599999991E-2</v>
      </c>
      <c r="AE65" s="57">
        <v>0.11068417919999998</v>
      </c>
      <c r="AF65" s="57">
        <v>0.16602626879999999</v>
      </c>
      <c r="AG65" s="22"/>
      <c r="AH65" s="57">
        <v>-0.35</v>
      </c>
      <c r="AI65" s="57">
        <v>3</v>
      </c>
      <c r="AJ65" s="57">
        <v>0.5</v>
      </c>
      <c r="AK65" s="22"/>
      <c r="AL65" s="57">
        <v>-0.15</v>
      </c>
      <c r="AM65" s="57">
        <v>0.75</v>
      </c>
      <c r="AN65" s="57">
        <v>0.2</v>
      </c>
      <c r="AO65" s="22"/>
      <c r="AP65" s="23">
        <v>16</v>
      </c>
      <c r="AQ65" s="58">
        <v>0.4</v>
      </c>
      <c r="AR65" s="22"/>
      <c r="AS65" s="58">
        <v>8</v>
      </c>
      <c r="AT65" s="60">
        <v>0.04</v>
      </c>
      <c r="AU65" s="22"/>
      <c r="AV65" s="58">
        <v>0</v>
      </c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4">
        <v>38169</v>
      </c>
      <c r="BI65" s="60">
        <v>0.9</v>
      </c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"/>
      <c r="CI65" s="3"/>
      <c r="CJ65" s="3"/>
      <c r="CK65" s="3"/>
      <c r="CM65" s="399"/>
      <c r="CN65" s="399"/>
      <c r="CO65" s="61"/>
      <c r="CP65"/>
      <c r="CQ65"/>
      <c r="CR65"/>
      <c r="CS65"/>
      <c r="CT65"/>
      <c r="CY65" s="282">
        <f t="shared" si="1"/>
        <v>38169</v>
      </c>
      <c r="CZ65" s="281">
        <f t="shared" si="2"/>
        <v>2.65</v>
      </c>
      <c r="DA65" s="281">
        <f t="shared" si="3"/>
        <v>3</v>
      </c>
      <c r="DB65" s="281">
        <f t="shared" si="4"/>
        <v>3.5</v>
      </c>
      <c r="DD65" s="281">
        <f t="shared" si="5"/>
        <v>0.20852488124999999</v>
      </c>
      <c r="DE65" s="281">
        <f t="shared" si="6"/>
        <v>0.41704976249999998</v>
      </c>
      <c r="DF65" s="281">
        <f t="shared" si="7"/>
        <v>0.62557464374999994</v>
      </c>
      <c r="DH65" s="282">
        <f t="shared" si="8"/>
        <v>38169</v>
      </c>
      <c r="DI65" s="17">
        <f t="shared" si="9"/>
        <v>0.9</v>
      </c>
    </row>
    <row r="66" spans="1:113" ht="13.8">
      <c r="A66" s="27">
        <f t="shared" ca="1" si="0"/>
        <v>38534</v>
      </c>
      <c r="B66" s="17">
        <f>'Gas Curves'!C70</f>
        <v>5.6566720253590004E-2</v>
      </c>
      <c r="C66" s="17"/>
      <c r="D66" s="55">
        <v>37316</v>
      </c>
      <c r="E66" s="56">
        <v>48.9</v>
      </c>
      <c r="F66" s="56">
        <v>50</v>
      </c>
      <c r="G66" s="56">
        <v>51</v>
      </c>
      <c r="H66" s="40"/>
      <c r="I66" s="56">
        <v>24.349999618530273</v>
      </c>
      <c r="J66" s="56">
        <v>24.899999618530273</v>
      </c>
      <c r="K66" s="56">
        <v>25.399999618530273</v>
      </c>
      <c r="L66" s="23"/>
      <c r="M66" s="24">
        <v>38200</v>
      </c>
      <c r="N66" s="57">
        <v>46.225001525878909</v>
      </c>
      <c r="O66" s="57">
        <v>53.650001525878906</v>
      </c>
      <c r="P66" s="57">
        <v>60.047501525878907</v>
      </c>
      <c r="Q66" s="22"/>
      <c r="R66" s="57">
        <v>43.700000762939453</v>
      </c>
      <c r="S66" s="57">
        <v>47.700000762939453</v>
      </c>
      <c r="T66" s="57">
        <v>50.89875076293945</v>
      </c>
      <c r="U66" s="22"/>
      <c r="V66" s="57">
        <v>0</v>
      </c>
      <c r="W66" s="57">
        <v>0</v>
      </c>
      <c r="X66" s="57">
        <v>0</v>
      </c>
      <c r="Y66" s="22"/>
      <c r="Z66" s="57">
        <v>0.20395597499999998</v>
      </c>
      <c r="AA66" s="57">
        <v>0.40791194999999997</v>
      </c>
      <c r="AB66" s="57">
        <v>0.61186792499999998</v>
      </c>
      <c r="AC66" s="22"/>
      <c r="AD66" s="57">
        <v>5.5342089599999991E-2</v>
      </c>
      <c r="AE66" s="57">
        <v>0.11068417919999998</v>
      </c>
      <c r="AF66" s="57">
        <v>0.16602626879999999</v>
      </c>
      <c r="AG66" s="22"/>
      <c r="AH66" s="57">
        <v>-0.35</v>
      </c>
      <c r="AI66" s="57">
        <v>3</v>
      </c>
      <c r="AJ66" s="57">
        <v>0.5</v>
      </c>
      <c r="AK66" s="22"/>
      <c r="AL66" s="57">
        <v>-0.15</v>
      </c>
      <c r="AM66" s="57">
        <v>0.75</v>
      </c>
      <c r="AN66" s="57">
        <v>0.2</v>
      </c>
      <c r="AO66" s="22"/>
      <c r="AP66" s="23">
        <v>17</v>
      </c>
      <c r="AQ66" s="58">
        <v>0.4</v>
      </c>
      <c r="AR66" s="22"/>
      <c r="AS66" s="58">
        <v>9</v>
      </c>
      <c r="AT66" s="60">
        <v>5.5E-2</v>
      </c>
      <c r="AU66" s="22"/>
      <c r="AV66" s="58">
        <v>0</v>
      </c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4">
        <v>38200</v>
      </c>
      <c r="BI66" s="60">
        <v>0.9</v>
      </c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"/>
      <c r="CI66" s="390"/>
      <c r="CJ66" s="391"/>
      <c r="CK66" s="391"/>
      <c r="CM66" s="399"/>
      <c r="CN66" s="399"/>
      <c r="CO66" s="61"/>
      <c r="CP66"/>
      <c r="CQ66"/>
      <c r="CR66"/>
      <c r="CS66"/>
      <c r="CT66"/>
      <c r="CY66" s="282">
        <f t="shared" si="1"/>
        <v>38200</v>
      </c>
      <c r="CZ66" s="281">
        <f t="shared" si="2"/>
        <v>2.65</v>
      </c>
      <c r="DA66" s="281">
        <f t="shared" si="3"/>
        <v>3</v>
      </c>
      <c r="DB66" s="281">
        <f t="shared" si="4"/>
        <v>3.5</v>
      </c>
      <c r="DD66" s="281">
        <f t="shared" si="5"/>
        <v>0.20395597499999998</v>
      </c>
      <c r="DE66" s="281">
        <f t="shared" si="6"/>
        <v>0.40791194999999997</v>
      </c>
      <c r="DF66" s="281">
        <f t="shared" si="7"/>
        <v>0.61186792499999998</v>
      </c>
      <c r="DH66" s="282">
        <f t="shared" si="8"/>
        <v>38200</v>
      </c>
      <c r="DI66" s="17">
        <f t="shared" si="9"/>
        <v>0.9</v>
      </c>
    </row>
    <row r="67" spans="1:113" ht="13.8">
      <c r="A67" s="27">
        <f t="shared" ca="1" si="0"/>
        <v>38565</v>
      </c>
      <c r="B67" s="17">
        <f>'Gas Curves'!C71</f>
        <v>5.6629159982736009E-2</v>
      </c>
      <c r="C67" s="17"/>
      <c r="D67" s="55">
        <v>37347</v>
      </c>
      <c r="E67" s="56">
        <v>45.1</v>
      </c>
      <c r="F67" s="56">
        <v>46.5</v>
      </c>
      <c r="G67" s="56">
        <v>47.5</v>
      </c>
      <c r="H67" s="40"/>
      <c r="I67" s="56">
        <v>21.949999618530274</v>
      </c>
      <c r="J67" s="56">
        <v>22.649999618530273</v>
      </c>
      <c r="K67" s="56">
        <v>23.149999618530273</v>
      </c>
      <c r="L67" s="23"/>
      <c r="M67" s="24">
        <v>38231</v>
      </c>
      <c r="N67" s="57">
        <v>27.98750114440918</v>
      </c>
      <c r="O67" s="57">
        <v>31.025001144409178</v>
      </c>
      <c r="P67" s="57">
        <v>32.990001144409177</v>
      </c>
      <c r="Q67" s="22"/>
      <c r="R67" s="57">
        <v>24.300001525878905</v>
      </c>
      <c r="S67" s="57">
        <v>28.300001525878905</v>
      </c>
      <c r="T67" s="57">
        <v>29.282501525878907</v>
      </c>
      <c r="U67" s="22"/>
      <c r="V67" s="57">
        <v>0</v>
      </c>
      <c r="W67" s="57">
        <v>0</v>
      </c>
      <c r="X67" s="57">
        <v>0</v>
      </c>
      <c r="Y67" s="22"/>
      <c r="Z67" s="57">
        <v>0.1545305625</v>
      </c>
      <c r="AA67" s="57">
        <v>0.30906112499999999</v>
      </c>
      <c r="AB67" s="57">
        <v>0.46359168750000002</v>
      </c>
      <c r="AC67" s="22"/>
      <c r="AD67" s="57">
        <v>3.6894726399999994E-2</v>
      </c>
      <c r="AE67" s="57">
        <v>7.3789452799999988E-2</v>
      </c>
      <c r="AF67" s="57">
        <v>0.11068417919999998</v>
      </c>
      <c r="AG67" s="22"/>
      <c r="AH67" s="57">
        <v>-0.35</v>
      </c>
      <c r="AI67" s="57">
        <v>1.5</v>
      </c>
      <c r="AJ67" s="57">
        <v>0.3</v>
      </c>
      <c r="AK67" s="22"/>
      <c r="AL67" s="57">
        <v>-0.15</v>
      </c>
      <c r="AM67" s="57">
        <v>0.4</v>
      </c>
      <c r="AN67" s="57">
        <v>0.2</v>
      </c>
      <c r="AO67" s="22"/>
      <c r="AP67" s="23">
        <v>17</v>
      </c>
      <c r="AQ67" s="58">
        <v>0.4</v>
      </c>
      <c r="AR67" s="22"/>
      <c r="AS67" s="58">
        <v>10</v>
      </c>
      <c r="AT67" s="60">
        <v>7.0000000000000007E-2</v>
      </c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4">
        <v>38231</v>
      </c>
      <c r="BI67" s="60">
        <v>0.9</v>
      </c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"/>
      <c r="CI67" s="393"/>
      <c r="CJ67" s="393"/>
      <c r="CK67" s="393"/>
      <c r="CM67" s="399"/>
      <c r="CN67" s="399"/>
      <c r="CO67" s="61"/>
      <c r="CP67"/>
      <c r="CQ67"/>
      <c r="CR67"/>
      <c r="CS67"/>
      <c r="CT67"/>
      <c r="CY67" s="282">
        <f t="shared" si="1"/>
        <v>38231</v>
      </c>
      <c r="CZ67" s="281">
        <f t="shared" si="2"/>
        <v>1.1499999999999999</v>
      </c>
      <c r="DA67" s="281">
        <f t="shared" si="3"/>
        <v>1.5</v>
      </c>
      <c r="DB67" s="281">
        <f t="shared" si="4"/>
        <v>1.8</v>
      </c>
      <c r="DD67" s="281">
        <f t="shared" si="5"/>
        <v>0.1545305625</v>
      </c>
      <c r="DE67" s="281">
        <f t="shared" si="6"/>
        <v>0.30906112499999999</v>
      </c>
      <c r="DF67" s="281">
        <f t="shared" si="7"/>
        <v>0.46359168750000002</v>
      </c>
      <c r="DH67" s="282">
        <f t="shared" si="8"/>
        <v>38231</v>
      </c>
      <c r="DI67" s="17">
        <f t="shared" si="9"/>
        <v>0.9</v>
      </c>
    </row>
    <row r="68" spans="1:113" ht="13.8">
      <c r="A68" s="27">
        <f t="shared" ca="1" si="0"/>
        <v>38596</v>
      </c>
      <c r="B68" s="17">
        <f>'Gas Curves'!C72</f>
        <v>5.6691599713180017E-2</v>
      </c>
      <c r="C68" s="17"/>
      <c r="D68" s="55">
        <v>37377</v>
      </c>
      <c r="E68" s="56">
        <v>49.6</v>
      </c>
      <c r="F68" s="56">
        <v>51</v>
      </c>
      <c r="G68" s="56">
        <v>52.9</v>
      </c>
      <c r="H68" s="40"/>
      <c r="I68" s="56">
        <v>22.949999618530274</v>
      </c>
      <c r="J68" s="56">
        <v>23.649999618530273</v>
      </c>
      <c r="K68" s="56">
        <v>24.599999618530273</v>
      </c>
      <c r="L68" s="23"/>
      <c r="M68" s="24">
        <v>38261</v>
      </c>
      <c r="N68" s="57">
        <v>25.450001144409178</v>
      </c>
      <c r="O68" s="57">
        <v>27.025001144409178</v>
      </c>
      <c r="P68" s="57">
        <v>28.262501144409178</v>
      </c>
      <c r="Q68" s="22"/>
      <c r="R68" s="57">
        <v>19.800001525878905</v>
      </c>
      <c r="S68" s="57">
        <v>23.800001525878905</v>
      </c>
      <c r="T68" s="57">
        <v>24.418751525878903</v>
      </c>
      <c r="U68" s="22"/>
      <c r="V68" s="57">
        <v>0</v>
      </c>
      <c r="W68" s="57">
        <v>0</v>
      </c>
      <c r="X68" s="57">
        <v>0</v>
      </c>
      <c r="Y68" s="22"/>
      <c r="Z68" s="57">
        <v>0.13365460937500001</v>
      </c>
      <c r="AA68" s="57">
        <v>0.26730921875000002</v>
      </c>
      <c r="AB68" s="57">
        <v>0.40096382812500003</v>
      </c>
      <c r="AC68" s="22"/>
      <c r="AD68" s="57">
        <v>2.7671044799999996E-2</v>
      </c>
      <c r="AE68" s="57">
        <v>5.5342089599999991E-2</v>
      </c>
      <c r="AF68" s="57">
        <v>8.3013134399999994E-2</v>
      </c>
      <c r="AG68" s="22"/>
      <c r="AH68" s="57">
        <v>-0.25</v>
      </c>
      <c r="AI68" s="57">
        <v>1.1000000000000001</v>
      </c>
      <c r="AJ68" s="57">
        <v>0.3</v>
      </c>
      <c r="AK68" s="22"/>
      <c r="AL68" s="57">
        <v>-0.15</v>
      </c>
      <c r="AM68" s="57">
        <v>0.35</v>
      </c>
      <c r="AN68" s="57">
        <v>0.2</v>
      </c>
      <c r="AO68" s="22"/>
      <c r="AP68" s="23">
        <v>17</v>
      </c>
      <c r="AQ68" s="58">
        <v>0.4</v>
      </c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4">
        <v>38261</v>
      </c>
      <c r="BI68" s="60">
        <v>0.9</v>
      </c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"/>
      <c r="CI68" s="393"/>
      <c r="CJ68" s="393"/>
      <c r="CK68" s="393"/>
      <c r="CM68" s="399"/>
      <c r="CN68" s="399"/>
      <c r="CO68" s="61"/>
      <c r="CP68"/>
      <c r="CQ68"/>
      <c r="CR68"/>
      <c r="CS68"/>
      <c r="CT68"/>
      <c r="CY68" s="282">
        <f t="shared" si="1"/>
        <v>38261</v>
      </c>
      <c r="CZ68" s="281">
        <f t="shared" si="2"/>
        <v>0.85000000000000009</v>
      </c>
      <c r="DA68" s="281">
        <f t="shared" si="3"/>
        <v>1.1000000000000001</v>
      </c>
      <c r="DB68" s="281">
        <f t="shared" si="4"/>
        <v>1.4000000000000001</v>
      </c>
      <c r="DD68" s="281">
        <f t="shared" si="5"/>
        <v>0.13365460937500001</v>
      </c>
      <c r="DE68" s="281">
        <f t="shared" si="6"/>
        <v>0.26730921875000002</v>
      </c>
      <c r="DF68" s="281">
        <f t="shared" si="7"/>
        <v>0.40096382812500003</v>
      </c>
      <c r="DH68" s="282">
        <f t="shared" si="8"/>
        <v>38261</v>
      </c>
      <c r="DI68" s="17">
        <f t="shared" si="9"/>
        <v>0.9</v>
      </c>
    </row>
    <row r="69" spans="1:113" ht="13.8">
      <c r="A69" s="27">
        <f t="shared" ca="1" si="0"/>
        <v>38626</v>
      </c>
      <c r="B69" s="17">
        <f>'Gas Curves'!C73</f>
        <v>5.6752025260006021E-2</v>
      </c>
      <c r="C69" s="17"/>
      <c r="D69" s="55">
        <v>37408</v>
      </c>
      <c r="E69" s="56">
        <v>59.3</v>
      </c>
      <c r="F69" s="56">
        <v>62</v>
      </c>
      <c r="G69" s="56">
        <v>64.900000000000006</v>
      </c>
      <c r="H69" s="40"/>
      <c r="I69" s="56">
        <v>22.674999618530272</v>
      </c>
      <c r="J69" s="56">
        <v>24.024999618530273</v>
      </c>
      <c r="K69" s="56">
        <v>25.474999618530273</v>
      </c>
      <c r="L69" s="23"/>
      <c r="M69" s="24">
        <v>38292</v>
      </c>
      <c r="N69" s="57">
        <v>27.800001525878905</v>
      </c>
      <c r="O69" s="57">
        <v>29.375001525878904</v>
      </c>
      <c r="P69" s="57">
        <v>30.612501525878905</v>
      </c>
      <c r="Q69" s="22"/>
      <c r="R69" s="57">
        <v>22.000000381469725</v>
      </c>
      <c r="S69" s="57">
        <v>26.000000381469725</v>
      </c>
      <c r="T69" s="57">
        <v>26.618750381469724</v>
      </c>
      <c r="U69" s="22"/>
      <c r="V69" s="57">
        <v>0</v>
      </c>
      <c r="W69" s="57">
        <v>0</v>
      </c>
      <c r="X69" s="57">
        <v>0</v>
      </c>
      <c r="Y69" s="22"/>
      <c r="Z69" s="57">
        <v>0.13365460937500001</v>
      </c>
      <c r="AA69" s="57">
        <v>0.26730921875000002</v>
      </c>
      <c r="AB69" s="57">
        <v>0.40096382812500003</v>
      </c>
      <c r="AC69" s="22"/>
      <c r="AD69" s="57">
        <v>2.7671044799999996E-2</v>
      </c>
      <c r="AE69" s="57">
        <v>5.5342089599999991E-2</v>
      </c>
      <c r="AF69" s="57">
        <v>8.3013134399999994E-2</v>
      </c>
      <c r="AG69" s="22"/>
      <c r="AH69" s="57">
        <v>-0.25</v>
      </c>
      <c r="AI69" s="57">
        <v>1.25</v>
      </c>
      <c r="AJ69" s="57">
        <v>0.3</v>
      </c>
      <c r="AK69" s="22"/>
      <c r="AL69" s="57">
        <v>-0.15</v>
      </c>
      <c r="AM69" s="57">
        <v>0.3</v>
      </c>
      <c r="AN69" s="57">
        <v>0.2</v>
      </c>
      <c r="AO69" s="22"/>
      <c r="AP69" s="23">
        <v>18</v>
      </c>
      <c r="AQ69" s="58">
        <v>0.4</v>
      </c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4">
        <v>38292</v>
      </c>
      <c r="BI69" s="60">
        <v>0.9</v>
      </c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"/>
      <c r="CI69" s="396"/>
      <c r="CJ69" s="396"/>
      <c r="CK69" s="396"/>
      <c r="CM69" s="399"/>
      <c r="CN69" s="399"/>
      <c r="CO69" s="61"/>
      <c r="CP69"/>
      <c r="CQ69"/>
      <c r="CR69"/>
      <c r="CS69"/>
      <c r="CT69"/>
      <c r="CY69" s="282">
        <f t="shared" si="1"/>
        <v>38292</v>
      </c>
      <c r="CZ69" s="281">
        <f t="shared" si="2"/>
        <v>1</v>
      </c>
      <c r="DA69" s="281">
        <f t="shared" si="3"/>
        <v>1.25</v>
      </c>
      <c r="DB69" s="281">
        <f t="shared" si="4"/>
        <v>1.55</v>
      </c>
      <c r="DD69" s="281">
        <f t="shared" si="5"/>
        <v>0.13365460937500001</v>
      </c>
      <c r="DE69" s="281">
        <f t="shared" si="6"/>
        <v>0.26730921875000002</v>
      </c>
      <c r="DF69" s="281">
        <f t="shared" si="7"/>
        <v>0.40096382812500003</v>
      </c>
      <c r="DH69" s="282">
        <f t="shared" si="8"/>
        <v>38292</v>
      </c>
      <c r="DI69" s="17">
        <f t="shared" si="9"/>
        <v>0.9</v>
      </c>
    </row>
    <row r="70" spans="1:113" ht="13.8">
      <c r="A70" s="27">
        <f t="shared" ca="1" si="0"/>
        <v>38657</v>
      </c>
      <c r="B70" s="17">
        <f>'Gas Curves'!C74</f>
        <v>5.6814464993004014E-2</v>
      </c>
      <c r="C70" s="17"/>
      <c r="D70" s="55">
        <v>37438</v>
      </c>
      <c r="E70" s="56">
        <v>76.900000000000006</v>
      </c>
      <c r="F70" s="56">
        <v>83.5</v>
      </c>
      <c r="G70" s="56">
        <v>89.7</v>
      </c>
      <c r="H70" s="40"/>
      <c r="I70" s="56">
        <v>24.45</v>
      </c>
      <c r="J70" s="56">
        <v>27.75</v>
      </c>
      <c r="K70" s="56">
        <v>30.85</v>
      </c>
      <c r="L70" s="23"/>
      <c r="M70" s="24">
        <v>38322</v>
      </c>
      <c r="N70" s="57">
        <v>28.4</v>
      </c>
      <c r="O70" s="57">
        <v>29.975000000000001</v>
      </c>
      <c r="P70" s="57">
        <v>31.212499999999999</v>
      </c>
      <c r="Q70" s="22"/>
      <c r="R70" s="57">
        <v>22.500000381469725</v>
      </c>
      <c r="S70" s="57">
        <v>26.500000381469725</v>
      </c>
      <c r="T70" s="57">
        <v>27.118750381469724</v>
      </c>
      <c r="U70" s="22"/>
      <c r="V70" s="57">
        <v>0</v>
      </c>
      <c r="W70" s="57">
        <v>0</v>
      </c>
      <c r="X70" s="57">
        <v>0</v>
      </c>
      <c r="Y70" s="22"/>
      <c r="Z70" s="57">
        <v>0.13098659374999999</v>
      </c>
      <c r="AA70" s="57">
        <v>0.26197318749999998</v>
      </c>
      <c r="AB70" s="57">
        <v>0.39295978124999997</v>
      </c>
      <c r="AC70" s="22"/>
      <c r="AD70" s="57">
        <v>2.7671044799999996E-2</v>
      </c>
      <c r="AE70" s="57">
        <v>5.5342089599999991E-2</v>
      </c>
      <c r="AF70" s="57">
        <v>8.3013134399999994E-2</v>
      </c>
      <c r="AG70" s="22"/>
      <c r="AH70" s="57">
        <v>-0.25</v>
      </c>
      <c r="AI70" s="57">
        <v>1.25</v>
      </c>
      <c r="AJ70" s="57">
        <v>0.35</v>
      </c>
      <c r="AK70" s="22"/>
      <c r="AL70" s="57">
        <v>-0.15</v>
      </c>
      <c r="AM70" s="57">
        <v>0.3</v>
      </c>
      <c r="AN70" s="57">
        <v>0.2</v>
      </c>
      <c r="AO70" s="22"/>
      <c r="AP70" s="23">
        <v>18</v>
      </c>
      <c r="AQ70" s="58">
        <v>0.4</v>
      </c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4">
        <v>38322</v>
      </c>
      <c r="BI70" s="60">
        <v>0.9</v>
      </c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"/>
      <c r="CI70" s="396"/>
      <c r="CJ70" s="396"/>
      <c r="CK70" s="396"/>
      <c r="CM70" s="399"/>
      <c r="CN70" s="399"/>
      <c r="CO70" s="61"/>
      <c r="CP70"/>
      <c r="CQ70"/>
      <c r="CR70"/>
      <c r="CS70"/>
      <c r="CT70"/>
      <c r="CY70" s="282">
        <f t="shared" si="1"/>
        <v>38322</v>
      </c>
      <c r="CZ70" s="281">
        <f t="shared" si="2"/>
        <v>1</v>
      </c>
      <c r="DA70" s="281">
        <f t="shared" si="3"/>
        <v>1.25</v>
      </c>
      <c r="DB70" s="281">
        <f t="shared" si="4"/>
        <v>1.6</v>
      </c>
      <c r="DD70" s="281">
        <f t="shared" si="5"/>
        <v>0.13098659374999999</v>
      </c>
      <c r="DE70" s="281">
        <f t="shared" si="6"/>
        <v>0.26197318749999998</v>
      </c>
      <c r="DF70" s="281">
        <f t="shared" si="7"/>
        <v>0.39295978124999997</v>
      </c>
      <c r="DH70" s="282">
        <f t="shared" si="8"/>
        <v>38322</v>
      </c>
      <c r="DI70" s="17">
        <f t="shared" si="9"/>
        <v>0.9</v>
      </c>
    </row>
    <row r="71" spans="1:113" ht="13.8">
      <c r="A71" s="27">
        <f t="shared" ca="1" si="0"/>
        <v>38687</v>
      </c>
      <c r="B71" s="17">
        <f>'Gas Curves'!C75</f>
        <v>5.6874890542300015E-2</v>
      </c>
      <c r="C71" s="17"/>
      <c r="D71" s="55">
        <v>37469</v>
      </c>
      <c r="E71" s="56">
        <v>76.900000000000006</v>
      </c>
      <c r="F71" s="56">
        <v>83.5</v>
      </c>
      <c r="G71" s="56">
        <v>89.7</v>
      </c>
      <c r="H71" s="40"/>
      <c r="I71" s="56">
        <v>36.600001525878909</v>
      </c>
      <c r="J71" s="56">
        <v>39.900001525878906</v>
      </c>
      <c r="K71" s="56">
        <v>43.000001525878908</v>
      </c>
      <c r="L71" s="23"/>
      <c r="M71" s="24">
        <v>38353</v>
      </c>
      <c r="N71" s="57">
        <v>30.729496002197269</v>
      </c>
      <c r="O71" s="57">
        <v>32.304496002197268</v>
      </c>
      <c r="P71" s="57">
        <v>33.444496002197269</v>
      </c>
      <c r="Q71" s="22"/>
      <c r="R71" s="57">
        <v>24.403997421264648</v>
      </c>
      <c r="S71" s="57">
        <v>28.403997421264648</v>
      </c>
      <c r="T71" s="57">
        <v>28.973997421264649</v>
      </c>
      <c r="U71" s="22"/>
      <c r="V71" s="57">
        <v>0</v>
      </c>
      <c r="W71" s="57">
        <v>0</v>
      </c>
      <c r="X71" s="57">
        <v>0</v>
      </c>
      <c r="Y71" s="22"/>
      <c r="Z71" s="57">
        <v>0.19329519374999998</v>
      </c>
      <c r="AA71" s="57">
        <v>0.38659038749999997</v>
      </c>
      <c r="AB71" s="57">
        <v>0.57988558124999989</v>
      </c>
      <c r="AC71" s="22"/>
      <c r="AD71" s="57">
        <v>3.1637227888000004E-2</v>
      </c>
      <c r="AE71" s="57">
        <v>6.3274455776000008E-2</v>
      </c>
      <c r="AF71" s="57">
        <v>9.4911683664000018E-2</v>
      </c>
      <c r="AG71" s="22"/>
      <c r="AH71" s="57">
        <v>-0.75</v>
      </c>
      <c r="AI71" s="57">
        <v>2</v>
      </c>
      <c r="AJ71" s="57">
        <v>0.75</v>
      </c>
      <c r="AK71" s="22"/>
      <c r="AL71" s="57">
        <v>-0.15</v>
      </c>
      <c r="AM71" s="57">
        <v>0.5</v>
      </c>
      <c r="AN71" s="57">
        <v>0.2</v>
      </c>
      <c r="AO71" s="22"/>
      <c r="AP71" s="23">
        <v>18</v>
      </c>
      <c r="AQ71" s="58">
        <v>0.4</v>
      </c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4">
        <v>38353</v>
      </c>
      <c r="BI71" s="60">
        <v>0.9</v>
      </c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"/>
      <c r="CI71" s="396"/>
      <c r="CJ71" s="396"/>
      <c r="CK71" s="396"/>
      <c r="CM71" s="399"/>
      <c r="CN71" s="399"/>
      <c r="CO71" s="61"/>
      <c r="CP71"/>
      <c r="CQ71"/>
      <c r="CR71"/>
      <c r="CS71"/>
      <c r="CT71"/>
      <c r="CY71" s="282">
        <f t="shared" si="1"/>
        <v>38353</v>
      </c>
      <c r="CZ71" s="281">
        <f t="shared" si="2"/>
        <v>1.25</v>
      </c>
      <c r="DA71" s="281">
        <f t="shared" si="3"/>
        <v>2</v>
      </c>
      <c r="DB71" s="281">
        <f t="shared" si="4"/>
        <v>2.75</v>
      </c>
      <c r="DD71" s="281">
        <f t="shared" si="5"/>
        <v>0.19329519374999998</v>
      </c>
      <c r="DE71" s="281">
        <f t="shared" si="6"/>
        <v>0.38659038749999997</v>
      </c>
      <c r="DF71" s="281">
        <f t="shared" si="7"/>
        <v>0.57988558124999989</v>
      </c>
      <c r="DH71" s="282">
        <f t="shared" si="8"/>
        <v>38353</v>
      </c>
      <c r="DI71" s="17">
        <f t="shared" si="9"/>
        <v>0.9</v>
      </c>
    </row>
    <row r="72" spans="1:113" ht="13.8">
      <c r="A72" s="27">
        <f t="shared" ca="1" si="0"/>
        <v>38718</v>
      </c>
      <c r="B72" s="17">
        <f>'Gas Curves'!C76</f>
        <v>5.6937330277851014E-2</v>
      </c>
      <c r="C72" s="17"/>
      <c r="D72" s="55">
        <v>37500</v>
      </c>
      <c r="E72" s="56">
        <v>45.8</v>
      </c>
      <c r="F72" s="56">
        <v>48.5</v>
      </c>
      <c r="G72" s="56">
        <v>50.4</v>
      </c>
      <c r="H72" s="40"/>
      <c r="I72" s="56">
        <v>27.049999618530272</v>
      </c>
      <c r="J72" s="56">
        <v>28.399999618530273</v>
      </c>
      <c r="K72" s="56">
        <v>29.349999618530273</v>
      </c>
      <c r="L72" s="23"/>
      <c r="M72" s="24">
        <v>38384</v>
      </c>
      <c r="N72" s="57">
        <v>30.391996765136717</v>
      </c>
      <c r="O72" s="57">
        <v>31.629496765136718</v>
      </c>
      <c r="P72" s="57">
        <v>32.769496765136715</v>
      </c>
      <c r="Q72" s="22"/>
      <c r="R72" s="57">
        <v>23.803997039794922</v>
      </c>
      <c r="S72" s="57">
        <v>27.803997039794922</v>
      </c>
      <c r="T72" s="57">
        <v>28.373997039794922</v>
      </c>
      <c r="U72" s="22"/>
      <c r="V72" s="57">
        <v>0</v>
      </c>
      <c r="W72" s="57">
        <v>0</v>
      </c>
      <c r="X72" s="57">
        <v>0</v>
      </c>
      <c r="Y72" s="22"/>
      <c r="Z72" s="57">
        <v>0.18673627499999998</v>
      </c>
      <c r="AA72" s="57">
        <v>0.37347254999999996</v>
      </c>
      <c r="AB72" s="57">
        <v>0.56020882499999991</v>
      </c>
      <c r="AC72" s="22"/>
      <c r="AD72" s="57">
        <v>3.1637227888000004E-2</v>
      </c>
      <c r="AE72" s="57">
        <v>6.3274455776000008E-2</v>
      </c>
      <c r="AF72" s="57">
        <v>9.4911683664000018E-2</v>
      </c>
      <c r="AG72" s="22"/>
      <c r="AH72" s="57">
        <v>-0.75</v>
      </c>
      <c r="AI72" s="57">
        <v>2</v>
      </c>
      <c r="AJ72" s="57">
        <v>0.75</v>
      </c>
      <c r="AK72" s="22"/>
      <c r="AL72" s="57">
        <v>-0.15</v>
      </c>
      <c r="AM72" s="57">
        <v>0.5</v>
      </c>
      <c r="AN72" s="57">
        <v>0.2</v>
      </c>
      <c r="AO72" s="22"/>
      <c r="AP72" s="23">
        <v>19</v>
      </c>
      <c r="AQ72" s="58">
        <v>0.4</v>
      </c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4">
        <v>38384</v>
      </c>
      <c r="BI72" s="60">
        <v>0.9</v>
      </c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"/>
      <c r="CI72" s="396"/>
      <c r="CJ72" s="396"/>
      <c r="CK72" s="396"/>
      <c r="CM72" s="399"/>
      <c r="CN72" s="399"/>
      <c r="CO72" s="61"/>
      <c r="CP72"/>
      <c r="CQ72"/>
      <c r="CR72"/>
      <c r="CS72"/>
      <c r="CT72"/>
      <c r="CY72" s="282">
        <f t="shared" si="1"/>
        <v>38384</v>
      </c>
      <c r="CZ72" s="281">
        <f t="shared" si="2"/>
        <v>1.25</v>
      </c>
      <c r="DA72" s="281">
        <f t="shared" si="3"/>
        <v>2</v>
      </c>
      <c r="DB72" s="281">
        <f t="shared" si="4"/>
        <v>2.75</v>
      </c>
      <c r="DD72" s="281">
        <f t="shared" si="5"/>
        <v>0.18673627499999998</v>
      </c>
      <c r="DE72" s="281">
        <f t="shared" si="6"/>
        <v>0.37347254999999996</v>
      </c>
      <c r="DF72" s="281">
        <f t="shared" si="7"/>
        <v>0.56020882499999991</v>
      </c>
      <c r="DH72" s="282">
        <f t="shared" si="8"/>
        <v>38384</v>
      </c>
      <c r="DI72" s="17">
        <f t="shared" si="9"/>
        <v>0.9</v>
      </c>
    </row>
    <row r="73" spans="1:113" ht="13.8">
      <c r="A73" s="27">
        <f t="shared" ca="1" si="0"/>
        <v>38749</v>
      </c>
      <c r="B73" s="17">
        <f>'Gas Curves'!C77</f>
        <v>5.6996310371456999E-2</v>
      </c>
      <c r="C73" s="17"/>
      <c r="D73" s="55">
        <v>37530</v>
      </c>
      <c r="E73" s="56">
        <v>46.1</v>
      </c>
      <c r="F73" s="56">
        <v>47.5</v>
      </c>
      <c r="G73" s="56">
        <v>48.7</v>
      </c>
      <c r="H73" s="40"/>
      <c r="I73" s="56">
        <v>25.699999618530274</v>
      </c>
      <c r="J73" s="56">
        <v>26.399999618530273</v>
      </c>
      <c r="K73" s="56">
        <v>26.999999618530275</v>
      </c>
      <c r="L73" s="23"/>
      <c r="M73" s="24">
        <v>38412</v>
      </c>
      <c r="N73" s="57">
        <v>24.537496948242186</v>
      </c>
      <c r="O73" s="57">
        <v>25.774996948242187</v>
      </c>
      <c r="P73" s="57">
        <v>26.914996948242187</v>
      </c>
      <c r="Q73" s="22"/>
      <c r="R73" s="57">
        <v>18.599998474121094</v>
      </c>
      <c r="S73" s="57">
        <v>22.599998474121094</v>
      </c>
      <c r="T73" s="57">
        <v>23.169998474121094</v>
      </c>
      <c r="U73" s="22"/>
      <c r="V73" s="57">
        <v>0</v>
      </c>
      <c r="W73" s="57">
        <v>0</v>
      </c>
      <c r="X73" s="57">
        <v>0</v>
      </c>
      <c r="Y73" s="22"/>
      <c r="Z73" s="57">
        <v>0.14803651093749998</v>
      </c>
      <c r="AA73" s="57">
        <v>0.29607302187499995</v>
      </c>
      <c r="AB73" s="57">
        <v>0.44410953281249993</v>
      </c>
      <c r="AC73" s="22"/>
      <c r="AD73" s="57">
        <v>2.7671044799999996E-2</v>
      </c>
      <c r="AE73" s="57">
        <v>5.5342089599999991E-2</v>
      </c>
      <c r="AF73" s="57">
        <v>8.3013134399999994E-2</v>
      </c>
      <c r="AG73" s="22"/>
      <c r="AH73" s="57">
        <v>-0.25</v>
      </c>
      <c r="AI73" s="57">
        <v>1.3</v>
      </c>
      <c r="AJ73" s="57">
        <v>0.3</v>
      </c>
      <c r="AK73" s="22"/>
      <c r="AL73" s="57">
        <v>-0.15</v>
      </c>
      <c r="AM73" s="57">
        <v>0.35</v>
      </c>
      <c r="AN73" s="57">
        <v>0.2</v>
      </c>
      <c r="AO73" s="22"/>
      <c r="AP73" s="23">
        <v>19</v>
      </c>
      <c r="AQ73" s="58">
        <v>0.4</v>
      </c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4">
        <v>38412</v>
      </c>
      <c r="BI73" s="60">
        <v>0.9</v>
      </c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"/>
      <c r="CI73" s="396"/>
      <c r="CJ73" s="396"/>
      <c r="CK73" s="396"/>
      <c r="CM73" s="399"/>
      <c r="CN73" s="399"/>
      <c r="CO73" s="61"/>
      <c r="CP73"/>
      <c r="CQ73"/>
      <c r="CR73"/>
      <c r="CS73"/>
      <c r="CT73"/>
      <c r="CY73" s="282">
        <f t="shared" si="1"/>
        <v>38412</v>
      </c>
      <c r="CZ73" s="281">
        <f t="shared" si="2"/>
        <v>1.05</v>
      </c>
      <c r="DA73" s="281">
        <f t="shared" si="3"/>
        <v>1.3</v>
      </c>
      <c r="DB73" s="281">
        <f t="shared" si="4"/>
        <v>1.6</v>
      </c>
      <c r="DD73" s="281">
        <f t="shared" si="5"/>
        <v>0.14803651093749998</v>
      </c>
      <c r="DE73" s="281">
        <f t="shared" si="6"/>
        <v>0.29607302187499995</v>
      </c>
      <c r="DF73" s="281">
        <f t="shared" si="7"/>
        <v>0.44410953281249993</v>
      </c>
      <c r="DH73" s="282">
        <f t="shared" si="8"/>
        <v>38412</v>
      </c>
      <c r="DI73" s="17">
        <f t="shared" si="9"/>
        <v>0.9</v>
      </c>
    </row>
    <row r="74" spans="1:113" ht="13.8">
      <c r="A74" s="27">
        <f t="shared" ca="1" si="0"/>
        <v>38777</v>
      </c>
      <c r="B74" s="17">
        <f>'Gas Curves'!C78</f>
        <v>5.7047864053552999E-2</v>
      </c>
      <c r="C74" s="17"/>
      <c r="D74" s="55">
        <v>37561</v>
      </c>
      <c r="E74" s="56">
        <v>48.6</v>
      </c>
      <c r="F74" s="56">
        <v>50</v>
      </c>
      <c r="G74" s="56">
        <v>51.2</v>
      </c>
      <c r="H74" s="40"/>
      <c r="I74" s="56">
        <v>26.449999618530274</v>
      </c>
      <c r="J74" s="56">
        <v>27.149999618530273</v>
      </c>
      <c r="K74" s="56">
        <v>27.749999618530275</v>
      </c>
      <c r="L74" s="23"/>
      <c r="M74" s="24">
        <v>38443</v>
      </c>
      <c r="N74" s="57">
        <v>23.524999618530273</v>
      </c>
      <c r="O74" s="57">
        <v>25.099999618530273</v>
      </c>
      <c r="P74" s="57">
        <v>26.239999618530273</v>
      </c>
      <c r="Q74" s="22"/>
      <c r="R74" s="57">
        <v>18</v>
      </c>
      <c r="S74" s="57">
        <v>22</v>
      </c>
      <c r="T74" s="57">
        <v>22.57</v>
      </c>
      <c r="U74" s="22"/>
      <c r="V74" s="57">
        <v>0</v>
      </c>
      <c r="W74" s="57">
        <v>0</v>
      </c>
      <c r="X74" s="57">
        <v>0</v>
      </c>
      <c r="Y74" s="22"/>
      <c r="Z74" s="57">
        <v>0.147832884375</v>
      </c>
      <c r="AA74" s="57">
        <v>0.29566576875</v>
      </c>
      <c r="AB74" s="57">
        <v>0.44349865312500003</v>
      </c>
      <c r="AC74" s="22"/>
      <c r="AD74" s="57">
        <v>2.7671044799999996E-2</v>
      </c>
      <c r="AE74" s="57">
        <v>5.5342089599999991E-2</v>
      </c>
      <c r="AF74" s="57">
        <v>8.3013134399999994E-2</v>
      </c>
      <c r="AG74" s="22"/>
      <c r="AH74" s="57">
        <v>-0.25</v>
      </c>
      <c r="AI74" s="57">
        <v>1.1000000000000001</v>
      </c>
      <c r="AJ74" s="57">
        <v>0.3</v>
      </c>
      <c r="AK74" s="22"/>
      <c r="AL74" s="57">
        <v>-0.15</v>
      </c>
      <c r="AM74" s="57">
        <v>0.35</v>
      </c>
      <c r="AN74" s="57">
        <v>0.2</v>
      </c>
      <c r="AO74" s="22"/>
      <c r="AP74" s="23">
        <v>19</v>
      </c>
      <c r="AQ74" s="58">
        <v>0.4</v>
      </c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4">
        <v>38443</v>
      </c>
      <c r="BI74" s="60">
        <v>0.9</v>
      </c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"/>
      <c r="CI74" s="396"/>
      <c r="CJ74" s="396"/>
      <c r="CK74" s="396"/>
      <c r="CM74" s="399"/>
      <c r="CN74" s="399"/>
      <c r="CO74" s="61"/>
      <c r="CP74"/>
      <c r="CQ74"/>
      <c r="CR74"/>
      <c r="CS74"/>
      <c r="CT74"/>
      <c r="CY74" s="282">
        <f t="shared" si="1"/>
        <v>38443</v>
      </c>
      <c r="CZ74" s="281">
        <f t="shared" si="2"/>
        <v>0.85000000000000009</v>
      </c>
      <c r="DA74" s="281">
        <f t="shared" si="3"/>
        <v>1.1000000000000001</v>
      </c>
      <c r="DB74" s="281">
        <f t="shared" si="4"/>
        <v>1.4000000000000001</v>
      </c>
      <c r="DD74" s="281">
        <f t="shared" si="5"/>
        <v>0.147832884375</v>
      </c>
      <c r="DE74" s="281">
        <f t="shared" si="6"/>
        <v>0.29566576875</v>
      </c>
      <c r="DF74" s="281">
        <f t="shared" si="7"/>
        <v>0.44349865312500003</v>
      </c>
      <c r="DH74" s="282">
        <f t="shared" si="8"/>
        <v>38443</v>
      </c>
      <c r="DI74" s="17">
        <f t="shared" si="9"/>
        <v>0.9</v>
      </c>
    </row>
    <row r="75" spans="1:113" ht="13.8">
      <c r="A75" s="27">
        <f t="shared" ca="1" si="0"/>
        <v>38808</v>
      </c>
      <c r="B75" s="17">
        <f>'Gas Curves'!C79</f>
        <v>5.7104941345478E-2</v>
      </c>
      <c r="C75" s="17"/>
      <c r="D75" s="55">
        <v>37591</v>
      </c>
      <c r="E75" s="56">
        <v>48.6</v>
      </c>
      <c r="F75" s="56">
        <v>50</v>
      </c>
      <c r="G75" s="56">
        <v>51.2</v>
      </c>
      <c r="H75" s="40"/>
      <c r="I75" s="56">
        <v>26.349999237060548</v>
      </c>
      <c r="J75" s="56">
        <v>27.049999237060547</v>
      </c>
      <c r="K75" s="56">
        <v>27.649999237060548</v>
      </c>
      <c r="L75" s="23"/>
      <c r="M75" s="24">
        <v>38473</v>
      </c>
      <c r="N75" s="57">
        <v>27.125</v>
      </c>
      <c r="O75" s="57">
        <v>28.7</v>
      </c>
      <c r="P75" s="57">
        <v>30.8675</v>
      </c>
      <c r="Q75" s="22"/>
      <c r="R75" s="57">
        <v>21.19999885559082</v>
      </c>
      <c r="S75" s="57">
        <v>25.19999885559082</v>
      </c>
      <c r="T75" s="57">
        <v>26.283748855590819</v>
      </c>
      <c r="U75" s="22"/>
      <c r="V75" s="57">
        <v>0</v>
      </c>
      <c r="W75" s="57">
        <v>0</v>
      </c>
      <c r="X75" s="57">
        <v>0</v>
      </c>
      <c r="Y75" s="22"/>
      <c r="Z75" s="57">
        <v>0.155523538125</v>
      </c>
      <c r="AA75" s="57">
        <v>0.31104707625</v>
      </c>
      <c r="AB75" s="57">
        <v>0.46657061437500003</v>
      </c>
      <c r="AC75" s="22"/>
      <c r="AD75" s="57">
        <v>3.1637227888000004E-2</v>
      </c>
      <c r="AE75" s="57">
        <v>6.3274455776000008E-2</v>
      </c>
      <c r="AF75" s="57">
        <v>9.4911683664000018E-2</v>
      </c>
      <c r="AG75" s="22"/>
      <c r="AH75" s="57">
        <v>-0.25</v>
      </c>
      <c r="AI75" s="57">
        <v>1.1000000000000001</v>
      </c>
      <c r="AJ75" s="57">
        <v>0.3</v>
      </c>
      <c r="AK75" s="22"/>
      <c r="AL75" s="57">
        <v>-0.15</v>
      </c>
      <c r="AM75" s="57">
        <v>0.5</v>
      </c>
      <c r="AN75" s="57">
        <v>0.2</v>
      </c>
      <c r="AO75" s="22"/>
      <c r="AP75" s="23">
        <v>20</v>
      </c>
      <c r="AQ75" s="58">
        <v>0.4</v>
      </c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4">
        <v>38473</v>
      </c>
      <c r="BI75" s="60">
        <v>0.9</v>
      </c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"/>
      <c r="CI75" s="396"/>
      <c r="CJ75" s="396"/>
      <c r="CK75" s="396"/>
      <c r="CM75" s="399"/>
      <c r="CN75" s="399"/>
      <c r="CO75" s="61"/>
      <c r="CP75"/>
      <c r="CQ75"/>
      <c r="CR75"/>
      <c r="CS75"/>
      <c r="CT75"/>
      <c r="CY75" s="282">
        <f t="shared" si="1"/>
        <v>38473</v>
      </c>
      <c r="CZ75" s="281">
        <f t="shared" si="2"/>
        <v>0.85000000000000009</v>
      </c>
      <c r="DA75" s="281">
        <f t="shared" si="3"/>
        <v>1.1000000000000001</v>
      </c>
      <c r="DB75" s="281">
        <f t="shared" si="4"/>
        <v>1.4000000000000001</v>
      </c>
      <c r="DD75" s="281">
        <f t="shared" si="5"/>
        <v>0.155523538125</v>
      </c>
      <c r="DE75" s="281">
        <f t="shared" si="6"/>
        <v>0.31104707625</v>
      </c>
      <c r="DF75" s="281">
        <f t="shared" si="7"/>
        <v>0.46657061437500003</v>
      </c>
      <c r="DH75" s="282">
        <f t="shared" si="8"/>
        <v>38473</v>
      </c>
      <c r="DI75" s="17">
        <f t="shared" si="9"/>
        <v>0.9</v>
      </c>
    </row>
    <row r="76" spans="1:113" ht="13.8">
      <c r="A76" s="27">
        <f t="shared" ca="1" si="0"/>
        <v>38838</v>
      </c>
      <c r="B76" s="17">
        <f>'Gas Curves'!C80</f>
        <v>5.7160177435469021E-2</v>
      </c>
      <c r="C76" s="17"/>
      <c r="D76" s="55">
        <v>37622</v>
      </c>
      <c r="E76" s="56">
        <v>59.9</v>
      </c>
      <c r="F76" s="56">
        <v>62</v>
      </c>
      <c r="G76" s="56">
        <v>63.25</v>
      </c>
      <c r="H76" s="40"/>
      <c r="I76" s="56">
        <v>25.800000381469726</v>
      </c>
      <c r="J76" s="56">
        <v>26.850000381469727</v>
      </c>
      <c r="K76" s="56">
        <v>27.475000381469727</v>
      </c>
      <c r="L76" s="23"/>
      <c r="M76" s="24">
        <v>38504</v>
      </c>
      <c r="N76" s="57">
        <v>32.462503051757814</v>
      </c>
      <c r="O76" s="57">
        <v>35.500003051757815</v>
      </c>
      <c r="P76" s="57">
        <v>38.800003051757813</v>
      </c>
      <c r="Q76" s="22"/>
      <c r="R76" s="57">
        <v>26.700002670288086</v>
      </c>
      <c r="S76" s="57">
        <v>30.700002670288086</v>
      </c>
      <c r="T76" s="57">
        <v>32.350002670288085</v>
      </c>
      <c r="U76" s="22"/>
      <c r="V76" s="57">
        <v>0</v>
      </c>
      <c r="W76" s="57">
        <v>0</v>
      </c>
      <c r="X76" s="57">
        <v>0</v>
      </c>
      <c r="Y76" s="22"/>
      <c r="Z76" s="57">
        <v>0.16632217624999998</v>
      </c>
      <c r="AA76" s="57">
        <v>0.33264435249999996</v>
      </c>
      <c r="AB76" s="57">
        <v>0.49896652874999992</v>
      </c>
      <c r="AC76" s="22"/>
      <c r="AD76" s="57">
        <v>4.0676435855999997E-2</v>
      </c>
      <c r="AE76" s="57">
        <v>8.1352871711999994E-2</v>
      </c>
      <c r="AF76" s="57">
        <v>0.12202930756799998</v>
      </c>
      <c r="AG76" s="22"/>
      <c r="AH76" s="57">
        <v>-0.35</v>
      </c>
      <c r="AI76" s="57">
        <v>2</v>
      </c>
      <c r="AJ76" s="57">
        <v>0.3</v>
      </c>
      <c r="AK76" s="22"/>
      <c r="AL76" s="57">
        <v>-0.15</v>
      </c>
      <c r="AM76" s="57">
        <v>0.65</v>
      </c>
      <c r="AN76" s="57">
        <v>0.2</v>
      </c>
      <c r="AO76" s="22"/>
      <c r="AP76" s="23">
        <v>20</v>
      </c>
      <c r="AQ76" s="58">
        <v>0.4</v>
      </c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4">
        <v>38504</v>
      </c>
      <c r="BI76" s="60">
        <v>0.9</v>
      </c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"/>
      <c r="CI76" s="396"/>
      <c r="CJ76" s="396"/>
      <c r="CK76" s="396"/>
      <c r="CM76" s="399"/>
      <c r="CN76" s="399"/>
      <c r="CO76" s="61"/>
      <c r="CP76"/>
      <c r="CQ76"/>
      <c r="CR76"/>
      <c r="CS76"/>
      <c r="CT76"/>
      <c r="CY76" s="282">
        <f t="shared" si="1"/>
        <v>38504</v>
      </c>
      <c r="CZ76" s="281">
        <f t="shared" si="2"/>
        <v>1.65</v>
      </c>
      <c r="DA76" s="281">
        <f t="shared" si="3"/>
        <v>2</v>
      </c>
      <c r="DB76" s="281">
        <f t="shared" si="4"/>
        <v>2.2999999999999998</v>
      </c>
      <c r="DD76" s="281">
        <f t="shared" si="5"/>
        <v>0.16632217624999998</v>
      </c>
      <c r="DE76" s="281">
        <f t="shared" si="6"/>
        <v>0.33264435249999996</v>
      </c>
      <c r="DF76" s="281">
        <f t="shared" si="7"/>
        <v>0.49896652874999992</v>
      </c>
      <c r="DH76" s="282">
        <f t="shared" si="8"/>
        <v>38504</v>
      </c>
      <c r="DI76" s="17">
        <f t="shared" si="9"/>
        <v>0.9</v>
      </c>
    </row>
    <row r="77" spans="1:113" ht="13.8">
      <c r="A77" s="27">
        <f t="shared" ca="1" si="0"/>
        <v>38869</v>
      </c>
      <c r="B77" s="17">
        <f>'Gas Curves'!C81</f>
        <v>5.721725472952701E-2</v>
      </c>
      <c r="C77" s="17"/>
      <c r="D77" s="55">
        <v>37653</v>
      </c>
      <c r="E77" s="56">
        <v>60.35</v>
      </c>
      <c r="F77" s="56">
        <v>62</v>
      </c>
      <c r="G77" s="56">
        <v>63.25</v>
      </c>
      <c r="H77" s="40"/>
      <c r="I77" s="56">
        <v>22.675000000000001</v>
      </c>
      <c r="J77" s="56">
        <v>23.5</v>
      </c>
      <c r="K77" s="56">
        <v>24.125</v>
      </c>
      <c r="L77" s="23"/>
      <c r="M77" s="24">
        <v>38534</v>
      </c>
      <c r="N77" s="57">
        <v>34.475001525878909</v>
      </c>
      <c r="O77" s="57">
        <v>41.900001525878906</v>
      </c>
      <c r="P77" s="57">
        <v>48.94250152587891</v>
      </c>
      <c r="Q77" s="22"/>
      <c r="R77" s="57">
        <v>31.900001525878906</v>
      </c>
      <c r="S77" s="57">
        <v>35.900001525878906</v>
      </c>
      <c r="T77" s="57">
        <v>39.421251525878908</v>
      </c>
      <c r="U77" s="22"/>
      <c r="V77" s="57">
        <v>0</v>
      </c>
      <c r="W77" s="57">
        <v>0</v>
      </c>
      <c r="X77" s="57">
        <v>0</v>
      </c>
      <c r="Y77" s="22"/>
      <c r="Z77" s="57">
        <v>0.19809863718749998</v>
      </c>
      <c r="AA77" s="57">
        <v>0.39619727437499996</v>
      </c>
      <c r="AB77" s="57">
        <v>0.59429591156249995</v>
      </c>
      <c r="AC77" s="22"/>
      <c r="AD77" s="57">
        <v>5.4235247807999994E-2</v>
      </c>
      <c r="AE77" s="57">
        <v>0.10847049561599999</v>
      </c>
      <c r="AF77" s="57">
        <v>0.16270574342399999</v>
      </c>
      <c r="AG77" s="22"/>
      <c r="AH77" s="57">
        <v>-0.35</v>
      </c>
      <c r="AI77" s="57">
        <v>3</v>
      </c>
      <c r="AJ77" s="57">
        <v>0.5</v>
      </c>
      <c r="AK77" s="22"/>
      <c r="AL77" s="57">
        <v>-0.15</v>
      </c>
      <c r="AM77" s="57">
        <v>0.75</v>
      </c>
      <c r="AN77" s="57">
        <v>0.2</v>
      </c>
      <c r="AO77" s="22"/>
      <c r="AP77" s="23">
        <v>20</v>
      </c>
      <c r="AQ77" s="58">
        <v>0.4</v>
      </c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4">
        <v>38534</v>
      </c>
      <c r="BI77" s="60">
        <v>0.9</v>
      </c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"/>
      <c r="CI77" s="396"/>
      <c r="CJ77" s="396"/>
      <c r="CK77" s="396"/>
      <c r="CM77" s="399"/>
      <c r="CN77" s="399"/>
      <c r="CO77" s="61"/>
      <c r="CP77"/>
      <c r="CQ77"/>
      <c r="CR77"/>
      <c r="CS77"/>
      <c r="CT77"/>
      <c r="CY77" s="282">
        <f t="shared" si="1"/>
        <v>38534</v>
      </c>
      <c r="CZ77" s="281">
        <f t="shared" si="2"/>
        <v>2.65</v>
      </c>
      <c r="DA77" s="281">
        <f t="shared" si="3"/>
        <v>3</v>
      </c>
      <c r="DB77" s="281">
        <f t="shared" si="4"/>
        <v>3.5</v>
      </c>
      <c r="DD77" s="281">
        <f t="shared" si="5"/>
        <v>0.19809863718749998</v>
      </c>
      <c r="DE77" s="281">
        <f t="shared" si="6"/>
        <v>0.39619727437499996</v>
      </c>
      <c r="DF77" s="281">
        <f t="shared" si="7"/>
        <v>0.59429591156249995</v>
      </c>
      <c r="DH77" s="282">
        <f t="shared" si="8"/>
        <v>38534</v>
      </c>
      <c r="DI77" s="17">
        <f t="shared" si="9"/>
        <v>0.9</v>
      </c>
    </row>
    <row r="78" spans="1:113" ht="13.8">
      <c r="A78" s="27">
        <f t="shared" ref="A78:A141" ca="1" si="10">EOMONTH(A77,0)+1</f>
        <v>38899</v>
      </c>
      <c r="B78" s="17">
        <f>'Gas Curves'!C82</f>
        <v>5.7272490821583012E-2</v>
      </c>
      <c r="C78" s="17"/>
      <c r="D78" s="55">
        <v>37681</v>
      </c>
      <c r="E78" s="56">
        <v>43.35</v>
      </c>
      <c r="F78" s="56">
        <v>45</v>
      </c>
      <c r="G78" s="56">
        <v>46.25</v>
      </c>
      <c r="H78" s="40"/>
      <c r="I78" s="56">
        <v>23.074999618530274</v>
      </c>
      <c r="J78" s="56">
        <v>23.899999618530273</v>
      </c>
      <c r="K78" s="56">
        <v>24.524999618530273</v>
      </c>
      <c r="L78" s="23"/>
      <c r="M78" s="24">
        <v>38565</v>
      </c>
      <c r="N78" s="57">
        <v>46.225001525878909</v>
      </c>
      <c r="O78" s="57">
        <v>53.650001525878906</v>
      </c>
      <c r="P78" s="57">
        <v>60.69250152587891</v>
      </c>
      <c r="Q78" s="22"/>
      <c r="R78" s="57">
        <v>43.700000762939453</v>
      </c>
      <c r="S78" s="57">
        <v>47.700000762939453</v>
      </c>
      <c r="T78" s="57">
        <v>51.221250762939455</v>
      </c>
      <c r="U78" s="22"/>
      <c r="V78" s="57">
        <v>0</v>
      </c>
      <c r="W78" s="57">
        <v>0</v>
      </c>
      <c r="X78" s="57">
        <v>0</v>
      </c>
      <c r="Y78" s="22"/>
      <c r="Z78" s="57">
        <v>0.19375817624999997</v>
      </c>
      <c r="AA78" s="57">
        <v>0.38751635249999994</v>
      </c>
      <c r="AB78" s="57">
        <v>0.58127452874999985</v>
      </c>
      <c r="AC78" s="22"/>
      <c r="AD78" s="57">
        <v>5.4235247807999994E-2</v>
      </c>
      <c r="AE78" s="57">
        <v>0.10847049561599999</v>
      </c>
      <c r="AF78" s="57">
        <v>0.16270574342399999</v>
      </c>
      <c r="AG78" s="22"/>
      <c r="AH78" s="57">
        <v>-0.35</v>
      </c>
      <c r="AI78" s="57">
        <v>3</v>
      </c>
      <c r="AJ78" s="57">
        <v>0.5</v>
      </c>
      <c r="AK78" s="22"/>
      <c r="AL78" s="57">
        <v>-0.15</v>
      </c>
      <c r="AM78" s="57">
        <v>0.75</v>
      </c>
      <c r="AN78" s="57">
        <v>0.2</v>
      </c>
      <c r="AO78" s="22"/>
      <c r="AP78" s="23">
        <v>21</v>
      </c>
      <c r="AQ78" s="58">
        <v>0.4</v>
      </c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4">
        <v>38565</v>
      </c>
      <c r="BI78" s="60">
        <v>0.9</v>
      </c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"/>
      <c r="CI78" s="396"/>
      <c r="CJ78" s="396"/>
      <c r="CK78" s="396"/>
      <c r="CM78" s="399"/>
      <c r="CN78" s="399"/>
      <c r="CO78" s="61"/>
      <c r="CP78"/>
      <c r="CQ78"/>
      <c r="CR78"/>
      <c r="CS78"/>
      <c r="CT78"/>
      <c r="CY78" s="282">
        <f t="shared" si="1"/>
        <v>38565</v>
      </c>
      <c r="CZ78" s="281">
        <f t="shared" si="2"/>
        <v>2.65</v>
      </c>
      <c r="DA78" s="281">
        <f t="shared" si="3"/>
        <v>3</v>
      </c>
      <c r="DB78" s="281">
        <f t="shared" si="4"/>
        <v>3.5</v>
      </c>
      <c r="DD78" s="281">
        <f t="shared" si="5"/>
        <v>0.19375817624999997</v>
      </c>
      <c r="DE78" s="281">
        <f t="shared" si="6"/>
        <v>0.38751635249999994</v>
      </c>
      <c r="DF78" s="281">
        <f t="shared" si="7"/>
        <v>0.58127452874999985</v>
      </c>
      <c r="DH78" s="282">
        <f t="shared" si="8"/>
        <v>38565</v>
      </c>
      <c r="DI78" s="17">
        <f t="shared" si="9"/>
        <v>0.9</v>
      </c>
    </row>
    <row r="79" spans="1:113" ht="13.8">
      <c r="A79" s="27">
        <f t="shared" ca="1" si="10"/>
        <v>38930</v>
      </c>
      <c r="B79" s="17">
        <f>'Gas Curves'!C83</f>
        <v>5.7329568117773018E-2</v>
      </c>
      <c r="C79" s="17"/>
      <c r="D79" s="55">
        <v>37712</v>
      </c>
      <c r="E79" s="56">
        <v>39.4</v>
      </c>
      <c r="F79" s="56">
        <v>41.5</v>
      </c>
      <c r="G79" s="56">
        <v>42.75</v>
      </c>
      <c r="H79" s="40"/>
      <c r="I79" s="56">
        <v>20.599999618530273</v>
      </c>
      <c r="J79" s="56">
        <v>21.649999618530273</v>
      </c>
      <c r="K79" s="56">
        <v>22.274999618530273</v>
      </c>
      <c r="L79" s="23"/>
      <c r="M79" s="24">
        <v>38596</v>
      </c>
      <c r="N79" s="57">
        <v>27.98750114440918</v>
      </c>
      <c r="O79" s="57">
        <v>31.025001144409178</v>
      </c>
      <c r="P79" s="57">
        <v>33.192501144409178</v>
      </c>
      <c r="Q79" s="22"/>
      <c r="R79" s="57">
        <v>24.300001525878905</v>
      </c>
      <c r="S79" s="57">
        <v>28.300001525878905</v>
      </c>
      <c r="T79" s="57">
        <v>29.383751525878903</v>
      </c>
      <c r="U79" s="22"/>
      <c r="V79" s="57">
        <v>0</v>
      </c>
      <c r="W79" s="57">
        <v>0</v>
      </c>
      <c r="X79" s="57">
        <v>0</v>
      </c>
      <c r="Y79" s="22"/>
      <c r="Z79" s="57">
        <v>0.146804034375</v>
      </c>
      <c r="AA79" s="57">
        <v>0.29360806875000001</v>
      </c>
      <c r="AB79" s="57">
        <v>0.44041210312500001</v>
      </c>
      <c r="AC79" s="22"/>
      <c r="AD79" s="57">
        <v>3.6156831871999993E-2</v>
      </c>
      <c r="AE79" s="57">
        <v>7.2313663743999987E-2</v>
      </c>
      <c r="AF79" s="57">
        <v>0.10847049561599997</v>
      </c>
      <c r="AG79" s="22"/>
      <c r="AH79" s="57">
        <v>-0.35</v>
      </c>
      <c r="AI79" s="57">
        <v>1.5</v>
      </c>
      <c r="AJ79" s="57">
        <v>0.3</v>
      </c>
      <c r="AK79" s="22"/>
      <c r="AL79" s="57">
        <v>-0.15</v>
      </c>
      <c r="AM79" s="57">
        <v>0.4</v>
      </c>
      <c r="AN79" s="57">
        <v>0.2</v>
      </c>
      <c r="AO79" s="22"/>
      <c r="AP79" s="23">
        <v>21</v>
      </c>
      <c r="AQ79" s="58">
        <v>0.4</v>
      </c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4">
        <v>38596</v>
      </c>
      <c r="BI79" s="60">
        <v>0.9</v>
      </c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"/>
      <c r="CI79" s="396"/>
      <c r="CJ79" s="396"/>
      <c r="CK79" s="396"/>
      <c r="CM79" s="399"/>
      <c r="CN79" s="399"/>
      <c r="CO79" s="61"/>
      <c r="CP79"/>
      <c r="CQ79"/>
      <c r="CR79"/>
      <c r="CS79"/>
      <c r="CT79"/>
      <c r="CY79" s="282">
        <f t="shared" si="1"/>
        <v>38596</v>
      </c>
      <c r="CZ79" s="281">
        <f t="shared" si="2"/>
        <v>1.1499999999999999</v>
      </c>
      <c r="DA79" s="281">
        <f t="shared" si="3"/>
        <v>1.5</v>
      </c>
      <c r="DB79" s="281">
        <f t="shared" si="4"/>
        <v>1.8</v>
      </c>
      <c r="DD79" s="281">
        <f t="shared" si="5"/>
        <v>0.146804034375</v>
      </c>
      <c r="DE79" s="281">
        <f t="shared" si="6"/>
        <v>0.29360806875000001</v>
      </c>
      <c r="DF79" s="281">
        <f t="shared" si="7"/>
        <v>0.44041210312500001</v>
      </c>
      <c r="DH79" s="282">
        <f t="shared" si="8"/>
        <v>38596</v>
      </c>
      <c r="DI79" s="17">
        <f t="shared" si="9"/>
        <v>0.9</v>
      </c>
    </row>
    <row r="80" spans="1:113" ht="13.8">
      <c r="A80" s="27">
        <f t="shared" ca="1" si="10"/>
        <v>38961</v>
      </c>
      <c r="B80" s="17">
        <f>'Gas Curves'!C84</f>
        <v>5.7386645415047011E-2</v>
      </c>
      <c r="C80" s="17"/>
      <c r="D80" s="55">
        <v>37742</v>
      </c>
      <c r="E80" s="56">
        <v>43.9</v>
      </c>
      <c r="F80" s="56">
        <v>46</v>
      </c>
      <c r="G80" s="56">
        <v>48.38</v>
      </c>
      <c r="H80" s="40"/>
      <c r="I80" s="56">
        <v>21.599999618530273</v>
      </c>
      <c r="J80" s="56">
        <v>22.649999618530273</v>
      </c>
      <c r="K80" s="56">
        <v>23.839999618530275</v>
      </c>
      <c r="L80" s="23"/>
      <c r="M80" s="24">
        <v>38626</v>
      </c>
      <c r="N80" s="57">
        <v>25.450001144409178</v>
      </c>
      <c r="O80" s="57">
        <v>27.025001144409178</v>
      </c>
      <c r="P80" s="57">
        <v>28.390001144409176</v>
      </c>
      <c r="Q80" s="22"/>
      <c r="R80" s="57">
        <v>19.800001525878905</v>
      </c>
      <c r="S80" s="57">
        <v>23.800001525878905</v>
      </c>
      <c r="T80" s="57">
        <v>24.482501525878906</v>
      </c>
      <c r="U80" s="22"/>
      <c r="V80" s="57">
        <v>0</v>
      </c>
      <c r="W80" s="57">
        <v>0</v>
      </c>
      <c r="X80" s="57">
        <v>0</v>
      </c>
      <c r="Y80" s="22"/>
      <c r="Z80" s="57">
        <v>0.12697187890625</v>
      </c>
      <c r="AA80" s="57">
        <v>0.2539437578125</v>
      </c>
      <c r="AB80" s="57">
        <v>0.38091563671875001</v>
      </c>
      <c r="AC80" s="22"/>
      <c r="AD80" s="57">
        <v>2.7117623903999997E-2</v>
      </c>
      <c r="AE80" s="57">
        <v>5.4235247807999994E-2</v>
      </c>
      <c r="AF80" s="57">
        <v>8.1352871711999994E-2</v>
      </c>
      <c r="AG80" s="22"/>
      <c r="AH80" s="57">
        <v>-0.25</v>
      </c>
      <c r="AI80" s="57">
        <v>1.1000000000000001</v>
      </c>
      <c r="AJ80" s="57">
        <v>0.3</v>
      </c>
      <c r="AK80" s="22"/>
      <c r="AL80" s="57">
        <v>-0.15</v>
      </c>
      <c r="AM80" s="57">
        <v>0.35</v>
      </c>
      <c r="AN80" s="57">
        <v>0.2</v>
      </c>
      <c r="AO80" s="22"/>
      <c r="AP80" s="23">
        <v>21</v>
      </c>
      <c r="AQ80" s="58">
        <v>0.4</v>
      </c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4">
        <v>38626</v>
      </c>
      <c r="BI80" s="60">
        <v>0.9</v>
      </c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"/>
      <c r="CI80" s="396"/>
      <c r="CJ80" s="396"/>
      <c r="CK80" s="396"/>
      <c r="CM80" s="399"/>
      <c r="CN80" s="399"/>
      <c r="CO80" s="61"/>
      <c r="CP80"/>
      <c r="CQ80"/>
      <c r="CR80"/>
      <c r="CS80"/>
      <c r="CT80"/>
      <c r="CY80" s="282">
        <f t="shared" si="1"/>
        <v>38626</v>
      </c>
      <c r="CZ80" s="281">
        <f t="shared" si="2"/>
        <v>0.85000000000000009</v>
      </c>
      <c r="DA80" s="281">
        <f t="shared" si="3"/>
        <v>1.1000000000000001</v>
      </c>
      <c r="DB80" s="281">
        <f t="shared" si="4"/>
        <v>1.4000000000000001</v>
      </c>
      <c r="DD80" s="281">
        <f t="shared" si="5"/>
        <v>0.12697187890625</v>
      </c>
      <c r="DE80" s="281">
        <f t="shared" si="6"/>
        <v>0.2539437578125</v>
      </c>
      <c r="DF80" s="281">
        <f t="shared" si="7"/>
        <v>0.38091563671875001</v>
      </c>
      <c r="DH80" s="282">
        <f t="shared" si="8"/>
        <v>38626</v>
      </c>
      <c r="DI80" s="17">
        <f t="shared" si="9"/>
        <v>0.9</v>
      </c>
    </row>
    <row r="81" spans="1:113" ht="13.8">
      <c r="A81" s="27">
        <f t="shared" ca="1" si="10"/>
        <v>38991</v>
      </c>
      <c r="B81" s="17">
        <f>'Gas Curves'!C85</f>
        <v>5.7441881510215016E-2</v>
      </c>
      <c r="C81" s="17"/>
      <c r="D81" s="55">
        <v>37773</v>
      </c>
      <c r="E81" s="56">
        <v>51.95</v>
      </c>
      <c r="F81" s="56">
        <v>56</v>
      </c>
      <c r="G81" s="56">
        <v>59.63</v>
      </c>
      <c r="H81" s="40"/>
      <c r="I81" s="56">
        <v>20.999999618530275</v>
      </c>
      <c r="J81" s="56">
        <v>23.024999618530273</v>
      </c>
      <c r="K81" s="56">
        <v>24.839999618530275</v>
      </c>
      <c r="L81" s="23"/>
      <c r="M81" s="24">
        <v>38657</v>
      </c>
      <c r="N81" s="57">
        <v>27.800001525878905</v>
      </c>
      <c r="O81" s="57">
        <v>29.375001525878904</v>
      </c>
      <c r="P81" s="57">
        <v>30.740001525878903</v>
      </c>
      <c r="Q81" s="22"/>
      <c r="R81" s="57">
        <v>22.000000381469725</v>
      </c>
      <c r="S81" s="57">
        <v>26.000000381469725</v>
      </c>
      <c r="T81" s="57">
        <v>26.682500381469726</v>
      </c>
      <c r="U81" s="22"/>
      <c r="V81" s="57">
        <v>0</v>
      </c>
      <c r="W81" s="57">
        <v>0</v>
      </c>
      <c r="X81" s="57">
        <v>0</v>
      </c>
      <c r="Y81" s="22"/>
      <c r="Z81" s="57">
        <v>0.12697187890625</v>
      </c>
      <c r="AA81" s="57">
        <v>0.2539437578125</v>
      </c>
      <c r="AB81" s="57">
        <v>0.38091563671875001</v>
      </c>
      <c r="AC81" s="22"/>
      <c r="AD81" s="57">
        <v>2.7117623903999997E-2</v>
      </c>
      <c r="AE81" s="57">
        <v>5.4235247807999994E-2</v>
      </c>
      <c r="AF81" s="57">
        <v>8.1352871711999994E-2</v>
      </c>
      <c r="AG81" s="22"/>
      <c r="AH81" s="57">
        <v>-0.25</v>
      </c>
      <c r="AI81" s="57">
        <v>1.25</v>
      </c>
      <c r="AJ81" s="57">
        <v>0.3</v>
      </c>
      <c r="AK81" s="22"/>
      <c r="AL81" s="57">
        <v>-0.15</v>
      </c>
      <c r="AM81" s="57">
        <v>0.3</v>
      </c>
      <c r="AN81" s="57">
        <v>0.2</v>
      </c>
      <c r="AO81" s="22"/>
      <c r="AP81" s="23">
        <v>22</v>
      </c>
      <c r="AQ81" s="58">
        <v>0.4</v>
      </c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4">
        <v>38657</v>
      </c>
      <c r="BI81" s="60">
        <v>0.9</v>
      </c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"/>
      <c r="CI81" s="3"/>
      <c r="CJ81" s="3"/>
      <c r="CK81" s="3"/>
      <c r="CM81" s="399"/>
      <c r="CN81" s="399"/>
      <c r="CO81" s="61"/>
      <c r="CP81"/>
      <c r="CQ81"/>
      <c r="CR81"/>
      <c r="CS81"/>
      <c r="CT81"/>
      <c r="CY81" s="282">
        <f t="shared" si="1"/>
        <v>38657</v>
      </c>
      <c r="CZ81" s="281">
        <f t="shared" si="2"/>
        <v>1</v>
      </c>
      <c r="DA81" s="281">
        <f t="shared" si="3"/>
        <v>1.25</v>
      </c>
      <c r="DB81" s="281">
        <f t="shared" si="4"/>
        <v>1.55</v>
      </c>
      <c r="DD81" s="281">
        <f t="shared" si="5"/>
        <v>0.12697187890625</v>
      </c>
      <c r="DE81" s="281">
        <f t="shared" si="6"/>
        <v>0.2539437578125</v>
      </c>
      <c r="DF81" s="281">
        <f t="shared" si="7"/>
        <v>0.38091563671875001</v>
      </c>
      <c r="DH81" s="282">
        <f t="shared" si="8"/>
        <v>38657</v>
      </c>
      <c r="DI81" s="17">
        <f t="shared" si="9"/>
        <v>0.9</v>
      </c>
    </row>
    <row r="82" spans="1:113" ht="13.8">
      <c r="A82" s="27">
        <f t="shared" ca="1" si="10"/>
        <v>39022</v>
      </c>
      <c r="B82" s="17">
        <f>'Gas Curves'!C86</f>
        <v>5.7498958809623003E-2</v>
      </c>
      <c r="C82" s="17"/>
      <c r="D82" s="55">
        <v>37803</v>
      </c>
      <c r="E82" s="56">
        <v>65.349999999999994</v>
      </c>
      <c r="F82" s="56">
        <v>75.25</v>
      </c>
      <c r="G82" s="56">
        <v>83</v>
      </c>
      <c r="H82" s="40"/>
      <c r="I82" s="56">
        <v>21.8</v>
      </c>
      <c r="J82" s="56">
        <v>26.75</v>
      </c>
      <c r="K82" s="56">
        <v>30.625</v>
      </c>
      <c r="L82" s="23"/>
      <c r="M82" s="24">
        <v>38687</v>
      </c>
      <c r="N82" s="57">
        <v>28.4</v>
      </c>
      <c r="O82" s="57">
        <v>29.975000000000001</v>
      </c>
      <c r="P82" s="57">
        <v>31.34</v>
      </c>
      <c r="Q82" s="22"/>
      <c r="R82" s="57">
        <v>22.500000381469725</v>
      </c>
      <c r="S82" s="57">
        <v>26.500000381469725</v>
      </c>
      <c r="T82" s="57">
        <v>27.182500381469726</v>
      </c>
      <c r="U82" s="22"/>
      <c r="V82" s="57">
        <v>0</v>
      </c>
      <c r="W82" s="57">
        <v>0</v>
      </c>
      <c r="X82" s="57">
        <v>0</v>
      </c>
      <c r="Y82" s="22"/>
      <c r="Z82" s="57">
        <v>0.12443726406249998</v>
      </c>
      <c r="AA82" s="57">
        <v>0.24887452812499997</v>
      </c>
      <c r="AB82" s="57">
        <v>0.37331179218749994</v>
      </c>
      <c r="AC82" s="22"/>
      <c r="AD82" s="57">
        <v>2.7117623903999997E-2</v>
      </c>
      <c r="AE82" s="57">
        <v>5.4235247807999994E-2</v>
      </c>
      <c r="AF82" s="57">
        <v>8.1352871711999994E-2</v>
      </c>
      <c r="AG82" s="22"/>
      <c r="AH82" s="57">
        <v>-0.25</v>
      </c>
      <c r="AI82" s="57">
        <v>1.25</v>
      </c>
      <c r="AJ82" s="57">
        <v>0.35</v>
      </c>
      <c r="AK82" s="22"/>
      <c r="AL82" s="57">
        <v>-0.15</v>
      </c>
      <c r="AM82" s="57">
        <v>0.3</v>
      </c>
      <c r="AN82" s="57">
        <v>0.2</v>
      </c>
      <c r="AO82" s="22"/>
      <c r="AP82" s="23">
        <v>22</v>
      </c>
      <c r="AQ82" s="58">
        <v>0.4</v>
      </c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4">
        <v>38687</v>
      </c>
      <c r="BI82" s="60">
        <v>0.9</v>
      </c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"/>
      <c r="CI82" s="3"/>
      <c r="CJ82" s="3"/>
      <c r="CK82" s="3"/>
      <c r="CM82" s="399"/>
      <c r="CN82" s="399"/>
      <c r="CO82" s="61"/>
      <c r="CP82"/>
      <c r="CQ82"/>
      <c r="CR82"/>
      <c r="CS82"/>
      <c r="CT82"/>
      <c r="CY82" s="282">
        <f t="shared" si="1"/>
        <v>38687</v>
      </c>
      <c r="CZ82" s="281">
        <f t="shared" si="2"/>
        <v>1</v>
      </c>
      <c r="DA82" s="281">
        <f t="shared" si="3"/>
        <v>1.25</v>
      </c>
      <c r="DB82" s="281">
        <f t="shared" si="4"/>
        <v>1.6</v>
      </c>
      <c r="DD82" s="281">
        <f t="shared" si="5"/>
        <v>0.12443726406249998</v>
      </c>
      <c r="DE82" s="281">
        <f t="shared" si="6"/>
        <v>0.24887452812499997</v>
      </c>
      <c r="DF82" s="281">
        <f t="shared" si="7"/>
        <v>0.37331179218749994</v>
      </c>
      <c r="DH82" s="282">
        <f t="shared" si="8"/>
        <v>38687</v>
      </c>
      <c r="DI82" s="17">
        <f t="shared" si="9"/>
        <v>0.9</v>
      </c>
    </row>
    <row r="83" spans="1:113" ht="13.8">
      <c r="A83" s="27">
        <f t="shared" ca="1" si="10"/>
        <v>39052</v>
      </c>
      <c r="B83" s="17">
        <f>'Gas Curves'!C87</f>
        <v>5.7554194906854018E-2</v>
      </c>
      <c r="C83" s="17"/>
      <c r="D83" s="55">
        <v>37834</v>
      </c>
      <c r="E83" s="56">
        <v>65.349999999999994</v>
      </c>
      <c r="F83" s="56">
        <v>75.25</v>
      </c>
      <c r="G83" s="56">
        <v>83</v>
      </c>
      <c r="H83" s="40"/>
      <c r="I83" s="56">
        <v>33.950001525878903</v>
      </c>
      <c r="J83" s="56">
        <v>38.900001525878906</v>
      </c>
      <c r="K83" s="56">
        <v>42.775001525878906</v>
      </c>
      <c r="L83" s="23"/>
      <c r="M83" s="24">
        <v>38718</v>
      </c>
      <c r="N83" s="57">
        <v>30.729496002197269</v>
      </c>
      <c r="O83" s="57">
        <v>32.304496002197268</v>
      </c>
      <c r="P83" s="57">
        <v>33.564496002197266</v>
      </c>
      <c r="Q83" s="22"/>
      <c r="R83" s="57">
        <v>23.403997421264648</v>
      </c>
      <c r="S83" s="57">
        <v>28.403997421264648</v>
      </c>
      <c r="T83" s="57">
        <v>29.033997421264647</v>
      </c>
      <c r="U83" s="22"/>
      <c r="V83" s="57">
        <v>0</v>
      </c>
      <c r="W83" s="57">
        <v>0</v>
      </c>
      <c r="X83" s="57">
        <v>0</v>
      </c>
      <c r="Y83" s="22"/>
      <c r="Z83" s="57">
        <v>0.18363043406249999</v>
      </c>
      <c r="AA83" s="57">
        <v>0.36726086812499997</v>
      </c>
      <c r="AB83" s="57">
        <v>0.55089130218749993</v>
      </c>
      <c r="AC83" s="22"/>
      <c r="AD83" s="57">
        <v>3.1004483330240005E-2</v>
      </c>
      <c r="AE83" s="57">
        <v>6.200896666048001E-2</v>
      </c>
      <c r="AF83" s="57">
        <v>9.3013449990720018E-2</v>
      </c>
      <c r="AG83" s="22"/>
      <c r="AH83" s="57">
        <v>-0.75</v>
      </c>
      <c r="AI83" s="57">
        <v>2</v>
      </c>
      <c r="AJ83" s="57">
        <v>0.75</v>
      </c>
      <c r="AK83" s="22"/>
      <c r="AL83" s="57">
        <v>-0.15</v>
      </c>
      <c r="AM83" s="57">
        <v>0.5</v>
      </c>
      <c r="AN83" s="57">
        <v>0.2</v>
      </c>
      <c r="AO83" s="22"/>
      <c r="AP83" s="23">
        <v>22</v>
      </c>
      <c r="AQ83" s="58">
        <v>0.4</v>
      </c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4">
        <v>38718</v>
      </c>
      <c r="BI83" s="60">
        <v>0.9</v>
      </c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"/>
      <c r="CI83" s="3"/>
      <c r="CJ83" s="3"/>
      <c r="CK83" s="3"/>
      <c r="CM83" s="399"/>
      <c r="CN83" s="399"/>
      <c r="CO83" s="61"/>
      <c r="CP83"/>
      <c r="CQ83"/>
      <c r="CR83"/>
      <c r="CS83"/>
      <c r="CT83"/>
      <c r="CY83" s="282">
        <f t="shared" si="1"/>
        <v>38718</v>
      </c>
      <c r="CZ83" s="281">
        <f t="shared" si="2"/>
        <v>1.25</v>
      </c>
      <c r="DA83" s="281">
        <f t="shared" si="3"/>
        <v>2</v>
      </c>
      <c r="DB83" s="281">
        <f t="shared" si="4"/>
        <v>2.75</v>
      </c>
      <c r="DD83" s="281">
        <f t="shared" si="5"/>
        <v>0.18363043406249999</v>
      </c>
      <c r="DE83" s="281">
        <f t="shared" si="6"/>
        <v>0.36726086812499997</v>
      </c>
      <c r="DF83" s="281">
        <f t="shared" si="7"/>
        <v>0.55089130218749993</v>
      </c>
      <c r="DH83" s="282">
        <f t="shared" si="8"/>
        <v>38718</v>
      </c>
      <c r="DI83" s="17">
        <f t="shared" si="9"/>
        <v>0.9</v>
      </c>
    </row>
    <row r="84" spans="1:113" ht="13.8">
      <c r="A84" s="27">
        <f t="shared" ca="1" si="10"/>
        <v>39083</v>
      </c>
      <c r="B84" s="17">
        <f>'Gas Curves'!C88</f>
        <v>5.7611272208394015E-2</v>
      </c>
      <c r="C84" s="17"/>
      <c r="D84" s="55">
        <v>37865</v>
      </c>
      <c r="E84" s="56">
        <v>39.450000000000003</v>
      </c>
      <c r="F84" s="56">
        <v>43.5</v>
      </c>
      <c r="G84" s="56">
        <v>45.88</v>
      </c>
      <c r="H84" s="40"/>
      <c r="I84" s="56">
        <v>25.374999618530275</v>
      </c>
      <c r="J84" s="56">
        <v>27.399999618530273</v>
      </c>
      <c r="K84" s="56">
        <v>28.589999618530275</v>
      </c>
      <c r="L84" s="23"/>
      <c r="M84" s="24">
        <v>38749</v>
      </c>
      <c r="N84" s="57">
        <v>30.391996765136717</v>
      </c>
      <c r="O84" s="57">
        <v>31.629496765136718</v>
      </c>
      <c r="P84" s="57">
        <v>32.88949676513672</v>
      </c>
      <c r="Q84" s="22"/>
      <c r="R84" s="57">
        <v>22.803997039794922</v>
      </c>
      <c r="S84" s="57">
        <v>27.803997039794922</v>
      </c>
      <c r="T84" s="57">
        <v>28.433997039794921</v>
      </c>
      <c r="U84" s="22"/>
      <c r="V84" s="57">
        <v>0</v>
      </c>
      <c r="W84" s="57">
        <v>0</v>
      </c>
      <c r="X84" s="57">
        <v>0</v>
      </c>
      <c r="Y84" s="22"/>
      <c r="Z84" s="57">
        <v>0.17739946124999997</v>
      </c>
      <c r="AA84" s="57">
        <v>0.35479892249999995</v>
      </c>
      <c r="AB84" s="57">
        <v>0.53219838374999995</v>
      </c>
      <c r="AC84" s="22"/>
      <c r="AD84" s="57">
        <v>3.1004483330240005E-2</v>
      </c>
      <c r="AE84" s="57">
        <v>6.200896666048001E-2</v>
      </c>
      <c r="AF84" s="57">
        <v>9.3013449990720018E-2</v>
      </c>
      <c r="AG84" s="22"/>
      <c r="AH84" s="57">
        <v>-0.75</v>
      </c>
      <c r="AI84" s="57">
        <v>2</v>
      </c>
      <c r="AJ84" s="57">
        <v>0.75</v>
      </c>
      <c r="AK84" s="22"/>
      <c r="AL84" s="57">
        <v>-0.15</v>
      </c>
      <c r="AM84" s="57">
        <v>0.5</v>
      </c>
      <c r="AN84" s="57">
        <v>0.2</v>
      </c>
      <c r="AO84" s="22"/>
      <c r="AP84" s="23">
        <v>23</v>
      </c>
      <c r="AQ84" s="58">
        <v>0.4</v>
      </c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4">
        <v>38749</v>
      </c>
      <c r="BI84" s="60">
        <v>0.9</v>
      </c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"/>
      <c r="CI84" s="3"/>
      <c r="CJ84" s="3"/>
      <c r="CK84" s="3"/>
      <c r="CM84" s="399"/>
      <c r="CN84" s="399"/>
      <c r="CO84" s="61"/>
      <c r="CP84"/>
      <c r="CQ84"/>
      <c r="CR84"/>
      <c r="CS84"/>
      <c r="CT84"/>
      <c r="CY84" s="282">
        <f t="shared" ref="CY84:CY147" si="11">M84</f>
        <v>38749</v>
      </c>
      <c r="CZ84" s="281">
        <f t="shared" ref="CZ84:CZ147" si="12">AI84+AH84</f>
        <v>1.25</v>
      </c>
      <c r="DA84" s="281">
        <f t="shared" ref="DA84:DA147" si="13">AI84</f>
        <v>2</v>
      </c>
      <c r="DB84" s="281">
        <f t="shared" ref="DB84:DB147" si="14">AI84+AJ84</f>
        <v>2.75</v>
      </c>
      <c r="DD84" s="281">
        <f t="shared" ref="DD84:DD147" si="15">Z84</f>
        <v>0.17739946124999997</v>
      </c>
      <c r="DE84" s="281">
        <f t="shared" ref="DE84:DE147" si="16">AA84</f>
        <v>0.35479892249999995</v>
      </c>
      <c r="DF84" s="281">
        <f t="shared" ref="DF84:DF147" si="17">AB84</f>
        <v>0.53219838374999995</v>
      </c>
      <c r="DH84" s="282">
        <f t="shared" ref="DH84:DH147" si="18">BH84</f>
        <v>38749</v>
      </c>
      <c r="DI84" s="17">
        <f t="shared" ref="DI84:DI147" si="19">BI84</f>
        <v>0.9</v>
      </c>
    </row>
    <row r="85" spans="1:113" ht="13.8">
      <c r="A85" s="27">
        <f t="shared" ca="1" si="10"/>
        <v>39114</v>
      </c>
      <c r="B85" s="17">
        <f>'Gas Curves'!C89</f>
        <v>5.7668349511017014E-2</v>
      </c>
      <c r="C85" s="17"/>
      <c r="D85" s="55">
        <v>37895</v>
      </c>
      <c r="E85" s="56">
        <v>41.4</v>
      </c>
      <c r="F85" s="56">
        <v>43.5</v>
      </c>
      <c r="G85" s="56">
        <v>45</v>
      </c>
      <c r="H85" s="40"/>
      <c r="I85" s="56">
        <v>24.349999618530273</v>
      </c>
      <c r="J85" s="56">
        <v>25.399999618530273</v>
      </c>
      <c r="K85" s="56">
        <v>26.149999618530273</v>
      </c>
      <c r="L85" s="23"/>
      <c r="M85" s="24">
        <v>38777</v>
      </c>
      <c r="N85" s="57">
        <v>24.537496948242186</v>
      </c>
      <c r="O85" s="57">
        <v>25.774996948242187</v>
      </c>
      <c r="P85" s="57">
        <v>27.034996948242188</v>
      </c>
      <c r="Q85" s="22"/>
      <c r="R85" s="57">
        <v>17.599998474121094</v>
      </c>
      <c r="S85" s="57">
        <v>22.599998474121094</v>
      </c>
      <c r="T85" s="57">
        <v>23.229998474121093</v>
      </c>
      <c r="U85" s="22"/>
      <c r="V85" s="57">
        <v>0</v>
      </c>
      <c r="W85" s="57">
        <v>0</v>
      </c>
      <c r="X85" s="57">
        <v>0</v>
      </c>
      <c r="Y85" s="22"/>
      <c r="Z85" s="57">
        <v>0.14063468539062496</v>
      </c>
      <c r="AA85" s="57">
        <v>0.28126937078124992</v>
      </c>
      <c r="AB85" s="57">
        <v>0.42190405617187487</v>
      </c>
      <c r="AC85" s="22"/>
      <c r="AD85" s="57">
        <v>2.7117623903999997E-2</v>
      </c>
      <c r="AE85" s="57">
        <v>5.4235247807999994E-2</v>
      </c>
      <c r="AF85" s="57">
        <v>8.1352871711999994E-2</v>
      </c>
      <c r="AG85" s="22"/>
      <c r="AH85" s="57">
        <v>-0.25</v>
      </c>
      <c r="AI85" s="57">
        <v>1.3</v>
      </c>
      <c r="AJ85" s="57">
        <v>0.3</v>
      </c>
      <c r="AK85" s="22"/>
      <c r="AL85" s="57">
        <v>-0.15</v>
      </c>
      <c r="AM85" s="57">
        <v>0.35</v>
      </c>
      <c r="AN85" s="57">
        <v>0.2</v>
      </c>
      <c r="AO85" s="22"/>
      <c r="AP85" s="23">
        <v>23</v>
      </c>
      <c r="AQ85" s="58">
        <v>0.4</v>
      </c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4">
        <v>38777</v>
      </c>
      <c r="BI85" s="60">
        <v>0.9</v>
      </c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"/>
      <c r="CI85" s="3"/>
      <c r="CJ85" s="3"/>
      <c r="CK85" s="3"/>
      <c r="CM85" s="399"/>
      <c r="CN85" s="399"/>
      <c r="CO85" s="61"/>
      <c r="CP85"/>
      <c r="CQ85"/>
      <c r="CR85"/>
      <c r="CS85"/>
      <c r="CT85"/>
      <c r="CY85" s="282">
        <f t="shared" si="11"/>
        <v>38777</v>
      </c>
      <c r="CZ85" s="281">
        <f t="shared" si="12"/>
        <v>1.05</v>
      </c>
      <c r="DA85" s="281">
        <f t="shared" si="13"/>
        <v>1.3</v>
      </c>
      <c r="DB85" s="281">
        <f t="shared" si="14"/>
        <v>1.6</v>
      </c>
      <c r="DD85" s="281">
        <f t="shared" si="15"/>
        <v>0.14063468539062496</v>
      </c>
      <c r="DE85" s="281">
        <f t="shared" si="16"/>
        <v>0.28126937078124992</v>
      </c>
      <c r="DF85" s="281">
        <f t="shared" si="17"/>
        <v>0.42190405617187487</v>
      </c>
      <c r="DH85" s="282">
        <f t="shared" si="18"/>
        <v>38777</v>
      </c>
      <c r="DI85" s="17">
        <f t="shared" si="19"/>
        <v>0.9</v>
      </c>
    </row>
    <row r="86" spans="1:113" ht="13.8">
      <c r="A86" s="27">
        <f t="shared" ca="1" si="10"/>
        <v>39142</v>
      </c>
      <c r="B86" s="17">
        <f>'Gas Curves'!C90</f>
        <v>5.7719903204641002E-2</v>
      </c>
      <c r="C86" s="17"/>
      <c r="D86" s="55">
        <v>37926</v>
      </c>
      <c r="E86" s="56">
        <v>43.9</v>
      </c>
      <c r="F86" s="56">
        <v>46</v>
      </c>
      <c r="G86" s="56">
        <v>47.5</v>
      </c>
      <c r="H86" s="40"/>
      <c r="I86" s="56">
        <v>25.099999618530273</v>
      </c>
      <c r="J86" s="56">
        <v>26.149999618530273</v>
      </c>
      <c r="K86" s="56">
        <v>26.899999618530273</v>
      </c>
      <c r="L86" s="23"/>
      <c r="M86" s="24">
        <v>38808</v>
      </c>
      <c r="N86" s="57">
        <v>23.524999618530273</v>
      </c>
      <c r="O86" s="57">
        <v>25.099999618530273</v>
      </c>
      <c r="P86" s="57">
        <v>26.359999618530274</v>
      </c>
      <c r="Q86" s="22"/>
      <c r="R86" s="57">
        <v>17</v>
      </c>
      <c r="S86" s="57">
        <v>22</v>
      </c>
      <c r="T86" s="57">
        <v>22.63</v>
      </c>
      <c r="U86" s="22"/>
      <c r="V86" s="57">
        <v>0</v>
      </c>
      <c r="W86" s="57">
        <v>0</v>
      </c>
      <c r="X86" s="57">
        <v>0</v>
      </c>
      <c r="Y86" s="22"/>
      <c r="Z86" s="57">
        <v>0.14044124015625001</v>
      </c>
      <c r="AA86" s="57">
        <v>0.28088248031250002</v>
      </c>
      <c r="AB86" s="57">
        <v>0.42132372046875</v>
      </c>
      <c r="AC86" s="22"/>
      <c r="AD86" s="57">
        <v>2.7117623903999997E-2</v>
      </c>
      <c r="AE86" s="57">
        <v>5.4235247807999994E-2</v>
      </c>
      <c r="AF86" s="57">
        <v>8.1352871711999994E-2</v>
      </c>
      <c r="AG86" s="22"/>
      <c r="AH86" s="57">
        <v>-0.25</v>
      </c>
      <c r="AI86" s="57">
        <v>1.1000000000000001</v>
      </c>
      <c r="AJ86" s="57">
        <v>0.3</v>
      </c>
      <c r="AK86" s="22"/>
      <c r="AL86" s="57">
        <v>-0.15</v>
      </c>
      <c r="AM86" s="57">
        <v>0.35</v>
      </c>
      <c r="AN86" s="57">
        <v>0.2</v>
      </c>
      <c r="AO86" s="22"/>
      <c r="AP86" s="23">
        <v>23</v>
      </c>
      <c r="AQ86" s="58">
        <v>0.4</v>
      </c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4">
        <v>38808</v>
      </c>
      <c r="BI86" s="60">
        <v>0.9</v>
      </c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"/>
      <c r="CI86" s="3"/>
      <c r="CJ86" s="3"/>
      <c r="CK86" s="3"/>
      <c r="CM86" s="399"/>
      <c r="CN86" s="399"/>
      <c r="CO86" s="61"/>
      <c r="CP86"/>
      <c r="CQ86"/>
      <c r="CR86"/>
      <c r="CS86"/>
      <c r="CT86"/>
      <c r="CY86" s="282">
        <f t="shared" si="11"/>
        <v>38808</v>
      </c>
      <c r="CZ86" s="281">
        <f t="shared" si="12"/>
        <v>0.85000000000000009</v>
      </c>
      <c r="DA86" s="281">
        <f t="shared" si="13"/>
        <v>1.1000000000000001</v>
      </c>
      <c r="DB86" s="281">
        <f t="shared" si="14"/>
        <v>1.4000000000000001</v>
      </c>
      <c r="DD86" s="281">
        <f t="shared" si="15"/>
        <v>0.14044124015625001</v>
      </c>
      <c r="DE86" s="281">
        <f t="shared" si="16"/>
        <v>0.28088248031250002</v>
      </c>
      <c r="DF86" s="281">
        <f t="shared" si="17"/>
        <v>0.42132372046875</v>
      </c>
      <c r="DH86" s="282">
        <f t="shared" si="18"/>
        <v>38808</v>
      </c>
      <c r="DI86" s="17">
        <f t="shared" si="19"/>
        <v>0.9</v>
      </c>
    </row>
    <row r="87" spans="1:113" ht="13.8">
      <c r="A87" s="27">
        <f t="shared" ca="1" si="10"/>
        <v>39173</v>
      </c>
      <c r="B87" s="17">
        <f>'Gas Curves'!C91</f>
        <v>5.7776980509326004E-2</v>
      </c>
      <c r="C87" s="17"/>
      <c r="D87" s="55">
        <v>37956</v>
      </c>
      <c r="E87" s="56">
        <v>43.9</v>
      </c>
      <c r="F87" s="56">
        <v>46</v>
      </c>
      <c r="G87" s="56">
        <v>47.5</v>
      </c>
      <c r="H87" s="40"/>
      <c r="I87" s="56">
        <v>24.999999237060546</v>
      </c>
      <c r="J87" s="56">
        <v>26.049999237060547</v>
      </c>
      <c r="K87" s="56">
        <v>26.799999237060547</v>
      </c>
      <c r="L87" s="23"/>
      <c r="M87" s="24">
        <v>38838</v>
      </c>
      <c r="N87" s="57">
        <v>27.125</v>
      </c>
      <c r="O87" s="57">
        <v>28.7</v>
      </c>
      <c r="P87" s="57">
        <v>31.085000000000001</v>
      </c>
      <c r="Q87" s="22"/>
      <c r="R87" s="57">
        <v>20.19999885559082</v>
      </c>
      <c r="S87" s="57">
        <v>25.19999885559082</v>
      </c>
      <c r="T87" s="57">
        <v>26.392498855590819</v>
      </c>
      <c r="U87" s="22"/>
      <c r="V87" s="57">
        <v>0</v>
      </c>
      <c r="W87" s="57">
        <v>0</v>
      </c>
      <c r="X87" s="57">
        <v>0</v>
      </c>
      <c r="Y87" s="22"/>
      <c r="Z87" s="57">
        <v>0.14774736121874998</v>
      </c>
      <c r="AA87" s="57">
        <v>0.29549472243749997</v>
      </c>
      <c r="AB87" s="57">
        <v>0.44324208365624995</v>
      </c>
      <c r="AC87" s="22"/>
      <c r="AD87" s="57">
        <v>3.1004483330240005E-2</v>
      </c>
      <c r="AE87" s="57">
        <v>6.200896666048001E-2</v>
      </c>
      <c r="AF87" s="57">
        <v>9.3013449990720018E-2</v>
      </c>
      <c r="AG87" s="22"/>
      <c r="AH87" s="57">
        <v>-0.25</v>
      </c>
      <c r="AI87" s="57">
        <v>1.1000000000000001</v>
      </c>
      <c r="AJ87" s="57">
        <v>0.3</v>
      </c>
      <c r="AK87" s="22"/>
      <c r="AL87" s="57">
        <v>-0.15</v>
      </c>
      <c r="AM87" s="57">
        <v>0.5</v>
      </c>
      <c r="AN87" s="57">
        <v>0.2</v>
      </c>
      <c r="AO87" s="22"/>
      <c r="AP87" s="23">
        <v>24</v>
      </c>
      <c r="AQ87" s="58">
        <v>0.4</v>
      </c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4">
        <v>38838</v>
      </c>
      <c r="BI87" s="60">
        <v>0.9</v>
      </c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"/>
      <c r="CI87" s="3"/>
      <c r="CJ87" s="3"/>
      <c r="CK87" s="3"/>
      <c r="CM87" s="399"/>
      <c r="CN87" s="399"/>
      <c r="CO87" s="61"/>
      <c r="CP87"/>
      <c r="CQ87"/>
      <c r="CR87"/>
      <c r="CS87"/>
      <c r="CT87"/>
      <c r="CY87" s="282">
        <f t="shared" si="11"/>
        <v>38838</v>
      </c>
      <c r="CZ87" s="281">
        <f t="shared" si="12"/>
        <v>0.85000000000000009</v>
      </c>
      <c r="DA87" s="281">
        <f t="shared" si="13"/>
        <v>1.1000000000000001</v>
      </c>
      <c r="DB87" s="281">
        <f t="shared" si="14"/>
        <v>1.4000000000000001</v>
      </c>
      <c r="DD87" s="281">
        <f t="shared" si="15"/>
        <v>0.14774736121874998</v>
      </c>
      <c r="DE87" s="281">
        <f t="shared" si="16"/>
        <v>0.29549472243749997</v>
      </c>
      <c r="DF87" s="281">
        <f t="shared" si="17"/>
        <v>0.44324208365624995</v>
      </c>
      <c r="DH87" s="282">
        <f t="shared" si="18"/>
        <v>38838</v>
      </c>
      <c r="DI87" s="17">
        <f t="shared" si="19"/>
        <v>0.9</v>
      </c>
    </row>
    <row r="88" spans="1:113" ht="13.8">
      <c r="A88" s="27">
        <f t="shared" ca="1" si="10"/>
        <v>39203</v>
      </c>
      <c r="B88" s="17">
        <f>'Gas Curves'!C92</f>
        <v>5.7832216611667001E-2</v>
      </c>
      <c r="C88" s="17"/>
      <c r="D88" s="55">
        <v>37987</v>
      </c>
      <c r="E88" s="56">
        <v>59.9</v>
      </c>
      <c r="F88" s="56">
        <v>62</v>
      </c>
      <c r="G88" s="56">
        <v>63.38</v>
      </c>
      <c r="H88" s="40"/>
      <c r="I88" s="56">
        <v>25.300000381469726</v>
      </c>
      <c r="J88" s="56">
        <v>26.350000381469727</v>
      </c>
      <c r="K88" s="56">
        <v>27.040000381469728</v>
      </c>
      <c r="L88" s="23"/>
      <c r="M88" s="24">
        <v>38869</v>
      </c>
      <c r="N88" s="57">
        <v>32.462503051757814</v>
      </c>
      <c r="O88" s="57">
        <v>35.500003051757815</v>
      </c>
      <c r="P88" s="57">
        <v>39.130003051757818</v>
      </c>
      <c r="Q88" s="22"/>
      <c r="R88" s="57">
        <v>25.700002670288086</v>
      </c>
      <c r="S88" s="57">
        <v>30.700002670288086</v>
      </c>
      <c r="T88" s="57">
        <v>32.515002670288084</v>
      </c>
      <c r="U88" s="22"/>
      <c r="V88" s="57">
        <v>0</v>
      </c>
      <c r="W88" s="57">
        <v>0</v>
      </c>
      <c r="X88" s="57">
        <v>0</v>
      </c>
      <c r="Y88" s="22"/>
      <c r="Z88" s="57">
        <v>0.15800606743749998</v>
      </c>
      <c r="AA88" s="57">
        <v>0.31601213487499996</v>
      </c>
      <c r="AB88" s="57">
        <v>0.47401820231249991</v>
      </c>
      <c r="AC88" s="22"/>
      <c r="AD88" s="57">
        <v>3.9862907138879994E-2</v>
      </c>
      <c r="AE88" s="57">
        <v>7.9725814277759988E-2</v>
      </c>
      <c r="AF88" s="57">
        <v>0.11958872141663998</v>
      </c>
      <c r="AG88" s="22"/>
      <c r="AH88" s="57">
        <v>-0.35</v>
      </c>
      <c r="AI88" s="57">
        <v>2</v>
      </c>
      <c r="AJ88" s="57">
        <v>0.3</v>
      </c>
      <c r="AK88" s="22"/>
      <c r="AL88" s="57">
        <v>-0.15</v>
      </c>
      <c r="AM88" s="57">
        <v>0.65</v>
      </c>
      <c r="AN88" s="57">
        <v>0.2</v>
      </c>
      <c r="AO88" s="22"/>
      <c r="AP88" s="23">
        <v>24</v>
      </c>
      <c r="AQ88" s="58">
        <v>0.4</v>
      </c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4">
        <v>38869</v>
      </c>
      <c r="BI88" s="60">
        <v>0.9</v>
      </c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"/>
      <c r="CI88" s="3"/>
      <c r="CJ88" s="3"/>
      <c r="CK88" s="3"/>
      <c r="CM88" s="399"/>
      <c r="CN88" s="399"/>
      <c r="CO88" s="61"/>
      <c r="CP88"/>
      <c r="CQ88"/>
      <c r="CR88"/>
      <c r="CS88"/>
      <c r="CT88"/>
      <c r="CY88" s="282">
        <f t="shared" si="11"/>
        <v>38869</v>
      </c>
      <c r="CZ88" s="281">
        <f t="shared" si="12"/>
        <v>1.65</v>
      </c>
      <c r="DA88" s="281">
        <f t="shared" si="13"/>
        <v>2</v>
      </c>
      <c r="DB88" s="281">
        <f t="shared" si="14"/>
        <v>2.2999999999999998</v>
      </c>
      <c r="DD88" s="281">
        <f t="shared" si="15"/>
        <v>0.15800606743749998</v>
      </c>
      <c r="DE88" s="281">
        <f t="shared" si="16"/>
        <v>0.31601213487499996</v>
      </c>
      <c r="DF88" s="281">
        <f t="shared" si="17"/>
        <v>0.47401820231249991</v>
      </c>
      <c r="DH88" s="282">
        <f t="shared" si="18"/>
        <v>38869</v>
      </c>
      <c r="DI88" s="17">
        <f t="shared" si="19"/>
        <v>0.9</v>
      </c>
    </row>
    <row r="89" spans="1:113" ht="13.8">
      <c r="A89" s="27">
        <f t="shared" ca="1" si="10"/>
        <v>39234</v>
      </c>
      <c r="B89" s="17">
        <f>'Gas Curves'!C93</f>
        <v>5.7889293918484019E-2</v>
      </c>
      <c r="C89" s="17"/>
      <c r="D89" s="55">
        <v>38018</v>
      </c>
      <c r="E89" s="56">
        <v>60.35</v>
      </c>
      <c r="F89" s="56">
        <v>62</v>
      </c>
      <c r="G89" s="56">
        <v>63.38</v>
      </c>
      <c r="H89" s="40"/>
      <c r="I89" s="56">
        <v>22.175000000000001</v>
      </c>
      <c r="J89" s="56">
        <v>23</v>
      </c>
      <c r="K89" s="56">
        <v>23.69</v>
      </c>
      <c r="L89" s="23"/>
      <c r="M89" s="24">
        <v>38899</v>
      </c>
      <c r="N89" s="57">
        <v>34.475001525878909</v>
      </c>
      <c r="O89" s="57">
        <v>41.900001525878906</v>
      </c>
      <c r="P89" s="57">
        <v>49.647501525878909</v>
      </c>
      <c r="Q89" s="22"/>
      <c r="R89" s="57">
        <v>30.900001525878906</v>
      </c>
      <c r="S89" s="57">
        <v>35.900001525878906</v>
      </c>
      <c r="T89" s="57">
        <v>39.773751525878907</v>
      </c>
      <c r="U89" s="22"/>
      <c r="V89" s="57">
        <v>0</v>
      </c>
      <c r="W89" s="57">
        <v>0</v>
      </c>
      <c r="X89" s="57">
        <v>0</v>
      </c>
      <c r="Y89" s="22"/>
      <c r="Z89" s="57">
        <v>0.18819370532812496</v>
      </c>
      <c r="AA89" s="57">
        <v>0.37638741065624992</v>
      </c>
      <c r="AB89" s="57">
        <v>0.56458111598437488</v>
      </c>
      <c r="AC89" s="22"/>
      <c r="AD89" s="57">
        <v>5.3150542851839989E-2</v>
      </c>
      <c r="AE89" s="57">
        <v>0.10630108570367998</v>
      </c>
      <c r="AF89" s="57">
        <v>0.15945162855551998</v>
      </c>
      <c r="AG89" s="22"/>
      <c r="AH89" s="57">
        <v>-0.35</v>
      </c>
      <c r="AI89" s="57">
        <v>3</v>
      </c>
      <c r="AJ89" s="57">
        <v>0.5</v>
      </c>
      <c r="AK89" s="22"/>
      <c r="AL89" s="57">
        <v>-0.15</v>
      </c>
      <c r="AM89" s="57">
        <v>0.75</v>
      </c>
      <c r="AN89" s="57">
        <v>0.2</v>
      </c>
      <c r="AO89" s="22"/>
      <c r="AP89" s="23">
        <v>24</v>
      </c>
      <c r="AQ89" s="58">
        <v>0.4</v>
      </c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4">
        <v>38899</v>
      </c>
      <c r="BI89" s="60">
        <v>0.9</v>
      </c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"/>
      <c r="CI89" s="3"/>
      <c r="CJ89" s="3"/>
      <c r="CK89" s="3"/>
      <c r="CM89" s="399"/>
      <c r="CN89" s="399"/>
      <c r="CO89" s="61"/>
      <c r="CP89"/>
      <c r="CQ89"/>
      <c r="CR89"/>
      <c r="CS89"/>
      <c r="CT89"/>
      <c r="CY89" s="282">
        <f t="shared" si="11"/>
        <v>38899</v>
      </c>
      <c r="CZ89" s="281">
        <f t="shared" si="12"/>
        <v>2.65</v>
      </c>
      <c r="DA89" s="281">
        <f t="shared" si="13"/>
        <v>3</v>
      </c>
      <c r="DB89" s="281">
        <f t="shared" si="14"/>
        <v>3.5</v>
      </c>
      <c r="DD89" s="281">
        <f t="shared" si="15"/>
        <v>0.18819370532812496</v>
      </c>
      <c r="DE89" s="281">
        <f t="shared" si="16"/>
        <v>0.37638741065624992</v>
      </c>
      <c r="DF89" s="281">
        <f t="shared" si="17"/>
        <v>0.56458111598437488</v>
      </c>
      <c r="DH89" s="282">
        <f t="shared" si="18"/>
        <v>38899</v>
      </c>
      <c r="DI89" s="17">
        <f t="shared" si="19"/>
        <v>0.9</v>
      </c>
    </row>
    <row r="90" spans="1:113" ht="13.8">
      <c r="A90" s="27">
        <f t="shared" ca="1" si="10"/>
        <v>39264</v>
      </c>
      <c r="B90" s="17">
        <f>'Gas Curves'!C94</f>
        <v>5.7944530022888012E-2</v>
      </c>
      <c r="C90" s="17"/>
      <c r="D90" s="55">
        <v>38047</v>
      </c>
      <c r="E90" s="56">
        <v>43.35</v>
      </c>
      <c r="F90" s="56">
        <v>45</v>
      </c>
      <c r="G90" s="56">
        <v>46.38</v>
      </c>
      <c r="H90" s="40"/>
      <c r="I90" s="56">
        <v>22.574999618530274</v>
      </c>
      <c r="J90" s="56">
        <v>23.399999618530273</v>
      </c>
      <c r="K90" s="56">
        <v>24.089999618530275</v>
      </c>
      <c r="L90" s="23"/>
      <c r="M90" s="24">
        <v>38930</v>
      </c>
      <c r="N90" s="57">
        <v>46.225001525878909</v>
      </c>
      <c r="O90" s="57">
        <v>53.650001525878906</v>
      </c>
      <c r="P90" s="57">
        <v>61.397501525878909</v>
      </c>
      <c r="Q90" s="22"/>
      <c r="R90" s="57">
        <v>42.700000762939453</v>
      </c>
      <c r="S90" s="57">
        <v>47.700000762939453</v>
      </c>
      <c r="T90" s="57">
        <v>51.573750762939454</v>
      </c>
      <c r="U90" s="22"/>
      <c r="V90" s="57">
        <v>0</v>
      </c>
      <c r="W90" s="57">
        <v>0</v>
      </c>
      <c r="X90" s="57">
        <v>0</v>
      </c>
      <c r="Y90" s="22"/>
      <c r="Z90" s="57">
        <v>0.18407026743749996</v>
      </c>
      <c r="AA90" s="57">
        <v>0.36814053487499993</v>
      </c>
      <c r="AB90" s="57">
        <v>0.55221080231249986</v>
      </c>
      <c r="AC90" s="22"/>
      <c r="AD90" s="57">
        <v>5.3150542851839989E-2</v>
      </c>
      <c r="AE90" s="57">
        <v>0.10630108570367998</v>
      </c>
      <c r="AF90" s="57">
        <v>0.15945162855551998</v>
      </c>
      <c r="AG90" s="22"/>
      <c r="AH90" s="57">
        <v>-0.35</v>
      </c>
      <c r="AI90" s="57">
        <v>3</v>
      </c>
      <c r="AJ90" s="57">
        <v>0.5</v>
      </c>
      <c r="AK90" s="22"/>
      <c r="AL90" s="57">
        <v>-0.15</v>
      </c>
      <c r="AM90" s="57">
        <v>0.75</v>
      </c>
      <c r="AN90" s="57">
        <v>0.2</v>
      </c>
      <c r="AO90" s="22"/>
      <c r="AP90" s="23">
        <v>25</v>
      </c>
      <c r="AQ90" s="58">
        <v>0.4</v>
      </c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4">
        <v>38930</v>
      </c>
      <c r="BI90" s="60">
        <v>0.9</v>
      </c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"/>
      <c r="CI90" s="3"/>
      <c r="CJ90" s="3"/>
      <c r="CK90" s="3"/>
      <c r="CM90" s="399"/>
      <c r="CN90" s="399"/>
      <c r="CO90" s="61"/>
      <c r="CP90"/>
      <c r="CQ90"/>
      <c r="CR90"/>
      <c r="CS90"/>
      <c r="CT90"/>
      <c r="CY90" s="282">
        <f t="shared" si="11"/>
        <v>38930</v>
      </c>
      <c r="CZ90" s="281">
        <f t="shared" si="12"/>
        <v>2.65</v>
      </c>
      <c r="DA90" s="281">
        <f t="shared" si="13"/>
        <v>3</v>
      </c>
      <c r="DB90" s="281">
        <f t="shared" si="14"/>
        <v>3.5</v>
      </c>
      <c r="DD90" s="281">
        <f t="shared" si="15"/>
        <v>0.18407026743749996</v>
      </c>
      <c r="DE90" s="281">
        <f t="shared" si="16"/>
        <v>0.36814053487499993</v>
      </c>
      <c r="DF90" s="281">
        <f t="shared" si="17"/>
        <v>0.55221080231249986</v>
      </c>
      <c r="DH90" s="282">
        <f t="shared" si="18"/>
        <v>38930</v>
      </c>
      <c r="DI90" s="17">
        <f t="shared" si="19"/>
        <v>0.9</v>
      </c>
    </row>
    <row r="91" spans="1:113" ht="13.8">
      <c r="A91" s="27">
        <f t="shared" ca="1" si="10"/>
        <v>39295</v>
      </c>
      <c r="B91" s="17">
        <f>'Gas Curves'!C95</f>
        <v>5.8001607331837998E-2</v>
      </c>
      <c r="C91" s="17"/>
      <c r="D91" s="55">
        <v>38078</v>
      </c>
      <c r="E91" s="56">
        <v>39.4</v>
      </c>
      <c r="F91" s="56">
        <v>41.5</v>
      </c>
      <c r="G91" s="56">
        <v>42.88</v>
      </c>
      <c r="H91" s="40"/>
      <c r="I91" s="56">
        <v>20.099999618530273</v>
      </c>
      <c r="J91" s="56">
        <v>21.149999618530273</v>
      </c>
      <c r="K91" s="56">
        <v>21.839999618530275</v>
      </c>
      <c r="L91" s="23"/>
      <c r="M91" s="24">
        <v>38961</v>
      </c>
      <c r="N91" s="57">
        <v>27.98750114440918</v>
      </c>
      <c r="O91" s="57">
        <v>31.025001144409178</v>
      </c>
      <c r="P91" s="57">
        <v>33.410001144409179</v>
      </c>
      <c r="Q91" s="22"/>
      <c r="R91" s="57">
        <v>23.300001525878905</v>
      </c>
      <c r="S91" s="57">
        <v>28.300001525878905</v>
      </c>
      <c r="T91" s="57">
        <v>29.492501525878904</v>
      </c>
      <c r="U91" s="22"/>
      <c r="V91" s="57">
        <v>0</v>
      </c>
      <c r="W91" s="57">
        <v>0</v>
      </c>
      <c r="X91" s="57">
        <v>0</v>
      </c>
      <c r="Y91" s="22"/>
      <c r="Z91" s="57">
        <v>0.13946383265625001</v>
      </c>
      <c r="AA91" s="57">
        <v>0.27892766531250002</v>
      </c>
      <c r="AB91" s="57">
        <v>0.41839149796875003</v>
      </c>
      <c r="AC91" s="22"/>
      <c r="AD91" s="57">
        <v>3.5433695234559991E-2</v>
      </c>
      <c r="AE91" s="57">
        <v>7.0867390469119981E-2</v>
      </c>
      <c r="AF91" s="57">
        <v>0.10630108570367997</v>
      </c>
      <c r="AG91" s="22"/>
      <c r="AH91" s="57">
        <v>-0.35</v>
      </c>
      <c r="AI91" s="57">
        <v>1.5</v>
      </c>
      <c r="AJ91" s="57">
        <v>0.3</v>
      </c>
      <c r="AK91" s="22"/>
      <c r="AL91" s="57">
        <v>-0.15</v>
      </c>
      <c r="AM91" s="57">
        <v>0.4</v>
      </c>
      <c r="AN91" s="57">
        <v>0.2</v>
      </c>
      <c r="AO91" s="22"/>
      <c r="AP91" s="23">
        <v>25</v>
      </c>
      <c r="AQ91" s="58">
        <v>0.4</v>
      </c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4">
        <v>38961</v>
      </c>
      <c r="BI91" s="60">
        <v>0.9</v>
      </c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"/>
      <c r="CI91" s="3"/>
      <c r="CJ91" s="3"/>
      <c r="CK91" s="3"/>
      <c r="CM91" s="399"/>
      <c r="CN91" s="399"/>
      <c r="CO91" s="61"/>
      <c r="CP91"/>
      <c r="CQ91"/>
      <c r="CR91"/>
      <c r="CS91"/>
      <c r="CT91"/>
      <c r="CY91" s="282">
        <f t="shared" si="11"/>
        <v>38961</v>
      </c>
      <c r="CZ91" s="281">
        <f t="shared" si="12"/>
        <v>1.1499999999999999</v>
      </c>
      <c r="DA91" s="281">
        <f t="shared" si="13"/>
        <v>1.5</v>
      </c>
      <c r="DB91" s="281">
        <f t="shared" si="14"/>
        <v>1.8</v>
      </c>
      <c r="DD91" s="281">
        <f t="shared" si="15"/>
        <v>0.13946383265625001</v>
      </c>
      <c r="DE91" s="281">
        <f t="shared" si="16"/>
        <v>0.27892766531250002</v>
      </c>
      <c r="DF91" s="281">
        <f t="shared" si="17"/>
        <v>0.41839149796875003</v>
      </c>
      <c r="DH91" s="282">
        <f t="shared" si="18"/>
        <v>38961</v>
      </c>
      <c r="DI91" s="17">
        <f t="shared" si="19"/>
        <v>0.9</v>
      </c>
    </row>
    <row r="92" spans="1:113" ht="13.8">
      <c r="A92" s="27">
        <f t="shared" ca="1" si="10"/>
        <v>39326</v>
      </c>
      <c r="B92" s="17">
        <f>'Gas Curves'!C96</f>
        <v>5.8058684641871999E-2</v>
      </c>
      <c r="C92" s="17"/>
      <c r="D92" s="55">
        <v>38108</v>
      </c>
      <c r="E92" s="56">
        <v>43.9</v>
      </c>
      <c r="F92" s="56">
        <v>46</v>
      </c>
      <c r="G92" s="56">
        <v>48.62</v>
      </c>
      <c r="H92" s="40"/>
      <c r="I92" s="56">
        <v>21.099999618530273</v>
      </c>
      <c r="J92" s="56">
        <v>22.149999618530273</v>
      </c>
      <c r="K92" s="56">
        <v>23.459999618530272</v>
      </c>
      <c r="L92" s="23"/>
      <c r="M92" s="24">
        <v>38991</v>
      </c>
      <c r="N92" s="57">
        <v>25.450001144409178</v>
      </c>
      <c r="O92" s="57">
        <v>27.025001144409178</v>
      </c>
      <c r="P92" s="57">
        <v>28.532501144409178</v>
      </c>
      <c r="Q92" s="22"/>
      <c r="R92" s="57">
        <v>18.800001525878905</v>
      </c>
      <c r="S92" s="57">
        <v>23.800001525878905</v>
      </c>
      <c r="T92" s="57">
        <v>24.553751525878905</v>
      </c>
      <c r="U92" s="22"/>
      <c r="V92" s="57">
        <v>0</v>
      </c>
      <c r="W92" s="57">
        <v>0</v>
      </c>
      <c r="X92" s="57">
        <v>0</v>
      </c>
      <c r="Y92" s="22"/>
      <c r="Z92" s="57">
        <v>0.12062328496093749</v>
      </c>
      <c r="AA92" s="57">
        <v>0.24124656992187499</v>
      </c>
      <c r="AB92" s="57">
        <v>0.36186985488281248</v>
      </c>
      <c r="AC92" s="22"/>
      <c r="AD92" s="57">
        <v>2.6575271425919995E-2</v>
      </c>
      <c r="AE92" s="57">
        <v>5.3150542851839989E-2</v>
      </c>
      <c r="AF92" s="57">
        <v>7.9725814277759988E-2</v>
      </c>
      <c r="AG92" s="22"/>
      <c r="AH92" s="57">
        <v>-0.25</v>
      </c>
      <c r="AI92" s="57">
        <v>1.1000000000000001</v>
      </c>
      <c r="AJ92" s="57">
        <v>0.3</v>
      </c>
      <c r="AK92" s="22"/>
      <c r="AL92" s="57">
        <v>-0.15</v>
      </c>
      <c r="AM92" s="57">
        <v>0.35</v>
      </c>
      <c r="AN92" s="57">
        <v>0.2</v>
      </c>
      <c r="AO92" s="22"/>
      <c r="AP92" s="23">
        <v>25</v>
      </c>
      <c r="AQ92" s="58">
        <v>0.4</v>
      </c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4">
        <v>38991</v>
      </c>
      <c r="BI92" s="60">
        <v>0.9</v>
      </c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/>
      <c r="CM92" s="80"/>
      <c r="CN92" s="80"/>
      <c r="CO92" s="61"/>
      <c r="CP92"/>
      <c r="CQ92"/>
      <c r="CR92"/>
      <c r="CS92"/>
      <c r="CT92"/>
      <c r="CY92" s="282">
        <f t="shared" si="11"/>
        <v>38991</v>
      </c>
      <c r="CZ92" s="281">
        <f t="shared" si="12"/>
        <v>0.85000000000000009</v>
      </c>
      <c r="DA92" s="281">
        <f t="shared" si="13"/>
        <v>1.1000000000000001</v>
      </c>
      <c r="DB92" s="281">
        <f t="shared" si="14"/>
        <v>1.4000000000000001</v>
      </c>
      <c r="DD92" s="281">
        <f t="shared" si="15"/>
        <v>0.12062328496093749</v>
      </c>
      <c r="DE92" s="281">
        <f t="shared" si="16"/>
        <v>0.24124656992187499</v>
      </c>
      <c r="DF92" s="281">
        <f t="shared" si="17"/>
        <v>0.36186985488281248</v>
      </c>
      <c r="DH92" s="282">
        <f t="shared" si="18"/>
        <v>38991</v>
      </c>
      <c r="DI92" s="17">
        <f t="shared" si="19"/>
        <v>0.9</v>
      </c>
    </row>
    <row r="93" spans="1:113" ht="13.8">
      <c r="A93" s="27">
        <f t="shared" ca="1" si="10"/>
        <v>39356</v>
      </c>
      <c r="B93" s="17">
        <f>'Gas Curves'!C97</f>
        <v>5.8113920749388009E-2</v>
      </c>
      <c r="C93" s="17"/>
      <c r="D93" s="55">
        <v>38139</v>
      </c>
      <c r="E93" s="56">
        <v>51.95</v>
      </c>
      <c r="F93" s="56">
        <v>56</v>
      </c>
      <c r="G93" s="56">
        <v>60</v>
      </c>
      <c r="H93" s="40"/>
      <c r="I93" s="56">
        <v>20.499999618530275</v>
      </c>
      <c r="J93" s="56">
        <v>22.524999618530273</v>
      </c>
      <c r="K93" s="56">
        <v>24.524999618530273</v>
      </c>
      <c r="L93" s="23"/>
      <c r="M93" s="24">
        <v>39022</v>
      </c>
      <c r="N93" s="57">
        <v>27.800001525878905</v>
      </c>
      <c r="O93" s="57">
        <v>29.375001525878904</v>
      </c>
      <c r="P93" s="57">
        <v>30.882501525878904</v>
      </c>
      <c r="Q93" s="22"/>
      <c r="R93" s="57">
        <v>21.000000381469725</v>
      </c>
      <c r="S93" s="57">
        <v>26.000000381469725</v>
      </c>
      <c r="T93" s="57">
        <v>26.753750381469725</v>
      </c>
      <c r="U93" s="22"/>
      <c r="V93" s="57">
        <v>0</v>
      </c>
      <c r="W93" s="57">
        <v>0</v>
      </c>
      <c r="X93" s="57">
        <v>0</v>
      </c>
      <c r="Y93" s="22"/>
      <c r="Z93" s="57">
        <v>0.12062328496093749</v>
      </c>
      <c r="AA93" s="57">
        <v>0.24124656992187499</v>
      </c>
      <c r="AB93" s="57">
        <v>0.36186985488281248</v>
      </c>
      <c r="AC93" s="22"/>
      <c r="AD93" s="57">
        <v>2.6575271425919995E-2</v>
      </c>
      <c r="AE93" s="57">
        <v>5.3150542851839989E-2</v>
      </c>
      <c r="AF93" s="57">
        <v>7.9725814277759988E-2</v>
      </c>
      <c r="AG93" s="22"/>
      <c r="AH93" s="57">
        <v>-0.25</v>
      </c>
      <c r="AI93" s="57">
        <v>1.25</v>
      </c>
      <c r="AJ93" s="57">
        <v>0.3</v>
      </c>
      <c r="AK93" s="22"/>
      <c r="AL93" s="57">
        <v>-0.15</v>
      </c>
      <c r="AM93" s="57">
        <v>0.3</v>
      </c>
      <c r="AN93" s="57">
        <v>0.2</v>
      </c>
      <c r="AO93" s="22"/>
      <c r="AP93" s="23">
        <v>26</v>
      </c>
      <c r="AQ93" s="58">
        <v>0.4</v>
      </c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4">
        <v>39022</v>
      </c>
      <c r="BI93" s="60">
        <v>0.9</v>
      </c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/>
      <c r="CM93" s="80"/>
      <c r="CN93" s="80"/>
      <c r="CO93" s="61"/>
      <c r="CP93"/>
      <c r="CQ93"/>
      <c r="CR93"/>
      <c r="CS93"/>
      <c r="CT93"/>
      <c r="CY93" s="282">
        <f t="shared" si="11"/>
        <v>39022</v>
      </c>
      <c r="CZ93" s="281">
        <f t="shared" si="12"/>
        <v>1</v>
      </c>
      <c r="DA93" s="281">
        <f t="shared" si="13"/>
        <v>1.25</v>
      </c>
      <c r="DB93" s="281">
        <f t="shared" si="14"/>
        <v>1.55</v>
      </c>
      <c r="DD93" s="281">
        <f t="shared" si="15"/>
        <v>0.12062328496093749</v>
      </c>
      <c r="DE93" s="281">
        <f t="shared" si="16"/>
        <v>0.24124656992187499</v>
      </c>
      <c r="DF93" s="281">
        <f t="shared" si="17"/>
        <v>0.36186985488281248</v>
      </c>
      <c r="DH93" s="282">
        <f t="shared" si="18"/>
        <v>39022</v>
      </c>
      <c r="DI93" s="17">
        <f t="shared" si="19"/>
        <v>0.9</v>
      </c>
    </row>
    <row r="94" spans="1:113" ht="13.8">
      <c r="A94" s="27">
        <f t="shared" ca="1" si="10"/>
        <v>39387</v>
      </c>
      <c r="B94" s="17">
        <f>'Gas Curves'!C98</f>
        <v>5.8170998061553007E-2</v>
      </c>
      <c r="C94" s="17"/>
      <c r="D94" s="55">
        <v>38169</v>
      </c>
      <c r="E94" s="56">
        <v>65.349999999999994</v>
      </c>
      <c r="F94" s="56">
        <v>75.25</v>
      </c>
      <c r="G94" s="56">
        <v>83.78</v>
      </c>
      <c r="H94" s="40"/>
      <c r="I94" s="56">
        <v>21.3</v>
      </c>
      <c r="J94" s="56">
        <v>26.25</v>
      </c>
      <c r="K94" s="56">
        <v>30.515000000000001</v>
      </c>
      <c r="L94" s="23"/>
      <c r="M94" s="24">
        <v>39052</v>
      </c>
      <c r="N94" s="57">
        <v>28.4</v>
      </c>
      <c r="O94" s="57">
        <v>29.975000000000001</v>
      </c>
      <c r="P94" s="57">
        <v>31.482500000000002</v>
      </c>
      <c r="Q94" s="22"/>
      <c r="R94" s="57">
        <v>21.500000381469725</v>
      </c>
      <c r="S94" s="57">
        <v>26.500000381469725</v>
      </c>
      <c r="T94" s="57">
        <v>27.253750381469725</v>
      </c>
      <c r="U94" s="22"/>
      <c r="V94" s="57">
        <v>0</v>
      </c>
      <c r="W94" s="57">
        <v>0</v>
      </c>
      <c r="X94" s="57">
        <v>0</v>
      </c>
      <c r="Y94" s="22"/>
      <c r="Z94" s="57">
        <v>0.11821540085937497</v>
      </c>
      <c r="AA94" s="57">
        <v>0.23643080171874994</v>
      </c>
      <c r="AB94" s="57">
        <v>0.3546462025781249</v>
      </c>
      <c r="AC94" s="22"/>
      <c r="AD94" s="57">
        <v>2.6575271425919995E-2</v>
      </c>
      <c r="AE94" s="57">
        <v>5.3150542851839989E-2</v>
      </c>
      <c r="AF94" s="57">
        <v>7.9725814277759988E-2</v>
      </c>
      <c r="AG94" s="22"/>
      <c r="AH94" s="57">
        <v>-0.25</v>
      </c>
      <c r="AI94" s="57">
        <v>1.25</v>
      </c>
      <c r="AJ94" s="57">
        <v>0.35</v>
      </c>
      <c r="AK94" s="22"/>
      <c r="AL94" s="57">
        <v>-0.15</v>
      </c>
      <c r="AM94" s="57">
        <v>0.3</v>
      </c>
      <c r="AN94" s="57">
        <v>0.2</v>
      </c>
      <c r="AO94" s="22"/>
      <c r="AP94" s="23">
        <v>26</v>
      </c>
      <c r="AQ94" s="58">
        <v>0.4</v>
      </c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4">
        <v>39052</v>
      </c>
      <c r="BI94" s="60">
        <v>0.9</v>
      </c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/>
      <c r="CM94" s="80"/>
      <c r="CN94" s="80"/>
      <c r="CO94" s="61"/>
      <c r="CP94"/>
      <c r="CQ94"/>
      <c r="CR94"/>
      <c r="CS94"/>
      <c r="CT94"/>
      <c r="CY94" s="282">
        <f t="shared" si="11"/>
        <v>39052</v>
      </c>
      <c r="CZ94" s="281">
        <f t="shared" si="12"/>
        <v>1</v>
      </c>
      <c r="DA94" s="281">
        <f t="shared" si="13"/>
        <v>1.25</v>
      </c>
      <c r="DB94" s="281">
        <f t="shared" si="14"/>
        <v>1.6</v>
      </c>
      <c r="DD94" s="281">
        <f t="shared" si="15"/>
        <v>0.11821540085937497</v>
      </c>
      <c r="DE94" s="281">
        <f t="shared" si="16"/>
        <v>0.23643080171874994</v>
      </c>
      <c r="DF94" s="281">
        <f t="shared" si="17"/>
        <v>0.3546462025781249</v>
      </c>
      <c r="DH94" s="282">
        <f t="shared" si="18"/>
        <v>39052</v>
      </c>
      <c r="DI94" s="17">
        <f t="shared" si="19"/>
        <v>0.9</v>
      </c>
    </row>
    <row r="95" spans="1:113" ht="13.8">
      <c r="A95" s="27">
        <f t="shared" ca="1" si="10"/>
        <v>39417</v>
      </c>
      <c r="B95" s="17">
        <f>'Gas Curves'!C99</f>
        <v>5.8226234171132013E-2</v>
      </c>
      <c r="C95" s="17"/>
      <c r="D95" s="55">
        <v>38200</v>
      </c>
      <c r="E95" s="56">
        <v>65.349999999999994</v>
      </c>
      <c r="F95" s="56">
        <v>75.25</v>
      </c>
      <c r="G95" s="56">
        <v>83.78</v>
      </c>
      <c r="H95" s="40"/>
      <c r="I95" s="56">
        <v>33.450001525878903</v>
      </c>
      <c r="J95" s="56">
        <v>38.400001525878906</v>
      </c>
      <c r="K95" s="56">
        <v>42.665001525878907</v>
      </c>
      <c r="L95" s="23"/>
      <c r="M95" s="24">
        <v>39083</v>
      </c>
      <c r="N95" s="57">
        <v>31.229496002197269</v>
      </c>
      <c r="O95" s="57">
        <v>32.804496002197268</v>
      </c>
      <c r="P95" s="57">
        <v>34.064496002197266</v>
      </c>
      <c r="Q95" s="22"/>
      <c r="R95" s="57">
        <v>23.903997421264648</v>
      </c>
      <c r="S95" s="57">
        <v>28.903997421264648</v>
      </c>
      <c r="T95" s="57">
        <v>30.16399742126465</v>
      </c>
      <c r="U95" s="22"/>
      <c r="V95" s="57">
        <v>0</v>
      </c>
      <c r="W95" s="57">
        <v>0</v>
      </c>
      <c r="X95" s="57">
        <v>0</v>
      </c>
      <c r="Y95" s="22"/>
      <c r="Z95" s="57">
        <v>0.17444891235937499</v>
      </c>
      <c r="AA95" s="57">
        <v>0.34889782471874997</v>
      </c>
      <c r="AB95" s="57">
        <v>0.52334673707812496</v>
      </c>
      <c r="AC95" s="22"/>
      <c r="AD95" s="57">
        <v>3.0384393663635205E-2</v>
      </c>
      <c r="AE95" s="57">
        <v>6.076878732727041E-2</v>
      </c>
      <c r="AF95" s="57">
        <v>9.1153180990905608E-2</v>
      </c>
      <c r="AG95" s="22"/>
      <c r="AH95" s="57">
        <v>-0.75</v>
      </c>
      <c r="AI95" s="57">
        <v>2</v>
      </c>
      <c r="AJ95" s="57">
        <v>0.75</v>
      </c>
      <c r="AK95" s="22"/>
      <c r="AL95" s="57">
        <v>-0.15</v>
      </c>
      <c r="AM95" s="57">
        <v>0.5</v>
      </c>
      <c r="AN95" s="57">
        <v>0.2</v>
      </c>
      <c r="AO95" s="22"/>
      <c r="AP95" s="23">
        <v>26</v>
      </c>
      <c r="AQ95" s="58">
        <v>0.4</v>
      </c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4">
        <v>39083</v>
      </c>
      <c r="BI95" s="60">
        <v>0.9</v>
      </c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/>
      <c r="CM95" s="80"/>
      <c r="CN95" s="80"/>
      <c r="CO95" s="61"/>
      <c r="CP95"/>
      <c r="CQ95"/>
      <c r="CR95"/>
      <c r="CS95"/>
      <c r="CT95"/>
      <c r="CY95" s="282">
        <f t="shared" si="11"/>
        <v>39083</v>
      </c>
      <c r="CZ95" s="281">
        <f t="shared" si="12"/>
        <v>1.25</v>
      </c>
      <c r="DA95" s="281">
        <f t="shared" si="13"/>
        <v>2</v>
      </c>
      <c r="DB95" s="281">
        <f t="shared" si="14"/>
        <v>2.75</v>
      </c>
      <c r="DD95" s="281">
        <f t="shared" si="15"/>
        <v>0.17444891235937499</v>
      </c>
      <c r="DE95" s="281">
        <f t="shared" si="16"/>
        <v>0.34889782471874997</v>
      </c>
      <c r="DF95" s="281">
        <f t="shared" si="17"/>
        <v>0.52334673707812496</v>
      </c>
      <c r="DH95" s="282">
        <f t="shared" si="18"/>
        <v>39083</v>
      </c>
      <c r="DI95" s="17">
        <f t="shared" si="19"/>
        <v>0.9</v>
      </c>
    </row>
    <row r="96" spans="1:113" ht="13.8">
      <c r="A96" s="27">
        <f t="shared" ca="1" si="10"/>
        <v>39448</v>
      </c>
      <c r="B96" s="17">
        <f>'Gas Curves'!C100</f>
        <v>5.8283311485429021E-2</v>
      </c>
      <c r="C96" s="17"/>
      <c r="D96" s="55">
        <v>38231</v>
      </c>
      <c r="E96" s="56">
        <v>39.450000000000003</v>
      </c>
      <c r="F96" s="56">
        <v>43.5</v>
      </c>
      <c r="G96" s="56">
        <v>46.12</v>
      </c>
      <c r="H96" s="40"/>
      <c r="I96" s="56">
        <v>24.874999618530275</v>
      </c>
      <c r="J96" s="56">
        <v>26.899999618530273</v>
      </c>
      <c r="K96" s="56">
        <v>28.209999618530272</v>
      </c>
      <c r="L96" s="23"/>
      <c r="M96" s="24">
        <v>39114</v>
      </c>
      <c r="N96" s="57">
        <v>30.891996765136721</v>
      </c>
      <c r="O96" s="57">
        <v>32.129496765136722</v>
      </c>
      <c r="P96" s="57">
        <v>33.38949676513672</v>
      </c>
      <c r="Q96" s="22"/>
      <c r="R96" s="57">
        <v>23.303997039794922</v>
      </c>
      <c r="S96" s="57">
        <v>28.303997039794922</v>
      </c>
      <c r="T96" s="57">
        <v>29.563997039794923</v>
      </c>
      <c r="U96" s="22"/>
      <c r="V96" s="57">
        <v>0</v>
      </c>
      <c r="W96" s="57">
        <v>0</v>
      </c>
      <c r="X96" s="57">
        <v>0</v>
      </c>
      <c r="Y96" s="22"/>
      <c r="Z96" s="57">
        <v>0.16852948818749997</v>
      </c>
      <c r="AA96" s="57">
        <v>0.33705897637499993</v>
      </c>
      <c r="AB96" s="57">
        <v>0.50558846456249995</v>
      </c>
      <c r="AC96" s="22"/>
      <c r="AD96" s="57">
        <v>3.0384393663635205E-2</v>
      </c>
      <c r="AE96" s="57">
        <v>6.076878732727041E-2</v>
      </c>
      <c r="AF96" s="57">
        <v>9.1153180990905608E-2</v>
      </c>
      <c r="AG96" s="22"/>
      <c r="AH96" s="57">
        <v>-0.75</v>
      </c>
      <c r="AI96" s="57">
        <v>2</v>
      </c>
      <c r="AJ96" s="57">
        <v>0.75</v>
      </c>
      <c r="AK96" s="22"/>
      <c r="AL96" s="57">
        <v>-0.15</v>
      </c>
      <c r="AM96" s="57">
        <v>0.5</v>
      </c>
      <c r="AN96" s="57">
        <v>0.2</v>
      </c>
      <c r="AO96" s="22"/>
      <c r="AP96" s="23">
        <v>27</v>
      </c>
      <c r="AQ96" s="58">
        <v>0.4</v>
      </c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4">
        <v>39114</v>
      </c>
      <c r="BI96" s="60">
        <v>0.9</v>
      </c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/>
      <c r="CM96" s="80"/>
      <c r="CN96" s="80"/>
      <c r="CO96" s="61"/>
      <c r="CP96"/>
      <c r="CQ96"/>
      <c r="CR96"/>
      <c r="CS96"/>
      <c r="CT96"/>
      <c r="CY96" s="282">
        <f t="shared" si="11"/>
        <v>39114</v>
      </c>
      <c r="CZ96" s="281">
        <f t="shared" si="12"/>
        <v>1.25</v>
      </c>
      <c r="DA96" s="281">
        <f t="shared" si="13"/>
        <v>2</v>
      </c>
      <c r="DB96" s="281">
        <f t="shared" si="14"/>
        <v>2.75</v>
      </c>
      <c r="DD96" s="281">
        <f t="shared" si="15"/>
        <v>0.16852948818749997</v>
      </c>
      <c r="DE96" s="281">
        <f t="shared" si="16"/>
        <v>0.33705897637499993</v>
      </c>
      <c r="DF96" s="281">
        <f t="shared" si="17"/>
        <v>0.50558846456249995</v>
      </c>
      <c r="DH96" s="282">
        <f t="shared" si="18"/>
        <v>39114</v>
      </c>
      <c r="DI96" s="17">
        <f t="shared" si="19"/>
        <v>0.9</v>
      </c>
    </row>
    <row r="97" spans="1:113" ht="13.8">
      <c r="A97" s="27">
        <f t="shared" ca="1" si="10"/>
        <v>39479</v>
      </c>
      <c r="B97" s="17">
        <f>'Gas Curves'!C101</f>
        <v>5.8341521263721018E-2</v>
      </c>
      <c r="C97" s="17"/>
      <c r="D97" s="55">
        <v>38261</v>
      </c>
      <c r="E97" s="56">
        <v>41.4</v>
      </c>
      <c r="F97" s="56">
        <v>43.5</v>
      </c>
      <c r="G97" s="56">
        <v>45.15</v>
      </c>
      <c r="H97" s="40"/>
      <c r="I97" s="56">
        <v>23.849999618530273</v>
      </c>
      <c r="J97" s="56">
        <v>24.899999618530273</v>
      </c>
      <c r="K97" s="56">
        <v>25.724999618530273</v>
      </c>
      <c r="L97" s="23"/>
      <c r="M97" s="24">
        <v>39142</v>
      </c>
      <c r="N97" s="57">
        <v>25.037496948242186</v>
      </c>
      <c r="O97" s="57">
        <v>26.274996948242187</v>
      </c>
      <c r="P97" s="57">
        <v>27.534996948242188</v>
      </c>
      <c r="Q97" s="22"/>
      <c r="R97" s="57">
        <v>18.099998474121094</v>
      </c>
      <c r="S97" s="57">
        <v>23.099998474121094</v>
      </c>
      <c r="T97" s="57">
        <v>24.359998474121095</v>
      </c>
      <c r="U97" s="22"/>
      <c r="V97" s="57">
        <v>0</v>
      </c>
      <c r="W97" s="57">
        <v>0</v>
      </c>
      <c r="X97" s="57">
        <v>0</v>
      </c>
      <c r="Y97" s="22"/>
      <c r="Z97" s="57">
        <v>0.13360295112109372</v>
      </c>
      <c r="AA97" s="57">
        <v>0.26720590224218743</v>
      </c>
      <c r="AB97" s="57">
        <v>0.40080885336328115</v>
      </c>
      <c r="AC97" s="22"/>
      <c r="AD97" s="57">
        <v>2.6575271425919995E-2</v>
      </c>
      <c r="AE97" s="57">
        <v>5.3150542851839989E-2</v>
      </c>
      <c r="AF97" s="57">
        <v>7.9725814277759988E-2</v>
      </c>
      <c r="AG97" s="22"/>
      <c r="AH97" s="57">
        <v>-0.25</v>
      </c>
      <c r="AI97" s="57">
        <v>1.3</v>
      </c>
      <c r="AJ97" s="57">
        <v>0.3</v>
      </c>
      <c r="AK97" s="22"/>
      <c r="AL97" s="57">
        <v>-0.15</v>
      </c>
      <c r="AM97" s="57">
        <v>0.35</v>
      </c>
      <c r="AN97" s="57">
        <v>0.2</v>
      </c>
      <c r="AO97" s="22"/>
      <c r="AP97" s="23">
        <v>27</v>
      </c>
      <c r="AQ97" s="58">
        <v>0.4</v>
      </c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4">
        <v>39142</v>
      </c>
      <c r="BI97" s="60">
        <v>0.9</v>
      </c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/>
      <c r="CM97" s="80"/>
      <c r="CN97" s="80"/>
      <c r="CO97" s="61"/>
      <c r="CP97"/>
      <c r="CQ97"/>
      <c r="CR97"/>
      <c r="CS97"/>
      <c r="CT97"/>
      <c r="CY97" s="282">
        <f t="shared" si="11"/>
        <v>39142</v>
      </c>
      <c r="CZ97" s="281">
        <f t="shared" si="12"/>
        <v>1.05</v>
      </c>
      <c r="DA97" s="281">
        <f t="shared" si="13"/>
        <v>1.3</v>
      </c>
      <c r="DB97" s="281">
        <f t="shared" si="14"/>
        <v>1.6</v>
      </c>
      <c r="DD97" s="281">
        <f t="shared" si="15"/>
        <v>0.13360295112109372</v>
      </c>
      <c r="DE97" s="281">
        <f t="shared" si="16"/>
        <v>0.26720590224218743</v>
      </c>
      <c r="DF97" s="281">
        <f t="shared" si="17"/>
        <v>0.40080885336328115</v>
      </c>
      <c r="DH97" s="282">
        <f t="shared" si="18"/>
        <v>39142</v>
      </c>
      <c r="DI97" s="17">
        <f t="shared" si="19"/>
        <v>0.9</v>
      </c>
    </row>
    <row r="98" spans="1:113" ht="13.8">
      <c r="A98" s="27">
        <f t="shared" ca="1" si="10"/>
        <v>39508</v>
      </c>
      <c r="B98" s="17">
        <f>'Gas Curves'!C102</f>
        <v>5.839674069626901E-2</v>
      </c>
      <c r="C98" s="17"/>
      <c r="D98" s="55">
        <v>38292</v>
      </c>
      <c r="E98" s="56">
        <v>43.9</v>
      </c>
      <c r="F98" s="56">
        <v>46</v>
      </c>
      <c r="G98" s="56">
        <v>47.65</v>
      </c>
      <c r="H98" s="40"/>
      <c r="I98" s="56">
        <v>24.599999618530273</v>
      </c>
      <c r="J98" s="56">
        <v>25.649999618530273</v>
      </c>
      <c r="K98" s="56">
        <v>26.474999618530273</v>
      </c>
      <c r="L98" s="23"/>
      <c r="M98" s="24">
        <v>39173</v>
      </c>
      <c r="N98" s="57">
        <v>24.024999618530273</v>
      </c>
      <c r="O98" s="57">
        <v>25.599999618530273</v>
      </c>
      <c r="P98" s="57">
        <v>26.859999618530274</v>
      </c>
      <c r="Q98" s="22"/>
      <c r="R98" s="57">
        <v>17.5</v>
      </c>
      <c r="S98" s="57">
        <v>22.5</v>
      </c>
      <c r="T98" s="57">
        <v>23.76</v>
      </c>
      <c r="U98" s="22"/>
      <c r="V98" s="57">
        <v>0</v>
      </c>
      <c r="W98" s="57">
        <v>0</v>
      </c>
      <c r="X98" s="57">
        <v>0</v>
      </c>
      <c r="Y98" s="22"/>
      <c r="Z98" s="57">
        <v>0.13341917814843751</v>
      </c>
      <c r="AA98" s="57">
        <v>0.26683835629687502</v>
      </c>
      <c r="AB98" s="57">
        <v>0.40025753444531253</v>
      </c>
      <c r="AC98" s="22"/>
      <c r="AD98" s="57">
        <v>2.6575271425919995E-2</v>
      </c>
      <c r="AE98" s="57">
        <v>5.3150542851839989E-2</v>
      </c>
      <c r="AF98" s="57">
        <v>7.9725814277759988E-2</v>
      </c>
      <c r="AG98" s="22"/>
      <c r="AH98" s="57">
        <v>-0.25</v>
      </c>
      <c r="AI98" s="57">
        <v>1.1000000000000001</v>
      </c>
      <c r="AJ98" s="57">
        <v>0.3</v>
      </c>
      <c r="AK98" s="22"/>
      <c r="AL98" s="57">
        <v>-0.15</v>
      </c>
      <c r="AM98" s="57">
        <v>0.35</v>
      </c>
      <c r="AN98" s="57">
        <v>0.2</v>
      </c>
      <c r="AO98" s="22"/>
      <c r="AP98" s="23">
        <v>27</v>
      </c>
      <c r="AQ98" s="58">
        <v>0.4</v>
      </c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4">
        <v>39173</v>
      </c>
      <c r="BI98" s="60">
        <v>0.9</v>
      </c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/>
      <c r="CM98" s="80"/>
      <c r="CN98" s="80"/>
      <c r="CO98" s="61"/>
      <c r="CP98"/>
      <c r="CQ98"/>
      <c r="CR98"/>
      <c r="CS98"/>
      <c r="CT98"/>
      <c r="CY98" s="282">
        <f t="shared" si="11"/>
        <v>39173</v>
      </c>
      <c r="CZ98" s="281">
        <f t="shared" si="12"/>
        <v>0.85000000000000009</v>
      </c>
      <c r="DA98" s="281">
        <f t="shared" si="13"/>
        <v>1.1000000000000001</v>
      </c>
      <c r="DB98" s="281">
        <f t="shared" si="14"/>
        <v>1.4000000000000001</v>
      </c>
      <c r="DD98" s="281">
        <f t="shared" si="15"/>
        <v>0.13341917814843751</v>
      </c>
      <c r="DE98" s="281">
        <f t="shared" si="16"/>
        <v>0.26683835629687502</v>
      </c>
      <c r="DF98" s="281">
        <f t="shared" si="17"/>
        <v>0.40025753444531253</v>
      </c>
      <c r="DH98" s="282">
        <f t="shared" si="18"/>
        <v>39173</v>
      </c>
      <c r="DI98" s="17">
        <f t="shared" si="19"/>
        <v>0.9</v>
      </c>
    </row>
    <row r="99" spans="1:113" ht="13.8">
      <c r="A99" s="27">
        <f t="shared" ca="1" si="10"/>
        <v>39539</v>
      </c>
      <c r="B99" s="17">
        <f>'Gas Curves'!C103</f>
        <v>5.8455768366667001E-2</v>
      </c>
      <c r="C99" s="17"/>
      <c r="D99" s="55">
        <v>38322</v>
      </c>
      <c r="E99" s="56">
        <v>43.9</v>
      </c>
      <c r="F99" s="56">
        <v>46</v>
      </c>
      <c r="G99" s="56">
        <v>47.65</v>
      </c>
      <c r="H99" s="40"/>
      <c r="I99" s="56">
        <v>24.499999237060546</v>
      </c>
      <c r="J99" s="56">
        <v>25.549999237060547</v>
      </c>
      <c r="K99" s="56">
        <v>26.374999237060546</v>
      </c>
      <c r="L99" s="23"/>
      <c r="M99" s="24">
        <v>39203</v>
      </c>
      <c r="N99" s="57">
        <v>27.625</v>
      </c>
      <c r="O99" s="57">
        <v>29.2</v>
      </c>
      <c r="P99" s="57">
        <v>31.585000000000001</v>
      </c>
      <c r="Q99" s="22"/>
      <c r="R99" s="57">
        <v>20.69999885559082</v>
      </c>
      <c r="S99" s="57">
        <v>25.69999885559082</v>
      </c>
      <c r="T99" s="57">
        <v>28.084998855590818</v>
      </c>
      <c r="U99" s="22"/>
      <c r="V99" s="57">
        <v>0</v>
      </c>
      <c r="W99" s="57">
        <v>0</v>
      </c>
      <c r="X99" s="57">
        <v>0</v>
      </c>
      <c r="Y99" s="22"/>
      <c r="Z99" s="57">
        <v>0.14035999315781247</v>
      </c>
      <c r="AA99" s="57">
        <v>0.28071998631562495</v>
      </c>
      <c r="AB99" s="57">
        <v>0.42107997947343745</v>
      </c>
      <c r="AC99" s="22"/>
      <c r="AD99" s="57">
        <v>3.0384393663635205E-2</v>
      </c>
      <c r="AE99" s="57">
        <v>6.076878732727041E-2</v>
      </c>
      <c r="AF99" s="57">
        <v>9.1153180990905608E-2</v>
      </c>
      <c r="AG99" s="22"/>
      <c r="AH99" s="57">
        <v>-0.25</v>
      </c>
      <c r="AI99" s="57">
        <v>1.1000000000000001</v>
      </c>
      <c r="AJ99" s="57">
        <v>0.3</v>
      </c>
      <c r="AK99" s="22"/>
      <c r="AL99" s="57">
        <v>-0.15</v>
      </c>
      <c r="AM99" s="57">
        <v>0.5</v>
      </c>
      <c r="AN99" s="57">
        <v>0.2</v>
      </c>
      <c r="AO99" s="22"/>
      <c r="AP99" s="23">
        <v>28</v>
      </c>
      <c r="AQ99" s="58">
        <v>0.4</v>
      </c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4">
        <v>39203</v>
      </c>
      <c r="BI99" s="60">
        <v>0.9</v>
      </c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/>
      <c r="CM99" s="80"/>
      <c r="CN99" s="80"/>
      <c r="CO99" s="61"/>
      <c r="CP99"/>
      <c r="CQ99"/>
      <c r="CR99"/>
      <c r="CS99"/>
      <c r="CT99"/>
      <c r="CY99" s="282">
        <f t="shared" si="11"/>
        <v>39203</v>
      </c>
      <c r="CZ99" s="281">
        <f t="shared" si="12"/>
        <v>0.85000000000000009</v>
      </c>
      <c r="DA99" s="281">
        <f t="shared" si="13"/>
        <v>1.1000000000000001</v>
      </c>
      <c r="DB99" s="281">
        <f t="shared" si="14"/>
        <v>1.4000000000000001</v>
      </c>
      <c r="DD99" s="281">
        <f t="shared" si="15"/>
        <v>0.14035999315781247</v>
      </c>
      <c r="DE99" s="281">
        <f t="shared" si="16"/>
        <v>0.28071998631562495</v>
      </c>
      <c r="DF99" s="281">
        <f t="shared" si="17"/>
        <v>0.42107997947343745</v>
      </c>
      <c r="DH99" s="282">
        <f t="shared" si="18"/>
        <v>39203</v>
      </c>
      <c r="DI99" s="17">
        <f t="shared" si="19"/>
        <v>0.9</v>
      </c>
    </row>
    <row r="100" spans="1:113" ht="13.8">
      <c r="A100" s="27">
        <f t="shared" ca="1" si="10"/>
        <v>39569</v>
      </c>
      <c r="B100" s="17">
        <f>'Gas Curves'!C104</f>
        <v>5.8512891919768002E-2</v>
      </c>
      <c r="C100" s="17"/>
      <c r="D100" s="55">
        <v>38353</v>
      </c>
      <c r="E100" s="56">
        <v>57.9</v>
      </c>
      <c r="F100" s="56">
        <v>60</v>
      </c>
      <c r="G100" s="56">
        <v>61.52</v>
      </c>
      <c r="H100" s="40"/>
      <c r="I100" s="56">
        <v>25.300000381469726</v>
      </c>
      <c r="J100" s="56">
        <v>26.350000381469727</v>
      </c>
      <c r="K100" s="56">
        <v>27.110000381469728</v>
      </c>
      <c r="L100" s="23"/>
      <c r="M100" s="24">
        <v>39234</v>
      </c>
      <c r="N100" s="57">
        <v>32.962503051757814</v>
      </c>
      <c r="O100" s="57">
        <v>36.000003051757815</v>
      </c>
      <c r="P100" s="57">
        <v>39.630003051757818</v>
      </c>
      <c r="Q100" s="22"/>
      <c r="R100" s="57">
        <v>26.200002670288086</v>
      </c>
      <c r="S100" s="57">
        <v>31.200002670288086</v>
      </c>
      <c r="T100" s="57">
        <v>34.830002670288088</v>
      </c>
      <c r="U100" s="22"/>
      <c r="V100" s="57">
        <v>0</v>
      </c>
      <c r="W100" s="57">
        <v>0</v>
      </c>
      <c r="X100" s="57">
        <v>0</v>
      </c>
      <c r="Y100" s="22"/>
      <c r="Z100" s="57">
        <v>0.15010576406562498</v>
      </c>
      <c r="AA100" s="57">
        <v>0.30021152813124996</v>
      </c>
      <c r="AB100" s="57">
        <v>0.45031729219687494</v>
      </c>
      <c r="AC100" s="22"/>
      <c r="AD100" s="57">
        <v>3.9065648996102396E-2</v>
      </c>
      <c r="AE100" s="57">
        <v>7.8131297992204793E-2</v>
      </c>
      <c r="AF100" s="57">
        <v>0.11719694698830718</v>
      </c>
      <c r="AG100" s="22"/>
      <c r="AH100" s="57">
        <v>-0.35</v>
      </c>
      <c r="AI100" s="57">
        <v>2</v>
      </c>
      <c r="AJ100" s="57">
        <v>0.3</v>
      </c>
      <c r="AK100" s="22"/>
      <c r="AL100" s="57">
        <v>-0.15</v>
      </c>
      <c r="AM100" s="57">
        <v>0.65</v>
      </c>
      <c r="AN100" s="57">
        <v>0.2</v>
      </c>
      <c r="AO100" s="22"/>
      <c r="AP100" s="23">
        <v>28</v>
      </c>
      <c r="AQ100" s="58">
        <v>0.4</v>
      </c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4">
        <v>39234</v>
      </c>
      <c r="BI100" s="60">
        <v>0.9</v>
      </c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/>
      <c r="CM100" s="80"/>
      <c r="CN100" s="80"/>
      <c r="CO100" s="61"/>
      <c r="CP100"/>
      <c r="CQ100"/>
      <c r="CR100"/>
      <c r="CS100"/>
      <c r="CT100"/>
      <c r="CY100" s="282">
        <f t="shared" si="11"/>
        <v>39234</v>
      </c>
      <c r="CZ100" s="281">
        <f t="shared" si="12"/>
        <v>1.65</v>
      </c>
      <c r="DA100" s="281">
        <f t="shared" si="13"/>
        <v>2</v>
      </c>
      <c r="DB100" s="281">
        <f t="shared" si="14"/>
        <v>2.2999999999999998</v>
      </c>
      <c r="DD100" s="281">
        <f t="shared" si="15"/>
        <v>0.15010576406562498</v>
      </c>
      <c r="DE100" s="281">
        <f t="shared" si="16"/>
        <v>0.30021152813124996</v>
      </c>
      <c r="DF100" s="281">
        <f t="shared" si="17"/>
        <v>0.45031729219687494</v>
      </c>
      <c r="DH100" s="282">
        <f t="shared" si="18"/>
        <v>39234</v>
      </c>
      <c r="DI100" s="17">
        <f t="shared" si="19"/>
        <v>0.9</v>
      </c>
    </row>
    <row r="101" spans="1:113" ht="13.8">
      <c r="A101" s="27">
        <f t="shared" ca="1" si="10"/>
        <v>39600</v>
      </c>
      <c r="B101" s="17">
        <f>'Gas Curves'!C105</f>
        <v>5.857191959244501E-2</v>
      </c>
      <c r="C101" s="17"/>
      <c r="D101" s="55">
        <v>38384</v>
      </c>
      <c r="E101" s="56">
        <v>58.35</v>
      </c>
      <c r="F101" s="56">
        <v>60</v>
      </c>
      <c r="G101" s="56">
        <v>61.52</v>
      </c>
      <c r="H101" s="40"/>
      <c r="I101" s="56">
        <v>22.175000000000001</v>
      </c>
      <c r="J101" s="56">
        <v>23</v>
      </c>
      <c r="K101" s="56">
        <v>23.76</v>
      </c>
      <c r="L101" s="23"/>
      <c r="M101" s="24">
        <v>39264</v>
      </c>
      <c r="N101" s="57">
        <v>34.975001525878909</v>
      </c>
      <c r="O101" s="57">
        <v>42.400001525878906</v>
      </c>
      <c r="P101" s="57">
        <v>50.147501525878909</v>
      </c>
      <c r="Q101" s="22"/>
      <c r="R101" s="57">
        <v>31.400001525878906</v>
      </c>
      <c r="S101" s="57">
        <v>36.400001525878906</v>
      </c>
      <c r="T101" s="57">
        <v>44.147501525878909</v>
      </c>
      <c r="U101" s="22"/>
      <c r="V101" s="57">
        <v>0</v>
      </c>
      <c r="W101" s="57">
        <v>0</v>
      </c>
      <c r="X101" s="57">
        <v>0</v>
      </c>
      <c r="Y101" s="22"/>
      <c r="Z101" s="57">
        <v>0.1787840200617187</v>
      </c>
      <c r="AA101" s="57">
        <v>0.3575680401234374</v>
      </c>
      <c r="AB101" s="57">
        <v>0.53635206018515613</v>
      </c>
      <c r="AC101" s="22"/>
      <c r="AD101" s="57">
        <v>5.2087531994803191E-2</v>
      </c>
      <c r="AE101" s="57">
        <v>0.10417506398960638</v>
      </c>
      <c r="AF101" s="57">
        <v>0.15626259598440956</v>
      </c>
      <c r="AG101" s="22"/>
      <c r="AH101" s="57">
        <v>-0.35</v>
      </c>
      <c r="AI101" s="57">
        <v>3</v>
      </c>
      <c r="AJ101" s="57">
        <v>0.5</v>
      </c>
      <c r="AK101" s="22"/>
      <c r="AL101" s="57">
        <v>-0.15</v>
      </c>
      <c r="AM101" s="57">
        <v>0.75</v>
      </c>
      <c r="AN101" s="57">
        <v>0.2</v>
      </c>
      <c r="AO101" s="22"/>
      <c r="AP101" s="23">
        <v>28</v>
      </c>
      <c r="AQ101" s="58">
        <v>0.4</v>
      </c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4">
        <v>39264</v>
      </c>
      <c r="BI101" s="60">
        <v>0.9</v>
      </c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/>
      <c r="CM101" s="80"/>
      <c r="CN101" s="80"/>
      <c r="CO101" s="61"/>
      <c r="CP101"/>
      <c r="CQ101"/>
      <c r="CR101"/>
      <c r="CS101"/>
      <c r="CT101"/>
      <c r="CY101" s="282">
        <f t="shared" si="11"/>
        <v>39264</v>
      </c>
      <c r="CZ101" s="281">
        <f t="shared" si="12"/>
        <v>2.65</v>
      </c>
      <c r="DA101" s="281">
        <f t="shared" si="13"/>
        <v>3</v>
      </c>
      <c r="DB101" s="281">
        <f t="shared" si="14"/>
        <v>3.5</v>
      </c>
      <c r="DD101" s="281">
        <f t="shared" si="15"/>
        <v>0.1787840200617187</v>
      </c>
      <c r="DE101" s="281">
        <f t="shared" si="16"/>
        <v>0.3575680401234374</v>
      </c>
      <c r="DF101" s="281">
        <f t="shared" si="17"/>
        <v>0.53635206018515613</v>
      </c>
      <c r="DH101" s="282">
        <f t="shared" si="18"/>
        <v>39264</v>
      </c>
      <c r="DI101" s="17">
        <f t="shared" si="19"/>
        <v>0.9</v>
      </c>
    </row>
    <row r="102" spans="1:113" ht="13.8">
      <c r="A102" s="27">
        <f t="shared" ca="1" si="10"/>
        <v>39630</v>
      </c>
      <c r="B102" s="17">
        <f>'Gas Curves'!C106</f>
        <v>5.8629043147752018E-2</v>
      </c>
      <c r="C102" s="17"/>
      <c r="D102" s="55">
        <v>38412</v>
      </c>
      <c r="E102" s="56">
        <v>41.35</v>
      </c>
      <c r="F102" s="56">
        <v>43</v>
      </c>
      <c r="G102" s="56">
        <v>44.52</v>
      </c>
      <c r="H102" s="40"/>
      <c r="I102" s="56">
        <v>22.574999618530274</v>
      </c>
      <c r="J102" s="56">
        <v>23.399999618530273</v>
      </c>
      <c r="K102" s="56">
        <v>24.159999618530275</v>
      </c>
      <c r="L102" s="23"/>
      <c r="M102" s="24">
        <v>39295</v>
      </c>
      <c r="N102" s="57">
        <v>46.725001525878909</v>
      </c>
      <c r="O102" s="57">
        <v>54.150001525878906</v>
      </c>
      <c r="P102" s="57">
        <v>61.897501525878909</v>
      </c>
      <c r="Q102" s="22"/>
      <c r="R102" s="57">
        <v>43.200000762939453</v>
      </c>
      <c r="S102" s="57">
        <v>48.200000762939453</v>
      </c>
      <c r="T102" s="57">
        <v>55.947500762939455</v>
      </c>
      <c r="U102" s="22"/>
      <c r="V102" s="57">
        <v>0</v>
      </c>
      <c r="W102" s="57">
        <v>0</v>
      </c>
      <c r="X102" s="57">
        <v>0</v>
      </c>
      <c r="Y102" s="22"/>
      <c r="Z102" s="57">
        <v>0.17486675406562496</v>
      </c>
      <c r="AA102" s="57">
        <v>0.34973350813124993</v>
      </c>
      <c r="AB102" s="57">
        <v>0.52460026219687483</v>
      </c>
      <c r="AC102" s="22"/>
      <c r="AD102" s="57">
        <v>5.2087531994803191E-2</v>
      </c>
      <c r="AE102" s="57">
        <v>0.10417506398960638</v>
      </c>
      <c r="AF102" s="57">
        <v>0.15626259598440956</v>
      </c>
      <c r="AG102" s="22"/>
      <c r="AH102" s="57">
        <v>-0.35</v>
      </c>
      <c r="AI102" s="57">
        <v>3</v>
      </c>
      <c r="AJ102" s="57">
        <v>0.5</v>
      </c>
      <c r="AK102" s="22"/>
      <c r="AL102" s="57">
        <v>-0.15</v>
      </c>
      <c r="AM102" s="57">
        <v>0.75</v>
      </c>
      <c r="AN102" s="57">
        <v>0.2</v>
      </c>
      <c r="AO102" s="22"/>
      <c r="AP102" s="23">
        <v>29</v>
      </c>
      <c r="AQ102" s="58">
        <v>0.4</v>
      </c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4">
        <v>39295</v>
      </c>
      <c r="BI102" s="60">
        <v>0.9</v>
      </c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/>
      <c r="CM102" s="80"/>
      <c r="CN102" s="80"/>
      <c r="CO102" s="61"/>
      <c r="CP102"/>
      <c r="CQ102"/>
      <c r="CR102"/>
      <c r="CS102"/>
      <c r="CT102"/>
      <c r="CY102" s="282">
        <f t="shared" si="11"/>
        <v>39295</v>
      </c>
      <c r="CZ102" s="281">
        <f t="shared" si="12"/>
        <v>2.65</v>
      </c>
      <c r="DA102" s="281">
        <f t="shared" si="13"/>
        <v>3</v>
      </c>
      <c r="DB102" s="281">
        <f t="shared" si="14"/>
        <v>3.5</v>
      </c>
      <c r="DD102" s="281">
        <f t="shared" si="15"/>
        <v>0.17486675406562496</v>
      </c>
      <c r="DE102" s="281">
        <f t="shared" si="16"/>
        <v>0.34973350813124993</v>
      </c>
      <c r="DF102" s="281">
        <f t="shared" si="17"/>
        <v>0.52460026219687483</v>
      </c>
      <c r="DH102" s="282">
        <f t="shared" si="18"/>
        <v>39295</v>
      </c>
      <c r="DI102" s="17">
        <f t="shared" si="19"/>
        <v>0.9</v>
      </c>
    </row>
    <row r="103" spans="1:113" ht="13.8">
      <c r="A103" s="27">
        <f t="shared" ca="1" si="10"/>
        <v>39661</v>
      </c>
      <c r="B103" s="17">
        <f>'Gas Curves'!C107</f>
        <v>5.8688070822709014E-2</v>
      </c>
      <c r="C103" s="17"/>
      <c r="D103" s="55">
        <v>38443</v>
      </c>
      <c r="E103" s="56">
        <v>37.4</v>
      </c>
      <c r="F103" s="56">
        <v>39.5</v>
      </c>
      <c r="G103" s="56">
        <v>41.02</v>
      </c>
      <c r="H103" s="40"/>
      <c r="I103" s="56">
        <v>20.099999618530273</v>
      </c>
      <c r="J103" s="56">
        <v>21.149999618530273</v>
      </c>
      <c r="K103" s="56">
        <v>21.909999618530275</v>
      </c>
      <c r="L103" s="23"/>
      <c r="M103" s="24">
        <v>39326</v>
      </c>
      <c r="N103" s="57">
        <v>28.48750114440918</v>
      </c>
      <c r="O103" s="57">
        <v>31.525001144409178</v>
      </c>
      <c r="P103" s="57">
        <v>33.910001144409179</v>
      </c>
      <c r="Q103" s="22"/>
      <c r="R103" s="57">
        <v>23.800001525878905</v>
      </c>
      <c r="S103" s="57">
        <v>28.800001525878905</v>
      </c>
      <c r="T103" s="57">
        <v>31.185001525878903</v>
      </c>
      <c r="U103" s="22"/>
      <c r="V103" s="57">
        <v>0</v>
      </c>
      <c r="W103" s="57">
        <v>0</v>
      </c>
      <c r="X103" s="57">
        <v>0</v>
      </c>
      <c r="Y103" s="22"/>
      <c r="Z103" s="57">
        <v>0.13249064102343749</v>
      </c>
      <c r="AA103" s="57">
        <v>0.26498128204687499</v>
      </c>
      <c r="AB103" s="57">
        <v>0.39747192307031248</v>
      </c>
      <c r="AC103" s="22"/>
      <c r="AD103" s="57">
        <v>3.4725021329868787E-2</v>
      </c>
      <c r="AE103" s="57">
        <v>6.9450042659737574E-2</v>
      </c>
      <c r="AF103" s="57">
        <v>0.10417506398960635</v>
      </c>
      <c r="AG103" s="22"/>
      <c r="AH103" s="57">
        <v>-0.35</v>
      </c>
      <c r="AI103" s="57">
        <v>1.5</v>
      </c>
      <c r="AJ103" s="57">
        <v>0.3</v>
      </c>
      <c r="AK103" s="22"/>
      <c r="AL103" s="57">
        <v>-0.15</v>
      </c>
      <c r="AM103" s="57">
        <v>0.4</v>
      </c>
      <c r="AN103" s="57">
        <v>0.2</v>
      </c>
      <c r="AO103" s="22"/>
      <c r="AP103" s="23">
        <v>29</v>
      </c>
      <c r="AQ103" s="58">
        <v>0.4</v>
      </c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4">
        <v>39326</v>
      </c>
      <c r="BI103" s="60">
        <v>0.9</v>
      </c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/>
      <c r="CM103" s="80"/>
      <c r="CN103" s="80"/>
      <c r="CO103" s="61"/>
      <c r="CP103"/>
      <c r="CQ103"/>
      <c r="CR103"/>
      <c r="CS103"/>
      <c r="CT103"/>
      <c r="CY103" s="282">
        <f t="shared" si="11"/>
        <v>39326</v>
      </c>
      <c r="CZ103" s="281">
        <f t="shared" si="12"/>
        <v>1.1499999999999999</v>
      </c>
      <c r="DA103" s="281">
        <f t="shared" si="13"/>
        <v>1.5</v>
      </c>
      <c r="DB103" s="281">
        <f t="shared" si="14"/>
        <v>1.8</v>
      </c>
      <c r="DD103" s="281">
        <f t="shared" si="15"/>
        <v>0.13249064102343749</v>
      </c>
      <c r="DE103" s="281">
        <f t="shared" si="16"/>
        <v>0.26498128204687499</v>
      </c>
      <c r="DF103" s="281">
        <f t="shared" si="17"/>
        <v>0.39747192307031248</v>
      </c>
      <c r="DH103" s="282">
        <f t="shared" si="18"/>
        <v>39326</v>
      </c>
      <c r="DI103" s="17">
        <f t="shared" si="19"/>
        <v>0.9</v>
      </c>
    </row>
    <row r="104" spans="1:113" ht="13.8">
      <c r="A104" s="27">
        <f t="shared" ca="1" si="10"/>
        <v>39692</v>
      </c>
      <c r="B104" s="17">
        <f>'Gas Curves'!C108</f>
        <v>5.8747098498824021E-2</v>
      </c>
      <c r="C104" s="17"/>
      <c r="D104" s="55">
        <v>38473</v>
      </c>
      <c r="E104" s="56">
        <v>41.9</v>
      </c>
      <c r="F104" s="56">
        <v>44</v>
      </c>
      <c r="G104" s="56">
        <v>46.89</v>
      </c>
      <c r="H104" s="40"/>
      <c r="I104" s="56">
        <v>21.099999618530273</v>
      </c>
      <c r="J104" s="56">
        <v>22.149999618530273</v>
      </c>
      <c r="K104" s="56">
        <v>23.594999618530274</v>
      </c>
      <c r="L104" s="23"/>
      <c r="M104" s="24">
        <v>39356</v>
      </c>
      <c r="N104" s="57">
        <v>25.950001144409178</v>
      </c>
      <c r="O104" s="57">
        <v>27.525001144409178</v>
      </c>
      <c r="P104" s="57">
        <v>29.032501144409178</v>
      </c>
      <c r="Q104" s="22"/>
      <c r="R104" s="57">
        <v>19.300001525878905</v>
      </c>
      <c r="S104" s="57">
        <v>24.300001525878905</v>
      </c>
      <c r="T104" s="57">
        <v>25.807501525878905</v>
      </c>
      <c r="U104" s="22"/>
      <c r="V104" s="57">
        <v>0</v>
      </c>
      <c r="W104" s="57">
        <v>0</v>
      </c>
      <c r="X104" s="57">
        <v>0</v>
      </c>
      <c r="Y104" s="22"/>
      <c r="Z104" s="57">
        <v>0.11459212071289061</v>
      </c>
      <c r="AA104" s="57">
        <v>0.22918424142578123</v>
      </c>
      <c r="AB104" s="57">
        <v>0.34377636213867185</v>
      </c>
      <c r="AC104" s="22"/>
      <c r="AD104" s="57">
        <v>2.6043765997401595E-2</v>
      </c>
      <c r="AE104" s="57">
        <v>5.2087531994803191E-2</v>
      </c>
      <c r="AF104" s="57">
        <v>7.8131297992204779E-2</v>
      </c>
      <c r="AG104" s="22"/>
      <c r="AH104" s="57">
        <v>-0.25</v>
      </c>
      <c r="AI104" s="57">
        <v>1.1000000000000001</v>
      </c>
      <c r="AJ104" s="57">
        <v>0.3</v>
      </c>
      <c r="AK104" s="22"/>
      <c r="AL104" s="57">
        <v>-0.15</v>
      </c>
      <c r="AM104" s="57">
        <v>0.35</v>
      </c>
      <c r="AN104" s="57">
        <v>0.2</v>
      </c>
      <c r="AO104" s="22"/>
      <c r="AP104" s="23">
        <v>29</v>
      </c>
      <c r="AQ104" s="58">
        <v>0.4</v>
      </c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4">
        <v>39356</v>
      </c>
      <c r="BI104" s="60">
        <v>0.9</v>
      </c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/>
      <c r="CM104" s="80"/>
      <c r="CN104" s="80"/>
      <c r="CO104" s="61"/>
      <c r="CP104"/>
      <c r="CQ104"/>
      <c r="CR104"/>
      <c r="CS104"/>
      <c r="CT104"/>
      <c r="CY104" s="282">
        <f t="shared" si="11"/>
        <v>39356</v>
      </c>
      <c r="CZ104" s="281">
        <f t="shared" si="12"/>
        <v>0.85000000000000009</v>
      </c>
      <c r="DA104" s="281">
        <f t="shared" si="13"/>
        <v>1.1000000000000001</v>
      </c>
      <c r="DB104" s="281">
        <f t="shared" si="14"/>
        <v>1.4000000000000001</v>
      </c>
      <c r="DD104" s="281">
        <f t="shared" si="15"/>
        <v>0.11459212071289061</v>
      </c>
      <c r="DE104" s="281">
        <f t="shared" si="16"/>
        <v>0.22918424142578123</v>
      </c>
      <c r="DF104" s="281">
        <f t="shared" si="17"/>
        <v>0.34377636213867185</v>
      </c>
      <c r="DH104" s="282">
        <f t="shared" si="18"/>
        <v>39356</v>
      </c>
      <c r="DI104" s="17">
        <f t="shared" si="19"/>
        <v>0.9</v>
      </c>
    </row>
    <row r="105" spans="1:113" ht="13.8">
      <c r="A105" s="27">
        <f t="shared" ca="1" si="10"/>
        <v>39722</v>
      </c>
      <c r="B105" s="17">
        <f>'Gas Curves'!C109</f>
        <v>5.8804222057458E-2</v>
      </c>
      <c r="C105" s="17"/>
      <c r="D105" s="55">
        <v>38504</v>
      </c>
      <c r="E105" s="56">
        <v>49.95</v>
      </c>
      <c r="F105" s="56">
        <v>54</v>
      </c>
      <c r="G105" s="56">
        <v>58.4</v>
      </c>
      <c r="H105" s="40"/>
      <c r="I105" s="56">
        <v>20.499999618530275</v>
      </c>
      <c r="J105" s="56">
        <v>22.524999618530273</v>
      </c>
      <c r="K105" s="56">
        <v>24.724999618530273</v>
      </c>
      <c r="L105" s="23"/>
      <c r="M105" s="24">
        <v>39387</v>
      </c>
      <c r="N105" s="57">
        <v>28.300001525878905</v>
      </c>
      <c r="O105" s="57">
        <v>29.875001525878904</v>
      </c>
      <c r="P105" s="57">
        <v>31.382501525878904</v>
      </c>
      <c r="Q105" s="22"/>
      <c r="R105" s="57">
        <v>21.500000381469725</v>
      </c>
      <c r="S105" s="57">
        <v>26.500000381469725</v>
      </c>
      <c r="T105" s="57">
        <v>28.007500381469725</v>
      </c>
      <c r="U105" s="22"/>
      <c r="V105" s="57">
        <v>0</v>
      </c>
      <c r="W105" s="57">
        <v>0</v>
      </c>
      <c r="X105" s="57">
        <v>0</v>
      </c>
      <c r="Y105" s="22"/>
      <c r="Z105" s="57">
        <v>0.11459212071289061</v>
      </c>
      <c r="AA105" s="57">
        <v>0.22918424142578123</v>
      </c>
      <c r="AB105" s="57">
        <v>0.34377636213867185</v>
      </c>
      <c r="AC105" s="22"/>
      <c r="AD105" s="57">
        <v>2.6043765997401595E-2</v>
      </c>
      <c r="AE105" s="57">
        <v>5.2087531994803191E-2</v>
      </c>
      <c r="AF105" s="57">
        <v>7.8131297992204779E-2</v>
      </c>
      <c r="AG105" s="22"/>
      <c r="AH105" s="57">
        <v>-0.25</v>
      </c>
      <c r="AI105" s="57">
        <v>1.25</v>
      </c>
      <c r="AJ105" s="57">
        <v>0.3</v>
      </c>
      <c r="AK105" s="22"/>
      <c r="AL105" s="57">
        <v>-0.15</v>
      </c>
      <c r="AM105" s="57">
        <v>0.3</v>
      </c>
      <c r="AN105" s="57">
        <v>0.2</v>
      </c>
      <c r="AO105" s="22"/>
      <c r="AP105" s="23">
        <v>30</v>
      </c>
      <c r="AQ105" s="58">
        <v>0.4</v>
      </c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4">
        <v>39387</v>
      </c>
      <c r="BI105" s="60">
        <v>0.9</v>
      </c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/>
      <c r="CM105" s="80"/>
      <c r="CN105" s="80"/>
      <c r="CO105" s="61"/>
      <c r="CP105"/>
      <c r="CQ105"/>
      <c r="CR105"/>
      <c r="CS105"/>
      <c r="CT105"/>
      <c r="CY105" s="282">
        <f t="shared" si="11"/>
        <v>39387</v>
      </c>
      <c r="CZ105" s="281">
        <f t="shared" si="12"/>
        <v>1</v>
      </c>
      <c r="DA105" s="281">
        <f t="shared" si="13"/>
        <v>1.25</v>
      </c>
      <c r="DB105" s="281">
        <f t="shared" si="14"/>
        <v>1.55</v>
      </c>
      <c r="DD105" s="281">
        <f t="shared" si="15"/>
        <v>0.11459212071289061</v>
      </c>
      <c r="DE105" s="281">
        <f t="shared" si="16"/>
        <v>0.22918424142578123</v>
      </c>
      <c r="DF105" s="281">
        <f t="shared" si="17"/>
        <v>0.34377636213867185</v>
      </c>
      <c r="DH105" s="282">
        <f t="shared" si="18"/>
        <v>39387</v>
      </c>
      <c r="DI105" s="17">
        <f t="shared" si="19"/>
        <v>0.9</v>
      </c>
    </row>
    <row r="106" spans="1:113" ht="13.8">
      <c r="A106" s="27">
        <f t="shared" ca="1" si="10"/>
        <v>39753</v>
      </c>
      <c r="B106" s="17">
        <f>'Gas Curves'!C110</f>
        <v>5.8863249735852996E-2</v>
      </c>
      <c r="C106" s="17"/>
      <c r="D106" s="55">
        <v>38534</v>
      </c>
      <c r="E106" s="56">
        <v>63.35</v>
      </c>
      <c r="F106" s="56">
        <v>73.25</v>
      </c>
      <c r="G106" s="56">
        <v>82.64</v>
      </c>
      <c r="H106" s="40"/>
      <c r="I106" s="56">
        <v>21.3</v>
      </c>
      <c r="J106" s="56">
        <v>26.25</v>
      </c>
      <c r="K106" s="56">
        <v>30.945</v>
      </c>
      <c r="L106" s="23"/>
      <c r="M106" s="24">
        <v>39417</v>
      </c>
      <c r="N106" s="57">
        <v>28.9</v>
      </c>
      <c r="O106" s="57">
        <v>30.475000000000001</v>
      </c>
      <c r="P106" s="57">
        <v>31.982500000000002</v>
      </c>
      <c r="Q106" s="22"/>
      <c r="R106" s="57">
        <v>22.000000381469725</v>
      </c>
      <c r="S106" s="57">
        <v>27.000000381469725</v>
      </c>
      <c r="T106" s="57">
        <v>28.507500381469725</v>
      </c>
      <c r="U106" s="22"/>
      <c r="V106" s="57">
        <v>0</v>
      </c>
      <c r="W106" s="57">
        <v>0</v>
      </c>
      <c r="X106" s="57">
        <v>0</v>
      </c>
      <c r="Y106" s="22"/>
      <c r="Z106" s="57">
        <v>0.11230463081640622</v>
      </c>
      <c r="AA106" s="57">
        <v>0.22460926163281245</v>
      </c>
      <c r="AB106" s="57">
        <v>0.33691389244921865</v>
      </c>
      <c r="AC106" s="22"/>
      <c r="AD106" s="57">
        <v>2.6043765997401595E-2</v>
      </c>
      <c r="AE106" s="57">
        <v>5.2087531994803191E-2</v>
      </c>
      <c r="AF106" s="57">
        <v>7.8131297992204779E-2</v>
      </c>
      <c r="AG106" s="22"/>
      <c r="AH106" s="57">
        <v>-0.25</v>
      </c>
      <c r="AI106" s="57">
        <v>1.25</v>
      </c>
      <c r="AJ106" s="57">
        <v>0.35</v>
      </c>
      <c r="AK106" s="22"/>
      <c r="AL106" s="57">
        <v>-0.15</v>
      </c>
      <c r="AM106" s="57">
        <v>0.3</v>
      </c>
      <c r="AN106" s="57">
        <v>0.2</v>
      </c>
      <c r="AO106" s="22"/>
      <c r="AP106" s="23">
        <v>30</v>
      </c>
      <c r="AQ106" s="58">
        <v>0.4</v>
      </c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4">
        <v>39417</v>
      </c>
      <c r="BI106" s="60">
        <v>0.9</v>
      </c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/>
      <c r="CM106" s="80"/>
      <c r="CN106" s="80"/>
      <c r="CO106" s="61"/>
      <c r="CP106"/>
      <c r="CQ106"/>
      <c r="CR106"/>
      <c r="CS106"/>
      <c r="CT106"/>
      <c r="CY106" s="282">
        <f t="shared" si="11"/>
        <v>39417</v>
      </c>
      <c r="CZ106" s="281">
        <f t="shared" si="12"/>
        <v>1</v>
      </c>
      <c r="DA106" s="281">
        <f t="shared" si="13"/>
        <v>1.25</v>
      </c>
      <c r="DB106" s="281">
        <f t="shared" si="14"/>
        <v>1.6</v>
      </c>
      <c r="DD106" s="281">
        <f t="shared" si="15"/>
        <v>0.11230463081640622</v>
      </c>
      <c r="DE106" s="281">
        <f t="shared" si="16"/>
        <v>0.22460926163281245</v>
      </c>
      <c r="DF106" s="281">
        <f t="shared" si="17"/>
        <v>0.33691389244921865</v>
      </c>
      <c r="DH106" s="282">
        <f t="shared" si="18"/>
        <v>39417</v>
      </c>
      <c r="DI106" s="17">
        <f t="shared" si="19"/>
        <v>0.9</v>
      </c>
    </row>
    <row r="107" spans="1:113" ht="13.8">
      <c r="A107" s="27">
        <f t="shared" ca="1" si="10"/>
        <v>39783</v>
      </c>
      <c r="B107" s="17">
        <f>'Gas Curves'!C111</f>
        <v>5.8920373296692009E-2</v>
      </c>
      <c r="C107" s="17"/>
      <c r="D107" s="55">
        <v>38565</v>
      </c>
      <c r="E107" s="56">
        <v>63.35</v>
      </c>
      <c r="F107" s="56">
        <v>73.25</v>
      </c>
      <c r="G107" s="56">
        <v>82.64</v>
      </c>
      <c r="H107" s="40"/>
      <c r="I107" s="56">
        <v>33.450001525878903</v>
      </c>
      <c r="J107" s="56">
        <v>38.400001525878906</v>
      </c>
      <c r="K107" s="56">
        <v>43.095001525878907</v>
      </c>
      <c r="L107" s="23"/>
      <c r="M107" s="24">
        <v>39448</v>
      </c>
      <c r="N107" s="57">
        <v>31.729496002197269</v>
      </c>
      <c r="O107" s="57">
        <v>33.304496002197268</v>
      </c>
      <c r="P107" s="57">
        <v>34.564496002197266</v>
      </c>
      <c r="Q107" s="22"/>
      <c r="R107" s="57">
        <v>24.403997421264648</v>
      </c>
      <c r="S107" s="57">
        <v>29.403997421264648</v>
      </c>
      <c r="T107" s="57">
        <v>30.66399742126465</v>
      </c>
      <c r="U107" s="22"/>
      <c r="V107" s="57">
        <v>0</v>
      </c>
      <c r="W107" s="57">
        <v>0</v>
      </c>
      <c r="X107" s="57">
        <v>0</v>
      </c>
      <c r="Y107" s="22"/>
      <c r="Z107" s="57">
        <v>0.16572646674140623</v>
      </c>
      <c r="AA107" s="57">
        <v>0.33145293348281246</v>
      </c>
      <c r="AB107" s="57">
        <v>0.49717940022421869</v>
      </c>
      <c r="AC107" s="22"/>
      <c r="AD107" s="57">
        <v>2.9776705790362502E-2</v>
      </c>
      <c r="AE107" s="57">
        <v>5.9553411580725003E-2</v>
      </c>
      <c r="AF107" s="57">
        <v>8.9330117371087508E-2</v>
      </c>
      <c r="AG107" s="22"/>
      <c r="AH107" s="57">
        <v>-0.75</v>
      </c>
      <c r="AI107" s="57">
        <v>2</v>
      </c>
      <c r="AJ107" s="57">
        <v>0.75</v>
      </c>
      <c r="AK107" s="22"/>
      <c r="AL107" s="57">
        <v>-0.15</v>
      </c>
      <c r="AM107" s="57">
        <v>0.5</v>
      </c>
      <c r="AN107" s="57">
        <v>0.2</v>
      </c>
      <c r="AO107" s="22"/>
      <c r="AP107" s="23">
        <v>30</v>
      </c>
      <c r="AQ107" s="58">
        <v>0.4</v>
      </c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4">
        <v>39448</v>
      </c>
      <c r="BI107" s="60">
        <v>0.9</v>
      </c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/>
      <c r="CM107" s="80"/>
      <c r="CN107" s="80"/>
      <c r="CO107" s="61"/>
      <c r="CP107"/>
      <c r="CQ107"/>
      <c r="CR107"/>
      <c r="CS107"/>
      <c r="CT107"/>
      <c r="CY107" s="282">
        <f t="shared" si="11"/>
        <v>39448</v>
      </c>
      <c r="CZ107" s="281">
        <f t="shared" si="12"/>
        <v>1.25</v>
      </c>
      <c r="DA107" s="281">
        <f t="shared" si="13"/>
        <v>2</v>
      </c>
      <c r="DB107" s="281">
        <f t="shared" si="14"/>
        <v>2.75</v>
      </c>
      <c r="DD107" s="281">
        <f t="shared" si="15"/>
        <v>0.16572646674140623</v>
      </c>
      <c r="DE107" s="281">
        <f t="shared" si="16"/>
        <v>0.33145293348281246</v>
      </c>
      <c r="DF107" s="281">
        <f t="shared" si="17"/>
        <v>0.49717940022421869</v>
      </c>
      <c r="DH107" s="282">
        <f t="shared" si="18"/>
        <v>39448</v>
      </c>
      <c r="DI107" s="17">
        <f t="shared" si="19"/>
        <v>0.9</v>
      </c>
    </row>
    <row r="108" spans="1:113" ht="13.8">
      <c r="A108" s="27">
        <f t="shared" ca="1" si="10"/>
        <v>39814</v>
      </c>
      <c r="B108" s="17">
        <f>'Gas Curves'!C112</f>
        <v>5.8979400977367008E-2</v>
      </c>
      <c r="C108" s="17"/>
      <c r="D108" s="55">
        <v>38596</v>
      </c>
      <c r="E108" s="56">
        <v>37.450000000000003</v>
      </c>
      <c r="F108" s="56">
        <v>41.5</v>
      </c>
      <c r="G108" s="56">
        <v>44.39</v>
      </c>
      <c r="H108" s="40"/>
      <c r="I108" s="56">
        <v>24.874999618530275</v>
      </c>
      <c r="J108" s="56">
        <v>26.899999618530273</v>
      </c>
      <c r="K108" s="56">
        <v>28.344999618530274</v>
      </c>
      <c r="L108" s="23"/>
      <c r="M108" s="24">
        <v>39479</v>
      </c>
      <c r="N108" s="57">
        <v>31.391996765136721</v>
      </c>
      <c r="O108" s="57">
        <v>32.629496765136722</v>
      </c>
      <c r="P108" s="57">
        <v>33.88949676513672</v>
      </c>
      <c r="Q108" s="22"/>
      <c r="R108" s="57">
        <v>23.803997039794922</v>
      </c>
      <c r="S108" s="57">
        <v>28.803997039794922</v>
      </c>
      <c r="T108" s="57">
        <v>30.063997039794923</v>
      </c>
      <c r="U108" s="22"/>
      <c r="V108" s="57">
        <v>0</v>
      </c>
      <c r="W108" s="57">
        <v>0</v>
      </c>
      <c r="X108" s="57">
        <v>0</v>
      </c>
      <c r="Y108" s="22"/>
      <c r="Z108" s="57">
        <v>0.16010301377812497</v>
      </c>
      <c r="AA108" s="57">
        <v>0.32020602755624994</v>
      </c>
      <c r="AB108" s="57">
        <v>0.48030904133437491</v>
      </c>
      <c r="AC108" s="22"/>
      <c r="AD108" s="57">
        <v>2.9776705790362502E-2</v>
      </c>
      <c r="AE108" s="57">
        <v>5.9553411580725003E-2</v>
      </c>
      <c r="AF108" s="57">
        <v>8.9330117371087508E-2</v>
      </c>
      <c r="AG108" s="22"/>
      <c r="AH108" s="57">
        <v>-0.75</v>
      </c>
      <c r="AI108" s="57">
        <v>2</v>
      </c>
      <c r="AJ108" s="57">
        <v>0.75</v>
      </c>
      <c r="AK108" s="22"/>
      <c r="AL108" s="57">
        <v>-0.15</v>
      </c>
      <c r="AM108" s="57">
        <v>0.5</v>
      </c>
      <c r="AN108" s="57">
        <v>0.2</v>
      </c>
      <c r="AO108" s="22"/>
      <c r="AP108" s="23">
        <v>31</v>
      </c>
      <c r="AQ108" s="58">
        <v>0.4</v>
      </c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4">
        <v>39479</v>
      </c>
      <c r="BI108" s="60">
        <v>0.9</v>
      </c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/>
      <c r="CM108" s="80"/>
      <c r="CN108" s="80"/>
      <c r="CO108" s="61"/>
      <c r="CP108"/>
      <c r="CQ108"/>
      <c r="CR108"/>
      <c r="CS108"/>
      <c r="CT108"/>
      <c r="CY108" s="282">
        <f t="shared" si="11"/>
        <v>39479</v>
      </c>
      <c r="CZ108" s="281">
        <f t="shared" si="12"/>
        <v>1.25</v>
      </c>
      <c r="DA108" s="281">
        <f t="shared" si="13"/>
        <v>2</v>
      </c>
      <c r="DB108" s="281">
        <f t="shared" si="14"/>
        <v>2.75</v>
      </c>
      <c r="DD108" s="281">
        <f t="shared" si="15"/>
        <v>0.16010301377812497</v>
      </c>
      <c r="DE108" s="281">
        <f t="shared" si="16"/>
        <v>0.32020602755624994</v>
      </c>
      <c r="DF108" s="281">
        <f t="shared" si="17"/>
        <v>0.48030904133437491</v>
      </c>
      <c r="DH108" s="282">
        <f t="shared" si="18"/>
        <v>39479</v>
      </c>
      <c r="DI108" s="17">
        <f t="shared" si="19"/>
        <v>0.9</v>
      </c>
    </row>
    <row r="109" spans="1:113" ht="13.8">
      <c r="A109" s="27">
        <f t="shared" ca="1" si="10"/>
        <v>39845</v>
      </c>
      <c r="B109" s="17">
        <f>'Gas Curves'!C113</f>
        <v>5.9038428659197999E-2</v>
      </c>
      <c r="C109" s="17"/>
      <c r="D109" s="55">
        <v>38626</v>
      </c>
      <c r="E109" s="56">
        <v>39.4</v>
      </c>
      <c r="F109" s="56">
        <v>41.5</v>
      </c>
      <c r="G109" s="56">
        <v>43.32</v>
      </c>
      <c r="H109" s="40"/>
      <c r="I109" s="56">
        <v>23.849999618530273</v>
      </c>
      <c r="J109" s="56">
        <v>24.899999618530273</v>
      </c>
      <c r="K109" s="56">
        <v>25.809999618530274</v>
      </c>
      <c r="L109" s="23"/>
      <c r="M109" s="24">
        <v>39508</v>
      </c>
      <c r="N109" s="57">
        <v>25.537496948242186</v>
      </c>
      <c r="O109" s="57">
        <v>26.774996948242187</v>
      </c>
      <c r="P109" s="57">
        <v>28.034996948242188</v>
      </c>
      <c r="Q109" s="22"/>
      <c r="R109" s="57">
        <v>18.599998474121094</v>
      </c>
      <c r="S109" s="57">
        <v>23.599998474121094</v>
      </c>
      <c r="T109" s="57">
        <v>24.859998474121095</v>
      </c>
      <c r="U109" s="22"/>
      <c r="V109" s="57">
        <v>0</v>
      </c>
      <c r="W109" s="57">
        <v>0</v>
      </c>
      <c r="X109" s="57">
        <v>0</v>
      </c>
      <c r="Y109" s="22"/>
      <c r="Z109" s="57">
        <v>0.12692280356503902</v>
      </c>
      <c r="AA109" s="57">
        <v>0.25384560713007803</v>
      </c>
      <c r="AB109" s="57">
        <v>0.38076841069511702</v>
      </c>
      <c r="AC109" s="22"/>
      <c r="AD109" s="57">
        <v>2.6043765997401595E-2</v>
      </c>
      <c r="AE109" s="57">
        <v>5.2087531994803191E-2</v>
      </c>
      <c r="AF109" s="57">
        <v>7.8131297992204779E-2</v>
      </c>
      <c r="AG109" s="22"/>
      <c r="AH109" s="57">
        <v>-0.25</v>
      </c>
      <c r="AI109" s="57">
        <v>1.3</v>
      </c>
      <c r="AJ109" s="57">
        <v>0.3</v>
      </c>
      <c r="AK109" s="22"/>
      <c r="AL109" s="57">
        <v>-0.15</v>
      </c>
      <c r="AM109" s="57">
        <v>0.35</v>
      </c>
      <c r="AN109" s="57">
        <v>0.2</v>
      </c>
      <c r="AO109" s="22"/>
      <c r="AP109" s="23">
        <v>31</v>
      </c>
      <c r="AQ109" s="58">
        <v>0.4</v>
      </c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4">
        <v>39508</v>
      </c>
      <c r="BI109" s="60">
        <v>0.9</v>
      </c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/>
      <c r="CM109" s="80"/>
      <c r="CN109" s="80"/>
      <c r="CO109" s="61"/>
      <c r="CP109"/>
      <c r="CQ109"/>
      <c r="CR109"/>
      <c r="CS109"/>
      <c r="CT109"/>
      <c r="CY109" s="282">
        <f t="shared" si="11"/>
        <v>39508</v>
      </c>
      <c r="CZ109" s="281">
        <f t="shared" si="12"/>
        <v>1.05</v>
      </c>
      <c r="DA109" s="281">
        <f t="shared" si="13"/>
        <v>1.3</v>
      </c>
      <c r="DB109" s="281">
        <f t="shared" si="14"/>
        <v>1.6</v>
      </c>
      <c r="DD109" s="281">
        <f t="shared" si="15"/>
        <v>0.12692280356503902</v>
      </c>
      <c r="DE109" s="281">
        <f t="shared" si="16"/>
        <v>0.25384560713007803</v>
      </c>
      <c r="DF109" s="281">
        <f t="shared" si="17"/>
        <v>0.38076841069511702</v>
      </c>
      <c r="DH109" s="282">
        <f t="shared" si="18"/>
        <v>39508</v>
      </c>
      <c r="DI109" s="17">
        <f t="shared" si="19"/>
        <v>0.9</v>
      </c>
    </row>
    <row r="110" spans="1:113" ht="13.8">
      <c r="A110" s="27">
        <f t="shared" ca="1" si="10"/>
        <v>39873</v>
      </c>
      <c r="B110" s="17">
        <f>'Gas Curves'!C114</f>
        <v>5.9091743985720008E-2</v>
      </c>
      <c r="C110" s="17"/>
      <c r="D110" s="55">
        <v>38657</v>
      </c>
      <c r="E110" s="56">
        <v>41.9</v>
      </c>
      <c r="F110" s="56">
        <v>44</v>
      </c>
      <c r="G110" s="56">
        <v>45.82</v>
      </c>
      <c r="H110" s="40"/>
      <c r="I110" s="56">
        <v>24.599999618530273</v>
      </c>
      <c r="J110" s="56">
        <v>25.649999618530273</v>
      </c>
      <c r="K110" s="56">
        <v>26.559999618530274</v>
      </c>
      <c r="L110" s="23"/>
      <c r="M110" s="24">
        <v>39539</v>
      </c>
      <c r="N110" s="57">
        <v>24.524999618530273</v>
      </c>
      <c r="O110" s="57">
        <v>26.099999618530273</v>
      </c>
      <c r="P110" s="57">
        <v>27.359999618530274</v>
      </c>
      <c r="Q110" s="22"/>
      <c r="R110" s="57">
        <v>18</v>
      </c>
      <c r="S110" s="57">
        <v>23</v>
      </c>
      <c r="T110" s="57">
        <v>24.26</v>
      </c>
      <c r="U110" s="22"/>
      <c r="V110" s="57">
        <v>0</v>
      </c>
      <c r="W110" s="57">
        <v>0</v>
      </c>
      <c r="X110" s="57">
        <v>0</v>
      </c>
      <c r="Y110" s="22"/>
      <c r="Z110" s="57">
        <v>0.12674821924101562</v>
      </c>
      <c r="AA110" s="57">
        <v>0.25349643848203124</v>
      </c>
      <c r="AB110" s="57">
        <v>0.38024465772304683</v>
      </c>
      <c r="AC110" s="22"/>
      <c r="AD110" s="57">
        <v>2.6043765997401595E-2</v>
      </c>
      <c r="AE110" s="57">
        <v>5.2087531994803191E-2</v>
      </c>
      <c r="AF110" s="57">
        <v>7.8131297992204779E-2</v>
      </c>
      <c r="AG110" s="22"/>
      <c r="AH110" s="57">
        <v>-0.25</v>
      </c>
      <c r="AI110" s="57">
        <v>1.1000000000000001</v>
      </c>
      <c r="AJ110" s="57">
        <v>0.3</v>
      </c>
      <c r="AK110" s="22"/>
      <c r="AL110" s="57">
        <v>-0.15</v>
      </c>
      <c r="AM110" s="57">
        <v>0.35</v>
      </c>
      <c r="AN110" s="57">
        <v>0.2</v>
      </c>
      <c r="AO110" s="22"/>
      <c r="AP110" s="23">
        <v>31</v>
      </c>
      <c r="AQ110" s="58">
        <v>0.4</v>
      </c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4">
        <v>39539</v>
      </c>
      <c r="BI110" s="60">
        <v>0.9</v>
      </c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/>
      <c r="CM110" s="80"/>
      <c r="CN110" s="80"/>
      <c r="CO110" s="61"/>
      <c r="CP110"/>
      <c r="CQ110"/>
      <c r="CR110"/>
      <c r="CS110"/>
      <c r="CT110"/>
      <c r="CY110" s="282">
        <f t="shared" si="11"/>
        <v>39539</v>
      </c>
      <c r="CZ110" s="281">
        <f t="shared" si="12"/>
        <v>0.85000000000000009</v>
      </c>
      <c r="DA110" s="281">
        <f t="shared" si="13"/>
        <v>1.1000000000000001</v>
      </c>
      <c r="DB110" s="281">
        <f t="shared" si="14"/>
        <v>1.4000000000000001</v>
      </c>
      <c r="DD110" s="281">
        <f t="shared" si="15"/>
        <v>0.12674821924101562</v>
      </c>
      <c r="DE110" s="281">
        <f t="shared" si="16"/>
        <v>0.25349643848203124</v>
      </c>
      <c r="DF110" s="281">
        <f t="shared" si="17"/>
        <v>0.38024465772304683</v>
      </c>
      <c r="DH110" s="282">
        <f t="shared" si="18"/>
        <v>39539</v>
      </c>
      <c r="DI110" s="17">
        <f t="shared" si="19"/>
        <v>0.9</v>
      </c>
    </row>
    <row r="111" spans="1:113" ht="13.8">
      <c r="A111" s="27">
        <f t="shared" ca="1" si="10"/>
        <v>39904</v>
      </c>
      <c r="B111" s="17">
        <f>'Gas Curves'!C115</f>
        <v>5.9150771669757012E-2</v>
      </c>
      <c r="C111" s="17"/>
      <c r="D111" s="55">
        <v>38687</v>
      </c>
      <c r="E111" s="56">
        <v>41.9</v>
      </c>
      <c r="F111" s="56">
        <v>44</v>
      </c>
      <c r="G111" s="56">
        <v>45.82</v>
      </c>
      <c r="H111" s="40"/>
      <c r="I111" s="56">
        <v>24.499999237060546</v>
      </c>
      <c r="J111" s="56">
        <v>25.549999237060547</v>
      </c>
      <c r="K111" s="56">
        <v>26.459999237060547</v>
      </c>
      <c r="L111" s="23"/>
      <c r="M111" s="24">
        <v>39569</v>
      </c>
      <c r="N111" s="57">
        <v>28.125</v>
      </c>
      <c r="O111" s="57">
        <v>29.7</v>
      </c>
      <c r="P111" s="57">
        <v>32.085000000000001</v>
      </c>
      <c r="Q111" s="22"/>
      <c r="R111" s="57">
        <v>21.19999885559082</v>
      </c>
      <c r="S111" s="57">
        <v>26.19999885559082</v>
      </c>
      <c r="T111" s="57">
        <v>28.584998855590818</v>
      </c>
      <c r="U111" s="22"/>
      <c r="V111" s="57">
        <v>0</v>
      </c>
      <c r="W111" s="57">
        <v>0</v>
      </c>
      <c r="X111" s="57">
        <v>0</v>
      </c>
      <c r="Y111" s="22"/>
      <c r="Z111" s="57">
        <v>0.13334199349992185</v>
      </c>
      <c r="AA111" s="57">
        <v>0.26668398699984369</v>
      </c>
      <c r="AB111" s="57">
        <v>0.40002598049976557</v>
      </c>
      <c r="AC111" s="22"/>
      <c r="AD111" s="57">
        <v>2.9776705790362502E-2</v>
      </c>
      <c r="AE111" s="57">
        <v>5.9553411580725003E-2</v>
      </c>
      <c r="AF111" s="57">
        <v>8.9330117371087508E-2</v>
      </c>
      <c r="AG111" s="22"/>
      <c r="AH111" s="57">
        <v>-0.25</v>
      </c>
      <c r="AI111" s="57">
        <v>1.1000000000000001</v>
      </c>
      <c r="AJ111" s="57">
        <v>0.3</v>
      </c>
      <c r="AK111" s="22"/>
      <c r="AL111" s="57">
        <v>-0.15</v>
      </c>
      <c r="AM111" s="57">
        <v>0.5</v>
      </c>
      <c r="AN111" s="57">
        <v>0.2</v>
      </c>
      <c r="AO111" s="22"/>
      <c r="AP111" s="23">
        <v>32</v>
      </c>
      <c r="AQ111" s="58">
        <v>0.4</v>
      </c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4">
        <v>39569</v>
      </c>
      <c r="BI111" s="60">
        <v>0.9</v>
      </c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/>
      <c r="CM111" s="80"/>
      <c r="CN111" s="80"/>
      <c r="CO111" s="61"/>
      <c r="CP111"/>
      <c r="CQ111"/>
      <c r="CR111"/>
      <c r="CS111"/>
      <c r="CT111"/>
      <c r="CY111" s="282">
        <f t="shared" si="11"/>
        <v>39569</v>
      </c>
      <c r="CZ111" s="281">
        <f t="shared" si="12"/>
        <v>0.85000000000000009</v>
      </c>
      <c r="DA111" s="281">
        <f t="shared" si="13"/>
        <v>1.1000000000000001</v>
      </c>
      <c r="DB111" s="281">
        <f t="shared" si="14"/>
        <v>1.4000000000000001</v>
      </c>
      <c r="DD111" s="281">
        <f t="shared" si="15"/>
        <v>0.13334199349992185</v>
      </c>
      <c r="DE111" s="281">
        <f t="shared" si="16"/>
        <v>0.26668398699984369</v>
      </c>
      <c r="DF111" s="281">
        <f t="shared" si="17"/>
        <v>0.40002598049976557</v>
      </c>
      <c r="DH111" s="282">
        <f t="shared" si="18"/>
        <v>39569</v>
      </c>
      <c r="DI111" s="17">
        <f t="shared" si="19"/>
        <v>0.9</v>
      </c>
    </row>
    <row r="112" spans="1:113" ht="13.8">
      <c r="A112" s="27">
        <f t="shared" ca="1" si="10"/>
        <v>39934</v>
      </c>
      <c r="B112" s="17">
        <f>'Gas Curves'!C116</f>
        <v>5.9207895236056012E-2</v>
      </c>
      <c r="C112" s="17"/>
      <c r="D112" s="55">
        <v>38718</v>
      </c>
      <c r="E112" s="56">
        <v>56.9</v>
      </c>
      <c r="F112" s="56">
        <v>59</v>
      </c>
      <c r="G112" s="56">
        <v>60.68</v>
      </c>
      <c r="H112" s="40"/>
      <c r="I112" s="56">
        <v>25.300000381469726</v>
      </c>
      <c r="J112" s="56">
        <v>26.350000381469727</v>
      </c>
      <c r="K112" s="56">
        <v>27.190000381469726</v>
      </c>
      <c r="L112" s="23"/>
      <c r="M112" s="24">
        <v>39600</v>
      </c>
      <c r="N112" s="57">
        <v>33.462503051757814</v>
      </c>
      <c r="O112" s="57">
        <v>36.500003051757815</v>
      </c>
      <c r="P112" s="57">
        <v>40.130003051757818</v>
      </c>
      <c r="Q112" s="22"/>
      <c r="R112" s="57">
        <v>26.700002670288086</v>
      </c>
      <c r="S112" s="57">
        <v>31.700002670288086</v>
      </c>
      <c r="T112" s="57">
        <v>35.330002670288088</v>
      </c>
      <c r="U112" s="22"/>
      <c r="V112" s="57">
        <v>0</v>
      </c>
      <c r="W112" s="57">
        <v>0</v>
      </c>
      <c r="X112" s="57">
        <v>0</v>
      </c>
      <c r="Y112" s="22"/>
      <c r="Z112" s="57">
        <v>0.14260047586234373</v>
      </c>
      <c r="AA112" s="57">
        <v>0.28520095172468746</v>
      </c>
      <c r="AB112" s="57">
        <v>0.42780142758703121</v>
      </c>
      <c r="AC112" s="22"/>
      <c r="AD112" s="57">
        <v>3.8284336016180351E-2</v>
      </c>
      <c r="AE112" s="57">
        <v>7.6568672032360702E-2</v>
      </c>
      <c r="AF112" s="57">
        <v>0.11485300804854105</v>
      </c>
      <c r="AG112" s="22"/>
      <c r="AH112" s="57">
        <v>-0.35</v>
      </c>
      <c r="AI112" s="57">
        <v>2</v>
      </c>
      <c r="AJ112" s="57">
        <v>0.3</v>
      </c>
      <c r="AK112" s="22"/>
      <c r="AL112" s="57">
        <v>-0.15</v>
      </c>
      <c r="AM112" s="57">
        <v>0.65</v>
      </c>
      <c r="AN112" s="57">
        <v>0.2</v>
      </c>
      <c r="AO112" s="22"/>
      <c r="AP112" s="23">
        <v>32</v>
      </c>
      <c r="AQ112" s="58">
        <v>0.4</v>
      </c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4">
        <v>39600</v>
      </c>
      <c r="BI112" s="60">
        <v>0.9</v>
      </c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/>
      <c r="CM112" s="80"/>
      <c r="CN112" s="80"/>
      <c r="CO112" s="61"/>
      <c r="CP112"/>
      <c r="CQ112"/>
      <c r="CR112"/>
      <c r="CS112"/>
      <c r="CT112"/>
      <c r="CY112" s="282">
        <f t="shared" si="11"/>
        <v>39600</v>
      </c>
      <c r="CZ112" s="281">
        <f t="shared" si="12"/>
        <v>1.65</v>
      </c>
      <c r="DA112" s="281">
        <f t="shared" si="13"/>
        <v>2</v>
      </c>
      <c r="DB112" s="281">
        <f t="shared" si="14"/>
        <v>2.2999999999999998</v>
      </c>
      <c r="DD112" s="281">
        <f t="shared" si="15"/>
        <v>0.14260047586234373</v>
      </c>
      <c r="DE112" s="281">
        <f t="shared" si="16"/>
        <v>0.28520095172468746</v>
      </c>
      <c r="DF112" s="281">
        <f t="shared" si="17"/>
        <v>0.42780142758703121</v>
      </c>
      <c r="DH112" s="282">
        <f t="shared" si="18"/>
        <v>39600</v>
      </c>
      <c r="DI112" s="17">
        <f t="shared" si="19"/>
        <v>0.9</v>
      </c>
    </row>
    <row r="113" spans="1:113" ht="13.8">
      <c r="A113" s="27">
        <f t="shared" ca="1" si="10"/>
        <v>39965</v>
      </c>
      <c r="B113" s="17">
        <f>'Gas Curves'!C117</f>
        <v>5.9266922922372012E-2</v>
      </c>
      <c r="C113" s="17"/>
      <c r="D113" s="55">
        <v>38749</v>
      </c>
      <c r="E113" s="56">
        <v>57.35</v>
      </c>
      <c r="F113" s="56">
        <v>59</v>
      </c>
      <c r="G113" s="56">
        <v>60.68</v>
      </c>
      <c r="H113" s="40"/>
      <c r="I113" s="56">
        <v>22.175000000000001</v>
      </c>
      <c r="J113" s="56">
        <v>23</v>
      </c>
      <c r="K113" s="56">
        <v>23.84</v>
      </c>
      <c r="L113" s="23"/>
      <c r="M113" s="24">
        <v>39630</v>
      </c>
      <c r="N113" s="57">
        <v>35.475001525878909</v>
      </c>
      <c r="O113" s="57">
        <v>42.900001525878906</v>
      </c>
      <c r="P113" s="57">
        <v>50.647501525878909</v>
      </c>
      <c r="Q113" s="22"/>
      <c r="R113" s="57">
        <v>31.900001525878906</v>
      </c>
      <c r="S113" s="57">
        <v>36.900001525878906</v>
      </c>
      <c r="T113" s="57">
        <v>44.647501525878909</v>
      </c>
      <c r="U113" s="22"/>
      <c r="V113" s="57">
        <v>0</v>
      </c>
      <c r="W113" s="57">
        <v>0</v>
      </c>
      <c r="X113" s="57">
        <v>0</v>
      </c>
      <c r="Y113" s="22"/>
      <c r="Z113" s="57">
        <v>0.16984481905863275</v>
      </c>
      <c r="AA113" s="57">
        <v>0.33968963811726549</v>
      </c>
      <c r="AB113" s="57">
        <v>0.50953445717589818</v>
      </c>
      <c r="AC113" s="22"/>
      <c r="AD113" s="57">
        <v>5.1045781354907123E-2</v>
      </c>
      <c r="AE113" s="57">
        <v>0.10209156270981425</v>
      </c>
      <c r="AF113" s="57">
        <v>0.15313734406472138</v>
      </c>
      <c r="AG113" s="22"/>
      <c r="AH113" s="57">
        <v>-0.35</v>
      </c>
      <c r="AI113" s="57">
        <v>3</v>
      </c>
      <c r="AJ113" s="57">
        <v>0.5</v>
      </c>
      <c r="AK113" s="22"/>
      <c r="AL113" s="57">
        <v>-0.15</v>
      </c>
      <c r="AM113" s="57">
        <v>0.75</v>
      </c>
      <c r="AN113" s="57">
        <v>0.2</v>
      </c>
      <c r="AO113" s="22"/>
      <c r="AP113" s="23">
        <v>32</v>
      </c>
      <c r="AQ113" s="58">
        <v>0.4</v>
      </c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4">
        <v>39630</v>
      </c>
      <c r="BI113" s="60">
        <v>0.9</v>
      </c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/>
      <c r="CM113" s="80"/>
      <c r="CN113" s="80"/>
      <c r="CO113" s="61"/>
      <c r="CP113"/>
      <c r="CQ113"/>
      <c r="CR113"/>
      <c r="CS113"/>
      <c r="CT113"/>
      <c r="CY113" s="282">
        <f t="shared" si="11"/>
        <v>39630</v>
      </c>
      <c r="CZ113" s="281">
        <f t="shared" si="12"/>
        <v>2.65</v>
      </c>
      <c r="DA113" s="281">
        <f t="shared" si="13"/>
        <v>3</v>
      </c>
      <c r="DB113" s="281">
        <f t="shared" si="14"/>
        <v>3.5</v>
      </c>
      <c r="DD113" s="281">
        <f t="shared" si="15"/>
        <v>0.16984481905863275</v>
      </c>
      <c r="DE113" s="281">
        <f t="shared" si="16"/>
        <v>0.33968963811726549</v>
      </c>
      <c r="DF113" s="281">
        <f t="shared" si="17"/>
        <v>0.50953445717589818</v>
      </c>
      <c r="DH113" s="282">
        <f t="shared" si="18"/>
        <v>39630</v>
      </c>
      <c r="DI113" s="17">
        <f t="shared" si="19"/>
        <v>0.9</v>
      </c>
    </row>
    <row r="114" spans="1:113" ht="13.8">
      <c r="A114" s="27">
        <f t="shared" ca="1" si="10"/>
        <v>39995</v>
      </c>
      <c r="B114" s="17">
        <f>'Gas Curves'!C118</f>
        <v>5.9324046490877018E-2</v>
      </c>
      <c r="C114" s="17"/>
      <c r="D114" s="55">
        <v>38777</v>
      </c>
      <c r="E114" s="56">
        <v>40.35</v>
      </c>
      <c r="F114" s="56">
        <v>42</v>
      </c>
      <c r="G114" s="56">
        <v>43.68</v>
      </c>
      <c r="H114" s="40"/>
      <c r="I114" s="56">
        <v>22.574999618530274</v>
      </c>
      <c r="J114" s="56">
        <v>23.399999618530273</v>
      </c>
      <c r="K114" s="56">
        <v>24.239999618530273</v>
      </c>
      <c r="L114" s="23"/>
      <c r="M114" s="24">
        <v>39661</v>
      </c>
      <c r="N114" s="57">
        <v>47.225001525878909</v>
      </c>
      <c r="O114" s="57">
        <v>54.650001525878906</v>
      </c>
      <c r="P114" s="57">
        <v>62.397501525878909</v>
      </c>
      <c r="Q114" s="22"/>
      <c r="R114" s="57">
        <v>43.700000762939453</v>
      </c>
      <c r="S114" s="57">
        <v>48.700000762939453</v>
      </c>
      <c r="T114" s="57">
        <v>56.447500762939455</v>
      </c>
      <c r="U114" s="22"/>
      <c r="V114" s="57">
        <v>0</v>
      </c>
      <c r="W114" s="57">
        <v>0</v>
      </c>
      <c r="X114" s="57">
        <v>0</v>
      </c>
      <c r="Y114" s="22"/>
      <c r="Z114" s="57">
        <v>0.16612341636234371</v>
      </c>
      <c r="AA114" s="57">
        <v>0.33224683272468741</v>
      </c>
      <c r="AB114" s="57">
        <v>0.49837024908703109</v>
      </c>
      <c r="AC114" s="22"/>
      <c r="AD114" s="57">
        <v>5.1045781354907123E-2</v>
      </c>
      <c r="AE114" s="57">
        <v>0.10209156270981425</v>
      </c>
      <c r="AF114" s="57">
        <v>0.15313734406472138</v>
      </c>
      <c r="AG114" s="22"/>
      <c r="AH114" s="57">
        <v>-0.35</v>
      </c>
      <c r="AI114" s="57">
        <v>3</v>
      </c>
      <c r="AJ114" s="57">
        <v>0.5</v>
      </c>
      <c r="AK114" s="22"/>
      <c r="AL114" s="57">
        <v>-0.15</v>
      </c>
      <c r="AM114" s="57">
        <v>0.75</v>
      </c>
      <c r="AN114" s="57">
        <v>0.2</v>
      </c>
      <c r="AO114" s="22"/>
      <c r="AP114" s="23">
        <v>33</v>
      </c>
      <c r="AQ114" s="58">
        <v>0.4</v>
      </c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4">
        <v>39661</v>
      </c>
      <c r="BI114" s="60">
        <v>0.9</v>
      </c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/>
      <c r="CM114" s="80"/>
      <c r="CN114" s="80"/>
      <c r="CO114" s="61"/>
      <c r="CP114"/>
      <c r="CQ114"/>
      <c r="CR114"/>
      <c r="CS114"/>
      <c r="CT114"/>
      <c r="CY114" s="282">
        <f t="shared" si="11"/>
        <v>39661</v>
      </c>
      <c r="CZ114" s="281">
        <f t="shared" si="12"/>
        <v>2.65</v>
      </c>
      <c r="DA114" s="281">
        <f t="shared" si="13"/>
        <v>3</v>
      </c>
      <c r="DB114" s="281">
        <f t="shared" si="14"/>
        <v>3.5</v>
      </c>
      <c r="DD114" s="281">
        <f t="shared" si="15"/>
        <v>0.16612341636234371</v>
      </c>
      <c r="DE114" s="281">
        <f t="shared" si="16"/>
        <v>0.33224683272468741</v>
      </c>
      <c r="DF114" s="281">
        <f t="shared" si="17"/>
        <v>0.49837024908703109</v>
      </c>
      <c r="DH114" s="282">
        <f t="shared" si="18"/>
        <v>39661</v>
      </c>
      <c r="DI114" s="17">
        <f t="shared" si="19"/>
        <v>0.9</v>
      </c>
    </row>
    <row r="115" spans="1:113" ht="13.8">
      <c r="A115" s="27">
        <f t="shared" ca="1" si="10"/>
        <v>40026</v>
      </c>
      <c r="B115" s="17">
        <f>'Gas Curves'!C119</f>
        <v>5.9383074179471008E-2</v>
      </c>
      <c r="C115" s="17"/>
      <c r="D115" s="55">
        <v>38808</v>
      </c>
      <c r="E115" s="56">
        <v>36.4</v>
      </c>
      <c r="F115" s="56">
        <v>38.5</v>
      </c>
      <c r="G115" s="56">
        <v>40.18</v>
      </c>
      <c r="H115" s="40"/>
      <c r="I115" s="56">
        <v>20.099999618530273</v>
      </c>
      <c r="J115" s="56">
        <v>21.149999618530273</v>
      </c>
      <c r="K115" s="56">
        <v>21.989999618530273</v>
      </c>
      <c r="L115" s="23"/>
      <c r="M115" s="24">
        <v>39692</v>
      </c>
      <c r="N115" s="57">
        <v>28.987501144409173</v>
      </c>
      <c r="O115" s="57">
        <v>32.025001144409174</v>
      </c>
      <c r="P115" s="57">
        <v>34.410001144409172</v>
      </c>
      <c r="Q115" s="22"/>
      <c r="R115" s="57">
        <v>24.300001525878905</v>
      </c>
      <c r="S115" s="57">
        <v>29.300001525878905</v>
      </c>
      <c r="T115" s="57">
        <v>31.685001525878903</v>
      </c>
      <c r="U115" s="22"/>
      <c r="V115" s="57">
        <v>0</v>
      </c>
      <c r="W115" s="57">
        <v>0</v>
      </c>
      <c r="X115" s="57">
        <v>0</v>
      </c>
      <c r="Y115" s="22"/>
      <c r="Z115" s="57">
        <v>0.12586610897226561</v>
      </c>
      <c r="AA115" s="57">
        <v>0.25173221794453121</v>
      </c>
      <c r="AB115" s="57">
        <v>0.37759832691679684</v>
      </c>
      <c r="AC115" s="22"/>
      <c r="AD115" s="57">
        <v>3.4030520903271411E-2</v>
      </c>
      <c r="AE115" s="57">
        <v>6.8061041806542821E-2</v>
      </c>
      <c r="AF115" s="57">
        <v>0.10209156270981423</v>
      </c>
      <c r="AG115" s="22"/>
      <c r="AH115" s="57">
        <v>-0.35</v>
      </c>
      <c r="AI115" s="57">
        <v>1.5</v>
      </c>
      <c r="AJ115" s="57">
        <v>0.3</v>
      </c>
      <c r="AK115" s="22"/>
      <c r="AL115" s="57">
        <v>-0.15</v>
      </c>
      <c r="AM115" s="57">
        <v>0.4</v>
      </c>
      <c r="AN115" s="57">
        <v>0.2</v>
      </c>
      <c r="AO115" s="22"/>
      <c r="AP115" s="23">
        <v>33</v>
      </c>
      <c r="AQ115" s="58">
        <v>0.4</v>
      </c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4">
        <v>39692</v>
      </c>
      <c r="BI115" s="60">
        <v>0.9</v>
      </c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/>
      <c r="CM115" s="80"/>
      <c r="CN115" s="80"/>
      <c r="CO115" s="61"/>
      <c r="CP115"/>
      <c r="CQ115"/>
      <c r="CR115"/>
      <c r="CS115"/>
      <c r="CT115"/>
      <c r="CY115" s="282">
        <f t="shared" si="11"/>
        <v>39692</v>
      </c>
      <c r="CZ115" s="281">
        <f t="shared" si="12"/>
        <v>1.1499999999999999</v>
      </c>
      <c r="DA115" s="281">
        <f t="shared" si="13"/>
        <v>1.5</v>
      </c>
      <c r="DB115" s="281">
        <f t="shared" si="14"/>
        <v>1.8</v>
      </c>
      <c r="DD115" s="281">
        <f t="shared" si="15"/>
        <v>0.12586610897226561</v>
      </c>
      <c r="DE115" s="281">
        <f t="shared" si="16"/>
        <v>0.25173221794453121</v>
      </c>
      <c r="DF115" s="281">
        <f t="shared" si="17"/>
        <v>0.37759832691679684</v>
      </c>
      <c r="DH115" s="282">
        <f t="shared" si="18"/>
        <v>39692</v>
      </c>
      <c r="DI115" s="17">
        <f t="shared" si="19"/>
        <v>0.9</v>
      </c>
    </row>
    <row r="116" spans="1:113" ht="13.8">
      <c r="A116" s="27">
        <f t="shared" ca="1" si="10"/>
        <v>40057</v>
      </c>
      <c r="B116" s="17">
        <f>'Gas Curves'!C120</f>
        <v>5.9442101869222996E-2</v>
      </c>
      <c r="C116" s="17"/>
      <c r="D116" s="55">
        <v>38838</v>
      </c>
      <c r="E116" s="56">
        <v>40.9</v>
      </c>
      <c r="F116" s="56">
        <v>43</v>
      </c>
      <c r="G116" s="56">
        <v>46.18</v>
      </c>
      <c r="H116" s="40"/>
      <c r="I116" s="56">
        <v>21.099999618530273</v>
      </c>
      <c r="J116" s="56">
        <v>22.149999618530273</v>
      </c>
      <c r="K116" s="56">
        <v>23.739999618530273</v>
      </c>
      <c r="L116" s="23"/>
      <c r="M116" s="24">
        <v>39722</v>
      </c>
      <c r="N116" s="57">
        <v>26.450001144409178</v>
      </c>
      <c r="O116" s="57">
        <v>28.025001144409178</v>
      </c>
      <c r="P116" s="57">
        <v>29.532501144409178</v>
      </c>
      <c r="Q116" s="22"/>
      <c r="R116" s="57">
        <v>19.800001525878905</v>
      </c>
      <c r="S116" s="57">
        <v>24.800001525878905</v>
      </c>
      <c r="T116" s="57">
        <v>26.307501525878905</v>
      </c>
      <c r="U116" s="22"/>
      <c r="V116" s="57">
        <v>0</v>
      </c>
      <c r="W116" s="57">
        <v>0</v>
      </c>
      <c r="X116" s="57">
        <v>0</v>
      </c>
      <c r="Y116" s="22"/>
      <c r="Z116" s="57">
        <v>0.10886251467724607</v>
      </c>
      <c r="AA116" s="57">
        <v>0.21772502935449214</v>
      </c>
      <c r="AB116" s="57">
        <v>0.32658754403173823</v>
      </c>
      <c r="AC116" s="22"/>
      <c r="AD116" s="57">
        <v>2.5522890677453561E-2</v>
      </c>
      <c r="AE116" s="57">
        <v>5.1045781354907123E-2</v>
      </c>
      <c r="AF116" s="57">
        <v>7.6568672032360688E-2</v>
      </c>
      <c r="AG116" s="22"/>
      <c r="AH116" s="57">
        <v>-0.25</v>
      </c>
      <c r="AI116" s="57">
        <v>1.1000000000000001</v>
      </c>
      <c r="AJ116" s="57">
        <v>0.3</v>
      </c>
      <c r="AK116" s="22"/>
      <c r="AL116" s="57">
        <v>-0.15</v>
      </c>
      <c r="AM116" s="57">
        <v>0.35</v>
      </c>
      <c r="AN116" s="57">
        <v>0.2</v>
      </c>
      <c r="AO116" s="22"/>
      <c r="AP116" s="23">
        <v>33</v>
      </c>
      <c r="AQ116" s="58">
        <v>0.4</v>
      </c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4">
        <v>39722</v>
      </c>
      <c r="BI116" s="60">
        <v>0.9</v>
      </c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/>
      <c r="CM116" s="80"/>
      <c r="CN116" s="80"/>
      <c r="CO116" s="61"/>
      <c r="CP116"/>
      <c r="CQ116"/>
      <c r="CR116"/>
      <c r="CS116"/>
      <c r="CT116"/>
      <c r="CY116" s="282">
        <f t="shared" si="11"/>
        <v>39722</v>
      </c>
      <c r="CZ116" s="281">
        <f t="shared" si="12"/>
        <v>0.85000000000000009</v>
      </c>
      <c r="DA116" s="281">
        <f t="shared" si="13"/>
        <v>1.1000000000000001</v>
      </c>
      <c r="DB116" s="281">
        <f t="shared" si="14"/>
        <v>1.4000000000000001</v>
      </c>
      <c r="DD116" s="281">
        <f t="shared" si="15"/>
        <v>0.10886251467724607</v>
      </c>
      <c r="DE116" s="281">
        <f t="shared" si="16"/>
        <v>0.21772502935449214</v>
      </c>
      <c r="DF116" s="281">
        <f t="shared" si="17"/>
        <v>0.32658754403173823</v>
      </c>
      <c r="DH116" s="282">
        <f t="shared" si="18"/>
        <v>39722</v>
      </c>
      <c r="DI116" s="17">
        <f t="shared" si="19"/>
        <v>0.9</v>
      </c>
    </row>
    <row r="117" spans="1:113" ht="13.8">
      <c r="A117" s="27">
        <f t="shared" ca="1" si="10"/>
        <v>40087</v>
      </c>
      <c r="B117" s="17">
        <f>'Gas Curves'!C121</f>
        <v>5.9499225441054016E-2</v>
      </c>
      <c r="C117" s="17"/>
      <c r="D117" s="55">
        <v>38869</v>
      </c>
      <c r="E117" s="56">
        <v>48.95</v>
      </c>
      <c r="F117" s="56">
        <v>53</v>
      </c>
      <c r="G117" s="56">
        <v>57.84</v>
      </c>
      <c r="H117" s="40"/>
      <c r="I117" s="56">
        <v>20.499999618530275</v>
      </c>
      <c r="J117" s="56">
        <v>22.524999618530273</v>
      </c>
      <c r="K117" s="56">
        <v>24.944999618530275</v>
      </c>
      <c r="L117" s="23"/>
      <c r="M117" s="24">
        <v>39753</v>
      </c>
      <c r="N117" s="57">
        <v>28.800001525878905</v>
      </c>
      <c r="O117" s="57">
        <v>30.375001525878904</v>
      </c>
      <c r="P117" s="57">
        <v>31.882501525878904</v>
      </c>
      <c r="Q117" s="22"/>
      <c r="R117" s="57">
        <v>22.000000381469725</v>
      </c>
      <c r="S117" s="57">
        <v>27.000000381469725</v>
      </c>
      <c r="T117" s="57">
        <v>28.507500381469725</v>
      </c>
      <c r="U117" s="22"/>
      <c r="V117" s="57">
        <v>0</v>
      </c>
      <c r="W117" s="57">
        <v>0</v>
      </c>
      <c r="X117" s="57">
        <v>0</v>
      </c>
      <c r="Y117" s="22"/>
      <c r="Z117" s="57">
        <v>0.10886251467724607</v>
      </c>
      <c r="AA117" s="57">
        <v>0.21772502935449214</v>
      </c>
      <c r="AB117" s="57">
        <v>0.32658754403173823</v>
      </c>
      <c r="AC117" s="22"/>
      <c r="AD117" s="57">
        <v>2.5522890677453561E-2</v>
      </c>
      <c r="AE117" s="57">
        <v>5.1045781354907123E-2</v>
      </c>
      <c r="AF117" s="57">
        <v>7.6568672032360688E-2</v>
      </c>
      <c r="AG117" s="22"/>
      <c r="AH117" s="57">
        <v>-0.25</v>
      </c>
      <c r="AI117" s="57">
        <v>1.25</v>
      </c>
      <c r="AJ117" s="57">
        <v>0.3</v>
      </c>
      <c r="AK117" s="22"/>
      <c r="AL117" s="57">
        <v>-0.15</v>
      </c>
      <c r="AM117" s="57">
        <v>0.3</v>
      </c>
      <c r="AN117" s="57">
        <v>0.2</v>
      </c>
      <c r="AO117" s="22"/>
      <c r="AP117" s="23">
        <v>34</v>
      </c>
      <c r="AQ117" s="58">
        <v>0.4</v>
      </c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4">
        <v>39753</v>
      </c>
      <c r="BI117" s="60">
        <v>0.9</v>
      </c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/>
      <c r="CM117" s="80"/>
      <c r="CN117" s="80"/>
      <c r="CO117" s="61"/>
      <c r="CP117"/>
      <c r="CQ117"/>
      <c r="CR117"/>
      <c r="CS117"/>
      <c r="CT117"/>
      <c r="CY117" s="282">
        <f t="shared" si="11"/>
        <v>39753</v>
      </c>
      <c r="CZ117" s="281">
        <f t="shared" si="12"/>
        <v>1</v>
      </c>
      <c r="DA117" s="281">
        <f t="shared" si="13"/>
        <v>1.25</v>
      </c>
      <c r="DB117" s="281">
        <f t="shared" si="14"/>
        <v>1.55</v>
      </c>
      <c r="DD117" s="281">
        <f t="shared" si="15"/>
        <v>0.10886251467724607</v>
      </c>
      <c r="DE117" s="281">
        <f t="shared" si="16"/>
        <v>0.21772502935449214</v>
      </c>
      <c r="DF117" s="281">
        <f t="shared" si="17"/>
        <v>0.32658754403173823</v>
      </c>
      <c r="DH117" s="282">
        <f t="shared" si="18"/>
        <v>39753</v>
      </c>
      <c r="DI117" s="17">
        <f t="shared" si="19"/>
        <v>0.9</v>
      </c>
    </row>
    <row r="118" spans="1:113" ht="13.8">
      <c r="A118" s="27">
        <f t="shared" ca="1" si="10"/>
        <v>40118</v>
      </c>
      <c r="B118" s="17">
        <f>'Gas Curves'!C122</f>
        <v>5.9558253133085E-2</v>
      </c>
      <c r="C118" s="17"/>
      <c r="D118" s="55">
        <v>38899</v>
      </c>
      <c r="E118" s="56">
        <v>62.35</v>
      </c>
      <c r="F118" s="56">
        <v>72.25</v>
      </c>
      <c r="G118" s="56">
        <v>82.58</v>
      </c>
      <c r="H118" s="40"/>
      <c r="I118" s="56">
        <v>21.3</v>
      </c>
      <c r="J118" s="56">
        <v>26.25</v>
      </c>
      <c r="K118" s="56">
        <v>31.414999999999999</v>
      </c>
      <c r="L118" s="23"/>
      <c r="M118" s="24">
        <v>39783</v>
      </c>
      <c r="N118" s="57">
        <v>29.4</v>
      </c>
      <c r="O118" s="57">
        <v>30.975000000000001</v>
      </c>
      <c r="P118" s="57">
        <v>32.482500000000002</v>
      </c>
      <c r="Q118" s="22"/>
      <c r="R118" s="57">
        <v>22.500000381469725</v>
      </c>
      <c r="S118" s="57">
        <v>27.500000381469725</v>
      </c>
      <c r="T118" s="57">
        <v>29.007500381469725</v>
      </c>
      <c r="U118" s="22"/>
      <c r="V118" s="57">
        <v>0</v>
      </c>
      <c r="W118" s="57">
        <v>0</v>
      </c>
      <c r="X118" s="57">
        <v>0</v>
      </c>
      <c r="Y118" s="22"/>
      <c r="Z118" s="57">
        <v>0.10668939927558591</v>
      </c>
      <c r="AA118" s="57">
        <v>0.21337879855117181</v>
      </c>
      <c r="AB118" s="57">
        <v>0.32006819782675772</v>
      </c>
      <c r="AC118" s="22"/>
      <c r="AD118" s="57">
        <v>2.5522890677453561E-2</v>
      </c>
      <c r="AE118" s="57">
        <v>5.1045781354907123E-2</v>
      </c>
      <c r="AF118" s="57">
        <v>7.6568672032360688E-2</v>
      </c>
      <c r="AG118" s="22"/>
      <c r="AH118" s="57">
        <v>-0.25</v>
      </c>
      <c r="AI118" s="57">
        <v>1.25</v>
      </c>
      <c r="AJ118" s="57">
        <v>0.35</v>
      </c>
      <c r="AK118" s="22"/>
      <c r="AL118" s="57">
        <v>-0.15</v>
      </c>
      <c r="AM118" s="57">
        <v>0.3</v>
      </c>
      <c r="AN118" s="57">
        <v>0.2</v>
      </c>
      <c r="AO118" s="22"/>
      <c r="AP118" s="23">
        <v>34</v>
      </c>
      <c r="AQ118" s="58">
        <v>0.4</v>
      </c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4">
        <v>39783</v>
      </c>
      <c r="BI118" s="60">
        <v>0.9</v>
      </c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/>
      <c r="CM118" s="80"/>
      <c r="CN118" s="80"/>
      <c r="CO118" s="61"/>
      <c r="CP118"/>
      <c r="CQ118"/>
      <c r="CR118"/>
      <c r="CS118"/>
      <c r="CT118"/>
      <c r="CY118" s="282">
        <f t="shared" si="11"/>
        <v>39783</v>
      </c>
      <c r="CZ118" s="281">
        <f t="shared" si="12"/>
        <v>1</v>
      </c>
      <c r="DA118" s="281">
        <f t="shared" si="13"/>
        <v>1.25</v>
      </c>
      <c r="DB118" s="281">
        <f t="shared" si="14"/>
        <v>1.6</v>
      </c>
      <c r="DD118" s="281">
        <f t="shared" si="15"/>
        <v>0.10668939927558591</v>
      </c>
      <c r="DE118" s="281">
        <f t="shared" si="16"/>
        <v>0.21337879855117181</v>
      </c>
      <c r="DF118" s="281">
        <f t="shared" si="17"/>
        <v>0.32006819782675772</v>
      </c>
      <c r="DH118" s="282">
        <f t="shared" si="18"/>
        <v>39783</v>
      </c>
      <c r="DI118" s="17">
        <f t="shared" si="19"/>
        <v>0.9</v>
      </c>
    </row>
    <row r="119" spans="1:113" ht="13.8">
      <c r="A119" s="27">
        <f t="shared" ca="1" si="10"/>
        <v>40148</v>
      </c>
      <c r="B119" s="17">
        <f>'Gas Curves'!C123</f>
        <v>5.9615376707121019E-2</v>
      </c>
      <c r="C119" s="17"/>
      <c r="D119" s="55">
        <v>38930</v>
      </c>
      <c r="E119" s="56">
        <v>62.35</v>
      </c>
      <c r="F119" s="56">
        <v>72.25</v>
      </c>
      <c r="G119" s="56">
        <v>82.58</v>
      </c>
      <c r="H119" s="40"/>
      <c r="I119" s="56">
        <v>33.450001525878903</v>
      </c>
      <c r="J119" s="56">
        <v>38.400001525878906</v>
      </c>
      <c r="K119" s="56">
        <v>43.565001525878905</v>
      </c>
      <c r="L119" s="23"/>
      <c r="M119" s="24">
        <v>39814</v>
      </c>
      <c r="N119" s="57">
        <v>32.229496002197266</v>
      </c>
      <c r="O119" s="57">
        <v>33.804496002197268</v>
      </c>
      <c r="P119" s="57">
        <v>35.064496002197266</v>
      </c>
      <c r="Q119" s="22"/>
      <c r="R119" s="57">
        <v>24.903997421264648</v>
      </c>
      <c r="S119" s="57">
        <v>29.903997421264648</v>
      </c>
      <c r="T119" s="57">
        <v>31.16399742126465</v>
      </c>
      <c r="U119" s="22"/>
      <c r="V119" s="57">
        <v>0</v>
      </c>
      <c r="W119" s="57">
        <v>0</v>
      </c>
      <c r="X119" s="57">
        <v>0</v>
      </c>
      <c r="Y119" s="22"/>
      <c r="Z119" s="57">
        <v>0.1574401434043359</v>
      </c>
      <c r="AA119" s="57">
        <v>0.31488028680867181</v>
      </c>
      <c r="AB119" s="57">
        <v>0.47232043021300774</v>
      </c>
      <c r="AC119" s="22"/>
      <c r="AD119" s="57">
        <v>2.9181171674555251E-2</v>
      </c>
      <c r="AE119" s="57">
        <v>5.8362343349110501E-2</v>
      </c>
      <c r="AF119" s="57">
        <v>8.7543515023665752E-2</v>
      </c>
      <c r="AG119" s="22"/>
      <c r="AH119" s="57">
        <v>-0.75</v>
      </c>
      <c r="AI119" s="57">
        <v>2</v>
      </c>
      <c r="AJ119" s="57">
        <v>0.75</v>
      </c>
      <c r="AK119" s="22"/>
      <c r="AL119" s="57">
        <v>-0.15</v>
      </c>
      <c r="AM119" s="57">
        <v>0.5</v>
      </c>
      <c r="AN119" s="57">
        <v>0.2</v>
      </c>
      <c r="AO119" s="22"/>
      <c r="AP119" s="23">
        <v>34</v>
      </c>
      <c r="AQ119" s="58">
        <v>0.4</v>
      </c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4">
        <v>39814</v>
      </c>
      <c r="BI119" s="60">
        <v>0.9</v>
      </c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/>
      <c r="CM119" s="80"/>
      <c r="CN119" s="80"/>
      <c r="CO119" s="61"/>
      <c r="CP119"/>
      <c r="CQ119"/>
      <c r="CR119"/>
      <c r="CS119"/>
      <c r="CT119"/>
      <c r="CY119" s="282">
        <f t="shared" si="11"/>
        <v>39814</v>
      </c>
      <c r="CZ119" s="281">
        <f t="shared" si="12"/>
        <v>1.25</v>
      </c>
      <c r="DA119" s="281">
        <f t="shared" si="13"/>
        <v>2</v>
      </c>
      <c r="DB119" s="281">
        <f t="shared" si="14"/>
        <v>2.75</v>
      </c>
      <c r="DD119" s="281">
        <f t="shared" si="15"/>
        <v>0.1574401434043359</v>
      </c>
      <c r="DE119" s="281">
        <f t="shared" si="16"/>
        <v>0.31488028680867181</v>
      </c>
      <c r="DF119" s="281">
        <f t="shared" si="17"/>
        <v>0.47232043021300774</v>
      </c>
      <c r="DH119" s="282">
        <f t="shared" si="18"/>
        <v>39814</v>
      </c>
      <c r="DI119" s="17">
        <f t="shared" si="19"/>
        <v>0.9</v>
      </c>
    </row>
    <row r="120" spans="1:113" ht="13.8">
      <c r="A120" s="27">
        <f t="shared" ca="1" si="10"/>
        <v>40179</v>
      </c>
      <c r="B120" s="17">
        <f>'Gas Curves'!C124</f>
        <v>5.9674404401431014E-2</v>
      </c>
      <c r="C120" s="17"/>
      <c r="D120" s="55">
        <v>38961</v>
      </c>
      <c r="E120" s="56">
        <v>36.450000000000003</v>
      </c>
      <c r="F120" s="56">
        <v>40.5</v>
      </c>
      <c r="G120" s="56">
        <v>43.68</v>
      </c>
      <c r="H120" s="40"/>
      <c r="I120" s="56">
        <v>24.874999618530275</v>
      </c>
      <c r="J120" s="56">
        <v>26.899999618530273</v>
      </c>
      <c r="K120" s="56">
        <v>28.489999618530273</v>
      </c>
      <c r="L120" s="23"/>
      <c r="M120" s="24">
        <v>39845</v>
      </c>
      <c r="N120" s="57">
        <v>31.891996765136721</v>
      </c>
      <c r="O120" s="57">
        <v>33.129496765136722</v>
      </c>
      <c r="P120" s="57">
        <v>34.38949676513672</v>
      </c>
      <c r="Q120" s="22"/>
      <c r="R120" s="57">
        <v>24.303997039794922</v>
      </c>
      <c r="S120" s="57">
        <v>29.303997039794922</v>
      </c>
      <c r="T120" s="57">
        <v>30.563997039794923</v>
      </c>
      <c r="U120" s="22"/>
      <c r="V120" s="57">
        <v>0</v>
      </c>
      <c r="W120" s="57">
        <v>0</v>
      </c>
      <c r="X120" s="57">
        <v>0</v>
      </c>
      <c r="Y120" s="22"/>
      <c r="Z120" s="57">
        <v>0.15209786308921872</v>
      </c>
      <c r="AA120" s="57">
        <v>0.30419572617843743</v>
      </c>
      <c r="AB120" s="57">
        <v>0.45629358926765617</v>
      </c>
      <c r="AC120" s="22"/>
      <c r="AD120" s="57">
        <v>2.9181171674555251E-2</v>
      </c>
      <c r="AE120" s="57">
        <v>5.8362343349110501E-2</v>
      </c>
      <c r="AF120" s="57">
        <v>8.7543515023665752E-2</v>
      </c>
      <c r="AG120" s="22"/>
      <c r="AH120" s="57">
        <v>-0.75</v>
      </c>
      <c r="AI120" s="57">
        <v>2</v>
      </c>
      <c r="AJ120" s="57">
        <v>0.75</v>
      </c>
      <c r="AK120" s="22"/>
      <c r="AL120" s="57">
        <v>-0.15</v>
      </c>
      <c r="AM120" s="57">
        <v>0.5</v>
      </c>
      <c r="AN120" s="57">
        <v>0.2</v>
      </c>
      <c r="AO120" s="22"/>
      <c r="AP120" s="23">
        <v>35</v>
      </c>
      <c r="AQ120" s="58">
        <v>0.4</v>
      </c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4">
        <v>39845</v>
      </c>
      <c r="BI120" s="60">
        <v>0.9</v>
      </c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/>
      <c r="CM120" s="80"/>
      <c r="CN120" s="80"/>
      <c r="CO120" s="61"/>
      <c r="CP120"/>
      <c r="CQ120"/>
      <c r="CR120"/>
      <c r="CS120"/>
      <c r="CT120"/>
      <c r="CY120" s="282">
        <f t="shared" si="11"/>
        <v>39845</v>
      </c>
      <c r="CZ120" s="281">
        <f t="shared" si="12"/>
        <v>1.25</v>
      </c>
      <c r="DA120" s="281">
        <f t="shared" si="13"/>
        <v>2</v>
      </c>
      <c r="DB120" s="281">
        <f t="shared" si="14"/>
        <v>2.75</v>
      </c>
      <c r="DD120" s="281">
        <f t="shared" si="15"/>
        <v>0.15209786308921872</v>
      </c>
      <c r="DE120" s="281">
        <f t="shared" si="16"/>
        <v>0.30419572617843743</v>
      </c>
      <c r="DF120" s="281">
        <f t="shared" si="17"/>
        <v>0.45629358926765617</v>
      </c>
      <c r="DH120" s="282">
        <f t="shared" si="18"/>
        <v>39845</v>
      </c>
      <c r="DI120" s="17">
        <f t="shared" si="19"/>
        <v>0.9</v>
      </c>
    </row>
    <row r="121" spans="1:113" ht="13.8">
      <c r="A121" s="27">
        <f t="shared" ca="1" si="10"/>
        <v>40210</v>
      </c>
      <c r="B121" s="17">
        <f>'Gas Curves'!C125</f>
        <v>5.9733432096898013E-2</v>
      </c>
      <c r="C121" s="17"/>
      <c r="D121" s="55">
        <v>38991</v>
      </c>
      <c r="E121" s="56">
        <v>38.4</v>
      </c>
      <c r="F121" s="56">
        <v>40.5</v>
      </c>
      <c r="G121" s="56">
        <v>42.51</v>
      </c>
      <c r="H121" s="40"/>
      <c r="I121" s="56">
        <v>23.849999618530273</v>
      </c>
      <c r="J121" s="56">
        <v>24.899999618530273</v>
      </c>
      <c r="K121" s="56">
        <v>25.904999618530272</v>
      </c>
      <c r="L121" s="23"/>
      <c r="M121" s="24">
        <v>39873</v>
      </c>
      <c r="N121" s="57">
        <v>26.037496948242186</v>
      </c>
      <c r="O121" s="57">
        <v>27.274996948242187</v>
      </c>
      <c r="P121" s="57">
        <v>28.534996948242188</v>
      </c>
      <c r="Q121" s="22"/>
      <c r="R121" s="57">
        <v>19.099998474121094</v>
      </c>
      <c r="S121" s="57">
        <v>24.099998474121094</v>
      </c>
      <c r="T121" s="57">
        <v>25.359998474121095</v>
      </c>
      <c r="U121" s="22"/>
      <c r="V121" s="57">
        <v>0</v>
      </c>
      <c r="W121" s="57">
        <v>0</v>
      </c>
      <c r="X121" s="57">
        <v>0</v>
      </c>
      <c r="Y121" s="22"/>
      <c r="Z121" s="57">
        <v>0.12057666338678706</v>
      </c>
      <c r="AA121" s="57">
        <v>0.24115332677357412</v>
      </c>
      <c r="AB121" s="57">
        <v>0.36172999016036117</v>
      </c>
      <c r="AC121" s="22"/>
      <c r="AD121" s="57">
        <v>2.5522890677453561E-2</v>
      </c>
      <c r="AE121" s="57">
        <v>5.1045781354907123E-2</v>
      </c>
      <c r="AF121" s="57">
        <v>7.6568672032360688E-2</v>
      </c>
      <c r="AG121" s="22"/>
      <c r="AH121" s="57">
        <v>-0.25</v>
      </c>
      <c r="AI121" s="57">
        <v>1.3</v>
      </c>
      <c r="AJ121" s="57">
        <v>0.3</v>
      </c>
      <c r="AK121" s="22"/>
      <c r="AL121" s="57">
        <v>-0.15</v>
      </c>
      <c r="AM121" s="57">
        <v>0.35</v>
      </c>
      <c r="AN121" s="57">
        <v>0.2</v>
      </c>
      <c r="AO121" s="22"/>
      <c r="AP121" s="23">
        <v>35</v>
      </c>
      <c r="AQ121" s="58">
        <v>0.4</v>
      </c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4">
        <v>39873</v>
      </c>
      <c r="BI121" s="60">
        <v>0.9</v>
      </c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/>
      <c r="CM121" s="80"/>
      <c r="CN121" s="80"/>
      <c r="CO121" s="61"/>
      <c r="CP121"/>
      <c r="CQ121"/>
      <c r="CR121"/>
      <c r="CS121"/>
      <c r="CT121"/>
      <c r="CY121" s="282">
        <f t="shared" si="11"/>
        <v>39873</v>
      </c>
      <c r="CZ121" s="281">
        <f t="shared" si="12"/>
        <v>1.05</v>
      </c>
      <c r="DA121" s="281">
        <f t="shared" si="13"/>
        <v>1.3</v>
      </c>
      <c r="DB121" s="281">
        <f t="shared" si="14"/>
        <v>1.6</v>
      </c>
      <c r="DD121" s="281">
        <f t="shared" si="15"/>
        <v>0.12057666338678706</v>
      </c>
      <c r="DE121" s="281">
        <f t="shared" si="16"/>
        <v>0.24115332677357412</v>
      </c>
      <c r="DF121" s="281">
        <f t="shared" si="17"/>
        <v>0.36172999016036117</v>
      </c>
      <c r="DH121" s="282">
        <f t="shared" si="18"/>
        <v>39873</v>
      </c>
      <c r="DI121" s="17">
        <f t="shared" si="19"/>
        <v>0.9</v>
      </c>
    </row>
    <row r="122" spans="1:113" ht="13.8">
      <c r="A122" s="27">
        <f t="shared" ca="1" si="10"/>
        <v>40238</v>
      </c>
      <c r="B122" s="17">
        <f>'Gas Curves'!C126</f>
        <v>5.9786747435735005E-2</v>
      </c>
      <c r="C122" s="17"/>
      <c r="D122" s="55">
        <v>39022</v>
      </c>
      <c r="E122" s="56">
        <v>40.9</v>
      </c>
      <c r="F122" s="56">
        <v>43</v>
      </c>
      <c r="G122" s="56">
        <v>45.01</v>
      </c>
      <c r="H122" s="40"/>
      <c r="I122" s="56">
        <v>24.599999618530273</v>
      </c>
      <c r="J122" s="56">
        <v>25.649999618530273</v>
      </c>
      <c r="K122" s="56">
        <v>26.654999618530272</v>
      </c>
      <c r="L122" s="23"/>
      <c r="M122" s="24">
        <v>39904</v>
      </c>
      <c r="N122" s="57">
        <v>25.024999618530273</v>
      </c>
      <c r="O122" s="57">
        <v>26.599999618530273</v>
      </c>
      <c r="P122" s="57">
        <v>27.859999618530274</v>
      </c>
      <c r="Q122" s="22"/>
      <c r="R122" s="57">
        <v>18.5</v>
      </c>
      <c r="S122" s="57">
        <v>23.5</v>
      </c>
      <c r="T122" s="57">
        <v>24.76</v>
      </c>
      <c r="U122" s="22"/>
      <c r="V122" s="57">
        <v>0</v>
      </c>
      <c r="W122" s="57">
        <v>0</v>
      </c>
      <c r="X122" s="57">
        <v>0</v>
      </c>
      <c r="Y122" s="22"/>
      <c r="Z122" s="57">
        <v>0.12041080827896483</v>
      </c>
      <c r="AA122" s="57">
        <v>0.24082161655792966</v>
      </c>
      <c r="AB122" s="57">
        <v>0.36123242483689449</v>
      </c>
      <c r="AC122" s="22"/>
      <c r="AD122" s="57">
        <v>2.5522890677453561E-2</v>
      </c>
      <c r="AE122" s="57">
        <v>5.1045781354907123E-2</v>
      </c>
      <c r="AF122" s="57">
        <v>7.6568672032360688E-2</v>
      </c>
      <c r="AG122" s="22"/>
      <c r="AH122" s="57">
        <v>-0.25</v>
      </c>
      <c r="AI122" s="57">
        <v>1.1000000000000001</v>
      </c>
      <c r="AJ122" s="57">
        <v>0.3</v>
      </c>
      <c r="AK122" s="22"/>
      <c r="AL122" s="57">
        <v>-0.15</v>
      </c>
      <c r="AM122" s="57">
        <v>0.35</v>
      </c>
      <c r="AN122" s="57">
        <v>0.2</v>
      </c>
      <c r="AO122" s="22"/>
      <c r="AP122" s="23">
        <v>35</v>
      </c>
      <c r="AQ122" s="58">
        <v>0.4</v>
      </c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4">
        <v>39904</v>
      </c>
      <c r="BI122" s="60">
        <v>0.9</v>
      </c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/>
      <c r="CM122" s="80"/>
      <c r="CN122" s="80"/>
      <c r="CO122" s="61"/>
      <c r="CP122"/>
      <c r="CQ122"/>
      <c r="CR122"/>
      <c r="CS122"/>
      <c r="CT122"/>
      <c r="CY122" s="282">
        <f t="shared" si="11"/>
        <v>39904</v>
      </c>
      <c r="CZ122" s="281">
        <f t="shared" si="12"/>
        <v>0.85000000000000009</v>
      </c>
      <c r="DA122" s="281">
        <f t="shared" si="13"/>
        <v>1.1000000000000001</v>
      </c>
      <c r="DB122" s="281">
        <f t="shared" si="14"/>
        <v>1.4000000000000001</v>
      </c>
      <c r="DD122" s="281">
        <f t="shared" si="15"/>
        <v>0.12041080827896483</v>
      </c>
      <c r="DE122" s="281">
        <f t="shared" si="16"/>
        <v>0.24082161655792966</v>
      </c>
      <c r="DF122" s="281">
        <f t="shared" si="17"/>
        <v>0.36123242483689449</v>
      </c>
      <c r="DH122" s="282">
        <f t="shared" si="18"/>
        <v>39904</v>
      </c>
      <c r="DI122" s="17">
        <f t="shared" si="19"/>
        <v>0.9</v>
      </c>
    </row>
    <row r="123" spans="1:113" ht="13.8">
      <c r="A123" s="27">
        <f t="shared" ca="1" si="10"/>
        <v>40269</v>
      </c>
      <c r="B123" s="17">
        <f>'Gas Curves'!C127</f>
        <v>5.9845775133406012E-2</v>
      </c>
      <c r="C123" s="17"/>
      <c r="D123" s="55">
        <v>39052</v>
      </c>
      <c r="E123" s="56">
        <v>40.9</v>
      </c>
      <c r="F123" s="56">
        <v>43</v>
      </c>
      <c r="G123" s="56">
        <v>45.01</v>
      </c>
      <c r="H123" s="40"/>
      <c r="I123" s="56">
        <v>24.499999237060546</v>
      </c>
      <c r="J123" s="56">
        <v>25.549999237060547</v>
      </c>
      <c r="K123" s="56">
        <v>26.554999237060546</v>
      </c>
      <c r="L123" s="23"/>
      <c r="M123" s="24">
        <v>39934</v>
      </c>
      <c r="N123" s="57">
        <v>28.625</v>
      </c>
      <c r="O123" s="57">
        <v>30.2</v>
      </c>
      <c r="P123" s="57">
        <v>32.585000000000001</v>
      </c>
      <c r="Q123" s="22"/>
      <c r="R123" s="57">
        <v>21.69999885559082</v>
      </c>
      <c r="S123" s="57">
        <v>26.69999885559082</v>
      </c>
      <c r="T123" s="57">
        <v>29.084998855590818</v>
      </c>
      <c r="U123" s="22"/>
      <c r="V123" s="57">
        <v>0</v>
      </c>
      <c r="W123" s="57">
        <v>0</v>
      </c>
      <c r="X123" s="57">
        <v>0</v>
      </c>
      <c r="Y123" s="22"/>
      <c r="Z123" s="57">
        <v>0.12667489382492575</v>
      </c>
      <c r="AA123" s="57">
        <v>0.2533497876498515</v>
      </c>
      <c r="AB123" s="57">
        <v>0.38002468147477725</v>
      </c>
      <c r="AC123" s="22"/>
      <c r="AD123" s="57">
        <v>2.9181171674555251E-2</v>
      </c>
      <c r="AE123" s="57">
        <v>5.8362343349110501E-2</v>
      </c>
      <c r="AF123" s="57">
        <v>8.7543515023665752E-2</v>
      </c>
      <c r="AG123" s="22"/>
      <c r="AH123" s="57">
        <v>-0.25</v>
      </c>
      <c r="AI123" s="57">
        <v>1.1000000000000001</v>
      </c>
      <c r="AJ123" s="57">
        <v>0.3</v>
      </c>
      <c r="AK123" s="22"/>
      <c r="AL123" s="57">
        <v>-0.15</v>
      </c>
      <c r="AM123" s="57">
        <v>0.5</v>
      </c>
      <c r="AN123" s="57">
        <v>0.2</v>
      </c>
      <c r="AO123" s="22"/>
      <c r="AP123" s="23">
        <v>36</v>
      </c>
      <c r="AQ123" s="58">
        <v>0.4</v>
      </c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4">
        <v>39934</v>
      </c>
      <c r="BI123" s="60">
        <v>0.9</v>
      </c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/>
      <c r="CM123" s="80"/>
      <c r="CN123" s="80"/>
      <c r="CO123" s="61"/>
      <c r="CP123"/>
      <c r="CQ123"/>
      <c r="CR123"/>
      <c r="CS123"/>
      <c r="CT123"/>
      <c r="CY123" s="282">
        <f t="shared" si="11"/>
        <v>39934</v>
      </c>
      <c r="CZ123" s="281">
        <f t="shared" si="12"/>
        <v>0.85000000000000009</v>
      </c>
      <c r="DA123" s="281">
        <f t="shared" si="13"/>
        <v>1.1000000000000001</v>
      </c>
      <c r="DB123" s="281">
        <f t="shared" si="14"/>
        <v>1.4000000000000001</v>
      </c>
      <c r="DD123" s="281">
        <f t="shared" si="15"/>
        <v>0.12667489382492575</v>
      </c>
      <c r="DE123" s="281">
        <f t="shared" si="16"/>
        <v>0.2533497876498515</v>
      </c>
      <c r="DF123" s="281">
        <f t="shared" si="17"/>
        <v>0.38002468147477725</v>
      </c>
      <c r="DH123" s="282">
        <f t="shared" si="18"/>
        <v>39934</v>
      </c>
      <c r="DI123" s="17">
        <f t="shared" si="19"/>
        <v>0.9</v>
      </c>
    </row>
    <row r="124" spans="1:113" ht="13.8">
      <c r="A124" s="27">
        <f t="shared" ca="1" si="10"/>
        <v>40299</v>
      </c>
      <c r="B124" s="17">
        <f>'Gas Curves'!C128</f>
        <v>5.990289871290002E-2</v>
      </c>
      <c r="C124" s="17"/>
      <c r="D124" s="55">
        <v>39083</v>
      </c>
      <c r="E124" s="56">
        <v>56.4</v>
      </c>
      <c r="F124" s="56">
        <v>58.5</v>
      </c>
      <c r="G124" s="56">
        <v>60.35</v>
      </c>
      <c r="H124" s="40"/>
      <c r="I124" s="56">
        <v>25.800000381469726</v>
      </c>
      <c r="J124" s="56">
        <v>26.850000381469727</v>
      </c>
      <c r="K124" s="56">
        <v>27.690000381469726</v>
      </c>
      <c r="L124" s="23"/>
      <c r="M124" s="24">
        <v>39965</v>
      </c>
      <c r="N124" s="57">
        <v>33.962503051757814</v>
      </c>
      <c r="O124" s="57">
        <v>37.000003051757815</v>
      </c>
      <c r="P124" s="57">
        <v>40.630003051757818</v>
      </c>
      <c r="Q124" s="22"/>
      <c r="R124" s="57">
        <v>27.200002670288086</v>
      </c>
      <c r="S124" s="57">
        <v>32.200002670288086</v>
      </c>
      <c r="T124" s="57">
        <v>35.830002670288088</v>
      </c>
      <c r="U124" s="22"/>
      <c r="V124" s="57">
        <v>0</v>
      </c>
      <c r="W124" s="57">
        <v>0</v>
      </c>
      <c r="X124" s="57">
        <v>0</v>
      </c>
      <c r="Y124" s="22"/>
      <c r="Z124" s="57">
        <v>0.13547045206922653</v>
      </c>
      <c r="AA124" s="57">
        <v>0.27094090413845306</v>
      </c>
      <c r="AB124" s="57">
        <v>0.4064113562076796</v>
      </c>
      <c r="AC124" s="22"/>
      <c r="AD124" s="57">
        <v>3.7518649295856743E-2</v>
      </c>
      <c r="AE124" s="57">
        <v>7.5037298591713486E-2</v>
      </c>
      <c r="AF124" s="57">
        <v>0.11255594788757023</v>
      </c>
      <c r="AG124" s="22"/>
      <c r="AH124" s="57">
        <v>-0.35</v>
      </c>
      <c r="AI124" s="57">
        <v>2</v>
      </c>
      <c r="AJ124" s="57">
        <v>0.3</v>
      </c>
      <c r="AK124" s="22"/>
      <c r="AL124" s="57">
        <v>-0.15</v>
      </c>
      <c r="AM124" s="57">
        <v>0.65</v>
      </c>
      <c r="AN124" s="57">
        <v>0.2</v>
      </c>
      <c r="AO124" s="22"/>
      <c r="AP124" s="23">
        <v>36</v>
      </c>
      <c r="AQ124" s="58">
        <v>0.4</v>
      </c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4">
        <v>39965</v>
      </c>
      <c r="BI124" s="60">
        <v>0.9</v>
      </c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/>
      <c r="CM124" s="80"/>
      <c r="CN124" s="80"/>
      <c r="CO124" s="61"/>
      <c r="CP124"/>
      <c r="CQ124"/>
      <c r="CR124"/>
      <c r="CS124"/>
      <c r="CT124"/>
      <c r="CY124" s="282">
        <f t="shared" si="11"/>
        <v>39965</v>
      </c>
      <c r="CZ124" s="281">
        <f t="shared" si="12"/>
        <v>1.65</v>
      </c>
      <c r="DA124" s="281">
        <f t="shared" si="13"/>
        <v>2</v>
      </c>
      <c r="DB124" s="281">
        <f t="shared" si="14"/>
        <v>2.2999999999999998</v>
      </c>
      <c r="DD124" s="281">
        <f t="shared" si="15"/>
        <v>0.13547045206922653</v>
      </c>
      <c r="DE124" s="281">
        <f t="shared" si="16"/>
        <v>0.27094090413845306</v>
      </c>
      <c r="DF124" s="281">
        <f t="shared" si="17"/>
        <v>0.4064113562076796</v>
      </c>
      <c r="DH124" s="282">
        <f t="shared" si="18"/>
        <v>39965</v>
      </c>
      <c r="DI124" s="17">
        <f t="shared" si="19"/>
        <v>0.9</v>
      </c>
    </row>
    <row r="125" spans="1:113" ht="13.8">
      <c r="A125" s="27">
        <f t="shared" ca="1" si="10"/>
        <v>40330</v>
      </c>
      <c r="B125" s="17">
        <f>'Gas Curves'!C129</f>
        <v>5.9961926412849018E-2</v>
      </c>
      <c r="C125" s="17"/>
      <c r="D125" s="55">
        <v>39114</v>
      </c>
      <c r="E125" s="56">
        <v>56.85</v>
      </c>
      <c r="F125" s="56">
        <v>58.5</v>
      </c>
      <c r="G125" s="56">
        <v>60.35</v>
      </c>
      <c r="H125" s="40"/>
      <c r="I125" s="56">
        <v>22.675000000000001</v>
      </c>
      <c r="J125" s="56">
        <v>23.5</v>
      </c>
      <c r="K125" s="56">
        <v>24.34</v>
      </c>
      <c r="L125" s="23"/>
      <c r="M125" s="24">
        <v>39995</v>
      </c>
      <c r="N125" s="57">
        <v>35.975001525878909</v>
      </c>
      <c r="O125" s="57">
        <v>43.400001525878906</v>
      </c>
      <c r="P125" s="57">
        <v>51.147501525878909</v>
      </c>
      <c r="Q125" s="22"/>
      <c r="R125" s="57">
        <v>32.400001525878906</v>
      </c>
      <c r="S125" s="57">
        <v>37.400001525878906</v>
      </c>
      <c r="T125" s="57">
        <v>45.147501525878909</v>
      </c>
      <c r="U125" s="22"/>
      <c r="V125" s="57">
        <v>0</v>
      </c>
      <c r="W125" s="57">
        <v>0</v>
      </c>
      <c r="X125" s="57">
        <v>0</v>
      </c>
      <c r="Y125" s="22"/>
      <c r="Z125" s="57">
        <v>0.16135257810570111</v>
      </c>
      <c r="AA125" s="57">
        <v>0.32270515621140222</v>
      </c>
      <c r="AB125" s="57">
        <v>0.48405773431710331</v>
      </c>
      <c r="AC125" s="22"/>
      <c r="AD125" s="57">
        <v>5.0024865727808981E-2</v>
      </c>
      <c r="AE125" s="57">
        <v>0.10004973145561796</v>
      </c>
      <c r="AF125" s="57">
        <v>0.15007459718342694</v>
      </c>
      <c r="AG125" s="22"/>
      <c r="AH125" s="57">
        <v>-0.35</v>
      </c>
      <c r="AI125" s="57">
        <v>3</v>
      </c>
      <c r="AJ125" s="57">
        <v>0.5</v>
      </c>
      <c r="AK125" s="22"/>
      <c r="AL125" s="57">
        <v>-0.15</v>
      </c>
      <c r="AM125" s="57">
        <v>0.75</v>
      </c>
      <c r="AN125" s="57">
        <v>0.2</v>
      </c>
      <c r="AO125" s="22"/>
      <c r="AP125" s="23">
        <v>36</v>
      </c>
      <c r="AQ125" s="58">
        <v>0.4</v>
      </c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4">
        <v>39995</v>
      </c>
      <c r="BI125" s="60">
        <v>0.9</v>
      </c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/>
      <c r="CM125" s="80"/>
      <c r="CN125" s="80"/>
      <c r="CO125" s="61"/>
      <c r="CP125"/>
      <c r="CQ125"/>
      <c r="CR125"/>
      <c r="CS125"/>
      <c r="CT125"/>
      <c r="CY125" s="282">
        <f t="shared" si="11"/>
        <v>39995</v>
      </c>
      <c r="CZ125" s="281">
        <f t="shared" si="12"/>
        <v>2.65</v>
      </c>
      <c r="DA125" s="281">
        <f t="shared" si="13"/>
        <v>3</v>
      </c>
      <c r="DB125" s="281">
        <f t="shared" si="14"/>
        <v>3.5</v>
      </c>
      <c r="DD125" s="281">
        <f t="shared" si="15"/>
        <v>0.16135257810570111</v>
      </c>
      <c r="DE125" s="281">
        <f t="shared" si="16"/>
        <v>0.32270515621140222</v>
      </c>
      <c r="DF125" s="281">
        <f t="shared" si="17"/>
        <v>0.48405773431710331</v>
      </c>
      <c r="DH125" s="282">
        <f t="shared" si="18"/>
        <v>39995</v>
      </c>
      <c r="DI125" s="17">
        <f t="shared" si="19"/>
        <v>0.9</v>
      </c>
    </row>
    <row r="126" spans="1:113" ht="13.8">
      <c r="A126" s="27">
        <f t="shared" ca="1" si="10"/>
        <v>40360</v>
      </c>
      <c r="B126" s="17">
        <f>'Gas Curves'!C130</f>
        <v>6.0019049994547019E-2</v>
      </c>
      <c r="C126" s="17"/>
      <c r="D126" s="55">
        <v>39142</v>
      </c>
      <c r="E126" s="56">
        <v>39.85</v>
      </c>
      <c r="F126" s="56">
        <v>41.5</v>
      </c>
      <c r="G126" s="56">
        <v>43.35</v>
      </c>
      <c r="H126" s="40"/>
      <c r="I126" s="56">
        <v>23.074999618530274</v>
      </c>
      <c r="J126" s="56">
        <v>23.899999618530273</v>
      </c>
      <c r="K126" s="56">
        <v>24.739999618530273</v>
      </c>
      <c r="L126" s="23"/>
      <c r="M126" s="24">
        <v>40026</v>
      </c>
      <c r="N126" s="57">
        <v>47.725001525878909</v>
      </c>
      <c r="O126" s="57">
        <v>55.150001525878906</v>
      </c>
      <c r="P126" s="57">
        <v>62.897501525878909</v>
      </c>
      <c r="Q126" s="22"/>
      <c r="R126" s="57">
        <v>44.200000762939453</v>
      </c>
      <c r="S126" s="57">
        <v>49.200000762939453</v>
      </c>
      <c r="T126" s="57">
        <v>56.947500762939455</v>
      </c>
      <c r="U126" s="22"/>
      <c r="V126" s="57">
        <v>0</v>
      </c>
      <c r="W126" s="57">
        <v>0</v>
      </c>
      <c r="X126" s="57">
        <v>0</v>
      </c>
      <c r="Y126" s="22"/>
      <c r="Z126" s="57">
        <v>0.15781724554422652</v>
      </c>
      <c r="AA126" s="57">
        <v>0.31563449108845304</v>
      </c>
      <c r="AB126" s="57">
        <v>0.47345173663267959</v>
      </c>
      <c r="AC126" s="22"/>
      <c r="AD126" s="57">
        <v>5.0024865727808981E-2</v>
      </c>
      <c r="AE126" s="57">
        <v>0.10004973145561796</v>
      </c>
      <c r="AF126" s="57">
        <v>0.15007459718342694</v>
      </c>
      <c r="AG126" s="22"/>
      <c r="AH126" s="57">
        <v>-0.35</v>
      </c>
      <c r="AI126" s="57">
        <v>3</v>
      </c>
      <c r="AJ126" s="57">
        <v>0.5</v>
      </c>
      <c r="AK126" s="22"/>
      <c r="AL126" s="57">
        <v>-0.15</v>
      </c>
      <c r="AM126" s="57">
        <v>0.75</v>
      </c>
      <c r="AN126" s="57">
        <v>0.2</v>
      </c>
      <c r="AO126" s="22"/>
      <c r="AP126" s="23">
        <v>37</v>
      </c>
      <c r="AQ126" s="58">
        <v>0.4</v>
      </c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4">
        <v>40026</v>
      </c>
      <c r="BI126" s="60">
        <v>0.9</v>
      </c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/>
      <c r="CM126" s="80"/>
      <c r="CN126" s="80"/>
      <c r="CO126" s="61"/>
      <c r="CP126"/>
      <c r="CQ126"/>
      <c r="CR126"/>
      <c r="CS126"/>
      <c r="CT126"/>
      <c r="CY126" s="282">
        <f t="shared" si="11"/>
        <v>40026</v>
      </c>
      <c r="CZ126" s="281">
        <f t="shared" si="12"/>
        <v>2.65</v>
      </c>
      <c r="DA126" s="281">
        <f t="shared" si="13"/>
        <v>3</v>
      </c>
      <c r="DB126" s="281">
        <f t="shared" si="14"/>
        <v>3.5</v>
      </c>
      <c r="DD126" s="281">
        <f t="shared" si="15"/>
        <v>0.15781724554422652</v>
      </c>
      <c r="DE126" s="281">
        <f t="shared" si="16"/>
        <v>0.31563449108845304</v>
      </c>
      <c r="DF126" s="281">
        <f t="shared" si="17"/>
        <v>0.47345173663267959</v>
      </c>
      <c r="DH126" s="282">
        <f t="shared" si="18"/>
        <v>40026</v>
      </c>
      <c r="DI126" s="17">
        <f t="shared" si="19"/>
        <v>0.9</v>
      </c>
    </row>
    <row r="127" spans="1:113" ht="13.8">
      <c r="A127" s="27">
        <f t="shared" ca="1" si="10"/>
        <v>40391</v>
      </c>
      <c r="B127" s="17">
        <f>'Gas Curves'!C131</f>
        <v>6.0078077696774007E-2</v>
      </c>
      <c r="C127" s="17"/>
      <c r="D127" s="55">
        <v>39173</v>
      </c>
      <c r="E127" s="56">
        <v>35.9</v>
      </c>
      <c r="F127" s="56">
        <v>38</v>
      </c>
      <c r="G127" s="56">
        <v>39.85</v>
      </c>
      <c r="H127" s="40"/>
      <c r="I127" s="56">
        <v>20.599999618530273</v>
      </c>
      <c r="J127" s="56">
        <v>21.649999618530273</v>
      </c>
      <c r="K127" s="56">
        <v>22.489999618530273</v>
      </c>
      <c r="L127" s="23"/>
      <c r="M127" s="24">
        <v>40057</v>
      </c>
      <c r="N127" s="57">
        <v>29.487501144409173</v>
      </c>
      <c r="O127" s="57">
        <v>32.525001144409174</v>
      </c>
      <c r="P127" s="57">
        <v>34.910001144409172</v>
      </c>
      <c r="Q127" s="22"/>
      <c r="R127" s="57">
        <v>24.800001525878905</v>
      </c>
      <c r="S127" s="57">
        <v>29.800001525878905</v>
      </c>
      <c r="T127" s="57">
        <v>32.185001525878903</v>
      </c>
      <c r="U127" s="22"/>
      <c r="V127" s="57">
        <v>0</v>
      </c>
      <c r="W127" s="57">
        <v>0</v>
      </c>
      <c r="X127" s="57">
        <v>0</v>
      </c>
      <c r="Y127" s="22"/>
      <c r="Z127" s="57">
        <v>0.11957280352365232</v>
      </c>
      <c r="AA127" s="57">
        <v>0.23914560704730464</v>
      </c>
      <c r="AB127" s="57">
        <v>0.35871841057095699</v>
      </c>
      <c r="AC127" s="22"/>
      <c r="AD127" s="57">
        <v>3.3349910485205983E-2</v>
      </c>
      <c r="AE127" s="57">
        <v>6.6699820970411966E-2</v>
      </c>
      <c r="AF127" s="57">
        <v>0.10004973145561795</v>
      </c>
      <c r="AG127" s="22"/>
      <c r="AH127" s="57">
        <v>-0.35</v>
      </c>
      <c r="AI127" s="57">
        <v>1.5</v>
      </c>
      <c r="AJ127" s="57">
        <v>0.3</v>
      </c>
      <c r="AK127" s="22"/>
      <c r="AL127" s="57">
        <v>-0.15</v>
      </c>
      <c r="AM127" s="57">
        <v>0.4</v>
      </c>
      <c r="AN127" s="57">
        <v>0.2</v>
      </c>
      <c r="AO127" s="22"/>
      <c r="AP127" s="23">
        <v>37</v>
      </c>
      <c r="AQ127" s="58">
        <v>0.4</v>
      </c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4">
        <v>40057</v>
      </c>
      <c r="BI127" s="60">
        <v>0.9</v>
      </c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/>
      <c r="CM127" s="80"/>
      <c r="CN127" s="80"/>
      <c r="CO127" s="61"/>
      <c r="CP127"/>
      <c r="CQ127"/>
      <c r="CR127"/>
      <c r="CS127"/>
      <c r="CT127"/>
      <c r="CY127" s="282">
        <f t="shared" si="11"/>
        <v>40057</v>
      </c>
      <c r="CZ127" s="281">
        <f t="shared" si="12"/>
        <v>1.1499999999999999</v>
      </c>
      <c r="DA127" s="281">
        <f t="shared" si="13"/>
        <v>1.5</v>
      </c>
      <c r="DB127" s="281">
        <f t="shared" si="14"/>
        <v>1.8</v>
      </c>
      <c r="DD127" s="281">
        <f t="shared" si="15"/>
        <v>0.11957280352365232</v>
      </c>
      <c r="DE127" s="281">
        <f t="shared" si="16"/>
        <v>0.23914560704730464</v>
      </c>
      <c r="DF127" s="281">
        <f t="shared" si="17"/>
        <v>0.35871841057095699</v>
      </c>
      <c r="DH127" s="282">
        <f t="shared" si="18"/>
        <v>40057</v>
      </c>
      <c r="DI127" s="17">
        <f t="shared" si="19"/>
        <v>0.9</v>
      </c>
    </row>
    <row r="128" spans="1:113" ht="13.8">
      <c r="A128" s="27">
        <f t="shared" ca="1" si="10"/>
        <v>40422</v>
      </c>
      <c r="B128" s="17">
        <f>'Gas Curves'!C132</f>
        <v>6.0137105400160012E-2</v>
      </c>
      <c r="C128" s="17"/>
      <c r="D128" s="55">
        <v>39203</v>
      </c>
      <c r="E128" s="56">
        <v>39.9</v>
      </c>
      <c r="F128" s="56">
        <v>42</v>
      </c>
      <c r="G128" s="56">
        <v>45.5</v>
      </c>
      <c r="H128" s="40"/>
      <c r="I128" s="56">
        <v>21.599999618530273</v>
      </c>
      <c r="J128" s="56">
        <v>22.649999618530273</v>
      </c>
      <c r="K128" s="56">
        <v>24.239999618530273</v>
      </c>
      <c r="L128" s="23"/>
      <c r="M128" s="24">
        <v>40087</v>
      </c>
      <c r="N128" s="57">
        <v>26.950001144409178</v>
      </c>
      <c r="O128" s="57">
        <v>28.525001144409178</v>
      </c>
      <c r="P128" s="57">
        <v>30.032501144409178</v>
      </c>
      <c r="Q128" s="22"/>
      <c r="R128" s="57">
        <v>20.300001525878905</v>
      </c>
      <c r="S128" s="57">
        <v>25.300001525878905</v>
      </c>
      <c r="T128" s="57">
        <v>26.807501525878905</v>
      </c>
      <c r="U128" s="22"/>
      <c r="V128" s="57">
        <v>0</v>
      </c>
      <c r="W128" s="57">
        <v>0</v>
      </c>
      <c r="X128" s="57">
        <v>0</v>
      </c>
      <c r="Y128" s="22"/>
      <c r="Z128" s="57">
        <v>0.10341938894338376</v>
      </c>
      <c r="AA128" s="57">
        <v>0.20683877788676752</v>
      </c>
      <c r="AB128" s="57">
        <v>0.31025816683015128</v>
      </c>
      <c r="AC128" s="22"/>
      <c r="AD128" s="57">
        <v>2.5012432863904491E-2</v>
      </c>
      <c r="AE128" s="57">
        <v>5.0024865727808981E-2</v>
      </c>
      <c r="AF128" s="57">
        <v>7.5037298591713472E-2</v>
      </c>
      <c r="AG128" s="22"/>
      <c r="AH128" s="57">
        <v>-0.25</v>
      </c>
      <c r="AI128" s="57">
        <v>1.1000000000000001</v>
      </c>
      <c r="AJ128" s="57">
        <v>0.3</v>
      </c>
      <c r="AK128" s="22"/>
      <c r="AL128" s="57">
        <v>-0.15</v>
      </c>
      <c r="AM128" s="57">
        <v>0.35</v>
      </c>
      <c r="AN128" s="57">
        <v>0.2</v>
      </c>
      <c r="AO128" s="22"/>
      <c r="AP128" s="23">
        <v>37</v>
      </c>
      <c r="AQ128" s="58">
        <v>0.4</v>
      </c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4">
        <v>40087</v>
      </c>
      <c r="BI128" s="60">
        <v>0.9</v>
      </c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/>
      <c r="CM128" s="80"/>
      <c r="CN128" s="80"/>
      <c r="CO128" s="61"/>
      <c r="CP128"/>
      <c r="CQ128"/>
      <c r="CR128"/>
      <c r="CS128"/>
      <c r="CT128"/>
      <c r="CY128" s="282">
        <f t="shared" si="11"/>
        <v>40087</v>
      </c>
      <c r="CZ128" s="281">
        <f t="shared" si="12"/>
        <v>0.85000000000000009</v>
      </c>
      <c r="DA128" s="281">
        <f t="shared" si="13"/>
        <v>1.1000000000000001</v>
      </c>
      <c r="DB128" s="281">
        <f t="shared" si="14"/>
        <v>1.4000000000000001</v>
      </c>
      <c r="DD128" s="281">
        <f t="shared" si="15"/>
        <v>0.10341938894338376</v>
      </c>
      <c r="DE128" s="281">
        <f t="shared" si="16"/>
        <v>0.20683877788676752</v>
      </c>
      <c r="DF128" s="281">
        <f t="shared" si="17"/>
        <v>0.31025816683015128</v>
      </c>
      <c r="DH128" s="282">
        <f t="shared" si="18"/>
        <v>40087</v>
      </c>
      <c r="DI128" s="17">
        <f t="shared" si="19"/>
        <v>0.9</v>
      </c>
    </row>
    <row r="129" spans="1:113" ht="13.8">
      <c r="A129" s="27">
        <f t="shared" ca="1" si="10"/>
        <v>40452</v>
      </c>
      <c r="B129" s="17">
        <f>'Gas Curves'!C133</f>
        <v>6.0194228985183014E-2</v>
      </c>
      <c r="C129" s="17"/>
      <c r="D129" s="55">
        <v>39234</v>
      </c>
      <c r="E129" s="56">
        <v>47.95</v>
      </c>
      <c r="F129" s="56">
        <v>52</v>
      </c>
      <c r="G129" s="56">
        <v>57.33</v>
      </c>
      <c r="H129" s="40"/>
      <c r="I129" s="56">
        <v>20.999999618530275</v>
      </c>
      <c r="J129" s="56">
        <v>23.024999618530273</v>
      </c>
      <c r="K129" s="56">
        <v>25.444999618530275</v>
      </c>
      <c r="L129" s="23"/>
      <c r="M129" s="24">
        <v>40118</v>
      </c>
      <c r="N129" s="57">
        <v>29.300001525878905</v>
      </c>
      <c r="O129" s="57">
        <v>30.875001525878904</v>
      </c>
      <c r="P129" s="57">
        <v>32.382501525878901</v>
      </c>
      <c r="Q129" s="22"/>
      <c r="R129" s="57">
        <v>22.500000381469725</v>
      </c>
      <c r="S129" s="57">
        <v>27.500000381469725</v>
      </c>
      <c r="T129" s="57">
        <v>29.007500381469725</v>
      </c>
      <c r="U129" s="22"/>
      <c r="V129" s="57">
        <v>0</v>
      </c>
      <c r="W129" s="57">
        <v>0</v>
      </c>
      <c r="X129" s="57">
        <v>0</v>
      </c>
      <c r="Y129" s="22"/>
      <c r="Z129" s="57">
        <v>0.10341938894338376</v>
      </c>
      <c r="AA129" s="57">
        <v>0.20683877788676752</v>
      </c>
      <c r="AB129" s="57">
        <v>0.31025816683015128</v>
      </c>
      <c r="AC129" s="22"/>
      <c r="AD129" s="57">
        <v>2.5012432863904491E-2</v>
      </c>
      <c r="AE129" s="57">
        <v>5.0024865727808981E-2</v>
      </c>
      <c r="AF129" s="57">
        <v>7.5037298591713472E-2</v>
      </c>
      <c r="AG129" s="22"/>
      <c r="AH129" s="57">
        <v>-0.25</v>
      </c>
      <c r="AI129" s="57">
        <v>1.25</v>
      </c>
      <c r="AJ129" s="57">
        <v>0.3</v>
      </c>
      <c r="AK129" s="22"/>
      <c r="AL129" s="57">
        <v>-0.15</v>
      </c>
      <c r="AM129" s="57">
        <v>0.3</v>
      </c>
      <c r="AN129" s="57">
        <v>0.2</v>
      </c>
      <c r="AO129" s="22"/>
      <c r="AP129" s="23">
        <v>38</v>
      </c>
      <c r="AQ129" s="58">
        <v>0.4</v>
      </c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4">
        <v>40118</v>
      </c>
      <c r="BI129" s="60">
        <v>0.9</v>
      </c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/>
      <c r="CM129" s="80"/>
      <c r="CN129" s="80"/>
      <c r="CO129" s="61"/>
      <c r="CP129"/>
      <c r="CQ129"/>
      <c r="CR129"/>
      <c r="CS129"/>
      <c r="CT129"/>
      <c r="CY129" s="282">
        <f t="shared" si="11"/>
        <v>40118</v>
      </c>
      <c r="CZ129" s="281">
        <f t="shared" si="12"/>
        <v>1</v>
      </c>
      <c r="DA129" s="281">
        <f t="shared" si="13"/>
        <v>1.25</v>
      </c>
      <c r="DB129" s="281">
        <f t="shared" si="14"/>
        <v>1.55</v>
      </c>
      <c r="DD129" s="281">
        <f t="shared" si="15"/>
        <v>0.10341938894338376</v>
      </c>
      <c r="DE129" s="281">
        <f t="shared" si="16"/>
        <v>0.20683877788676752</v>
      </c>
      <c r="DF129" s="281">
        <f t="shared" si="17"/>
        <v>0.31025816683015128</v>
      </c>
      <c r="DH129" s="282">
        <f t="shared" si="18"/>
        <v>40118</v>
      </c>
      <c r="DI129" s="17">
        <f t="shared" si="19"/>
        <v>0.9</v>
      </c>
    </row>
    <row r="130" spans="1:113" ht="13.8">
      <c r="A130" s="27">
        <f t="shared" ca="1" si="10"/>
        <v>40483</v>
      </c>
      <c r="B130" s="17">
        <f>'Gas Curves'!C134</f>
        <v>6.0253256690845011E-2</v>
      </c>
      <c r="C130" s="17"/>
      <c r="D130" s="55">
        <v>39264</v>
      </c>
      <c r="E130" s="56">
        <v>61.35</v>
      </c>
      <c r="F130" s="56">
        <v>71.25</v>
      </c>
      <c r="G130" s="56">
        <v>82.62</v>
      </c>
      <c r="H130" s="40"/>
      <c r="I130" s="56">
        <v>21.8</v>
      </c>
      <c r="J130" s="56">
        <v>26.75</v>
      </c>
      <c r="K130" s="56">
        <v>31.914999999999999</v>
      </c>
      <c r="L130" s="23"/>
      <c r="M130" s="24">
        <v>40148</v>
      </c>
      <c r="N130" s="57">
        <v>29.9</v>
      </c>
      <c r="O130" s="57">
        <v>31.475000000000001</v>
      </c>
      <c r="P130" s="57">
        <v>32.982500000000002</v>
      </c>
      <c r="Q130" s="22"/>
      <c r="R130" s="57">
        <v>23.000000381469725</v>
      </c>
      <c r="S130" s="57">
        <v>28.000000381469725</v>
      </c>
      <c r="T130" s="57">
        <v>29.507500381469725</v>
      </c>
      <c r="U130" s="22"/>
      <c r="V130" s="57">
        <v>0</v>
      </c>
      <c r="W130" s="57">
        <v>0</v>
      </c>
      <c r="X130" s="57">
        <v>0</v>
      </c>
      <c r="Y130" s="22"/>
      <c r="Z130" s="57">
        <v>0.1013549293118066</v>
      </c>
      <c r="AA130" s="57">
        <v>0.20270985862361321</v>
      </c>
      <c r="AB130" s="57">
        <v>0.3040647879354198</v>
      </c>
      <c r="AC130" s="22"/>
      <c r="AD130" s="57">
        <v>2.5012432863904491E-2</v>
      </c>
      <c r="AE130" s="57">
        <v>5.0024865727808981E-2</v>
      </c>
      <c r="AF130" s="57">
        <v>7.5037298591713472E-2</v>
      </c>
      <c r="AG130" s="22"/>
      <c r="AH130" s="57">
        <v>-0.25</v>
      </c>
      <c r="AI130" s="57">
        <v>1.25</v>
      </c>
      <c r="AJ130" s="57">
        <v>0.35</v>
      </c>
      <c r="AK130" s="22"/>
      <c r="AL130" s="57">
        <v>-0.15</v>
      </c>
      <c r="AM130" s="57">
        <v>0.3</v>
      </c>
      <c r="AN130" s="57">
        <v>0.2</v>
      </c>
      <c r="AO130" s="22"/>
      <c r="AP130" s="23">
        <v>38</v>
      </c>
      <c r="AQ130" s="58">
        <v>0.4</v>
      </c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4">
        <v>40148</v>
      </c>
      <c r="BI130" s="60">
        <v>0.9</v>
      </c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/>
      <c r="CM130" s="80"/>
      <c r="CN130" s="80"/>
      <c r="CO130" s="61"/>
      <c r="CP130"/>
      <c r="CQ130"/>
      <c r="CR130"/>
      <c r="CS130"/>
      <c r="CT130"/>
      <c r="CY130" s="282">
        <f t="shared" si="11"/>
        <v>40148</v>
      </c>
      <c r="CZ130" s="281">
        <f t="shared" si="12"/>
        <v>1</v>
      </c>
      <c r="DA130" s="281">
        <f t="shared" si="13"/>
        <v>1.25</v>
      </c>
      <c r="DB130" s="281">
        <f t="shared" si="14"/>
        <v>1.6</v>
      </c>
      <c r="DD130" s="281">
        <f t="shared" si="15"/>
        <v>0.1013549293118066</v>
      </c>
      <c r="DE130" s="281">
        <f t="shared" si="16"/>
        <v>0.20270985862361321</v>
      </c>
      <c r="DF130" s="281">
        <f t="shared" si="17"/>
        <v>0.3040647879354198</v>
      </c>
      <c r="DH130" s="282">
        <f t="shared" si="18"/>
        <v>40148</v>
      </c>
      <c r="DI130" s="17">
        <f t="shared" si="19"/>
        <v>0.9</v>
      </c>
    </row>
    <row r="131" spans="1:113" ht="13.8">
      <c r="A131" s="27">
        <f t="shared" ca="1" si="10"/>
        <v>40513</v>
      </c>
      <c r="B131" s="17">
        <f>'Gas Curves'!C135</f>
        <v>6.0310380278073006E-2</v>
      </c>
      <c r="C131" s="17"/>
      <c r="D131" s="55">
        <v>39295</v>
      </c>
      <c r="E131" s="56">
        <v>61.35</v>
      </c>
      <c r="F131" s="56">
        <v>71.25</v>
      </c>
      <c r="G131" s="56">
        <v>82.62</v>
      </c>
      <c r="H131" s="40"/>
      <c r="I131" s="56">
        <v>33.950001525878903</v>
      </c>
      <c r="J131" s="56">
        <v>38.900001525878906</v>
      </c>
      <c r="K131" s="56">
        <v>44.065001525878905</v>
      </c>
      <c r="L131" s="23"/>
      <c r="M131" s="24">
        <v>40179</v>
      </c>
      <c r="N131" s="57">
        <v>32.729496002197266</v>
      </c>
      <c r="O131" s="57">
        <v>34.304496002197268</v>
      </c>
      <c r="P131" s="57">
        <v>35.564496002197266</v>
      </c>
      <c r="Q131" s="22"/>
      <c r="R131" s="57">
        <v>25.403997421264648</v>
      </c>
      <c r="S131" s="57">
        <v>30.403997421264648</v>
      </c>
      <c r="T131" s="57">
        <v>31.66399742126465</v>
      </c>
      <c r="U131" s="22"/>
      <c r="V131" s="57">
        <v>0</v>
      </c>
      <c r="W131" s="57">
        <v>0</v>
      </c>
      <c r="X131" s="57">
        <v>0</v>
      </c>
      <c r="Y131" s="22"/>
      <c r="Z131" s="57">
        <v>0.1495681362341191</v>
      </c>
      <c r="AA131" s="57">
        <v>0.29913627246823821</v>
      </c>
      <c r="AB131" s="57">
        <v>0.44870440870235728</v>
      </c>
      <c r="AC131" s="22"/>
      <c r="AD131" s="57">
        <v>2.8597548241064145E-2</v>
      </c>
      <c r="AE131" s="57">
        <v>5.719509648212829E-2</v>
      </c>
      <c r="AF131" s="57">
        <v>8.5792644723192438E-2</v>
      </c>
      <c r="AG131" s="22"/>
      <c r="AH131" s="57">
        <v>-0.75</v>
      </c>
      <c r="AI131" s="57">
        <v>2</v>
      </c>
      <c r="AJ131" s="57">
        <v>0.75</v>
      </c>
      <c r="AK131" s="22"/>
      <c r="AL131" s="57">
        <v>-0.15</v>
      </c>
      <c r="AM131" s="57">
        <v>0.5</v>
      </c>
      <c r="AN131" s="57">
        <v>0.2</v>
      </c>
      <c r="AO131" s="22"/>
      <c r="AP131" s="23">
        <v>38</v>
      </c>
      <c r="AQ131" s="58">
        <v>0.4</v>
      </c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4">
        <v>40179</v>
      </c>
      <c r="BI131" s="60">
        <v>0.9</v>
      </c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/>
      <c r="CM131" s="80"/>
      <c r="CN131" s="80"/>
      <c r="CO131" s="61"/>
      <c r="CP131"/>
      <c r="CQ131"/>
      <c r="CR131"/>
      <c r="CS131"/>
      <c r="CT131"/>
      <c r="CY131" s="282">
        <f t="shared" si="11"/>
        <v>40179</v>
      </c>
      <c r="CZ131" s="281">
        <f t="shared" si="12"/>
        <v>1.25</v>
      </c>
      <c r="DA131" s="281">
        <f t="shared" si="13"/>
        <v>2</v>
      </c>
      <c r="DB131" s="281">
        <f t="shared" si="14"/>
        <v>2.75</v>
      </c>
      <c r="DD131" s="281">
        <f t="shared" si="15"/>
        <v>0.1495681362341191</v>
      </c>
      <c r="DE131" s="281">
        <f t="shared" si="16"/>
        <v>0.29913627246823821</v>
      </c>
      <c r="DF131" s="281">
        <f t="shared" si="17"/>
        <v>0.44870440870235728</v>
      </c>
      <c r="DH131" s="282">
        <f t="shared" si="18"/>
        <v>40179</v>
      </c>
      <c r="DI131" s="17">
        <f t="shared" si="19"/>
        <v>0.9</v>
      </c>
    </row>
    <row r="132" spans="1:113" ht="13.8">
      <c r="A132" s="27">
        <f t="shared" ca="1" si="10"/>
        <v>40544</v>
      </c>
      <c r="B132" s="17">
        <f>'Gas Curves'!C136</f>
        <v>6.0369407986013E-2</v>
      </c>
      <c r="C132" s="17"/>
      <c r="D132" s="55">
        <v>39326</v>
      </c>
      <c r="E132" s="56">
        <v>35.950000000000003</v>
      </c>
      <c r="F132" s="56">
        <v>40</v>
      </c>
      <c r="G132" s="56">
        <v>43.5</v>
      </c>
      <c r="H132" s="40"/>
      <c r="I132" s="56">
        <v>25.374999618530275</v>
      </c>
      <c r="J132" s="56">
        <v>27.399999618530273</v>
      </c>
      <c r="K132" s="56">
        <v>28.989999618530273</v>
      </c>
      <c r="L132" s="23"/>
      <c r="M132" s="24">
        <v>40210</v>
      </c>
      <c r="N132" s="57">
        <v>32.391996765136724</v>
      </c>
      <c r="O132" s="57">
        <v>33.629496765136722</v>
      </c>
      <c r="P132" s="57">
        <v>34.88949676513672</v>
      </c>
      <c r="Q132" s="22"/>
      <c r="R132" s="57">
        <v>24.803997039794922</v>
      </c>
      <c r="S132" s="57">
        <v>29.803997039794922</v>
      </c>
      <c r="T132" s="57">
        <v>31.063997039794923</v>
      </c>
      <c r="U132" s="22"/>
      <c r="V132" s="57">
        <v>0</v>
      </c>
      <c r="W132" s="57">
        <v>0</v>
      </c>
      <c r="X132" s="57">
        <v>0</v>
      </c>
      <c r="Y132" s="22"/>
      <c r="Z132" s="57">
        <v>0.14449296993475777</v>
      </c>
      <c r="AA132" s="57">
        <v>0.28898593986951554</v>
      </c>
      <c r="AB132" s="57">
        <v>0.43347890980427328</v>
      </c>
      <c r="AC132" s="22"/>
      <c r="AD132" s="57">
        <v>2.8597548241064145E-2</v>
      </c>
      <c r="AE132" s="57">
        <v>5.719509648212829E-2</v>
      </c>
      <c r="AF132" s="57">
        <v>8.5792644723192438E-2</v>
      </c>
      <c r="AG132" s="22"/>
      <c r="AH132" s="57">
        <v>-0.75</v>
      </c>
      <c r="AI132" s="57">
        <v>2</v>
      </c>
      <c r="AJ132" s="57">
        <v>0.75</v>
      </c>
      <c r="AK132" s="22"/>
      <c r="AL132" s="57">
        <v>-0.15</v>
      </c>
      <c r="AM132" s="57">
        <v>0.5</v>
      </c>
      <c r="AN132" s="57">
        <v>0.2</v>
      </c>
      <c r="AO132" s="22"/>
      <c r="AP132" s="23">
        <v>39</v>
      </c>
      <c r="AQ132" s="58">
        <v>0.4</v>
      </c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4">
        <v>40210</v>
      </c>
      <c r="BI132" s="60">
        <v>0.9</v>
      </c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/>
      <c r="CM132" s="80"/>
      <c r="CN132" s="80"/>
      <c r="CO132" s="61"/>
      <c r="CP132"/>
      <c r="CQ132"/>
      <c r="CR132"/>
      <c r="CS132"/>
      <c r="CT132"/>
      <c r="CY132" s="282">
        <f t="shared" si="11"/>
        <v>40210</v>
      </c>
      <c r="CZ132" s="281">
        <f t="shared" si="12"/>
        <v>1.25</v>
      </c>
      <c r="DA132" s="281">
        <f t="shared" si="13"/>
        <v>2</v>
      </c>
      <c r="DB132" s="281">
        <f t="shared" si="14"/>
        <v>2.75</v>
      </c>
      <c r="DD132" s="281">
        <f t="shared" si="15"/>
        <v>0.14449296993475777</v>
      </c>
      <c r="DE132" s="281">
        <f t="shared" si="16"/>
        <v>0.28898593986951554</v>
      </c>
      <c r="DF132" s="281">
        <f t="shared" si="17"/>
        <v>0.43347890980427328</v>
      </c>
      <c r="DH132" s="282">
        <f t="shared" si="18"/>
        <v>40210</v>
      </c>
      <c r="DI132" s="17">
        <f t="shared" si="19"/>
        <v>0.9</v>
      </c>
    </row>
    <row r="133" spans="1:113" ht="13.8">
      <c r="A133" s="27">
        <f t="shared" ca="1" si="10"/>
        <v>40575</v>
      </c>
      <c r="B133" s="17">
        <f>'Gas Curves'!C137</f>
        <v>6.0406163350889004E-2</v>
      </c>
      <c r="C133" s="17"/>
      <c r="D133" s="55">
        <v>39356</v>
      </c>
      <c r="E133" s="56">
        <v>37.9</v>
      </c>
      <c r="F133" s="56">
        <v>40</v>
      </c>
      <c r="G133" s="56">
        <v>42.22</v>
      </c>
      <c r="H133" s="40"/>
      <c r="I133" s="56">
        <v>24.349999618530273</v>
      </c>
      <c r="J133" s="56">
        <v>25.399999618530273</v>
      </c>
      <c r="K133" s="56">
        <v>26.404999618530272</v>
      </c>
      <c r="L133" s="23"/>
      <c r="M133" s="24">
        <v>40238</v>
      </c>
      <c r="N133" s="57">
        <v>26.537496948242186</v>
      </c>
      <c r="O133" s="57">
        <v>27.774996948242187</v>
      </c>
      <c r="P133" s="57">
        <v>29.034996948242188</v>
      </c>
      <c r="Q133" s="22"/>
      <c r="R133" s="57">
        <v>19.599998474121094</v>
      </c>
      <c r="S133" s="57">
        <v>24.599998474121094</v>
      </c>
      <c r="T133" s="57">
        <v>25.859998474121095</v>
      </c>
      <c r="U133" s="22"/>
      <c r="V133" s="57">
        <v>0</v>
      </c>
      <c r="W133" s="57">
        <v>0</v>
      </c>
      <c r="X133" s="57">
        <v>0</v>
      </c>
      <c r="Y133" s="22"/>
      <c r="Z133" s="57">
        <v>0.1145478302174477</v>
      </c>
      <c r="AA133" s="57">
        <v>0.2290956604348954</v>
      </c>
      <c r="AB133" s="57">
        <v>0.34364349065234312</v>
      </c>
      <c r="AC133" s="22"/>
      <c r="AD133" s="57">
        <v>2.5012432863904491E-2</v>
      </c>
      <c r="AE133" s="57">
        <v>5.0024865727808981E-2</v>
      </c>
      <c r="AF133" s="57">
        <v>7.5037298591713472E-2</v>
      </c>
      <c r="AG133" s="22"/>
      <c r="AH133" s="57">
        <v>-0.25</v>
      </c>
      <c r="AI133" s="57">
        <v>1.3</v>
      </c>
      <c r="AJ133" s="57">
        <v>0.3</v>
      </c>
      <c r="AK133" s="22"/>
      <c r="AL133" s="57">
        <v>-0.15</v>
      </c>
      <c r="AM133" s="57">
        <v>0.35</v>
      </c>
      <c r="AN133" s="57">
        <v>0.2</v>
      </c>
      <c r="AO133" s="22"/>
      <c r="AP133" s="23">
        <v>39</v>
      </c>
      <c r="AQ133" s="58">
        <v>0.4</v>
      </c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4">
        <v>40238</v>
      </c>
      <c r="BI133" s="60">
        <v>0.9</v>
      </c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/>
      <c r="CM133" s="80"/>
      <c r="CN133" s="80"/>
      <c r="CO133" s="61"/>
      <c r="CP133"/>
      <c r="CQ133"/>
      <c r="CR133"/>
      <c r="CS133"/>
      <c r="CT133"/>
      <c r="CY133" s="282">
        <f t="shared" si="11"/>
        <v>40238</v>
      </c>
      <c r="CZ133" s="281">
        <f t="shared" si="12"/>
        <v>1.05</v>
      </c>
      <c r="DA133" s="281">
        <f t="shared" si="13"/>
        <v>1.3</v>
      </c>
      <c r="DB133" s="281">
        <f t="shared" si="14"/>
        <v>1.6</v>
      </c>
      <c r="DD133" s="281">
        <f t="shared" si="15"/>
        <v>0.1145478302174477</v>
      </c>
      <c r="DE133" s="281">
        <f t="shared" si="16"/>
        <v>0.2290956604348954</v>
      </c>
      <c r="DF133" s="281">
        <f t="shared" si="17"/>
        <v>0.34364349065234312</v>
      </c>
      <c r="DH133" s="282">
        <f t="shared" si="18"/>
        <v>40238</v>
      </c>
      <c r="DI133" s="17">
        <f t="shared" si="19"/>
        <v>0.9</v>
      </c>
    </row>
    <row r="134" spans="1:113" ht="13.8">
      <c r="A134" s="27">
        <f t="shared" ca="1" si="10"/>
        <v>40603</v>
      </c>
      <c r="B134" s="17">
        <f>'Gas Curves'!C138</f>
        <v>6.0428297419457017E-2</v>
      </c>
      <c r="C134" s="17"/>
      <c r="D134" s="55">
        <v>39387</v>
      </c>
      <c r="E134" s="56">
        <v>40.4</v>
      </c>
      <c r="F134" s="56">
        <v>42.5</v>
      </c>
      <c r="G134" s="56">
        <v>44.72</v>
      </c>
      <c r="H134" s="40"/>
      <c r="I134" s="56">
        <v>25.099999618530273</v>
      </c>
      <c r="J134" s="56">
        <v>26.149999618530273</v>
      </c>
      <c r="K134" s="56">
        <v>27.154999618530272</v>
      </c>
      <c r="L134" s="23"/>
      <c r="M134" s="24">
        <v>40269</v>
      </c>
      <c r="N134" s="57">
        <v>25.524999618530273</v>
      </c>
      <c r="O134" s="57">
        <v>27.099999618530273</v>
      </c>
      <c r="P134" s="57">
        <v>28.359999618530274</v>
      </c>
      <c r="Q134" s="22"/>
      <c r="R134" s="57">
        <v>19</v>
      </c>
      <c r="S134" s="57">
        <v>24</v>
      </c>
      <c r="T134" s="57">
        <v>25.26</v>
      </c>
      <c r="U134" s="22"/>
      <c r="V134" s="57">
        <v>0</v>
      </c>
      <c r="W134" s="57">
        <v>0</v>
      </c>
      <c r="X134" s="57">
        <v>0</v>
      </c>
      <c r="Y134" s="22"/>
      <c r="Z134" s="57">
        <v>0.11439026786501659</v>
      </c>
      <c r="AA134" s="57">
        <v>0.22878053573003318</v>
      </c>
      <c r="AB134" s="57">
        <v>0.34317080359504976</v>
      </c>
      <c r="AC134" s="22"/>
      <c r="AD134" s="57">
        <v>2.5012432863904491E-2</v>
      </c>
      <c r="AE134" s="57">
        <v>5.0024865727808981E-2</v>
      </c>
      <c r="AF134" s="57">
        <v>7.5037298591713472E-2</v>
      </c>
      <c r="AG134" s="22"/>
      <c r="AH134" s="57">
        <v>-0.25</v>
      </c>
      <c r="AI134" s="57">
        <v>1.1000000000000001</v>
      </c>
      <c r="AJ134" s="57">
        <v>0.3</v>
      </c>
      <c r="AK134" s="22"/>
      <c r="AL134" s="57">
        <v>-0.15</v>
      </c>
      <c r="AM134" s="57">
        <v>0.35</v>
      </c>
      <c r="AN134" s="57">
        <v>0.2</v>
      </c>
      <c r="AO134" s="22"/>
      <c r="AP134" s="23">
        <v>39</v>
      </c>
      <c r="AQ134" s="58">
        <v>0.4</v>
      </c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4">
        <v>40269</v>
      </c>
      <c r="BI134" s="60">
        <v>0.9</v>
      </c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/>
      <c r="CM134" s="80"/>
      <c r="CN134" s="80"/>
      <c r="CO134" s="61"/>
      <c r="CP134"/>
      <c r="CQ134"/>
      <c r="CR134"/>
      <c r="CS134"/>
      <c r="CT134"/>
      <c r="CY134" s="282">
        <f t="shared" si="11"/>
        <v>40269</v>
      </c>
      <c r="CZ134" s="281">
        <f t="shared" si="12"/>
        <v>0.85000000000000009</v>
      </c>
      <c r="DA134" s="281">
        <f t="shared" si="13"/>
        <v>1.1000000000000001</v>
      </c>
      <c r="DB134" s="281">
        <f t="shared" si="14"/>
        <v>1.4000000000000001</v>
      </c>
      <c r="DD134" s="281">
        <f t="shared" si="15"/>
        <v>0.11439026786501659</v>
      </c>
      <c r="DE134" s="281">
        <f t="shared" si="16"/>
        <v>0.22878053573003318</v>
      </c>
      <c r="DF134" s="281">
        <f t="shared" si="17"/>
        <v>0.34317080359504976</v>
      </c>
      <c r="DH134" s="282">
        <f t="shared" si="18"/>
        <v>40269</v>
      </c>
      <c r="DI134" s="17">
        <f t="shared" si="19"/>
        <v>0.9</v>
      </c>
    </row>
    <row r="135" spans="1:113" ht="13.8">
      <c r="A135" s="27">
        <f t="shared" ca="1" si="10"/>
        <v>40634</v>
      </c>
      <c r="B135" s="17">
        <f>'Gas Curves'!C139</f>
        <v>6.0452802995560002E-2</v>
      </c>
      <c r="C135" s="17"/>
      <c r="D135" s="55">
        <v>39417</v>
      </c>
      <c r="E135" s="56">
        <v>40.4</v>
      </c>
      <c r="F135" s="56">
        <v>42.5</v>
      </c>
      <c r="G135" s="56">
        <v>44.72</v>
      </c>
      <c r="H135" s="40"/>
      <c r="I135" s="56">
        <v>24.999999237060546</v>
      </c>
      <c r="J135" s="56">
        <v>26.049999237060547</v>
      </c>
      <c r="K135" s="56">
        <v>27.054999237060546</v>
      </c>
      <c r="L135" s="23"/>
      <c r="M135" s="24">
        <v>40299</v>
      </c>
      <c r="N135" s="57">
        <v>29.125</v>
      </c>
      <c r="O135" s="57">
        <v>30.7</v>
      </c>
      <c r="P135" s="57">
        <v>33.085000000000001</v>
      </c>
      <c r="Q135" s="22"/>
      <c r="R135" s="57">
        <v>22.19999885559082</v>
      </c>
      <c r="S135" s="57">
        <v>27.19999885559082</v>
      </c>
      <c r="T135" s="57">
        <v>29.584998855590818</v>
      </c>
      <c r="U135" s="22"/>
      <c r="V135" s="57">
        <v>0</v>
      </c>
      <c r="W135" s="57">
        <v>0</v>
      </c>
      <c r="X135" s="57">
        <v>0</v>
      </c>
      <c r="Y135" s="22"/>
      <c r="Z135" s="57">
        <v>0.12034114913367945</v>
      </c>
      <c r="AA135" s="57">
        <v>0.2406822982673589</v>
      </c>
      <c r="AB135" s="57">
        <v>0.36102344740103837</v>
      </c>
      <c r="AC135" s="22"/>
      <c r="AD135" s="57">
        <v>2.8597548241064145E-2</v>
      </c>
      <c r="AE135" s="57">
        <v>5.719509648212829E-2</v>
      </c>
      <c r="AF135" s="57">
        <v>8.5792644723192438E-2</v>
      </c>
      <c r="AG135" s="22"/>
      <c r="AH135" s="57">
        <v>-0.25</v>
      </c>
      <c r="AI135" s="57">
        <v>1.1000000000000001</v>
      </c>
      <c r="AJ135" s="57">
        <v>0.3</v>
      </c>
      <c r="AK135" s="22"/>
      <c r="AL135" s="57">
        <v>-0.15</v>
      </c>
      <c r="AM135" s="57">
        <v>0.5</v>
      </c>
      <c r="AN135" s="57">
        <v>0.2</v>
      </c>
      <c r="AO135" s="22"/>
      <c r="AP135" s="23">
        <v>40</v>
      </c>
      <c r="AQ135" s="58">
        <v>0.4</v>
      </c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4">
        <v>40299</v>
      </c>
      <c r="BI135" s="60">
        <v>0.9</v>
      </c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/>
      <c r="CM135" s="80"/>
      <c r="CN135" s="80"/>
      <c r="CO135" s="61"/>
      <c r="CP135"/>
      <c r="CQ135"/>
      <c r="CR135"/>
      <c r="CS135"/>
      <c r="CT135"/>
      <c r="CY135" s="282">
        <f t="shared" si="11"/>
        <v>40299</v>
      </c>
      <c r="CZ135" s="281">
        <f t="shared" si="12"/>
        <v>0.85000000000000009</v>
      </c>
      <c r="DA135" s="281">
        <f t="shared" si="13"/>
        <v>1.1000000000000001</v>
      </c>
      <c r="DB135" s="281">
        <f t="shared" si="14"/>
        <v>1.4000000000000001</v>
      </c>
      <c r="DD135" s="281">
        <f t="shared" si="15"/>
        <v>0.12034114913367945</v>
      </c>
      <c r="DE135" s="281">
        <f t="shared" si="16"/>
        <v>0.2406822982673589</v>
      </c>
      <c r="DF135" s="281">
        <f t="shared" si="17"/>
        <v>0.36102344740103837</v>
      </c>
      <c r="DH135" s="282">
        <f t="shared" si="18"/>
        <v>40299</v>
      </c>
      <c r="DI135" s="17">
        <f t="shared" si="19"/>
        <v>0.9</v>
      </c>
    </row>
    <row r="136" spans="1:113" ht="13.8">
      <c r="A136" s="27">
        <f t="shared" ca="1" si="10"/>
        <v>40664</v>
      </c>
      <c r="B136" s="17">
        <f>'Gas Curves'!C140</f>
        <v>6.0476518069398015E-2</v>
      </c>
      <c r="C136" s="17"/>
      <c r="D136" s="55">
        <v>39448</v>
      </c>
      <c r="E136" s="56">
        <v>55.9</v>
      </c>
      <c r="F136" s="56">
        <v>58</v>
      </c>
      <c r="G136" s="56">
        <v>60.04</v>
      </c>
      <c r="H136" s="40"/>
      <c r="I136" s="56">
        <v>26.300000381469726</v>
      </c>
      <c r="J136" s="56">
        <v>27.350000381469727</v>
      </c>
      <c r="K136" s="56">
        <v>28.190000381469726</v>
      </c>
      <c r="L136" s="23"/>
      <c r="M136" s="24">
        <v>40330</v>
      </c>
      <c r="N136" s="57">
        <v>34.462503051757814</v>
      </c>
      <c r="O136" s="57">
        <v>37.500003051757815</v>
      </c>
      <c r="P136" s="57">
        <v>41.130003051757818</v>
      </c>
      <c r="Q136" s="22"/>
      <c r="R136" s="57">
        <v>27.700002670288086</v>
      </c>
      <c r="S136" s="57">
        <v>32.700002670288086</v>
      </c>
      <c r="T136" s="57">
        <v>36.330002670288088</v>
      </c>
      <c r="U136" s="22"/>
      <c r="V136" s="57">
        <v>0</v>
      </c>
      <c r="W136" s="57">
        <v>0</v>
      </c>
      <c r="X136" s="57">
        <v>0</v>
      </c>
      <c r="Y136" s="22"/>
      <c r="Z136" s="57">
        <v>0.12869692946576519</v>
      </c>
      <c r="AA136" s="57">
        <v>0.25739385893153038</v>
      </c>
      <c r="AB136" s="57">
        <v>0.3860907883972956</v>
      </c>
      <c r="AC136" s="22"/>
      <c r="AD136" s="57">
        <v>3.6768276309939604E-2</v>
      </c>
      <c r="AE136" s="57">
        <v>7.3536552619879209E-2</v>
      </c>
      <c r="AF136" s="57">
        <v>0.11030482892981881</v>
      </c>
      <c r="AG136" s="22"/>
      <c r="AH136" s="57">
        <v>-0.35</v>
      </c>
      <c r="AI136" s="57">
        <v>2</v>
      </c>
      <c r="AJ136" s="57">
        <v>0.3</v>
      </c>
      <c r="AK136" s="22"/>
      <c r="AL136" s="57">
        <v>-0.15</v>
      </c>
      <c r="AM136" s="57">
        <v>0.65</v>
      </c>
      <c r="AN136" s="57">
        <v>0.2</v>
      </c>
      <c r="AO136" s="22"/>
      <c r="AP136" s="23">
        <v>40</v>
      </c>
      <c r="AQ136" s="58">
        <v>0.4</v>
      </c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4">
        <v>40330</v>
      </c>
      <c r="BI136" s="60">
        <v>0.9</v>
      </c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/>
      <c r="CM136" s="80"/>
      <c r="CN136" s="80"/>
      <c r="CO136" s="61"/>
      <c r="CP136"/>
      <c r="CQ136"/>
      <c r="CR136"/>
      <c r="CS136"/>
      <c r="CT136"/>
      <c r="CY136" s="282">
        <f t="shared" si="11"/>
        <v>40330</v>
      </c>
      <c r="CZ136" s="281">
        <f t="shared" si="12"/>
        <v>1.65</v>
      </c>
      <c r="DA136" s="281">
        <f t="shared" si="13"/>
        <v>2</v>
      </c>
      <c r="DB136" s="281">
        <f t="shared" si="14"/>
        <v>2.2999999999999998</v>
      </c>
      <c r="DD136" s="281">
        <f t="shared" si="15"/>
        <v>0.12869692946576519</v>
      </c>
      <c r="DE136" s="281">
        <f t="shared" si="16"/>
        <v>0.25739385893153038</v>
      </c>
      <c r="DF136" s="281">
        <f t="shared" si="17"/>
        <v>0.3860907883972956</v>
      </c>
      <c r="DH136" s="282">
        <f t="shared" si="18"/>
        <v>40330</v>
      </c>
      <c r="DI136" s="17">
        <f t="shared" si="19"/>
        <v>0.9</v>
      </c>
    </row>
    <row r="137" spans="1:113" ht="13.8">
      <c r="A137" s="27">
        <f t="shared" ca="1" si="10"/>
        <v>40695</v>
      </c>
      <c r="B137" s="17">
        <f>'Gas Curves'!C141</f>
        <v>6.0501023645895005E-2</v>
      </c>
      <c r="C137" s="17"/>
      <c r="D137" s="55">
        <v>39479</v>
      </c>
      <c r="E137" s="56">
        <v>56.35</v>
      </c>
      <c r="F137" s="56">
        <v>58</v>
      </c>
      <c r="G137" s="56">
        <v>60.04</v>
      </c>
      <c r="H137" s="40"/>
      <c r="I137" s="56">
        <v>23.175000000000001</v>
      </c>
      <c r="J137" s="56">
        <v>24</v>
      </c>
      <c r="K137" s="56">
        <v>24.84</v>
      </c>
      <c r="L137" s="23"/>
      <c r="M137" s="24">
        <v>40360</v>
      </c>
      <c r="N137" s="57">
        <v>36.475001525878909</v>
      </c>
      <c r="O137" s="57">
        <v>43.900001525878906</v>
      </c>
      <c r="P137" s="57">
        <v>51.647501525878909</v>
      </c>
      <c r="Q137" s="22"/>
      <c r="R137" s="57">
        <v>32.900001525878906</v>
      </c>
      <c r="S137" s="57">
        <v>37.900001525878906</v>
      </c>
      <c r="T137" s="57">
        <v>45.647501525878909</v>
      </c>
      <c r="U137" s="22"/>
      <c r="V137" s="57">
        <v>0</v>
      </c>
      <c r="W137" s="57">
        <v>0</v>
      </c>
      <c r="X137" s="57">
        <v>0</v>
      </c>
      <c r="Y137" s="22"/>
      <c r="Z137" s="57">
        <v>0.15328494920041605</v>
      </c>
      <c r="AA137" s="57">
        <v>0.3065698984008321</v>
      </c>
      <c r="AB137" s="57">
        <v>0.45985484760124817</v>
      </c>
      <c r="AC137" s="22"/>
      <c r="AD137" s="57">
        <v>4.9024368413252799E-2</v>
      </c>
      <c r="AE137" s="57">
        <v>9.8048736826505598E-2</v>
      </c>
      <c r="AF137" s="57">
        <v>0.14707310523975839</v>
      </c>
      <c r="AG137" s="22"/>
      <c r="AH137" s="57">
        <v>-0.35</v>
      </c>
      <c r="AI137" s="57">
        <v>3</v>
      </c>
      <c r="AJ137" s="57">
        <v>0.5</v>
      </c>
      <c r="AK137" s="22"/>
      <c r="AL137" s="57">
        <v>-0.15</v>
      </c>
      <c r="AM137" s="57">
        <v>0.75</v>
      </c>
      <c r="AN137" s="57">
        <v>0.2</v>
      </c>
      <c r="AO137" s="22"/>
      <c r="AP137" s="23">
        <v>40</v>
      </c>
      <c r="AQ137" s="58">
        <v>0.4</v>
      </c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4">
        <v>40360</v>
      </c>
      <c r="BI137" s="60">
        <v>0.9</v>
      </c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/>
      <c r="CM137" s="80"/>
      <c r="CN137" s="80"/>
      <c r="CO137" s="61"/>
      <c r="CP137"/>
      <c r="CQ137"/>
      <c r="CR137"/>
      <c r="CS137"/>
      <c r="CT137"/>
      <c r="CY137" s="282">
        <f t="shared" si="11"/>
        <v>40360</v>
      </c>
      <c r="CZ137" s="281">
        <f t="shared" si="12"/>
        <v>2.65</v>
      </c>
      <c r="DA137" s="281">
        <f t="shared" si="13"/>
        <v>3</v>
      </c>
      <c r="DB137" s="281">
        <f t="shared" si="14"/>
        <v>3.5</v>
      </c>
      <c r="DD137" s="281">
        <f t="shared" si="15"/>
        <v>0.15328494920041605</v>
      </c>
      <c r="DE137" s="281">
        <f t="shared" si="16"/>
        <v>0.3065698984008321</v>
      </c>
      <c r="DF137" s="281">
        <f t="shared" si="17"/>
        <v>0.45985484760124817</v>
      </c>
      <c r="DH137" s="282">
        <f t="shared" si="18"/>
        <v>40360</v>
      </c>
      <c r="DI137" s="17">
        <f t="shared" si="19"/>
        <v>0.9</v>
      </c>
    </row>
    <row r="138" spans="1:113" ht="13.8">
      <c r="A138" s="27">
        <f t="shared" ca="1" si="10"/>
        <v>40725</v>
      </c>
      <c r="B138" s="17">
        <f>'Gas Curves'!C142</f>
        <v>6.0524738720113012E-2</v>
      </c>
      <c r="C138" s="17"/>
      <c r="D138" s="55">
        <v>39508</v>
      </c>
      <c r="E138" s="56">
        <v>39.35</v>
      </c>
      <c r="F138" s="56">
        <v>41</v>
      </c>
      <c r="G138" s="56">
        <v>43.04</v>
      </c>
      <c r="H138" s="40"/>
      <c r="I138" s="56">
        <v>23.574999618530274</v>
      </c>
      <c r="J138" s="56">
        <v>24.399999618530273</v>
      </c>
      <c r="K138" s="56">
        <v>25.239999618530273</v>
      </c>
      <c r="L138" s="23"/>
      <c r="M138" s="24">
        <v>40391</v>
      </c>
      <c r="N138" s="57">
        <v>48.225001525878909</v>
      </c>
      <c r="O138" s="57">
        <v>55.650001525878906</v>
      </c>
      <c r="P138" s="57">
        <v>63.397501525878909</v>
      </c>
      <c r="Q138" s="22"/>
      <c r="R138" s="57">
        <v>44.700000762939453</v>
      </c>
      <c r="S138" s="57">
        <v>49.700000762939453</v>
      </c>
      <c r="T138" s="57">
        <v>57.447500762939455</v>
      </c>
      <c r="U138" s="22"/>
      <c r="V138" s="57">
        <v>0</v>
      </c>
      <c r="W138" s="57">
        <v>0</v>
      </c>
      <c r="X138" s="57">
        <v>0</v>
      </c>
      <c r="Y138" s="22"/>
      <c r="Z138" s="57">
        <v>0.14992638326701518</v>
      </c>
      <c r="AA138" s="57">
        <v>0.29985276653403037</v>
      </c>
      <c r="AB138" s="57">
        <v>0.44977914980104555</v>
      </c>
      <c r="AC138" s="22"/>
      <c r="AD138" s="57">
        <v>4.9024368413252799E-2</v>
      </c>
      <c r="AE138" s="57">
        <v>9.8048736826505598E-2</v>
      </c>
      <c r="AF138" s="57">
        <v>0.14707310523975839</v>
      </c>
      <c r="AG138" s="22"/>
      <c r="AH138" s="57">
        <v>-0.35</v>
      </c>
      <c r="AI138" s="57">
        <v>3</v>
      </c>
      <c r="AJ138" s="57">
        <v>0.5</v>
      </c>
      <c r="AK138" s="22"/>
      <c r="AL138" s="57">
        <v>-0.15</v>
      </c>
      <c r="AM138" s="57">
        <v>0.75</v>
      </c>
      <c r="AN138" s="57">
        <v>0.2</v>
      </c>
      <c r="AO138" s="22"/>
      <c r="AP138" s="23">
        <v>41</v>
      </c>
      <c r="AQ138" s="58">
        <v>0.4</v>
      </c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4">
        <v>40391</v>
      </c>
      <c r="BI138" s="60">
        <v>0.9</v>
      </c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/>
      <c r="CM138" s="80"/>
      <c r="CN138" s="80"/>
      <c r="CO138" s="61"/>
      <c r="CP138"/>
      <c r="CQ138"/>
      <c r="CR138"/>
      <c r="CS138"/>
      <c r="CT138"/>
      <c r="CY138" s="282">
        <f t="shared" si="11"/>
        <v>40391</v>
      </c>
      <c r="CZ138" s="281">
        <f t="shared" si="12"/>
        <v>2.65</v>
      </c>
      <c r="DA138" s="281">
        <f t="shared" si="13"/>
        <v>3</v>
      </c>
      <c r="DB138" s="281">
        <f t="shared" si="14"/>
        <v>3.5</v>
      </c>
      <c r="DD138" s="281">
        <f t="shared" si="15"/>
        <v>0.14992638326701518</v>
      </c>
      <c r="DE138" s="281">
        <f t="shared" si="16"/>
        <v>0.29985276653403037</v>
      </c>
      <c r="DF138" s="281">
        <f t="shared" si="17"/>
        <v>0.44977914980104555</v>
      </c>
      <c r="DH138" s="282">
        <f t="shared" si="18"/>
        <v>40391</v>
      </c>
      <c r="DI138" s="17">
        <f t="shared" si="19"/>
        <v>0.9</v>
      </c>
    </row>
    <row r="139" spans="1:113" ht="13.8">
      <c r="A139" s="27">
        <f t="shared" ca="1" si="10"/>
        <v>40756</v>
      </c>
      <c r="B139" s="17">
        <f>'Gas Curves'!C143</f>
        <v>6.0549244297002008E-2</v>
      </c>
      <c r="C139" s="17"/>
      <c r="D139" s="55">
        <v>39539</v>
      </c>
      <c r="E139" s="56">
        <v>35.4</v>
      </c>
      <c r="F139" s="56">
        <v>37.5</v>
      </c>
      <c r="G139" s="56">
        <v>39.54</v>
      </c>
      <c r="H139" s="40"/>
      <c r="I139" s="56">
        <v>21.099999618530273</v>
      </c>
      <c r="J139" s="56">
        <v>22.149999618530273</v>
      </c>
      <c r="K139" s="56">
        <v>22.989999618530273</v>
      </c>
      <c r="L139" s="23"/>
      <c r="M139" s="24">
        <v>40422</v>
      </c>
      <c r="N139" s="57">
        <v>29.987501144409173</v>
      </c>
      <c r="O139" s="57">
        <v>33.025001144409174</v>
      </c>
      <c r="P139" s="57">
        <v>35.410001144409172</v>
      </c>
      <c r="Q139" s="22"/>
      <c r="R139" s="57">
        <v>25.300001525878905</v>
      </c>
      <c r="S139" s="57">
        <v>30.300001525878905</v>
      </c>
      <c r="T139" s="57">
        <v>32.685001525878903</v>
      </c>
      <c r="U139" s="22"/>
      <c r="V139" s="57">
        <v>0</v>
      </c>
      <c r="W139" s="57">
        <v>0</v>
      </c>
      <c r="X139" s="57">
        <v>0</v>
      </c>
      <c r="Y139" s="22"/>
      <c r="Z139" s="57">
        <v>0.1135941633474697</v>
      </c>
      <c r="AA139" s="57">
        <v>0.22718832669493941</v>
      </c>
      <c r="AB139" s="57">
        <v>0.34078249004240913</v>
      </c>
      <c r="AC139" s="22"/>
      <c r="AD139" s="57">
        <v>3.2682912275501866E-2</v>
      </c>
      <c r="AE139" s="57">
        <v>6.5365824551003732E-2</v>
      </c>
      <c r="AF139" s="57">
        <v>9.8048736826505598E-2</v>
      </c>
      <c r="AG139" s="22"/>
      <c r="AH139" s="57">
        <v>-0.35</v>
      </c>
      <c r="AI139" s="57">
        <v>1.5</v>
      </c>
      <c r="AJ139" s="57">
        <v>0.3</v>
      </c>
      <c r="AK139" s="22"/>
      <c r="AL139" s="57">
        <v>-0.15</v>
      </c>
      <c r="AM139" s="57">
        <v>0.4</v>
      </c>
      <c r="AN139" s="57">
        <v>0.2</v>
      </c>
      <c r="AO139" s="22"/>
      <c r="AP139" s="23">
        <v>41</v>
      </c>
      <c r="AQ139" s="58">
        <v>0.4</v>
      </c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4">
        <v>40422</v>
      </c>
      <c r="BI139" s="60">
        <v>0.9</v>
      </c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/>
      <c r="CM139" s="80"/>
      <c r="CN139" s="80"/>
      <c r="CO139" s="61"/>
      <c r="CP139"/>
      <c r="CQ139"/>
      <c r="CR139"/>
      <c r="CS139"/>
      <c r="CT139"/>
      <c r="CY139" s="282">
        <f t="shared" si="11"/>
        <v>40422</v>
      </c>
      <c r="CZ139" s="281">
        <f t="shared" si="12"/>
        <v>1.1499999999999999</v>
      </c>
      <c r="DA139" s="281">
        <f t="shared" si="13"/>
        <v>1.5</v>
      </c>
      <c r="DB139" s="281">
        <f t="shared" si="14"/>
        <v>1.8</v>
      </c>
      <c r="DD139" s="281">
        <f t="shared" si="15"/>
        <v>0.1135941633474697</v>
      </c>
      <c r="DE139" s="281">
        <f t="shared" si="16"/>
        <v>0.22718832669493941</v>
      </c>
      <c r="DF139" s="281">
        <f t="shared" si="17"/>
        <v>0.34078249004240913</v>
      </c>
      <c r="DH139" s="282">
        <f t="shared" si="18"/>
        <v>40422</v>
      </c>
      <c r="DI139" s="17">
        <f t="shared" si="19"/>
        <v>0.9</v>
      </c>
    </row>
    <row r="140" spans="1:113" ht="13.8">
      <c r="A140" s="27">
        <f t="shared" ca="1" si="10"/>
        <v>40787</v>
      </c>
      <c r="B140" s="17">
        <f>'Gas Curves'!C144</f>
        <v>6.0573749874090005E-2</v>
      </c>
      <c r="C140" s="17"/>
      <c r="D140" s="55">
        <v>39569</v>
      </c>
      <c r="E140" s="56">
        <v>38.9</v>
      </c>
      <c r="F140" s="56">
        <v>41</v>
      </c>
      <c r="G140" s="56">
        <v>44.85</v>
      </c>
      <c r="H140" s="40"/>
      <c r="I140" s="56">
        <v>22.099999618530273</v>
      </c>
      <c r="J140" s="56">
        <v>23.149999618530273</v>
      </c>
      <c r="K140" s="56">
        <v>24.739999618530273</v>
      </c>
      <c r="L140" s="23"/>
      <c r="M140" s="24">
        <v>40452</v>
      </c>
      <c r="N140" s="57">
        <v>27.450001144409178</v>
      </c>
      <c r="O140" s="57">
        <v>29.025001144409178</v>
      </c>
      <c r="P140" s="57">
        <v>30.532501144409178</v>
      </c>
      <c r="Q140" s="22"/>
      <c r="R140" s="57">
        <v>20.800001525878905</v>
      </c>
      <c r="S140" s="57">
        <v>25.800001525878905</v>
      </c>
      <c r="T140" s="57">
        <v>27.307501525878905</v>
      </c>
      <c r="U140" s="22"/>
      <c r="V140" s="57">
        <v>0</v>
      </c>
      <c r="W140" s="57">
        <v>0</v>
      </c>
      <c r="X140" s="57">
        <v>0</v>
      </c>
      <c r="Y140" s="22"/>
      <c r="Z140" s="57">
        <v>9.8248419496214573E-2</v>
      </c>
      <c r="AA140" s="57">
        <v>0.19649683899242915</v>
      </c>
      <c r="AB140" s="57">
        <v>0.29474525848864375</v>
      </c>
      <c r="AC140" s="22"/>
      <c r="AD140" s="57">
        <v>2.4512184206626399E-2</v>
      </c>
      <c r="AE140" s="57">
        <v>4.9024368413252799E-2</v>
      </c>
      <c r="AF140" s="57">
        <v>7.3536552619879195E-2</v>
      </c>
      <c r="AG140" s="22"/>
      <c r="AH140" s="57">
        <v>-0.25</v>
      </c>
      <c r="AI140" s="57">
        <v>1.1000000000000001</v>
      </c>
      <c r="AJ140" s="57">
        <v>0.3</v>
      </c>
      <c r="AK140" s="22"/>
      <c r="AL140" s="57">
        <v>-0.15</v>
      </c>
      <c r="AM140" s="57">
        <v>0.35</v>
      </c>
      <c r="AN140" s="57">
        <v>0.2</v>
      </c>
      <c r="AO140" s="22"/>
      <c r="AP140" s="23">
        <v>41</v>
      </c>
      <c r="AQ140" s="58">
        <v>0.4</v>
      </c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4">
        <v>40452</v>
      </c>
      <c r="BI140" s="60">
        <v>0.9</v>
      </c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/>
      <c r="CM140" s="80"/>
      <c r="CN140" s="80"/>
      <c r="CO140" s="61"/>
      <c r="CP140"/>
      <c r="CQ140"/>
      <c r="CR140"/>
      <c r="CS140"/>
      <c r="CT140"/>
      <c r="CY140" s="282">
        <f t="shared" si="11"/>
        <v>40452</v>
      </c>
      <c r="CZ140" s="281">
        <f t="shared" si="12"/>
        <v>0.85000000000000009</v>
      </c>
      <c r="DA140" s="281">
        <f t="shared" si="13"/>
        <v>1.1000000000000001</v>
      </c>
      <c r="DB140" s="281">
        <f t="shared" si="14"/>
        <v>1.4000000000000001</v>
      </c>
      <c r="DD140" s="281">
        <f t="shared" si="15"/>
        <v>9.8248419496214573E-2</v>
      </c>
      <c r="DE140" s="281">
        <f t="shared" si="16"/>
        <v>0.19649683899242915</v>
      </c>
      <c r="DF140" s="281">
        <f t="shared" si="17"/>
        <v>0.29474525848864375</v>
      </c>
      <c r="DH140" s="282">
        <f t="shared" si="18"/>
        <v>40452</v>
      </c>
      <c r="DI140" s="17">
        <f t="shared" si="19"/>
        <v>0.9</v>
      </c>
    </row>
    <row r="141" spans="1:113" ht="13.8">
      <c r="A141" s="27">
        <f t="shared" ca="1" si="10"/>
        <v>40817</v>
      </c>
      <c r="B141" s="17">
        <f>'Gas Curves'!C145</f>
        <v>6.0597464948881012E-2</v>
      </c>
      <c r="C141" s="17"/>
      <c r="D141" s="55">
        <v>39600</v>
      </c>
      <c r="E141" s="56">
        <v>46.95</v>
      </c>
      <c r="F141" s="56">
        <v>51</v>
      </c>
      <c r="G141" s="56">
        <v>56.87</v>
      </c>
      <c r="H141" s="40"/>
      <c r="I141" s="56">
        <v>21.499999618530275</v>
      </c>
      <c r="J141" s="56">
        <v>23.524999618530273</v>
      </c>
      <c r="K141" s="56">
        <v>25.944999618530275</v>
      </c>
      <c r="L141" s="23"/>
      <c r="M141" s="24">
        <v>40483</v>
      </c>
      <c r="N141" s="57">
        <v>29.800001525878905</v>
      </c>
      <c r="O141" s="57">
        <v>31.375001525878904</v>
      </c>
      <c r="P141" s="57">
        <v>32.882501525878901</v>
      </c>
      <c r="Q141" s="22"/>
      <c r="R141" s="57">
        <v>23.000000381469725</v>
      </c>
      <c r="S141" s="57">
        <v>28.000000381469725</v>
      </c>
      <c r="T141" s="57">
        <v>29.507500381469725</v>
      </c>
      <c r="U141" s="22"/>
      <c r="V141" s="57">
        <v>0</v>
      </c>
      <c r="W141" s="57">
        <v>0</v>
      </c>
      <c r="X141" s="57">
        <v>0</v>
      </c>
      <c r="Y141" s="22"/>
      <c r="Z141" s="57">
        <v>9.8248419496214573E-2</v>
      </c>
      <c r="AA141" s="57">
        <v>0.19649683899242915</v>
      </c>
      <c r="AB141" s="57">
        <v>0.29474525848864375</v>
      </c>
      <c r="AC141" s="22"/>
      <c r="AD141" s="57">
        <v>2.4512184206626399E-2</v>
      </c>
      <c r="AE141" s="57">
        <v>4.9024368413252799E-2</v>
      </c>
      <c r="AF141" s="57">
        <v>7.3536552619879195E-2</v>
      </c>
      <c r="AG141" s="22"/>
      <c r="AH141" s="57">
        <v>-0.25</v>
      </c>
      <c r="AI141" s="57">
        <v>1.25</v>
      </c>
      <c r="AJ141" s="57">
        <v>0.3</v>
      </c>
      <c r="AK141" s="22"/>
      <c r="AL141" s="57">
        <v>-0.15</v>
      </c>
      <c r="AM141" s="57">
        <v>0.3</v>
      </c>
      <c r="AN141" s="57">
        <v>0.2</v>
      </c>
      <c r="AO141" s="22"/>
      <c r="AP141" s="23">
        <v>42</v>
      </c>
      <c r="AQ141" s="58">
        <v>0.4</v>
      </c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4">
        <v>40483</v>
      </c>
      <c r="BI141" s="60">
        <v>0.9</v>
      </c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/>
      <c r="CM141" s="80"/>
      <c r="CN141" s="80"/>
      <c r="CO141" s="61"/>
      <c r="CP141"/>
      <c r="CQ141"/>
      <c r="CR141"/>
      <c r="CS141"/>
      <c r="CT141"/>
      <c r="CY141" s="282">
        <f t="shared" si="11"/>
        <v>40483</v>
      </c>
      <c r="CZ141" s="281">
        <f t="shared" si="12"/>
        <v>1</v>
      </c>
      <c r="DA141" s="281">
        <f t="shared" si="13"/>
        <v>1.25</v>
      </c>
      <c r="DB141" s="281">
        <f t="shared" si="14"/>
        <v>1.55</v>
      </c>
      <c r="DD141" s="281">
        <f t="shared" si="15"/>
        <v>9.8248419496214573E-2</v>
      </c>
      <c r="DE141" s="281">
        <f t="shared" si="16"/>
        <v>0.19649683899242915</v>
      </c>
      <c r="DF141" s="281">
        <f t="shared" si="17"/>
        <v>0.29474525848864375</v>
      </c>
      <c r="DH141" s="282">
        <f t="shared" si="18"/>
        <v>40483</v>
      </c>
      <c r="DI141" s="17">
        <f t="shared" si="19"/>
        <v>0.9</v>
      </c>
    </row>
    <row r="142" spans="1:113" ht="13.8">
      <c r="A142" s="27">
        <f t="shared" ref="A142:A205" ca="1" si="20">EOMONTH(A141,0)+1</f>
        <v>40848</v>
      </c>
      <c r="B142" s="17">
        <f>'Gas Curves'!C146</f>
        <v>6.0621970526362007E-2</v>
      </c>
      <c r="C142" s="17"/>
      <c r="D142" s="55">
        <v>39630</v>
      </c>
      <c r="E142" s="56">
        <v>60.35</v>
      </c>
      <c r="F142" s="56">
        <v>70.25</v>
      </c>
      <c r="G142" s="56">
        <v>82.76</v>
      </c>
      <c r="H142" s="40"/>
      <c r="I142" s="56">
        <v>22.3</v>
      </c>
      <c r="J142" s="56">
        <v>27.25</v>
      </c>
      <c r="K142" s="56">
        <v>32.414999999999999</v>
      </c>
      <c r="L142" s="23"/>
      <c r="M142" s="24">
        <v>40513</v>
      </c>
      <c r="N142" s="57">
        <v>30.4</v>
      </c>
      <c r="O142" s="57">
        <v>31.975000000000001</v>
      </c>
      <c r="P142" s="57">
        <v>33.482500000000002</v>
      </c>
      <c r="Q142" s="22"/>
      <c r="R142" s="57">
        <v>23.500000381469725</v>
      </c>
      <c r="S142" s="57">
        <v>28.500000381469725</v>
      </c>
      <c r="T142" s="57">
        <v>30.007500381469725</v>
      </c>
      <c r="U142" s="22"/>
      <c r="V142" s="57">
        <v>0</v>
      </c>
      <c r="W142" s="57">
        <v>0</v>
      </c>
      <c r="X142" s="57">
        <v>0</v>
      </c>
      <c r="Y142" s="22"/>
      <c r="Z142" s="57">
        <v>9.6287182846216277E-2</v>
      </c>
      <c r="AA142" s="57">
        <v>0.19257436569243255</v>
      </c>
      <c r="AB142" s="57">
        <v>0.28886154853864882</v>
      </c>
      <c r="AC142" s="22"/>
      <c r="AD142" s="57">
        <v>2.4512184206626399E-2</v>
      </c>
      <c r="AE142" s="57">
        <v>4.9024368413252799E-2</v>
      </c>
      <c r="AF142" s="57">
        <v>7.3536552619879195E-2</v>
      </c>
      <c r="AG142" s="22"/>
      <c r="AH142" s="57">
        <v>-0.25</v>
      </c>
      <c r="AI142" s="57">
        <v>1.25</v>
      </c>
      <c r="AJ142" s="57">
        <v>0.35</v>
      </c>
      <c r="AK142" s="22"/>
      <c r="AL142" s="57">
        <v>-0.15</v>
      </c>
      <c r="AM142" s="57">
        <v>0.3</v>
      </c>
      <c r="AN142" s="57">
        <v>0.2</v>
      </c>
      <c r="AO142" s="22"/>
      <c r="AP142" s="23">
        <v>42</v>
      </c>
      <c r="AQ142" s="58">
        <v>0.4</v>
      </c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4">
        <v>40513</v>
      </c>
      <c r="BI142" s="60">
        <v>0.9</v>
      </c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/>
      <c r="CM142" s="80"/>
      <c r="CN142" s="80"/>
      <c r="CO142" s="61"/>
      <c r="CP142"/>
      <c r="CQ142"/>
      <c r="CR142"/>
      <c r="CS142"/>
      <c r="CT142"/>
      <c r="CY142" s="282">
        <f t="shared" si="11"/>
        <v>40513</v>
      </c>
      <c r="CZ142" s="281">
        <f t="shared" si="12"/>
        <v>1</v>
      </c>
      <c r="DA142" s="281">
        <f t="shared" si="13"/>
        <v>1.25</v>
      </c>
      <c r="DB142" s="281">
        <f t="shared" si="14"/>
        <v>1.6</v>
      </c>
      <c r="DD142" s="281">
        <f t="shared" si="15"/>
        <v>9.6287182846216277E-2</v>
      </c>
      <c r="DE142" s="281">
        <f t="shared" si="16"/>
        <v>0.19257436569243255</v>
      </c>
      <c r="DF142" s="281">
        <f t="shared" si="17"/>
        <v>0.28886154853864882</v>
      </c>
      <c r="DH142" s="282">
        <f t="shared" si="18"/>
        <v>40513</v>
      </c>
      <c r="DI142" s="17">
        <f t="shared" si="19"/>
        <v>0.9</v>
      </c>
    </row>
    <row r="143" spans="1:113" ht="13.8">
      <c r="A143" s="27">
        <f t="shared" ca="1" si="20"/>
        <v>40878</v>
      </c>
      <c r="B143" s="17">
        <f>'Gas Curves'!C147</f>
        <v>6.0645685601532003E-2</v>
      </c>
      <c r="C143" s="17"/>
      <c r="D143" s="55">
        <v>39661</v>
      </c>
      <c r="E143" s="56">
        <v>60.35</v>
      </c>
      <c r="F143" s="56">
        <v>70.25</v>
      </c>
      <c r="G143" s="56">
        <v>82.76</v>
      </c>
      <c r="H143" s="40"/>
      <c r="I143" s="56">
        <v>34.450001525878903</v>
      </c>
      <c r="J143" s="56">
        <v>39.400001525878906</v>
      </c>
      <c r="K143" s="56">
        <v>44.565001525878905</v>
      </c>
      <c r="L143" s="23"/>
      <c r="M143" s="24">
        <v>40544</v>
      </c>
      <c r="N143" s="57">
        <v>32.979496002197266</v>
      </c>
      <c r="O143" s="57">
        <v>34.554496002197268</v>
      </c>
      <c r="P143" s="57">
        <v>35.814496002197266</v>
      </c>
      <c r="Q143" s="22"/>
      <c r="R143" s="57">
        <v>25.653997421264648</v>
      </c>
      <c r="S143" s="57">
        <v>30.653997421264648</v>
      </c>
      <c r="T143" s="57">
        <v>31.91399742126465</v>
      </c>
      <c r="U143" s="22"/>
      <c r="V143" s="57">
        <v>0</v>
      </c>
      <c r="W143" s="57">
        <v>0</v>
      </c>
      <c r="X143" s="57">
        <v>0</v>
      </c>
      <c r="Y143" s="22"/>
      <c r="Z143" s="57">
        <v>0.14208972942241313</v>
      </c>
      <c r="AA143" s="57">
        <v>0.28417945884482626</v>
      </c>
      <c r="AB143" s="57">
        <v>0.42626918826723936</v>
      </c>
      <c r="AC143" s="22"/>
      <c r="AD143" s="57">
        <v>2.8025597276242861E-2</v>
      </c>
      <c r="AE143" s="57">
        <v>5.6051194552485722E-2</v>
      </c>
      <c r="AF143" s="57">
        <v>8.4076791828728584E-2</v>
      </c>
      <c r="AG143" s="22"/>
      <c r="AH143" s="57">
        <v>-0.75</v>
      </c>
      <c r="AI143" s="57">
        <v>2</v>
      </c>
      <c r="AJ143" s="57">
        <v>0.75</v>
      </c>
      <c r="AK143" s="22"/>
      <c r="AL143" s="57">
        <v>-0.15</v>
      </c>
      <c r="AM143" s="57">
        <v>0.5</v>
      </c>
      <c r="AN143" s="57">
        <v>0.2</v>
      </c>
      <c r="AO143" s="22"/>
      <c r="AP143" s="23">
        <v>42</v>
      </c>
      <c r="AQ143" s="58">
        <v>0.4</v>
      </c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4">
        <v>40544</v>
      </c>
      <c r="BI143" s="60">
        <v>0.9</v>
      </c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/>
      <c r="CM143" s="80"/>
      <c r="CN143" s="80"/>
      <c r="CO143" s="61"/>
      <c r="CP143"/>
      <c r="CQ143"/>
      <c r="CR143"/>
      <c r="CS143"/>
      <c r="CT143"/>
      <c r="CY143" s="282">
        <f t="shared" si="11"/>
        <v>40544</v>
      </c>
      <c r="CZ143" s="281">
        <f t="shared" si="12"/>
        <v>1.25</v>
      </c>
      <c r="DA143" s="281">
        <f t="shared" si="13"/>
        <v>2</v>
      </c>
      <c r="DB143" s="281">
        <f t="shared" si="14"/>
        <v>2.75</v>
      </c>
      <c r="DD143" s="281">
        <f t="shared" si="15"/>
        <v>0.14208972942241313</v>
      </c>
      <c r="DE143" s="281">
        <f t="shared" si="16"/>
        <v>0.28417945884482626</v>
      </c>
      <c r="DF143" s="281">
        <f t="shared" si="17"/>
        <v>0.42626918826723936</v>
      </c>
      <c r="DH143" s="282">
        <f t="shared" si="18"/>
        <v>40544</v>
      </c>
      <c r="DI143" s="17">
        <f t="shared" si="19"/>
        <v>0.9</v>
      </c>
    </row>
    <row r="144" spans="1:113" ht="13.8">
      <c r="A144" s="27">
        <f t="shared" ca="1" si="20"/>
        <v>40909</v>
      </c>
      <c r="B144" s="17">
        <f>'Gas Curves'!C148</f>
        <v>6.0670191179406016E-2</v>
      </c>
      <c r="C144" s="17"/>
      <c r="D144" s="55">
        <v>39692</v>
      </c>
      <c r="E144" s="56">
        <v>35.450000000000003</v>
      </c>
      <c r="F144" s="56">
        <v>39.5</v>
      </c>
      <c r="G144" s="56">
        <v>43.35</v>
      </c>
      <c r="H144" s="40"/>
      <c r="I144" s="56">
        <v>25.874999618530275</v>
      </c>
      <c r="J144" s="56">
        <v>27.899999618530273</v>
      </c>
      <c r="K144" s="56">
        <v>29.489999618530273</v>
      </c>
      <c r="L144" s="23"/>
      <c r="M144" s="24">
        <v>40575</v>
      </c>
      <c r="N144" s="57">
        <v>32.641996765136724</v>
      </c>
      <c r="O144" s="57">
        <v>33.879496765136722</v>
      </c>
      <c r="P144" s="57">
        <v>35.13949676513672</v>
      </c>
      <c r="Q144" s="22"/>
      <c r="R144" s="57">
        <v>25.053997039794922</v>
      </c>
      <c r="S144" s="57">
        <v>30.053997039794922</v>
      </c>
      <c r="T144" s="57">
        <v>31.313997039794923</v>
      </c>
      <c r="U144" s="22"/>
      <c r="V144" s="57">
        <v>0</v>
      </c>
      <c r="W144" s="57">
        <v>0</v>
      </c>
      <c r="X144" s="57">
        <v>0</v>
      </c>
      <c r="Y144" s="22"/>
      <c r="Z144" s="57">
        <v>0.13726832143801987</v>
      </c>
      <c r="AA144" s="57">
        <v>0.27453664287603974</v>
      </c>
      <c r="AB144" s="57">
        <v>0.41180496431405961</v>
      </c>
      <c r="AC144" s="22"/>
      <c r="AD144" s="57">
        <v>2.8025597276242861E-2</v>
      </c>
      <c r="AE144" s="57">
        <v>5.6051194552485722E-2</v>
      </c>
      <c r="AF144" s="57">
        <v>8.4076791828728584E-2</v>
      </c>
      <c r="AG144" s="22"/>
      <c r="AH144" s="57">
        <v>-0.75</v>
      </c>
      <c r="AI144" s="57">
        <v>2</v>
      </c>
      <c r="AJ144" s="57">
        <v>0.75</v>
      </c>
      <c r="AK144" s="22"/>
      <c r="AL144" s="57">
        <v>-0.15</v>
      </c>
      <c r="AM144" s="57">
        <v>0.5</v>
      </c>
      <c r="AN144" s="57">
        <v>0.2</v>
      </c>
      <c r="AO144" s="22"/>
      <c r="AP144" s="23">
        <v>43</v>
      </c>
      <c r="AQ144" s="58">
        <v>0.4</v>
      </c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4">
        <v>40575</v>
      </c>
      <c r="BI144" s="60">
        <v>0.9</v>
      </c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/>
      <c r="CM144" s="80"/>
      <c r="CN144" s="80"/>
      <c r="CO144" s="61"/>
      <c r="CP144"/>
      <c r="CQ144"/>
      <c r="CR144"/>
      <c r="CS144"/>
      <c r="CT144"/>
      <c r="CY144" s="282">
        <f t="shared" si="11"/>
        <v>40575</v>
      </c>
      <c r="CZ144" s="281">
        <f t="shared" si="12"/>
        <v>1.25</v>
      </c>
      <c r="DA144" s="281">
        <f t="shared" si="13"/>
        <v>2</v>
      </c>
      <c r="DB144" s="281">
        <f t="shared" si="14"/>
        <v>2.75</v>
      </c>
      <c r="DD144" s="281">
        <f t="shared" si="15"/>
        <v>0.13726832143801987</v>
      </c>
      <c r="DE144" s="281">
        <f t="shared" si="16"/>
        <v>0.27453664287603974</v>
      </c>
      <c r="DF144" s="281">
        <f t="shared" si="17"/>
        <v>0.41180496431405961</v>
      </c>
      <c r="DH144" s="282">
        <f t="shared" si="18"/>
        <v>40575</v>
      </c>
      <c r="DI144" s="17">
        <f t="shared" si="19"/>
        <v>0.9</v>
      </c>
    </row>
    <row r="145" spans="1:113" ht="13.8">
      <c r="A145" s="27">
        <f t="shared" ca="1" si="20"/>
        <v>40940</v>
      </c>
      <c r="B145" s="17">
        <f>'Gas Curves'!C149</f>
        <v>6.0694696757479009E-2</v>
      </c>
      <c r="C145" s="17"/>
      <c r="D145" s="55">
        <v>39722</v>
      </c>
      <c r="E145" s="56">
        <v>37.4</v>
      </c>
      <c r="F145" s="56">
        <v>39.5</v>
      </c>
      <c r="G145" s="56">
        <v>41.95</v>
      </c>
      <c r="H145" s="40"/>
      <c r="I145" s="56">
        <v>24.849999618530273</v>
      </c>
      <c r="J145" s="56">
        <v>25.899999618530273</v>
      </c>
      <c r="K145" s="56">
        <v>26.904999618530272</v>
      </c>
      <c r="L145" s="23"/>
      <c r="M145" s="24">
        <v>40603</v>
      </c>
      <c r="N145" s="57">
        <v>26.787496948242186</v>
      </c>
      <c r="O145" s="57">
        <v>28.024996948242187</v>
      </c>
      <c r="P145" s="57">
        <v>29.284996948242188</v>
      </c>
      <c r="Q145" s="22"/>
      <c r="R145" s="57">
        <v>19.849998474121094</v>
      </c>
      <c r="S145" s="57">
        <v>24.849998474121094</v>
      </c>
      <c r="T145" s="57">
        <v>26.109998474121095</v>
      </c>
      <c r="U145" s="22"/>
      <c r="V145" s="57">
        <v>0</v>
      </c>
      <c r="W145" s="57">
        <v>0</v>
      </c>
      <c r="X145" s="57">
        <v>0</v>
      </c>
      <c r="Y145" s="22"/>
      <c r="Z145" s="57">
        <v>0.10882043870657532</v>
      </c>
      <c r="AA145" s="57">
        <v>0.21764087741315064</v>
      </c>
      <c r="AB145" s="57">
        <v>0.32646131611972595</v>
      </c>
      <c r="AC145" s="22"/>
      <c r="AD145" s="57">
        <v>2.4512184206626399E-2</v>
      </c>
      <c r="AE145" s="57">
        <v>4.9024368413252799E-2</v>
      </c>
      <c r="AF145" s="57">
        <v>7.3536552619879195E-2</v>
      </c>
      <c r="AG145" s="22"/>
      <c r="AH145" s="57">
        <v>-0.25</v>
      </c>
      <c r="AI145" s="57">
        <v>1.3</v>
      </c>
      <c r="AJ145" s="57">
        <v>0.3</v>
      </c>
      <c r="AK145" s="22"/>
      <c r="AL145" s="57">
        <v>-0.15</v>
      </c>
      <c r="AM145" s="57">
        <v>0.35</v>
      </c>
      <c r="AN145" s="57">
        <v>0.2</v>
      </c>
      <c r="AO145" s="22"/>
      <c r="AP145" s="23">
        <v>43</v>
      </c>
      <c r="AQ145" s="58">
        <v>0.4</v>
      </c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4">
        <v>40603</v>
      </c>
      <c r="BI145" s="60">
        <v>0.9</v>
      </c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/>
      <c r="CM145" s="80"/>
      <c r="CN145" s="80"/>
      <c r="CO145" s="61"/>
      <c r="CP145"/>
      <c r="CQ145"/>
      <c r="CR145"/>
      <c r="CS145"/>
      <c r="CT145"/>
      <c r="CY145" s="282">
        <f t="shared" si="11"/>
        <v>40603</v>
      </c>
      <c r="CZ145" s="281">
        <f t="shared" si="12"/>
        <v>1.05</v>
      </c>
      <c r="DA145" s="281">
        <f t="shared" si="13"/>
        <v>1.3</v>
      </c>
      <c r="DB145" s="281">
        <f t="shared" si="14"/>
        <v>1.6</v>
      </c>
      <c r="DD145" s="281">
        <f t="shared" si="15"/>
        <v>0.10882043870657532</v>
      </c>
      <c r="DE145" s="281">
        <f t="shared" si="16"/>
        <v>0.21764087741315064</v>
      </c>
      <c r="DF145" s="281">
        <f t="shared" si="17"/>
        <v>0.32646131611972595</v>
      </c>
      <c r="DH145" s="282">
        <f t="shared" si="18"/>
        <v>40603</v>
      </c>
      <c r="DI145" s="17">
        <f t="shared" si="19"/>
        <v>0.9</v>
      </c>
    </row>
    <row r="146" spans="1:113" ht="13.8">
      <c r="A146" s="27">
        <f t="shared" ca="1" si="20"/>
        <v>40969</v>
      </c>
      <c r="B146" s="17">
        <f>'Gas Curves'!C150</f>
        <v>6.0717621330694999E-2</v>
      </c>
      <c r="C146" s="17"/>
      <c r="D146" s="55">
        <v>39753</v>
      </c>
      <c r="E146" s="56">
        <v>39.9</v>
      </c>
      <c r="F146" s="56">
        <v>42</v>
      </c>
      <c r="G146" s="56">
        <v>44.45</v>
      </c>
      <c r="H146" s="40"/>
      <c r="I146" s="56">
        <v>25.599999618530273</v>
      </c>
      <c r="J146" s="56">
        <v>26.649999618530273</v>
      </c>
      <c r="K146" s="56">
        <v>27.654999618530272</v>
      </c>
      <c r="L146" s="23"/>
      <c r="M146" s="24">
        <v>40634</v>
      </c>
      <c r="N146" s="57">
        <v>25.774999618530273</v>
      </c>
      <c r="O146" s="57">
        <v>27.349999618530273</v>
      </c>
      <c r="P146" s="57">
        <v>28.609999618530274</v>
      </c>
      <c r="Q146" s="22"/>
      <c r="R146" s="57">
        <v>19.25</v>
      </c>
      <c r="S146" s="57">
        <v>24.25</v>
      </c>
      <c r="T146" s="57">
        <v>25.51</v>
      </c>
      <c r="U146" s="22"/>
      <c r="V146" s="57">
        <v>0</v>
      </c>
      <c r="W146" s="57">
        <v>0</v>
      </c>
      <c r="X146" s="57">
        <v>0</v>
      </c>
      <c r="Y146" s="22"/>
      <c r="Z146" s="57">
        <v>0.10867075447176576</v>
      </c>
      <c r="AA146" s="57">
        <v>0.21734150894353152</v>
      </c>
      <c r="AB146" s="57">
        <v>0.32601226341529727</v>
      </c>
      <c r="AC146" s="22"/>
      <c r="AD146" s="57">
        <v>2.4512184206626399E-2</v>
      </c>
      <c r="AE146" s="57">
        <v>4.9024368413252799E-2</v>
      </c>
      <c r="AF146" s="57">
        <v>7.3536552619879195E-2</v>
      </c>
      <c r="AG146" s="22"/>
      <c r="AH146" s="57">
        <v>-0.25</v>
      </c>
      <c r="AI146" s="57">
        <v>1.1000000000000001</v>
      </c>
      <c r="AJ146" s="57">
        <v>0.3</v>
      </c>
      <c r="AK146" s="22"/>
      <c r="AL146" s="57">
        <v>-0.15</v>
      </c>
      <c r="AM146" s="57">
        <v>0.35</v>
      </c>
      <c r="AN146" s="57">
        <v>0.2</v>
      </c>
      <c r="AO146" s="22"/>
      <c r="AP146" s="23">
        <v>43</v>
      </c>
      <c r="AQ146" s="58">
        <v>0.4</v>
      </c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4">
        <v>40634</v>
      </c>
      <c r="BI146" s="60">
        <v>0.9</v>
      </c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/>
      <c r="CM146" s="80"/>
      <c r="CN146" s="80"/>
      <c r="CO146" s="61"/>
      <c r="CP146"/>
      <c r="CQ146"/>
      <c r="CR146"/>
      <c r="CS146"/>
      <c r="CT146"/>
      <c r="CY146" s="282">
        <f t="shared" si="11"/>
        <v>40634</v>
      </c>
      <c r="CZ146" s="281">
        <f t="shared" si="12"/>
        <v>0.85000000000000009</v>
      </c>
      <c r="DA146" s="281">
        <f t="shared" si="13"/>
        <v>1.1000000000000001</v>
      </c>
      <c r="DB146" s="281">
        <f t="shared" si="14"/>
        <v>1.4000000000000001</v>
      </c>
      <c r="DD146" s="281">
        <f t="shared" si="15"/>
        <v>0.10867075447176576</v>
      </c>
      <c r="DE146" s="281">
        <f t="shared" si="16"/>
        <v>0.21734150894353152</v>
      </c>
      <c r="DF146" s="281">
        <f t="shared" si="17"/>
        <v>0.32601226341529727</v>
      </c>
      <c r="DH146" s="282">
        <f t="shared" si="18"/>
        <v>40634</v>
      </c>
      <c r="DI146" s="17">
        <f t="shared" si="19"/>
        <v>0.9</v>
      </c>
    </row>
    <row r="147" spans="1:113" ht="13.8">
      <c r="A147" s="27">
        <f t="shared" ca="1" si="20"/>
        <v>41000</v>
      </c>
      <c r="B147" s="17">
        <f>'Gas Curves'!C151</f>
        <v>6.0742126909153003E-2</v>
      </c>
      <c r="C147" s="17"/>
      <c r="D147" s="55">
        <v>39783</v>
      </c>
      <c r="E147" s="56">
        <v>39.9</v>
      </c>
      <c r="F147" s="56">
        <v>42</v>
      </c>
      <c r="G147" s="56">
        <v>44.45</v>
      </c>
      <c r="H147" s="40"/>
      <c r="I147" s="56">
        <v>25.499999237060546</v>
      </c>
      <c r="J147" s="56">
        <v>26.549999237060547</v>
      </c>
      <c r="K147" s="56">
        <v>27.554999237060546</v>
      </c>
      <c r="L147" s="23"/>
      <c r="M147" s="24">
        <v>40664</v>
      </c>
      <c r="N147" s="57">
        <v>29.375</v>
      </c>
      <c r="O147" s="57">
        <v>30.95</v>
      </c>
      <c r="P147" s="57">
        <v>33.335000000000001</v>
      </c>
      <c r="Q147" s="22"/>
      <c r="R147" s="57">
        <v>22.44999885559082</v>
      </c>
      <c r="S147" s="57">
        <v>27.44999885559082</v>
      </c>
      <c r="T147" s="57">
        <v>29.834998855590818</v>
      </c>
      <c r="U147" s="22"/>
      <c r="V147" s="57">
        <v>0</v>
      </c>
      <c r="W147" s="57">
        <v>0</v>
      </c>
      <c r="X147" s="57">
        <v>0</v>
      </c>
      <c r="Y147" s="22"/>
      <c r="Z147" s="57">
        <v>0.11432409167699548</v>
      </c>
      <c r="AA147" s="57">
        <v>0.22864818335399095</v>
      </c>
      <c r="AB147" s="57">
        <v>0.34297227503098643</v>
      </c>
      <c r="AC147" s="22"/>
      <c r="AD147" s="57">
        <v>2.8025597276242861E-2</v>
      </c>
      <c r="AE147" s="57">
        <v>5.6051194552485722E-2</v>
      </c>
      <c r="AF147" s="57">
        <v>8.4076791828728584E-2</v>
      </c>
      <c r="AG147" s="22"/>
      <c r="AH147" s="57">
        <v>-0.25</v>
      </c>
      <c r="AI147" s="57">
        <v>1.1000000000000001</v>
      </c>
      <c r="AJ147" s="57">
        <v>0.3</v>
      </c>
      <c r="AK147" s="22"/>
      <c r="AL147" s="57">
        <v>-0.15</v>
      </c>
      <c r="AM147" s="57">
        <v>0.5</v>
      </c>
      <c r="AN147" s="57">
        <v>0.2</v>
      </c>
      <c r="AO147" s="22"/>
      <c r="AP147" s="23">
        <v>44</v>
      </c>
      <c r="AQ147" s="58">
        <v>0.4</v>
      </c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4">
        <v>40664</v>
      </c>
      <c r="BI147" s="60">
        <v>0.9</v>
      </c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/>
      <c r="CM147" s="80"/>
      <c r="CN147" s="80"/>
      <c r="CO147" s="61"/>
      <c r="CP147"/>
      <c r="CQ147"/>
      <c r="CR147"/>
      <c r="CS147"/>
      <c r="CT147"/>
      <c r="CY147" s="282">
        <f t="shared" si="11"/>
        <v>40664</v>
      </c>
      <c r="CZ147" s="281">
        <f t="shared" si="12"/>
        <v>0.85000000000000009</v>
      </c>
      <c r="DA147" s="281">
        <f t="shared" si="13"/>
        <v>1.1000000000000001</v>
      </c>
      <c r="DB147" s="281">
        <f t="shared" si="14"/>
        <v>1.4000000000000001</v>
      </c>
      <c r="DD147" s="281">
        <f t="shared" si="15"/>
        <v>0.11432409167699548</v>
      </c>
      <c r="DE147" s="281">
        <f t="shared" si="16"/>
        <v>0.22864818335399095</v>
      </c>
      <c r="DF147" s="281">
        <f t="shared" si="17"/>
        <v>0.34297227503098643</v>
      </c>
      <c r="DH147" s="282">
        <f t="shared" si="18"/>
        <v>40664</v>
      </c>
      <c r="DI147" s="17">
        <f t="shared" si="19"/>
        <v>0.9</v>
      </c>
    </row>
    <row r="148" spans="1:113" ht="13.8">
      <c r="A148" s="27">
        <f t="shared" ca="1" si="20"/>
        <v>41030</v>
      </c>
      <c r="B148" s="17">
        <f>'Gas Curves'!C152</f>
        <v>6.0765841985271012E-2</v>
      </c>
      <c r="C148" s="17"/>
      <c r="D148" s="55">
        <v>39814</v>
      </c>
      <c r="E148" s="56">
        <v>55.4</v>
      </c>
      <c r="F148" s="56">
        <v>57.5</v>
      </c>
      <c r="G148" s="56">
        <v>59.54</v>
      </c>
      <c r="H148" s="40"/>
      <c r="I148" s="56">
        <v>26.800000381469726</v>
      </c>
      <c r="J148" s="56">
        <v>27.850000381469727</v>
      </c>
      <c r="K148" s="56">
        <v>28.690000381469726</v>
      </c>
      <c r="L148" s="23"/>
      <c r="M148" s="24">
        <v>40695</v>
      </c>
      <c r="N148" s="57">
        <v>34.712503051757814</v>
      </c>
      <c r="O148" s="57">
        <v>37.750003051757815</v>
      </c>
      <c r="P148" s="57">
        <v>41.380003051757818</v>
      </c>
      <c r="Q148" s="22"/>
      <c r="R148" s="57">
        <v>27.950002670288086</v>
      </c>
      <c r="S148" s="57">
        <v>32.950002670288086</v>
      </c>
      <c r="T148" s="57">
        <v>36.580002670288088</v>
      </c>
      <c r="U148" s="22"/>
      <c r="V148" s="57">
        <v>0</v>
      </c>
      <c r="W148" s="57">
        <v>0</v>
      </c>
      <c r="X148" s="57">
        <v>0</v>
      </c>
      <c r="Y148" s="22"/>
      <c r="Z148" s="57">
        <v>0.12226208299247693</v>
      </c>
      <c r="AA148" s="57">
        <v>0.24452416598495386</v>
      </c>
      <c r="AB148" s="57">
        <v>0.36678624897743078</v>
      </c>
      <c r="AC148" s="22"/>
      <c r="AD148" s="57">
        <v>3.603291078374081E-2</v>
      </c>
      <c r="AE148" s="57">
        <v>7.2065821567481619E-2</v>
      </c>
      <c r="AF148" s="57">
        <v>0.10809873235122243</v>
      </c>
      <c r="AG148" s="22"/>
      <c r="AH148" s="57">
        <v>-0.35</v>
      </c>
      <c r="AI148" s="57">
        <v>2</v>
      </c>
      <c r="AJ148" s="57">
        <v>0.3</v>
      </c>
      <c r="AK148" s="22"/>
      <c r="AL148" s="57">
        <v>-0.15</v>
      </c>
      <c r="AM148" s="57">
        <v>0.65</v>
      </c>
      <c r="AN148" s="57">
        <v>0.2</v>
      </c>
      <c r="AO148" s="22"/>
      <c r="AP148" s="23">
        <v>44</v>
      </c>
      <c r="AQ148" s="58">
        <v>0.4</v>
      </c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4">
        <v>40695</v>
      </c>
      <c r="BI148" s="60">
        <v>0.9</v>
      </c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/>
      <c r="CM148" s="80"/>
      <c r="CN148" s="80"/>
      <c r="CO148" s="61"/>
      <c r="CP148"/>
      <c r="CQ148"/>
      <c r="CR148"/>
      <c r="CS148"/>
      <c r="CT148"/>
      <c r="CY148" s="282">
        <f t="shared" ref="CY148:CY211" si="21">M148</f>
        <v>40695</v>
      </c>
      <c r="CZ148" s="281">
        <f t="shared" ref="CZ148:CZ211" si="22">AI148+AH148</f>
        <v>1.65</v>
      </c>
      <c r="DA148" s="281">
        <f t="shared" ref="DA148:DA211" si="23">AI148</f>
        <v>2</v>
      </c>
      <c r="DB148" s="281">
        <f t="shared" ref="DB148:DB211" si="24">AI148+AJ148</f>
        <v>2.2999999999999998</v>
      </c>
      <c r="DD148" s="281">
        <f t="shared" ref="DD148:DD211" si="25">Z148</f>
        <v>0.12226208299247693</v>
      </c>
      <c r="DE148" s="281">
        <f t="shared" ref="DE148:DE211" si="26">AA148</f>
        <v>0.24452416598495386</v>
      </c>
      <c r="DF148" s="281">
        <f t="shared" ref="DF148:DF211" si="27">AB148</f>
        <v>0.36678624897743078</v>
      </c>
      <c r="DH148" s="282">
        <f t="shared" ref="DH148:DH211" si="28">BH148</f>
        <v>40695</v>
      </c>
      <c r="DI148" s="17">
        <f t="shared" ref="DI148:DI211" si="29">BI148</f>
        <v>0.9</v>
      </c>
    </row>
    <row r="149" spans="1:113" ht="13.8">
      <c r="A149" s="27">
        <f t="shared" ca="1" si="20"/>
        <v>41061</v>
      </c>
      <c r="B149" s="17">
        <f>'Gas Curves'!C153</f>
        <v>6.0790347564122001E-2</v>
      </c>
      <c r="C149" s="17"/>
      <c r="D149" s="55">
        <v>39845</v>
      </c>
      <c r="E149" s="56">
        <v>55.85</v>
      </c>
      <c r="F149" s="56">
        <v>57.5</v>
      </c>
      <c r="G149" s="56">
        <v>59.54</v>
      </c>
      <c r="H149" s="40"/>
      <c r="I149" s="56">
        <v>23.675000000000001</v>
      </c>
      <c r="J149" s="56">
        <v>24.5</v>
      </c>
      <c r="K149" s="56">
        <v>25.34</v>
      </c>
      <c r="L149" s="23"/>
      <c r="M149" s="24">
        <v>40725</v>
      </c>
      <c r="N149" s="57">
        <v>36.725001525878909</v>
      </c>
      <c r="O149" s="57">
        <v>44.150001525878906</v>
      </c>
      <c r="P149" s="57">
        <v>51.897501525878909</v>
      </c>
      <c r="Q149" s="22"/>
      <c r="R149" s="57">
        <v>33.150001525878906</v>
      </c>
      <c r="S149" s="57">
        <v>38.150001525878906</v>
      </c>
      <c r="T149" s="57">
        <v>45.897501525878909</v>
      </c>
      <c r="U149" s="22"/>
      <c r="V149" s="57">
        <v>0</v>
      </c>
      <c r="W149" s="57">
        <v>0</v>
      </c>
      <c r="X149" s="57">
        <v>0</v>
      </c>
      <c r="Y149" s="22"/>
      <c r="Z149" s="57">
        <v>0.14562070174039524</v>
      </c>
      <c r="AA149" s="57">
        <v>0.29124140348079047</v>
      </c>
      <c r="AB149" s="57">
        <v>0.43686210522118574</v>
      </c>
      <c r="AC149" s="22"/>
      <c r="AD149" s="57">
        <v>4.8043881044987739E-2</v>
      </c>
      <c r="AE149" s="57">
        <v>9.6087762089975479E-2</v>
      </c>
      <c r="AF149" s="57">
        <v>0.14413164313496321</v>
      </c>
      <c r="AG149" s="22"/>
      <c r="AH149" s="57">
        <v>-0.35</v>
      </c>
      <c r="AI149" s="57">
        <v>3</v>
      </c>
      <c r="AJ149" s="57">
        <v>0.5</v>
      </c>
      <c r="AK149" s="22"/>
      <c r="AL149" s="57">
        <v>-0.15</v>
      </c>
      <c r="AM149" s="57">
        <v>0.75</v>
      </c>
      <c r="AN149" s="57">
        <v>0.2</v>
      </c>
      <c r="AO149" s="22"/>
      <c r="AP149" s="23">
        <v>44</v>
      </c>
      <c r="AQ149" s="58">
        <v>0.4</v>
      </c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4">
        <v>40725</v>
      </c>
      <c r="BI149" s="60">
        <v>0.9</v>
      </c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/>
      <c r="CM149" s="80"/>
      <c r="CN149" s="80"/>
      <c r="CO149" s="61"/>
      <c r="CP149"/>
      <c r="CQ149"/>
      <c r="CR149"/>
      <c r="CS149"/>
      <c r="CT149"/>
      <c r="CY149" s="282">
        <f t="shared" si="21"/>
        <v>40725</v>
      </c>
      <c r="CZ149" s="281">
        <f t="shared" si="22"/>
        <v>2.65</v>
      </c>
      <c r="DA149" s="281">
        <f t="shared" si="23"/>
        <v>3</v>
      </c>
      <c r="DB149" s="281">
        <f t="shared" si="24"/>
        <v>3.5</v>
      </c>
      <c r="DD149" s="281">
        <f t="shared" si="25"/>
        <v>0.14562070174039524</v>
      </c>
      <c r="DE149" s="281">
        <f t="shared" si="26"/>
        <v>0.29124140348079047</v>
      </c>
      <c r="DF149" s="281">
        <f t="shared" si="27"/>
        <v>0.43686210522118574</v>
      </c>
      <c r="DH149" s="282">
        <f t="shared" si="28"/>
        <v>40725</v>
      </c>
      <c r="DI149" s="17">
        <f t="shared" si="29"/>
        <v>0.9</v>
      </c>
    </row>
    <row r="150" spans="1:113" ht="13.8">
      <c r="A150" s="27">
        <f t="shared" ca="1" si="20"/>
        <v>41091</v>
      </c>
      <c r="B150" s="17">
        <f>'Gas Curves'!C154</f>
        <v>6.0814062640619018E-2</v>
      </c>
      <c r="C150" s="17"/>
      <c r="D150" s="55">
        <v>39873</v>
      </c>
      <c r="E150" s="56">
        <v>38.85</v>
      </c>
      <c r="F150" s="56">
        <v>40.5</v>
      </c>
      <c r="G150" s="56">
        <v>42.54</v>
      </c>
      <c r="H150" s="40"/>
      <c r="I150" s="56">
        <v>24.074999618530274</v>
      </c>
      <c r="J150" s="56">
        <v>24.899999618530273</v>
      </c>
      <c r="K150" s="56">
        <v>25.739999618530273</v>
      </c>
      <c r="L150" s="23"/>
      <c r="M150" s="24">
        <v>40756</v>
      </c>
      <c r="N150" s="57">
        <v>48.475001525878909</v>
      </c>
      <c r="O150" s="57">
        <v>55.900001525878906</v>
      </c>
      <c r="P150" s="57">
        <v>63.647501525878909</v>
      </c>
      <c r="Q150" s="22"/>
      <c r="R150" s="57">
        <v>44.950000762939453</v>
      </c>
      <c r="S150" s="57">
        <v>49.950000762939453</v>
      </c>
      <c r="T150" s="57">
        <v>57.697500762939455</v>
      </c>
      <c r="U150" s="22"/>
      <c r="V150" s="57">
        <v>0</v>
      </c>
      <c r="W150" s="57">
        <v>0</v>
      </c>
      <c r="X150" s="57">
        <v>0</v>
      </c>
      <c r="Y150" s="22"/>
      <c r="Z150" s="57">
        <v>0.14243006410366441</v>
      </c>
      <c r="AA150" s="57">
        <v>0.28486012820732881</v>
      </c>
      <c r="AB150" s="57">
        <v>0.42729019231099319</v>
      </c>
      <c r="AC150" s="22"/>
      <c r="AD150" s="57">
        <v>4.8043881044987739E-2</v>
      </c>
      <c r="AE150" s="57">
        <v>9.6087762089975479E-2</v>
      </c>
      <c r="AF150" s="57">
        <v>0.14413164313496321</v>
      </c>
      <c r="AG150" s="22"/>
      <c r="AH150" s="57">
        <v>-0.35</v>
      </c>
      <c r="AI150" s="57">
        <v>3</v>
      </c>
      <c r="AJ150" s="57">
        <v>0.5</v>
      </c>
      <c r="AK150" s="22"/>
      <c r="AL150" s="57">
        <v>-0.15</v>
      </c>
      <c r="AM150" s="57">
        <v>0.75</v>
      </c>
      <c r="AN150" s="57">
        <v>0.2</v>
      </c>
      <c r="AO150" s="22"/>
      <c r="AP150" s="23">
        <v>45</v>
      </c>
      <c r="AQ150" s="58">
        <v>0.4</v>
      </c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4">
        <v>40756</v>
      </c>
      <c r="BI150" s="60">
        <v>0.9</v>
      </c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/>
      <c r="CM150" s="80"/>
      <c r="CN150" s="80"/>
      <c r="CO150" s="61"/>
      <c r="CP150"/>
      <c r="CQ150"/>
      <c r="CR150"/>
      <c r="CS150"/>
      <c r="CT150"/>
      <c r="CY150" s="282">
        <f t="shared" si="21"/>
        <v>40756</v>
      </c>
      <c r="CZ150" s="281">
        <f t="shared" si="22"/>
        <v>2.65</v>
      </c>
      <c r="DA150" s="281">
        <f t="shared" si="23"/>
        <v>3</v>
      </c>
      <c r="DB150" s="281">
        <f t="shared" si="24"/>
        <v>3.5</v>
      </c>
      <c r="DD150" s="281">
        <f t="shared" si="25"/>
        <v>0.14243006410366441</v>
      </c>
      <c r="DE150" s="281">
        <f t="shared" si="26"/>
        <v>0.28486012820732881</v>
      </c>
      <c r="DF150" s="281">
        <f t="shared" si="27"/>
        <v>0.42729019231099319</v>
      </c>
      <c r="DH150" s="282">
        <f t="shared" si="28"/>
        <v>40756</v>
      </c>
      <c r="DI150" s="17">
        <f t="shared" si="29"/>
        <v>0.9</v>
      </c>
    </row>
    <row r="151" spans="1:113" ht="13.8">
      <c r="A151" s="27">
        <f t="shared" ca="1" si="20"/>
        <v>41122</v>
      </c>
      <c r="B151" s="17">
        <f>'Gas Curves'!C155</f>
        <v>6.0838568219863005E-2</v>
      </c>
      <c r="C151" s="17"/>
      <c r="D151" s="55">
        <v>39904</v>
      </c>
      <c r="E151" s="56">
        <v>34.9</v>
      </c>
      <c r="F151" s="56">
        <v>37</v>
      </c>
      <c r="G151" s="56">
        <v>39.04</v>
      </c>
      <c r="H151" s="40"/>
      <c r="I151" s="56">
        <v>21.599999618530273</v>
      </c>
      <c r="J151" s="56">
        <v>22.649999618530273</v>
      </c>
      <c r="K151" s="56">
        <v>23.489999618530273</v>
      </c>
      <c r="L151" s="23"/>
      <c r="M151" s="24">
        <v>40787</v>
      </c>
      <c r="N151" s="57">
        <v>30.237501144409173</v>
      </c>
      <c r="O151" s="57">
        <v>33.275001144409174</v>
      </c>
      <c r="P151" s="57">
        <v>35.660001144409172</v>
      </c>
      <c r="Q151" s="22"/>
      <c r="R151" s="57">
        <v>25.550001525878905</v>
      </c>
      <c r="S151" s="57">
        <v>30.550001525878905</v>
      </c>
      <c r="T151" s="57">
        <v>32.935001525878903</v>
      </c>
      <c r="U151" s="22"/>
      <c r="V151" s="57">
        <v>0</v>
      </c>
      <c r="W151" s="57">
        <v>0</v>
      </c>
      <c r="X151" s="57">
        <v>0</v>
      </c>
      <c r="Y151" s="22"/>
      <c r="Z151" s="57">
        <v>0.10791445518009621</v>
      </c>
      <c r="AA151" s="57">
        <v>0.21582891036019242</v>
      </c>
      <c r="AB151" s="57">
        <v>0.3237433655402886</v>
      </c>
      <c r="AC151" s="22"/>
      <c r="AD151" s="57">
        <v>3.2029254029991829E-2</v>
      </c>
      <c r="AE151" s="57">
        <v>6.4058508059983657E-2</v>
      </c>
      <c r="AF151" s="57">
        <v>9.6087762089975493E-2</v>
      </c>
      <c r="AG151" s="22"/>
      <c r="AH151" s="57">
        <v>-0.35</v>
      </c>
      <c r="AI151" s="57">
        <v>1.5</v>
      </c>
      <c r="AJ151" s="57">
        <v>0.3</v>
      </c>
      <c r="AK151" s="22"/>
      <c r="AL151" s="57">
        <v>-0.15</v>
      </c>
      <c r="AM151" s="57">
        <v>0.4</v>
      </c>
      <c r="AN151" s="57">
        <v>0.2</v>
      </c>
      <c r="AO151" s="22"/>
      <c r="AP151" s="23">
        <v>45</v>
      </c>
      <c r="AQ151" s="58">
        <v>0.4</v>
      </c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4">
        <v>40787</v>
      </c>
      <c r="BI151" s="60">
        <v>0.9</v>
      </c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/>
      <c r="CM151" s="80"/>
      <c r="CN151" s="80"/>
      <c r="CO151" s="61"/>
      <c r="CP151"/>
      <c r="CQ151"/>
      <c r="CR151"/>
      <c r="CS151"/>
      <c r="CT151"/>
      <c r="CY151" s="282">
        <f t="shared" si="21"/>
        <v>40787</v>
      </c>
      <c r="CZ151" s="281">
        <f t="shared" si="22"/>
        <v>1.1499999999999999</v>
      </c>
      <c r="DA151" s="281">
        <f t="shared" si="23"/>
        <v>1.5</v>
      </c>
      <c r="DB151" s="281">
        <f t="shared" si="24"/>
        <v>1.8</v>
      </c>
      <c r="DD151" s="281">
        <f t="shared" si="25"/>
        <v>0.10791445518009621</v>
      </c>
      <c r="DE151" s="281">
        <f t="shared" si="26"/>
        <v>0.21582891036019242</v>
      </c>
      <c r="DF151" s="281">
        <f t="shared" si="27"/>
        <v>0.3237433655402886</v>
      </c>
      <c r="DH151" s="282">
        <f t="shared" si="28"/>
        <v>40787</v>
      </c>
      <c r="DI151" s="17">
        <f t="shared" si="29"/>
        <v>0.9</v>
      </c>
    </row>
    <row r="152" spans="1:113" ht="13.8">
      <c r="A152" s="27">
        <f t="shared" ca="1" si="20"/>
        <v>41153</v>
      </c>
      <c r="B152" s="17">
        <f>'Gas Curves'!C156</f>
        <v>6.0863073799306021E-2</v>
      </c>
      <c r="C152" s="17"/>
      <c r="D152" s="55">
        <v>39934</v>
      </c>
      <c r="E152" s="56">
        <v>38.4</v>
      </c>
      <c r="F152" s="56">
        <v>40.5</v>
      </c>
      <c r="G152" s="56">
        <v>44.35</v>
      </c>
      <c r="H152" s="40"/>
      <c r="I152" s="56">
        <v>22.599999618530273</v>
      </c>
      <c r="J152" s="56">
        <v>23.649999618530273</v>
      </c>
      <c r="K152" s="56">
        <v>25.239999618530273</v>
      </c>
      <c r="L152" s="23"/>
      <c r="M152" s="24">
        <v>40817</v>
      </c>
      <c r="N152" s="57">
        <v>27.700001144409178</v>
      </c>
      <c r="O152" s="57">
        <v>29.275001144409178</v>
      </c>
      <c r="P152" s="57">
        <v>30.782501144409178</v>
      </c>
      <c r="Q152" s="22"/>
      <c r="R152" s="57">
        <v>21.050001525878905</v>
      </c>
      <c r="S152" s="57">
        <v>26.050001525878905</v>
      </c>
      <c r="T152" s="57">
        <v>27.557501525878905</v>
      </c>
      <c r="U152" s="22"/>
      <c r="V152" s="57">
        <v>0</v>
      </c>
      <c r="W152" s="57">
        <v>0</v>
      </c>
      <c r="X152" s="57">
        <v>0</v>
      </c>
      <c r="Y152" s="22"/>
      <c r="Z152" s="57">
        <v>9.333599852140384E-2</v>
      </c>
      <c r="AA152" s="57">
        <v>0.18667199704280768</v>
      </c>
      <c r="AB152" s="57">
        <v>0.28000799556421152</v>
      </c>
      <c r="AC152" s="22"/>
      <c r="AD152" s="57">
        <v>2.402194052249387E-2</v>
      </c>
      <c r="AE152" s="57">
        <v>4.8043881044987739E-2</v>
      </c>
      <c r="AF152" s="57">
        <v>7.2065821567481606E-2</v>
      </c>
      <c r="AG152" s="22"/>
      <c r="AH152" s="57">
        <v>-0.25</v>
      </c>
      <c r="AI152" s="57">
        <v>1.1000000000000001</v>
      </c>
      <c r="AJ152" s="57">
        <v>0.3</v>
      </c>
      <c r="AK152" s="22"/>
      <c r="AL152" s="57">
        <v>-0.15</v>
      </c>
      <c r="AM152" s="57">
        <v>0.35</v>
      </c>
      <c r="AN152" s="57">
        <v>0.2</v>
      </c>
      <c r="AO152" s="22"/>
      <c r="AP152" s="23">
        <v>45</v>
      </c>
      <c r="AQ152" s="58">
        <v>0.4</v>
      </c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4">
        <v>40817</v>
      </c>
      <c r="BI152" s="60">
        <v>0.9</v>
      </c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/>
      <c r="CM152" s="80"/>
      <c r="CN152" s="80"/>
      <c r="CO152" s="61"/>
      <c r="CP152"/>
      <c r="CQ152"/>
      <c r="CR152"/>
      <c r="CS152"/>
      <c r="CT152"/>
      <c r="CY152" s="282">
        <f t="shared" si="21"/>
        <v>40817</v>
      </c>
      <c r="CZ152" s="281">
        <f t="shared" si="22"/>
        <v>0.85000000000000009</v>
      </c>
      <c r="DA152" s="281">
        <f t="shared" si="23"/>
        <v>1.1000000000000001</v>
      </c>
      <c r="DB152" s="281">
        <f t="shared" si="24"/>
        <v>1.4000000000000001</v>
      </c>
      <c r="DD152" s="281">
        <f t="shared" si="25"/>
        <v>9.333599852140384E-2</v>
      </c>
      <c r="DE152" s="281">
        <f t="shared" si="26"/>
        <v>0.18667199704280768</v>
      </c>
      <c r="DF152" s="281">
        <f t="shared" si="27"/>
        <v>0.28000799556421152</v>
      </c>
      <c r="DH152" s="282">
        <f t="shared" si="28"/>
        <v>40817</v>
      </c>
      <c r="DI152" s="17">
        <f t="shared" si="29"/>
        <v>0.9</v>
      </c>
    </row>
    <row r="153" spans="1:113" ht="13.8">
      <c r="A153" s="27">
        <f t="shared" ca="1" si="20"/>
        <v>41183</v>
      </c>
      <c r="B153" s="17">
        <f>'Gas Curves'!C157</f>
        <v>6.0886788876376018E-2</v>
      </c>
      <c r="C153" s="17"/>
      <c r="D153" s="55">
        <v>39965</v>
      </c>
      <c r="E153" s="56">
        <v>46.45</v>
      </c>
      <c r="F153" s="56">
        <v>50.5</v>
      </c>
      <c r="G153" s="56">
        <v>56.37</v>
      </c>
      <c r="H153" s="40"/>
      <c r="I153" s="56">
        <v>21.999999618530275</v>
      </c>
      <c r="J153" s="56">
        <v>24.024999618530273</v>
      </c>
      <c r="K153" s="56">
        <v>26.444999618530275</v>
      </c>
      <c r="L153" s="23"/>
      <c r="M153" s="24">
        <v>40848</v>
      </c>
      <c r="N153" s="57">
        <v>30.050001525878905</v>
      </c>
      <c r="O153" s="57">
        <v>31.625001525878904</v>
      </c>
      <c r="P153" s="57">
        <v>33.132501525878901</v>
      </c>
      <c r="Q153" s="22"/>
      <c r="R153" s="57">
        <v>23.250000381469725</v>
      </c>
      <c r="S153" s="57">
        <v>28.250000381469725</v>
      </c>
      <c r="T153" s="57">
        <v>29.757500381469725</v>
      </c>
      <c r="U153" s="22"/>
      <c r="V153" s="57">
        <v>0</v>
      </c>
      <c r="W153" s="57">
        <v>0</v>
      </c>
      <c r="X153" s="57">
        <v>0</v>
      </c>
      <c r="Y153" s="22"/>
      <c r="Z153" s="57">
        <v>9.333599852140384E-2</v>
      </c>
      <c r="AA153" s="57">
        <v>0.18667199704280768</v>
      </c>
      <c r="AB153" s="57">
        <v>0.28000799556421152</v>
      </c>
      <c r="AC153" s="22"/>
      <c r="AD153" s="57">
        <v>2.402194052249387E-2</v>
      </c>
      <c r="AE153" s="57">
        <v>4.8043881044987739E-2</v>
      </c>
      <c r="AF153" s="57">
        <v>7.2065821567481606E-2</v>
      </c>
      <c r="AG153" s="22"/>
      <c r="AH153" s="57">
        <v>-0.25</v>
      </c>
      <c r="AI153" s="57">
        <v>1.25</v>
      </c>
      <c r="AJ153" s="57">
        <v>0.3</v>
      </c>
      <c r="AK153" s="22"/>
      <c r="AL153" s="57">
        <v>-0.15</v>
      </c>
      <c r="AM153" s="57">
        <v>0.3</v>
      </c>
      <c r="AN153" s="57">
        <v>0.2</v>
      </c>
      <c r="AO153" s="22"/>
      <c r="AP153" s="23">
        <v>46</v>
      </c>
      <c r="AQ153" s="58">
        <v>0.4</v>
      </c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4">
        <v>40848</v>
      </c>
      <c r="BI153" s="60">
        <v>0.9</v>
      </c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/>
      <c r="CM153" s="80"/>
      <c r="CN153" s="80"/>
      <c r="CO153" s="61"/>
      <c r="CP153"/>
      <c r="CQ153"/>
      <c r="CR153"/>
      <c r="CS153"/>
      <c r="CT153"/>
      <c r="CY153" s="282">
        <f t="shared" si="21"/>
        <v>40848</v>
      </c>
      <c r="CZ153" s="281">
        <f t="shared" si="22"/>
        <v>1</v>
      </c>
      <c r="DA153" s="281">
        <f t="shared" si="23"/>
        <v>1.25</v>
      </c>
      <c r="DB153" s="281">
        <f t="shared" si="24"/>
        <v>1.55</v>
      </c>
      <c r="DD153" s="281">
        <f t="shared" si="25"/>
        <v>9.333599852140384E-2</v>
      </c>
      <c r="DE153" s="281">
        <f t="shared" si="26"/>
        <v>0.18667199704280768</v>
      </c>
      <c r="DF153" s="281">
        <f t="shared" si="27"/>
        <v>0.28000799556421152</v>
      </c>
      <c r="DH153" s="282">
        <f t="shared" si="28"/>
        <v>40848</v>
      </c>
      <c r="DI153" s="17">
        <f t="shared" si="29"/>
        <v>0.9</v>
      </c>
    </row>
    <row r="154" spans="1:113" ht="13.8">
      <c r="A154" s="27">
        <f t="shared" ca="1" si="20"/>
        <v>41214</v>
      </c>
      <c r="B154" s="17">
        <f>'Gas Curves'!C158</f>
        <v>6.0911294456211018E-2</v>
      </c>
      <c r="C154" s="17"/>
      <c r="D154" s="55">
        <v>39995</v>
      </c>
      <c r="E154" s="56">
        <v>59.85</v>
      </c>
      <c r="F154" s="56">
        <v>69.75</v>
      </c>
      <c r="G154" s="56">
        <v>82.26</v>
      </c>
      <c r="H154" s="40"/>
      <c r="I154" s="56">
        <v>22.8</v>
      </c>
      <c r="J154" s="56">
        <v>27.75</v>
      </c>
      <c r="K154" s="56">
        <v>32.914999999999999</v>
      </c>
      <c r="L154" s="23"/>
      <c r="M154" s="24">
        <v>40878</v>
      </c>
      <c r="N154" s="57">
        <v>30.65</v>
      </c>
      <c r="O154" s="57">
        <v>32.225000000000001</v>
      </c>
      <c r="P154" s="57">
        <v>33.732500000000002</v>
      </c>
      <c r="Q154" s="22"/>
      <c r="R154" s="57">
        <v>23.750000381469725</v>
      </c>
      <c r="S154" s="57">
        <v>28.750000381469725</v>
      </c>
      <c r="T154" s="57">
        <v>30.257500381469725</v>
      </c>
      <c r="U154" s="22"/>
      <c r="V154" s="57">
        <v>0</v>
      </c>
      <c r="W154" s="57">
        <v>0</v>
      </c>
      <c r="X154" s="57">
        <v>0</v>
      </c>
      <c r="Y154" s="22"/>
      <c r="Z154" s="57">
        <v>9.1472823703905456E-2</v>
      </c>
      <c r="AA154" s="57">
        <v>0.18294564740781091</v>
      </c>
      <c r="AB154" s="57">
        <v>0.27441847111171636</v>
      </c>
      <c r="AC154" s="22"/>
      <c r="AD154" s="57">
        <v>2.402194052249387E-2</v>
      </c>
      <c r="AE154" s="57">
        <v>4.8043881044987739E-2</v>
      </c>
      <c r="AF154" s="57">
        <v>7.2065821567481606E-2</v>
      </c>
      <c r="AG154" s="22"/>
      <c r="AH154" s="57">
        <v>-0.25</v>
      </c>
      <c r="AI154" s="57">
        <v>1.25</v>
      </c>
      <c r="AJ154" s="57">
        <v>0.35</v>
      </c>
      <c r="AK154" s="22"/>
      <c r="AL154" s="57">
        <v>-0.15</v>
      </c>
      <c r="AM154" s="57">
        <v>0.3</v>
      </c>
      <c r="AN154" s="57">
        <v>0.2</v>
      </c>
      <c r="AO154" s="22"/>
      <c r="AP154" s="23">
        <v>46</v>
      </c>
      <c r="AQ154" s="58">
        <v>0.4</v>
      </c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4">
        <v>40878</v>
      </c>
      <c r="BI154" s="60">
        <v>0.9</v>
      </c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/>
      <c r="CM154" s="80"/>
      <c r="CN154" s="80"/>
      <c r="CO154" s="61"/>
      <c r="CP154"/>
      <c r="CQ154"/>
      <c r="CR154"/>
      <c r="CS154"/>
      <c r="CT154"/>
      <c r="CY154" s="282">
        <f t="shared" si="21"/>
        <v>40878</v>
      </c>
      <c r="CZ154" s="281">
        <f t="shared" si="22"/>
        <v>1</v>
      </c>
      <c r="DA154" s="281">
        <f t="shared" si="23"/>
        <v>1.25</v>
      </c>
      <c r="DB154" s="281">
        <f t="shared" si="24"/>
        <v>1.6</v>
      </c>
      <c r="DD154" s="281">
        <f t="shared" si="25"/>
        <v>9.1472823703905456E-2</v>
      </c>
      <c r="DE154" s="281">
        <f t="shared" si="26"/>
        <v>0.18294564740781091</v>
      </c>
      <c r="DF154" s="281">
        <f t="shared" si="27"/>
        <v>0.27441847111171636</v>
      </c>
      <c r="DH154" s="282">
        <f t="shared" si="28"/>
        <v>40878</v>
      </c>
      <c r="DI154" s="17">
        <f t="shared" si="29"/>
        <v>0.9</v>
      </c>
    </row>
    <row r="155" spans="1:113" ht="13.8">
      <c r="A155" s="27">
        <f t="shared" ca="1" si="20"/>
        <v>41244</v>
      </c>
      <c r="B155" s="17">
        <f>'Gas Curves'!C159</f>
        <v>6.0935009533661016E-2</v>
      </c>
      <c r="C155" s="17"/>
      <c r="D155" s="55">
        <v>40026</v>
      </c>
      <c r="E155" s="56">
        <v>59.85</v>
      </c>
      <c r="F155" s="56">
        <v>69.75</v>
      </c>
      <c r="G155" s="56">
        <v>82.26</v>
      </c>
      <c r="H155" s="40"/>
      <c r="I155" s="56">
        <v>34.950001525878903</v>
      </c>
      <c r="J155" s="56">
        <v>39.900001525878906</v>
      </c>
      <c r="K155" s="56">
        <v>45.065001525878905</v>
      </c>
      <c r="L155" s="23"/>
      <c r="M155" s="24">
        <v>40909</v>
      </c>
      <c r="N155" s="57">
        <v>33.229496002197266</v>
      </c>
      <c r="O155" s="57">
        <v>34.804496002197268</v>
      </c>
      <c r="P155" s="57">
        <v>36.064496002197266</v>
      </c>
      <c r="Q155" s="22"/>
      <c r="R155" s="57">
        <v>25.903997421264648</v>
      </c>
      <c r="S155" s="57">
        <v>30.903997421264648</v>
      </c>
      <c r="T155" s="57">
        <v>32.163997421264646</v>
      </c>
      <c r="U155" s="22"/>
      <c r="V155" s="57">
        <v>0</v>
      </c>
      <c r="W155" s="57">
        <v>0</v>
      </c>
      <c r="X155" s="57">
        <v>0</v>
      </c>
      <c r="Y155" s="22"/>
      <c r="Z155" s="57">
        <v>0.13498524295129247</v>
      </c>
      <c r="AA155" s="57">
        <v>0.26997048590258493</v>
      </c>
      <c r="AB155" s="57">
        <v>0.40495572885387743</v>
      </c>
      <c r="AC155" s="22"/>
      <c r="AD155" s="57">
        <v>2.7465085330718002E-2</v>
      </c>
      <c r="AE155" s="57">
        <v>5.4930170661436004E-2</v>
      </c>
      <c r="AF155" s="57">
        <v>8.2395255992153998E-2</v>
      </c>
      <c r="AG155" s="22"/>
      <c r="AH155" s="57">
        <v>-0.75</v>
      </c>
      <c r="AI155" s="57">
        <v>2</v>
      </c>
      <c r="AJ155" s="57">
        <v>0.75</v>
      </c>
      <c r="AK155" s="22"/>
      <c r="AL155" s="57">
        <v>-0.15</v>
      </c>
      <c r="AM155" s="57">
        <v>0.5</v>
      </c>
      <c r="AN155" s="57">
        <v>0.2</v>
      </c>
      <c r="AO155" s="22"/>
      <c r="AP155" s="23">
        <v>46</v>
      </c>
      <c r="AQ155" s="58">
        <v>0.4</v>
      </c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4">
        <v>40909</v>
      </c>
      <c r="BI155" s="60">
        <v>0.9</v>
      </c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/>
      <c r="CM155" s="80"/>
      <c r="CN155" s="80"/>
      <c r="CO155" s="61"/>
      <c r="CP155"/>
      <c r="CQ155"/>
      <c r="CR155"/>
      <c r="CS155"/>
      <c r="CT155"/>
      <c r="CY155" s="282">
        <f t="shared" si="21"/>
        <v>40909</v>
      </c>
      <c r="CZ155" s="281">
        <f t="shared" si="22"/>
        <v>1.25</v>
      </c>
      <c r="DA155" s="281">
        <f t="shared" si="23"/>
        <v>2</v>
      </c>
      <c r="DB155" s="281">
        <f t="shared" si="24"/>
        <v>2.75</v>
      </c>
      <c r="DD155" s="281">
        <f t="shared" si="25"/>
        <v>0.13498524295129247</v>
      </c>
      <c r="DE155" s="281">
        <f t="shared" si="26"/>
        <v>0.26997048590258493</v>
      </c>
      <c r="DF155" s="281">
        <f t="shared" si="27"/>
        <v>0.40495572885387743</v>
      </c>
      <c r="DH155" s="282">
        <f t="shared" si="28"/>
        <v>40909</v>
      </c>
      <c r="DI155" s="17">
        <f t="shared" si="29"/>
        <v>0.9</v>
      </c>
    </row>
    <row r="156" spans="1:113" ht="13.8">
      <c r="A156" s="27">
        <f t="shared" ca="1" si="20"/>
        <v>41275</v>
      </c>
      <c r="B156" s="17">
        <f>'Gas Curves'!C160</f>
        <v>6.0959515113889022E-2</v>
      </c>
      <c r="C156" s="17"/>
      <c r="D156" s="55">
        <v>40057</v>
      </c>
      <c r="E156" s="56">
        <v>34.950000000000003</v>
      </c>
      <c r="F156" s="56">
        <v>39</v>
      </c>
      <c r="G156" s="56">
        <v>42.85</v>
      </c>
      <c r="H156" s="40"/>
      <c r="I156" s="56">
        <v>26.374999618530275</v>
      </c>
      <c r="J156" s="56">
        <v>28.399999618530273</v>
      </c>
      <c r="K156" s="56">
        <v>29.989999618530273</v>
      </c>
      <c r="L156" s="23"/>
      <c r="M156" s="24">
        <v>40940</v>
      </c>
      <c r="N156" s="57">
        <v>32.891996765136724</v>
      </c>
      <c r="O156" s="57">
        <v>34.129496765136722</v>
      </c>
      <c r="P156" s="57">
        <v>35.38949676513672</v>
      </c>
      <c r="Q156" s="22"/>
      <c r="R156" s="57">
        <v>25.303997039794922</v>
      </c>
      <c r="S156" s="57">
        <v>30.303997039794922</v>
      </c>
      <c r="T156" s="57">
        <v>31.563997039794923</v>
      </c>
      <c r="U156" s="22"/>
      <c r="V156" s="57">
        <v>0</v>
      </c>
      <c r="W156" s="57">
        <v>0</v>
      </c>
      <c r="X156" s="57">
        <v>0</v>
      </c>
      <c r="Y156" s="22"/>
      <c r="Z156" s="57">
        <v>0.13040490536611887</v>
      </c>
      <c r="AA156" s="57">
        <v>0.26080981073223775</v>
      </c>
      <c r="AB156" s="57">
        <v>0.39121471609835662</v>
      </c>
      <c r="AC156" s="22"/>
      <c r="AD156" s="57">
        <v>2.7465085330718002E-2</v>
      </c>
      <c r="AE156" s="57">
        <v>5.4930170661436004E-2</v>
      </c>
      <c r="AF156" s="57">
        <v>8.2395255992153998E-2</v>
      </c>
      <c r="AG156" s="22"/>
      <c r="AH156" s="57">
        <v>-0.75</v>
      </c>
      <c r="AI156" s="57">
        <v>2</v>
      </c>
      <c r="AJ156" s="57">
        <v>0.75</v>
      </c>
      <c r="AK156" s="22"/>
      <c r="AL156" s="57">
        <v>-0.15</v>
      </c>
      <c r="AM156" s="57">
        <v>0.5</v>
      </c>
      <c r="AN156" s="57">
        <v>0.2</v>
      </c>
      <c r="AO156" s="22"/>
      <c r="AP156" s="23">
        <v>47</v>
      </c>
      <c r="AQ156" s="58">
        <v>0.4</v>
      </c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4">
        <v>40940</v>
      </c>
      <c r="BI156" s="60">
        <v>0.9</v>
      </c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/>
      <c r="CM156" s="80"/>
      <c r="CN156" s="80"/>
      <c r="CO156" s="61"/>
      <c r="CP156"/>
      <c r="CQ156"/>
      <c r="CR156"/>
      <c r="CS156"/>
      <c r="CT156"/>
      <c r="CY156" s="282">
        <f t="shared" si="21"/>
        <v>40940</v>
      </c>
      <c r="CZ156" s="281">
        <f t="shared" si="22"/>
        <v>1.25</v>
      </c>
      <c r="DA156" s="281">
        <f t="shared" si="23"/>
        <v>2</v>
      </c>
      <c r="DB156" s="281">
        <f t="shared" si="24"/>
        <v>2.75</v>
      </c>
      <c r="DD156" s="281">
        <f t="shared" si="25"/>
        <v>0.13040490536611887</v>
      </c>
      <c r="DE156" s="281">
        <f t="shared" si="26"/>
        <v>0.26080981073223775</v>
      </c>
      <c r="DF156" s="281">
        <f t="shared" si="27"/>
        <v>0.39121471609835662</v>
      </c>
      <c r="DH156" s="282">
        <f t="shared" si="28"/>
        <v>40940</v>
      </c>
      <c r="DI156" s="17">
        <f t="shared" si="29"/>
        <v>0.9</v>
      </c>
    </row>
    <row r="157" spans="1:113" ht="13.8">
      <c r="A157" s="27">
        <f t="shared" ca="1" si="20"/>
        <v>41306</v>
      </c>
      <c r="B157" s="17">
        <f>'Gas Curves'!C161</f>
        <v>6.0984020694317007E-2</v>
      </c>
      <c r="C157" s="17"/>
      <c r="D157" s="55">
        <v>40087</v>
      </c>
      <c r="E157" s="56">
        <v>36.9</v>
      </c>
      <c r="F157" s="56">
        <v>39</v>
      </c>
      <c r="G157" s="56">
        <v>41.45</v>
      </c>
      <c r="H157" s="40"/>
      <c r="I157" s="56">
        <v>25.349999618530273</v>
      </c>
      <c r="J157" s="56">
        <v>26.399999618530273</v>
      </c>
      <c r="K157" s="56">
        <v>27.404999618530272</v>
      </c>
      <c r="L157" s="23"/>
      <c r="M157" s="24">
        <v>40969</v>
      </c>
      <c r="N157" s="57">
        <v>27.037496948242186</v>
      </c>
      <c r="O157" s="57">
        <v>28.274996948242187</v>
      </c>
      <c r="P157" s="57">
        <v>29.534996948242188</v>
      </c>
      <c r="Q157" s="22"/>
      <c r="R157" s="57">
        <v>20.099998474121094</v>
      </c>
      <c r="S157" s="57">
        <v>25.099998474121094</v>
      </c>
      <c r="T157" s="57">
        <v>26.359998474121095</v>
      </c>
      <c r="U157" s="22"/>
      <c r="V157" s="57">
        <v>0</v>
      </c>
      <c r="W157" s="57">
        <v>0</v>
      </c>
      <c r="X157" s="57">
        <v>0</v>
      </c>
      <c r="Y157" s="22"/>
      <c r="Z157" s="57">
        <v>0.10337941677124654</v>
      </c>
      <c r="AA157" s="57">
        <v>0.20675883354249308</v>
      </c>
      <c r="AB157" s="57">
        <v>0.31013825031373965</v>
      </c>
      <c r="AC157" s="22"/>
      <c r="AD157" s="57">
        <v>2.402194052249387E-2</v>
      </c>
      <c r="AE157" s="57">
        <v>4.8043881044987739E-2</v>
      </c>
      <c r="AF157" s="57">
        <v>7.2065821567481606E-2</v>
      </c>
      <c r="AG157" s="22"/>
      <c r="AH157" s="57">
        <v>-0.25</v>
      </c>
      <c r="AI157" s="57">
        <v>1.3</v>
      </c>
      <c r="AJ157" s="57">
        <v>0.3</v>
      </c>
      <c r="AK157" s="22"/>
      <c r="AL157" s="57">
        <v>-0.15</v>
      </c>
      <c r="AM157" s="57">
        <v>0.35</v>
      </c>
      <c r="AN157" s="57">
        <v>0.2</v>
      </c>
      <c r="AO157" s="22"/>
      <c r="AP157" s="23">
        <v>47</v>
      </c>
      <c r="AQ157" s="58">
        <v>0.4</v>
      </c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4">
        <v>40969</v>
      </c>
      <c r="BI157" s="60">
        <v>0.9</v>
      </c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/>
      <c r="CM157" s="80"/>
      <c r="CN157" s="80"/>
      <c r="CO157" s="61"/>
      <c r="CP157"/>
      <c r="CQ157"/>
      <c r="CR157"/>
      <c r="CS157"/>
      <c r="CT157"/>
      <c r="CY157" s="282">
        <f t="shared" si="21"/>
        <v>40969</v>
      </c>
      <c r="CZ157" s="281">
        <f t="shared" si="22"/>
        <v>1.05</v>
      </c>
      <c r="DA157" s="281">
        <f t="shared" si="23"/>
        <v>1.3</v>
      </c>
      <c r="DB157" s="281">
        <f t="shared" si="24"/>
        <v>1.6</v>
      </c>
      <c r="DD157" s="281">
        <f t="shared" si="25"/>
        <v>0.10337941677124654</v>
      </c>
      <c r="DE157" s="281">
        <f t="shared" si="26"/>
        <v>0.20675883354249308</v>
      </c>
      <c r="DF157" s="281">
        <f t="shared" si="27"/>
        <v>0.31013825031373965</v>
      </c>
      <c r="DH157" s="282">
        <f t="shared" si="28"/>
        <v>40969</v>
      </c>
      <c r="DI157" s="17">
        <f t="shared" si="29"/>
        <v>0.9</v>
      </c>
    </row>
    <row r="158" spans="1:113" ht="13.8">
      <c r="A158" s="27">
        <f t="shared" ca="1" si="20"/>
        <v>41334</v>
      </c>
      <c r="B158" s="17">
        <f>'Gas Curves'!C162</f>
        <v>6.1006154767133003E-2</v>
      </c>
      <c r="C158" s="17"/>
      <c r="D158" s="55">
        <v>40118</v>
      </c>
      <c r="E158" s="56">
        <v>39.4</v>
      </c>
      <c r="F158" s="56">
        <v>41.5</v>
      </c>
      <c r="G158" s="56">
        <v>43.95</v>
      </c>
      <c r="H158" s="40"/>
      <c r="I158" s="56">
        <v>26.099999618530273</v>
      </c>
      <c r="J158" s="56">
        <v>27.149999618530273</v>
      </c>
      <c r="K158" s="56">
        <v>28.154999618530272</v>
      </c>
      <c r="L158" s="23"/>
      <c r="M158" s="24">
        <v>41000</v>
      </c>
      <c r="N158" s="57">
        <v>26.024999618530273</v>
      </c>
      <c r="O158" s="57">
        <v>27.599999618530273</v>
      </c>
      <c r="P158" s="57">
        <v>28.859999618530274</v>
      </c>
      <c r="Q158" s="22"/>
      <c r="R158" s="57">
        <v>19.5</v>
      </c>
      <c r="S158" s="57">
        <v>24.5</v>
      </c>
      <c r="T158" s="57">
        <v>25.76</v>
      </c>
      <c r="U158" s="22"/>
      <c r="V158" s="57">
        <v>0</v>
      </c>
      <c r="W158" s="57">
        <v>0</v>
      </c>
      <c r="X158" s="57">
        <v>0</v>
      </c>
      <c r="Y158" s="22"/>
      <c r="Z158" s="57">
        <v>0.10323721674817747</v>
      </c>
      <c r="AA158" s="57">
        <v>0.20647443349635494</v>
      </c>
      <c r="AB158" s="57">
        <v>0.3097116502445324</v>
      </c>
      <c r="AC158" s="22"/>
      <c r="AD158" s="57">
        <v>2.402194052249387E-2</v>
      </c>
      <c r="AE158" s="57">
        <v>4.8043881044987739E-2</v>
      </c>
      <c r="AF158" s="57">
        <v>7.2065821567481606E-2</v>
      </c>
      <c r="AG158" s="22"/>
      <c r="AH158" s="57">
        <v>-0.25</v>
      </c>
      <c r="AI158" s="57">
        <v>1.1000000000000001</v>
      </c>
      <c r="AJ158" s="57">
        <v>0.3</v>
      </c>
      <c r="AK158" s="22"/>
      <c r="AL158" s="57">
        <v>-0.15</v>
      </c>
      <c r="AM158" s="57">
        <v>0.35</v>
      </c>
      <c r="AN158" s="57">
        <v>0.2</v>
      </c>
      <c r="AO158" s="22"/>
      <c r="AP158" s="23">
        <v>47</v>
      </c>
      <c r="AQ158" s="58">
        <v>0.4</v>
      </c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4">
        <v>41000</v>
      </c>
      <c r="BI158" s="60">
        <v>0.9</v>
      </c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/>
      <c r="CM158" s="80"/>
      <c r="CN158" s="80"/>
      <c r="CO158" s="61"/>
      <c r="CP158"/>
      <c r="CQ158"/>
      <c r="CR158"/>
      <c r="CS158"/>
      <c r="CT158"/>
      <c r="CY158" s="282">
        <f t="shared" si="21"/>
        <v>41000</v>
      </c>
      <c r="CZ158" s="281">
        <f t="shared" si="22"/>
        <v>0.85000000000000009</v>
      </c>
      <c r="DA158" s="281">
        <f t="shared" si="23"/>
        <v>1.1000000000000001</v>
      </c>
      <c r="DB158" s="281">
        <f t="shared" si="24"/>
        <v>1.4000000000000001</v>
      </c>
      <c r="DD158" s="281">
        <f t="shared" si="25"/>
        <v>0.10323721674817747</v>
      </c>
      <c r="DE158" s="281">
        <f t="shared" si="26"/>
        <v>0.20647443349635494</v>
      </c>
      <c r="DF158" s="281">
        <f t="shared" si="27"/>
        <v>0.3097116502445324</v>
      </c>
      <c r="DH158" s="282">
        <f t="shared" si="28"/>
        <v>41000</v>
      </c>
      <c r="DI158" s="17">
        <f t="shared" si="29"/>
        <v>0.9</v>
      </c>
    </row>
    <row r="159" spans="1:113" ht="13.8">
      <c r="A159" s="27">
        <f t="shared" ca="1" si="20"/>
        <v>41365</v>
      </c>
      <c r="B159" s="17">
        <f>'Gas Curves'!C163</f>
        <v>6.1030660347939004E-2</v>
      </c>
      <c r="C159" s="17"/>
      <c r="D159" s="55">
        <v>40148</v>
      </c>
      <c r="E159" s="56">
        <v>39.4</v>
      </c>
      <c r="F159" s="56">
        <v>41.5</v>
      </c>
      <c r="G159" s="56">
        <v>43.95</v>
      </c>
      <c r="H159" s="40"/>
      <c r="I159" s="56">
        <v>25.999999237060546</v>
      </c>
      <c r="J159" s="56">
        <v>27.049999237060547</v>
      </c>
      <c r="K159" s="56">
        <v>28.054999237060546</v>
      </c>
      <c r="L159" s="23"/>
      <c r="M159" s="24">
        <v>41030</v>
      </c>
      <c r="N159" s="57">
        <v>29.625</v>
      </c>
      <c r="O159" s="57">
        <v>31.2</v>
      </c>
      <c r="P159" s="57">
        <v>33.585000000000001</v>
      </c>
      <c r="Q159" s="22"/>
      <c r="R159" s="57">
        <v>22.69999885559082</v>
      </c>
      <c r="S159" s="57">
        <v>27.69999885559082</v>
      </c>
      <c r="T159" s="57">
        <v>30.084998855590818</v>
      </c>
      <c r="U159" s="22"/>
      <c r="V159" s="57">
        <v>0</v>
      </c>
      <c r="W159" s="57">
        <v>0</v>
      </c>
      <c r="X159" s="57">
        <v>0</v>
      </c>
      <c r="Y159" s="22"/>
      <c r="Z159" s="57">
        <v>0.1086078870931457</v>
      </c>
      <c r="AA159" s="57">
        <v>0.2172157741862914</v>
      </c>
      <c r="AB159" s="57">
        <v>0.32582366127943707</v>
      </c>
      <c r="AC159" s="22"/>
      <c r="AD159" s="57">
        <v>2.7465085330718002E-2</v>
      </c>
      <c r="AE159" s="57">
        <v>5.4930170661436004E-2</v>
      </c>
      <c r="AF159" s="57">
        <v>8.2395255992153998E-2</v>
      </c>
      <c r="AG159" s="22"/>
      <c r="AH159" s="57">
        <v>-0.25</v>
      </c>
      <c r="AI159" s="57">
        <v>1.1000000000000001</v>
      </c>
      <c r="AJ159" s="57">
        <v>0.3</v>
      </c>
      <c r="AK159" s="22"/>
      <c r="AL159" s="57">
        <v>-0.15</v>
      </c>
      <c r="AM159" s="57">
        <v>0.5</v>
      </c>
      <c r="AN159" s="57">
        <v>0.2</v>
      </c>
      <c r="AO159" s="22"/>
      <c r="AP159" s="23">
        <v>48</v>
      </c>
      <c r="AQ159" s="58">
        <v>0.4</v>
      </c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4">
        <v>41030</v>
      </c>
      <c r="BI159" s="60">
        <v>0.9</v>
      </c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/>
      <c r="CM159" s="80"/>
      <c r="CN159" s="80"/>
      <c r="CO159" s="61"/>
      <c r="CP159"/>
      <c r="CQ159"/>
      <c r="CR159"/>
      <c r="CS159"/>
      <c r="CT159"/>
      <c r="CY159" s="282">
        <f t="shared" si="21"/>
        <v>41030</v>
      </c>
      <c r="CZ159" s="281">
        <f t="shared" si="22"/>
        <v>0.85000000000000009</v>
      </c>
      <c r="DA159" s="281">
        <f t="shared" si="23"/>
        <v>1.1000000000000001</v>
      </c>
      <c r="DB159" s="281">
        <f t="shared" si="24"/>
        <v>1.4000000000000001</v>
      </c>
      <c r="DD159" s="281">
        <f t="shared" si="25"/>
        <v>0.1086078870931457</v>
      </c>
      <c r="DE159" s="281">
        <f t="shared" si="26"/>
        <v>0.2172157741862914</v>
      </c>
      <c r="DF159" s="281">
        <f t="shared" si="27"/>
        <v>0.32582366127943707</v>
      </c>
      <c r="DH159" s="282">
        <f t="shared" si="28"/>
        <v>41030</v>
      </c>
      <c r="DI159" s="17">
        <f t="shared" si="29"/>
        <v>0.9</v>
      </c>
    </row>
    <row r="160" spans="1:113" ht="13.8">
      <c r="A160" s="27">
        <f t="shared" ca="1" si="20"/>
        <v>41395</v>
      </c>
      <c r="B160" s="17">
        <f>'Gas Curves'!C164</f>
        <v>6.1054375426330014E-2</v>
      </c>
      <c r="C160" s="17"/>
      <c r="D160" s="55">
        <v>40179</v>
      </c>
      <c r="E160" s="56">
        <v>54.97</v>
      </c>
      <c r="F160" s="56">
        <v>57.6</v>
      </c>
      <c r="G160" s="56">
        <v>59.64</v>
      </c>
      <c r="H160" s="40"/>
      <c r="I160" s="56">
        <v>27.035000381469725</v>
      </c>
      <c r="J160" s="56">
        <v>28.350000381469727</v>
      </c>
      <c r="K160" s="56">
        <v>29.190000381469726</v>
      </c>
      <c r="L160" s="23"/>
      <c r="M160" s="24">
        <v>41061</v>
      </c>
      <c r="N160" s="57">
        <v>34.962503051757814</v>
      </c>
      <c r="O160" s="57">
        <v>38.000003051757815</v>
      </c>
      <c r="P160" s="57">
        <v>41.630003051757818</v>
      </c>
      <c r="Q160" s="22"/>
      <c r="R160" s="57">
        <v>28.200002670288086</v>
      </c>
      <c r="S160" s="57">
        <v>33.200002670288086</v>
      </c>
      <c r="T160" s="57">
        <v>36.830002670288088</v>
      </c>
      <c r="U160" s="22"/>
      <c r="V160" s="57">
        <v>0</v>
      </c>
      <c r="W160" s="57">
        <v>0</v>
      </c>
      <c r="X160" s="57">
        <v>0</v>
      </c>
      <c r="Y160" s="22"/>
      <c r="Z160" s="57">
        <v>0.11614897884285308</v>
      </c>
      <c r="AA160" s="57">
        <v>0.23229795768570616</v>
      </c>
      <c r="AB160" s="57">
        <v>0.34844693652855924</v>
      </c>
      <c r="AC160" s="22"/>
      <c r="AD160" s="57">
        <v>3.5312252568065992E-2</v>
      </c>
      <c r="AE160" s="57">
        <v>7.0624505136131985E-2</v>
      </c>
      <c r="AF160" s="57">
        <v>0.10593675770419797</v>
      </c>
      <c r="AG160" s="22"/>
      <c r="AH160" s="57">
        <v>-0.35</v>
      </c>
      <c r="AI160" s="57">
        <v>2</v>
      </c>
      <c r="AJ160" s="57">
        <v>0.3</v>
      </c>
      <c r="AK160" s="22"/>
      <c r="AL160" s="57">
        <v>-0.15</v>
      </c>
      <c r="AM160" s="57">
        <v>0.65</v>
      </c>
      <c r="AN160" s="57">
        <v>0.2</v>
      </c>
      <c r="AO160" s="22"/>
      <c r="AP160" s="23">
        <v>48</v>
      </c>
      <c r="AQ160" s="58">
        <v>0.4</v>
      </c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4">
        <v>41061</v>
      </c>
      <c r="BI160" s="60">
        <v>0.9</v>
      </c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/>
      <c r="CM160" s="80"/>
      <c r="CN160" s="80"/>
      <c r="CO160" s="61"/>
      <c r="CP160"/>
      <c r="CQ160"/>
      <c r="CR160"/>
      <c r="CS160"/>
      <c r="CT160"/>
      <c r="CY160" s="282">
        <f t="shared" si="21"/>
        <v>41061</v>
      </c>
      <c r="CZ160" s="281">
        <f t="shared" si="22"/>
        <v>1.65</v>
      </c>
      <c r="DA160" s="281">
        <f t="shared" si="23"/>
        <v>2</v>
      </c>
      <c r="DB160" s="281">
        <f t="shared" si="24"/>
        <v>2.2999999999999998</v>
      </c>
      <c r="DD160" s="281">
        <f t="shared" si="25"/>
        <v>0.11614897884285308</v>
      </c>
      <c r="DE160" s="281">
        <f t="shared" si="26"/>
        <v>0.23229795768570616</v>
      </c>
      <c r="DF160" s="281">
        <f t="shared" si="27"/>
        <v>0.34844693652855924</v>
      </c>
      <c r="DH160" s="282">
        <f t="shared" si="28"/>
        <v>41061</v>
      </c>
      <c r="DI160" s="17">
        <f t="shared" si="29"/>
        <v>0.9</v>
      </c>
    </row>
    <row r="161" spans="1:113" ht="13.8">
      <c r="A161" s="27">
        <f t="shared" ca="1" si="20"/>
        <v>41426</v>
      </c>
      <c r="B161" s="17">
        <f>'Gas Curves'!C165</f>
        <v>6.1078881007529021E-2</v>
      </c>
      <c r="C161" s="17"/>
      <c r="D161" s="55">
        <v>40210</v>
      </c>
      <c r="E161" s="56">
        <v>55.53</v>
      </c>
      <c r="F161" s="56">
        <v>57.6</v>
      </c>
      <c r="G161" s="56">
        <v>59.64</v>
      </c>
      <c r="H161" s="40"/>
      <c r="I161" s="56">
        <v>23.965</v>
      </c>
      <c r="J161" s="56">
        <v>25</v>
      </c>
      <c r="K161" s="56">
        <v>25.84</v>
      </c>
      <c r="L161" s="23"/>
      <c r="M161" s="24">
        <v>41091</v>
      </c>
      <c r="N161" s="57">
        <v>36.975001525878909</v>
      </c>
      <c r="O161" s="57">
        <v>44.400001525878906</v>
      </c>
      <c r="P161" s="57">
        <v>52.147501525878909</v>
      </c>
      <c r="Q161" s="22"/>
      <c r="R161" s="57">
        <v>33.400001525878906</v>
      </c>
      <c r="S161" s="57">
        <v>38.400001525878906</v>
      </c>
      <c r="T161" s="57">
        <v>46.147501525878909</v>
      </c>
      <c r="U161" s="22"/>
      <c r="V161" s="57">
        <v>0</v>
      </c>
      <c r="W161" s="57">
        <v>0</v>
      </c>
      <c r="X161" s="57">
        <v>0</v>
      </c>
      <c r="Y161" s="22"/>
      <c r="Z161" s="57">
        <v>0.13833966665337546</v>
      </c>
      <c r="AA161" s="57">
        <v>0.27667933330675093</v>
      </c>
      <c r="AB161" s="57">
        <v>0.41501899996012637</v>
      </c>
      <c r="AC161" s="22"/>
      <c r="AD161" s="57">
        <v>4.7083003424087985E-2</v>
      </c>
      <c r="AE161" s="57">
        <v>9.416600684817597E-2</v>
      </c>
      <c r="AF161" s="57">
        <v>0.14124901027226394</v>
      </c>
      <c r="AG161" s="22"/>
      <c r="AH161" s="57">
        <v>-0.35</v>
      </c>
      <c r="AI161" s="57">
        <v>3</v>
      </c>
      <c r="AJ161" s="57">
        <v>0.5</v>
      </c>
      <c r="AK161" s="22"/>
      <c r="AL161" s="57">
        <v>-0.15</v>
      </c>
      <c r="AM161" s="57">
        <v>0.75</v>
      </c>
      <c r="AN161" s="57">
        <v>0.2</v>
      </c>
      <c r="AO161" s="22"/>
      <c r="AP161" s="23">
        <v>48</v>
      </c>
      <c r="AQ161" s="58">
        <v>0.4</v>
      </c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4">
        <v>41091</v>
      </c>
      <c r="BI161" s="60">
        <v>0.9</v>
      </c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/>
      <c r="CM161" s="80"/>
      <c r="CN161" s="80"/>
      <c r="CO161" s="61"/>
      <c r="CP161"/>
      <c r="CQ161"/>
      <c r="CR161"/>
      <c r="CS161"/>
      <c r="CT161"/>
      <c r="CY161" s="282">
        <f t="shared" si="21"/>
        <v>41091</v>
      </c>
      <c r="CZ161" s="281">
        <f t="shared" si="22"/>
        <v>2.65</v>
      </c>
      <c r="DA161" s="281">
        <f t="shared" si="23"/>
        <v>3</v>
      </c>
      <c r="DB161" s="281">
        <f t="shared" si="24"/>
        <v>3.5</v>
      </c>
      <c r="DD161" s="281">
        <f t="shared" si="25"/>
        <v>0.13833966665337546</v>
      </c>
      <c r="DE161" s="281">
        <f t="shared" si="26"/>
        <v>0.27667933330675093</v>
      </c>
      <c r="DF161" s="281">
        <f t="shared" si="27"/>
        <v>0.41501899996012637</v>
      </c>
      <c r="DH161" s="282">
        <f t="shared" si="28"/>
        <v>41091</v>
      </c>
      <c r="DI161" s="17">
        <f t="shared" si="29"/>
        <v>0.9</v>
      </c>
    </row>
    <row r="162" spans="1:113" ht="13.8">
      <c r="A162" s="27">
        <f t="shared" ca="1" si="20"/>
        <v>41456</v>
      </c>
      <c r="B162" s="17">
        <f>'Gas Curves'!C166</f>
        <v>6.1102596086299005E-2</v>
      </c>
      <c r="C162" s="17"/>
      <c r="D162" s="55">
        <v>40238</v>
      </c>
      <c r="E162" s="56">
        <v>38.53</v>
      </c>
      <c r="F162" s="56">
        <v>40.6</v>
      </c>
      <c r="G162" s="56">
        <v>42.64</v>
      </c>
      <c r="H162" s="40"/>
      <c r="I162" s="56">
        <v>24.364999618530273</v>
      </c>
      <c r="J162" s="56">
        <v>25.399999618530273</v>
      </c>
      <c r="K162" s="56">
        <v>26.239999618530273</v>
      </c>
      <c r="L162" s="23"/>
      <c r="M162" s="24">
        <v>41122</v>
      </c>
      <c r="N162" s="57">
        <v>48.725001525878909</v>
      </c>
      <c r="O162" s="57">
        <v>56.150001525878906</v>
      </c>
      <c r="P162" s="57">
        <v>63.897501525878909</v>
      </c>
      <c r="Q162" s="22"/>
      <c r="R162" s="57">
        <v>45.200000762939453</v>
      </c>
      <c r="S162" s="57">
        <v>50.200000762939453</v>
      </c>
      <c r="T162" s="57">
        <v>57.947500762939455</v>
      </c>
      <c r="U162" s="22"/>
      <c r="V162" s="57">
        <v>0</v>
      </c>
      <c r="W162" s="57">
        <v>0</v>
      </c>
      <c r="X162" s="57">
        <v>0</v>
      </c>
      <c r="Y162" s="22"/>
      <c r="Z162" s="57">
        <v>0.13530856089848117</v>
      </c>
      <c r="AA162" s="57">
        <v>0.27061712179696235</v>
      </c>
      <c r="AB162" s="57">
        <v>0.40592568269544349</v>
      </c>
      <c r="AC162" s="22"/>
      <c r="AD162" s="57">
        <v>4.7083003424087985E-2</v>
      </c>
      <c r="AE162" s="57">
        <v>9.416600684817597E-2</v>
      </c>
      <c r="AF162" s="57">
        <v>0.14124901027226394</v>
      </c>
      <c r="AG162" s="22"/>
      <c r="AH162" s="57">
        <v>-0.35</v>
      </c>
      <c r="AI162" s="57">
        <v>3</v>
      </c>
      <c r="AJ162" s="57">
        <v>0.5</v>
      </c>
      <c r="AK162" s="22"/>
      <c r="AL162" s="57">
        <v>-0.15</v>
      </c>
      <c r="AM162" s="57">
        <v>0.75</v>
      </c>
      <c r="AN162" s="57">
        <v>0.2</v>
      </c>
      <c r="AO162" s="22"/>
      <c r="AP162" s="23">
        <v>49</v>
      </c>
      <c r="AQ162" s="58">
        <v>0.4</v>
      </c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4">
        <v>41122</v>
      </c>
      <c r="BI162" s="60">
        <v>0.9</v>
      </c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/>
      <c r="CM162" s="80"/>
      <c r="CN162" s="80"/>
      <c r="CO162" s="61"/>
      <c r="CP162"/>
      <c r="CQ162"/>
      <c r="CR162"/>
      <c r="CS162"/>
      <c r="CT162"/>
      <c r="CY162" s="282">
        <f t="shared" si="21"/>
        <v>41122</v>
      </c>
      <c r="CZ162" s="281">
        <f t="shared" si="22"/>
        <v>2.65</v>
      </c>
      <c r="DA162" s="281">
        <f t="shared" si="23"/>
        <v>3</v>
      </c>
      <c r="DB162" s="281">
        <f t="shared" si="24"/>
        <v>3.5</v>
      </c>
      <c r="DD162" s="281">
        <f t="shared" si="25"/>
        <v>0.13530856089848117</v>
      </c>
      <c r="DE162" s="281">
        <f t="shared" si="26"/>
        <v>0.27061712179696235</v>
      </c>
      <c r="DF162" s="281">
        <f t="shared" si="27"/>
        <v>0.40592568269544349</v>
      </c>
      <c r="DH162" s="282">
        <f t="shared" si="28"/>
        <v>41122</v>
      </c>
      <c r="DI162" s="17">
        <f t="shared" si="29"/>
        <v>0.9</v>
      </c>
    </row>
    <row r="163" spans="1:113" ht="13.8">
      <c r="A163" s="27">
        <f t="shared" ca="1" si="20"/>
        <v>41487</v>
      </c>
      <c r="B163" s="17">
        <f>'Gas Curves'!C167</f>
        <v>6.1127101667890003E-2</v>
      </c>
      <c r="C163" s="17"/>
      <c r="D163" s="55">
        <v>40269</v>
      </c>
      <c r="E163" s="56">
        <v>34.47</v>
      </c>
      <c r="F163" s="56">
        <v>37.1</v>
      </c>
      <c r="G163" s="56">
        <v>39.14</v>
      </c>
      <c r="H163" s="40"/>
      <c r="I163" s="56">
        <v>21.834999618530272</v>
      </c>
      <c r="J163" s="56">
        <v>23.149999618530273</v>
      </c>
      <c r="K163" s="56">
        <v>23.989999618530273</v>
      </c>
      <c r="L163" s="23"/>
      <c r="M163" s="24">
        <v>41153</v>
      </c>
      <c r="N163" s="57">
        <v>30.487501144409173</v>
      </c>
      <c r="O163" s="57">
        <v>33.525001144409174</v>
      </c>
      <c r="P163" s="57">
        <v>35.910001144409172</v>
      </c>
      <c r="Q163" s="22"/>
      <c r="R163" s="57">
        <v>25.800001525878905</v>
      </c>
      <c r="S163" s="57">
        <v>30.800001525878905</v>
      </c>
      <c r="T163" s="57">
        <v>33.185001525878903</v>
      </c>
      <c r="U163" s="22"/>
      <c r="V163" s="57">
        <v>0</v>
      </c>
      <c r="W163" s="57">
        <v>0</v>
      </c>
      <c r="X163" s="57">
        <v>0</v>
      </c>
      <c r="Y163" s="22"/>
      <c r="Z163" s="57">
        <v>0.1025187324210914</v>
      </c>
      <c r="AA163" s="57">
        <v>0.2050374648421828</v>
      </c>
      <c r="AB163" s="57">
        <v>0.30755619726327421</v>
      </c>
      <c r="AC163" s="22"/>
      <c r="AD163" s="57">
        <v>3.138866894939199E-2</v>
      </c>
      <c r="AE163" s="57">
        <v>6.277733789878398E-2</v>
      </c>
      <c r="AF163" s="57">
        <v>9.416600684817597E-2</v>
      </c>
      <c r="AG163" s="22"/>
      <c r="AH163" s="57">
        <v>-0.35</v>
      </c>
      <c r="AI163" s="57">
        <v>1.5</v>
      </c>
      <c r="AJ163" s="57">
        <v>0.3</v>
      </c>
      <c r="AK163" s="22"/>
      <c r="AL163" s="57">
        <v>-0.15</v>
      </c>
      <c r="AM163" s="57">
        <v>0.4</v>
      </c>
      <c r="AN163" s="57">
        <v>0.2</v>
      </c>
      <c r="AO163" s="22"/>
      <c r="AP163" s="23">
        <v>49</v>
      </c>
      <c r="AQ163" s="58">
        <v>0.4</v>
      </c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4">
        <v>41153</v>
      </c>
      <c r="BI163" s="60">
        <v>0.9</v>
      </c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/>
      <c r="CM163" s="80"/>
      <c r="CN163" s="80"/>
      <c r="CO163" s="61"/>
      <c r="CP163"/>
      <c r="CQ163"/>
      <c r="CR163"/>
      <c r="CS163"/>
      <c r="CT163"/>
      <c r="CY163" s="282">
        <f t="shared" si="21"/>
        <v>41153</v>
      </c>
      <c r="CZ163" s="281">
        <f t="shared" si="22"/>
        <v>1.1499999999999999</v>
      </c>
      <c r="DA163" s="281">
        <f t="shared" si="23"/>
        <v>1.5</v>
      </c>
      <c r="DB163" s="281">
        <f t="shared" si="24"/>
        <v>1.8</v>
      </c>
      <c r="DD163" s="281">
        <f t="shared" si="25"/>
        <v>0.1025187324210914</v>
      </c>
      <c r="DE163" s="281">
        <f t="shared" si="26"/>
        <v>0.2050374648421828</v>
      </c>
      <c r="DF163" s="281">
        <f t="shared" si="27"/>
        <v>0.30755619726327421</v>
      </c>
      <c r="DH163" s="282">
        <f t="shared" si="28"/>
        <v>41153</v>
      </c>
      <c r="DI163" s="17">
        <f t="shared" si="29"/>
        <v>0.9</v>
      </c>
    </row>
    <row r="164" spans="1:113" ht="13.8">
      <c r="A164" s="27">
        <f t="shared" ca="1" si="20"/>
        <v>41518</v>
      </c>
      <c r="B164" s="17">
        <f>'Gas Curves'!C168</f>
        <v>6.1151607249682015E-2</v>
      </c>
      <c r="C164" s="17"/>
      <c r="D164" s="55">
        <v>40299</v>
      </c>
      <c r="E164" s="56">
        <v>37.97</v>
      </c>
      <c r="F164" s="56">
        <v>40.6</v>
      </c>
      <c r="G164" s="56">
        <v>44.45</v>
      </c>
      <c r="H164" s="40"/>
      <c r="I164" s="56">
        <v>22.834999618530272</v>
      </c>
      <c r="J164" s="56">
        <v>24.149999618530273</v>
      </c>
      <c r="K164" s="56">
        <v>25.739999618530273</v>
      </c>
      <c r="L164" s="23"/>
      <c r="M164" s="24">
        <v>41183</v>
      </c>
      <c r="N164" s="57">
        <v>27.950001144409178</v>
      </c>
      <c r="O164" s="57">
        <v>29.525001144409178</v>
      </c>
      <c r="P164" s="57">
        <v>31.032501144409178</v>
      </c>
      <c r="Q164" s="22"/>
      <c r="R164" s="57">
        <v>21.300001525878905</v>
      </c>
      <c r="S164" s="57">
        <v>26.300001525878905</v>
      </c>
      <c r="T164" s="57">
        <v>27.807501525878905</v>
      </c>
      <c r="U164" s="22"/>
      <c r="V164" s="57">
        <v>0</v>
      </c>
      <c r="W164" s="57">
        <v>0</v>
      </c>
      <c r="X164" s="57">
        <v>0</v>
      </c>
      <c r="Y164" s="22"/>
      <c r="Z164" s="57">
        <v>8.8669198595333648E-2</v>
      </c>
      <c r="AA164" s="57">
        <v>0.1773383971906673</v>
      </c>
      <c r="AB164" s="57">
        <v>0.26600759578600097</v>
      </c>
      <c r="AC164" s="22"/>
      <c r="AD164" s="57">
        <v>2.3541501712043993E-2</v>
      </c>
      <c r="AE164" s="57">
        <v>4.7083003424087985E-2</v>
      </c>
      <c r="AF164" s="57">
        <v>7.0624505136131971E-2</v>
      </c>
      <c r="AG164" s="22"/>
      <c r="AH164" s="57">
        <v>-0.25</v>
      </c>
      <c r="AI164" s="57">
        <v>1.1000000000000001</v>
      </c>
      <c r="AJ164" s="57">
        <v>0.3</v>
      </c>
      <c r="AK164" s="22"/>
      <c r="AL164" s="57">
        <v>-0.15</v>
      </c>
      <c r="AM164" s="57">
        <v>0.35</v>
      </c>
      <c r="AN164" s="57">
        <v>0.2</v>
      </c>
      <c r="AO164" s="22"/>
      <c r="AP164" s="23">
        <v>49</v>
      </c>
      <c r="AQ164" s="58">
        <v>0.4</v>
      </c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4">
        <v>41183</v>
      </c>
      <c r="BI164" s="60">
        <v>0.9</v>
      </c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/>
      <c r="CM164" s="80"/>
      <c r="CN164" s="80"/>
      <c r="CO164" s="61"/>
      <c r="CP164"/>
      <c r="CQ164"/>
      <c r="CR164"/>
      <c r="CS164"/>
      <c r="CT164"/>
      <c r="CY164" s="282">
        <f t="shared" si="21"/>
        <v>41183</v>
      </c>
      <c r="CZ164" s="281">
        <f t="shared" si="22"/>
        <v>0.85000000000000009</v>
      </c>
      <c r="DA164" s="281">
        <f t="shared" si="23"/>
        <v>1.1000000000000001</v>
      </c>
      <c r="DB164" s="281">
        <f t="shared" si="24"/>
        <v>1.4000000000000001</v>
      </c>
      <c r="DD164" s="281">
        <f t="shared" si="25"/>
        <v>8.8669198595333648E-2</v>
      </c>
      <c r="DE164" s="281">
        <f t="shared" si="26"/>
        <v>0.1773383971906673</v>
      </c>
      <c r="DF164" s="281">
        <f t="shared" si="27"/>
        <v>0.26600759578600097</v>
      </c>
      <c r="DH164" s="282">
        <f t="shared" si="28"/>
        <v>41183</v>
      </c>
      <c r="DI164" s="17">
        <f t="shared" si="29"/>
        <v>0.9</v>
      </c>
    </row>
    <row r="165" spans="1:113" ht="13.8">
      <c r="A165" s="27">
        <f t="shared" ca="1" si="20"/>
        <v>41548</v>
      </c>
      <c r="B165" s="17">
        <f>'Gas Curves'!C169</f>
        <v>6.1175322329025013E-2</v>
      </c>
      <c r="C165" s="17"/>
      <c r="D165" s="55">
        <v>40330</v>
      </c>
      <c r="E165" s="56">
        <v>46.18</v>
      </c>
      <c r="F165" s="56">
        <v>51.25</v>
      </c>
      <c r="G165" s="56">
        <v>57.12</v>
      </c>
      <c r="H165" s="40"/>
      <c r="I165" s="56">
        <v>21.989999618530273</v>
      </c>
      <c r="J165" s="56">
        <v>24.524999618530273</v>
      </c>
      <c r="K165" s="56">
        <v>26.944999618530275</v>
      </c>
      <c r="L165" s="23"/>
      <c r="M165" s="24">
        <v>41214</v>
      </c>
      <c r="N165" s="57">
        <v>30.300001525878905</v>
      </c>
      <c r="O165" s="57">
        <v>31.875001525878904</v>
      </c>
      <c r="P165" s="57">
        <v>33.382501525878901</v>
      </c>
      <c r="Q165" s="22"/>
      <c r="R165" s="57">
        <v>23.500000381469725</v>
      </c>
      <c r="S165" s="57">
        <v>28.500000381469725</v>
      </c>
      <c r="T165" s="57">
        <v>30.007500381469725</v>
      </c>
      <c r="U165" s="22"/>
      <c r="V165" s="57">
        <v>0</v>
      </c>
      <c r="W165" s="57">
        <v>0</v>
      </c>
      <c r="X165" s="57">
        <v>0</v>
      </c>
      <c r="Y165" s="22"/>
      <c r="Z165" s="57">
        <v>8.8669198595333648E-2</v>
      </c>
      <c r="AA165" s="57">
        <v>0.1773383971906673</v>
      </c>
      <c r="AB165" s="57">
        <v>0.26600759578600097</v>
      </c>
      <c r="AC165" s="22"/>
      <c r="AD165" s="57">
        <v>2.3541501712043993E-2</v>
      </c>
      <c r="AE165" s="57">
        <v>4.7083003424087985E-2</v>
      </c>
      <c r="AF165" s="57">
        <v>7.0624505136131971E-2</v>
      </c>
      <c r="AG165" s="22"/>
      <c r="AH165" s="57">
        <v>-0.25</v>
      </c>
      <c r="AI165" s="57">
        <v>1.25</v>
      </c>
      <c r="AJ165" s="57">
        <v>0.3</v>
      </c>
      <c r="AK165" s="22"/>
      <c r="AL165" s="57">
        <v>-0.15</v>
      </c>
      <c r="AM165" s="57">
        <v>0.3</v>
      </c>
      <c r="AN165" s="57">
        <v>0.2</v>
      </c>
      <c r="AO165" s="22"/>
      <c r="AP165" s="23">
        <v>50</v>
      </c>
      <c r="AQ165" s="58">
        <v>0.4</v>
      </c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4">
        <v>41214</v>
      </c>
      <c r="BI165" s="60">
        <v>0.9</v>
      </c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/>
      <c r="CM165" s="80"/>
      <c r="CN165" s="80"/>
      <c r="CO165" s="61"/>
      <c r="CP165"/>
      <c r="CQ165"/>
      <c r="CR165"/>
      <c r="CS165"/>
      <c r="CT165"/>
      <c r="CY165" s="282">
        <f t="shared" si="21"/>
        <v>41214</v>
      </c>
      <c r="CZ165" s="281">
        <f t="shared" si="22"/>
        <v>1</v>
      </c>
      <c r="DA165" s="281">
        <f t="shared" si="23"/>
        <v>1.25</v>
      </c>
      <c r="DB165" s="281">
        <f t="shared" si="24"/>
        <v>1.55</v>
      </c>
      <c r="DD165" s="281">
        <f t="shared" si="25"/>
        <v>8.8669198595333648E-2</v>
      </c>
      <c r="DE165" s="281">
        <f t="shared" si="26"/>
        <v>0.1773383971906673</v>
      </c>
      <c r="DF165" s="281">
        <f t="shared" si="27"/>
        <v>0.26600759578600097</v>
      </c>
      <c r="DH165" s="282">
        <f t="shared" si="28"/>
        <v>41214</v>
      </c>
      <c r="DI165" s="17">
        <f t="shared" si="29"/>
        <v>0.9</v>
      </c>
    </row>
    <row r="166" spans="1:113" ht="13.8">
      <c r="A166" s="27">
        <f t="shared" ca="1" si="20"/>
        <v>41579</v>
      </c>
      <c r="B166" s="17">
        <f>'Gas Curves'!C170</f>
        <v>6.1199827911208003E-2</v>
      </c>
      <c r="C166" s="17"/>
      <c r="D166" s="55">
        <v>40360</v>
      </c>
      <c r="E166" s="56">
        <v>61.35</v>
      </c>
      <c r="F166" s="56">
        <v>71.25</v>
      </c>
      <c r="G166" s="56">
        <v>83.76</v>
      </c>
      <c r="H166" s="40"/>
      <c r="I166" s="56">
        <v>23.3</v>
      </c>
      <c r="J166" s="56">
        <v>28.25</v>
      </c>
      <c r="K166" s="56">
        <v>33.414999999999999</v>
      </c>
      <c r="L166" s="23"/>
      <c r="M166" s="24">
        <v>41244</v>
      </c>
      <c r="N166" s="57">
        <v>30.9</v>
      </c>
      <c r="O166" s="57">
        <v>32.475000000000001</v>
      </c>
      <c r="P166" s="57">
        <v>33.982500000000002</v>
      </c>
      <c r="Q166" s="22"/>
      <c r="R166" s="57">
        <v>24.000000381469725</v>
      </c>
      <c r="S166" s="57">
        <v>29.000000381469725</v>
      </c>
      <c r="T166" s="57">
        <v>30.507500381469725</v>
      </c>
      <c r="U166" s="22"/>
      <c r="V166" s="57">
        <v>0</v>
      </c>
      <c r="W166" s="57">
        <v>0</v>
      </c>
      <c r="X166" s="57">
        <v>0</v>
      </c>
      <c r="Y166" s="22"/>
      <c r="Z166" s="57">
        <v>8.6899182518710177E-2</v>
      </c>
      <c r="AA166" s="57">
        <v>0.17379836503742035</v>
      </c>
      <c r="AB166" s="57">
        <v>0.2606975475561305</v>
      </c>
      <c r="AC166" s="22"/>
      <c r="AD166" s="57">
        <v>2.3541501712043993E-2</v>
      </c>
      <c r="AE166" s="57">
        <v>4.7083003424087985E-2</v>
      </c>
      <c r="AF166" s="57">
        <v>7.0624505136131971E-2</v>
      </c>
      <c r="AG166" s="22"/>
      <c r="AH166" s="57">
        <v>-0.25</v>
      </c>
      <c r="AI166" s="57">
        <v>1.25</v>
      </c>
      <c r="AJ166" s="57">
        <v>0.35</v>
      </c>
      <c r="AK166" s="22"/>
      <c r="AL166" s="57">
        <v>-0.15</v>
      </c>
      <c r="AM166" s="57">
        <v>0.3</v>
      </c>
      <c r="AN166" s="57">
        <v>0.2</v>
      </c>
      <c r="AO166" s="22"/>
      <c r="AP166" s="23">
        <v>50</v>
      </c>
      <c r="AQ166" s="58">
        <v>0.4</v>
      </c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4">
        <v>41244</v>
      </c>
      <c r="BI166" s="60">
        <v>0.9</v>
      </c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/>
      <c r="CM166" s="80"/>
      <c r="CN166" s="80"/>
      <c r="CO166" s="61"/>
      <c r="CP166"/>
      <c r="CQ166"/>
      <c r="CR166"/>
      <c r="CS166"/>
      <c r="CT166"/>
      <c r="CY166" s="282">
        <f t="shared" si="21"/>
        <v>41244</v>
      </c>
      <c r="CZ166" s="281">
        <f t="shared" si="22"/>
        <v>1</v>
      </c>
      <c r="DA166" s="281">
        <f t="shared" si="23"/>
        <v>1.25</v>
      </c>
      <c r="DB166" s="281">
        <f t="shared" si="24"/>
        <v>1.6</v>
      </c>
      <c r="DD166" s="281">
        <f t="shared" si="25"/>
        <v>8.6899182518710177E-2</v>
      </c>
      <c r="DE166" s="281">
        <f t="shared" si="26"/>
        <v>0.17379836503742035</v>
      </c>
      <c r="DF166" s="281">
        <f t="shared" si="27"/>
        <v>0.2606975475561305</v>
      </c>
      <c r="DH166" s="282">
        <f t="shared" si="28"/>
        <v>41244</v>
      </c>
      <c r="DI166" s="17">
        <f t="shared" si="29"/>
        <v>0.9</v>
      </c>
    </row>
    <row r="167" spans="1:113" ht="13.8">
      <c r="A167" s="27">
        <f t="shared" ca="1" si="20"/>
        <v>41609</v>
      </c>
      <c r="B167" s="17">
        <f>'Gas Curves'!C171</f>
        <v>6.1223542990930011E-2</v>
      </c>
      <c r="C167" s="17"/>
      <c r="D167" s="55">
        <v>40391</v>
      </c>
      <c r="E167" s="56">
        <v>61.35</v>
      </c>
      <c r="F167" s="56">
        <v>71.25</v>
      </c>
      <c r="G167" s="56">
        <v>83.76</v>
      </c>
      <c r="H167" s="40"/>
      <c r="I167" s="56">
        <v>35.450001525878903</v>
      </c>
      <c r="J167" s="56">
        <v>40.400001525878906</v>
      </c>
      <c r="K167" s="56">
        <v>45.565001525878905</v>
      </c>
      <c r="L167" s="23"/>
      <c r="M167" s="24">
        <v>41275</v>
      </c>
      <c r="N167" s="57">
        <v>33.479496002197266</v>
      </c>
      <c r="O167" s="57">
        <v>35.054496002197268</v>
      </c>
      <c r="P167" s="57">
        <v>36.314496002197266</v>
      </c>
      <c r="Q167" s="22"/>
      <c r="R167" s="57">
        <v>26.153997421264648</v>
      </c>
      <c r="S167" s="57">
        <v>31.153997421264648</v>
      </c>
      <c r="T167" s="57">
        <v>32.413997421264646</v>
      </c>
      <c r="U167" s="22"/>
      <c r="V167" s="57">
        <v>0</v>
      </c>
      <c r="W167" s="57">
        <v>0</v>
      </c>
      <c r="X167" s="57">
        <v>0</v>
      </c>
      <c r="Y167" s="22"/>
      <c r="Z167" s="57">
        <v>0.12823598080372783</v>
      </c>
      <c r="AA167" s="57">
        <v>0.25647196160745567</v>
      </c>
      <c r="AB167" s="57">
        <v>0.3847079424111835</v>
      </c>
      <c r="AC167" s="22"/>
      <c r="AD167" s="57">
        <v>2.6915783624103642E-2</v>
      </c>
      <c r="AE167" s="57">
        <v>5.3831567248207285E-2</v>
      </c>
      <c r="AF167" s="57">
        <v>8.0747350872310927E-2</v>
      </c>
      <c r="AG167" s="22"/>
      <c r="AH167" s="57">
        <v>-0.75</v>
      </c>
      <c r="AI167" s="57">
        <v>2</v>
      </c>
      <c r="AJ167" s="57">
        <v>0.75</v>
      </c>
      <c r="AK167" s="22"/>
      <c r="AL167" s="57">
        <v>-0.15</v>
      </c>
      <c r="AM167" s="57">
        <v>0.5</v>
      </c>
      <c r="AN167" s="57">
        <v>0.2</v>
      </c>
      <c r="AO167" s="22"/>
      <c r="AP167" s="23">
        <v>50</v>
      </c>
      <c r="AQ167" s="58">
        <v>0.4</v>
      </c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4">
        <v>41275</v>
      </c>
      <c r="BI167" s="60">
        <v>0.9</v>
      </c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/>
      <c r="CM167" s="80"/>
      <c r="CN167" s="80"/>
      <c r="CO167" s="61"/>
      <c r="CP167"/>
      <c r="CQ167"/>
      <c r="CR167"/>
      <c r="CS167"/>
      <c r="CT167"/>
      <c r="CY167" s="282">
        <f t="shared" si="21"/>
        <v>41275</v>
      </c>
      <c r="CZ167" s="281">
        <f t="shared" si="22"/>
        <v>1.25</v>
      </c>
      <c r="DA167" s="281">
        <f t="shared" si="23"/>
        <v>2</v>
      </c>
      <c r="DB167" s="281">
        <f t="shared" si="24"/>
        <v>2.75</v>
      </c>
      <c r="DD167" s="281">
        <f t="shared" si="25"/>
        <v>0.12823598080372783</v>
      </c>
      <c r="DE167" s="281">
        <f t="shared" si="26"/>
        <v>0.25647196160745567</v>
      </c>
      <c r="DF167" s="281">
        <f t="shared" si="27"/>
        <v>0.3847079424111835</v>
      </c>
      <c r="DH167" s="282">
        <f t="shared" si="28"/>
        <v>41275</v>
      </c>
      <c r="DI167" s="17">
        <f t="shared" si="29"/>
        <v>0.9</v>
      </c>
    </row>
    <row r="168" spans="1:113" ht="13.8">
      <c r="A168" s="27">
        <f t="shared" ca="1" si="20"/>
        <v>41640</v>
      </c>
      <c r="B168" s="17">
        <f>'Gas Curves'!C172</f>
        <v>6.1248048573506006E-2</v>
      </c>
      <c r="C168" s="17"/>
      <c r="D168" s="55">
        <v>40422</v>
      </c>
      <c r="E168" s="56">
        <v>34.03</v>
      </c>
      <c r="F168" s="56">
        <v>39.1</v>
      </c>
      <c r="G168" s="56">
        <v>42.95</v>
      </c>
      <c r="H168" s="40"/>
      <c r="I168" s="56">
        <v>26.364999618530273</v>
      </c>
      <c r="J168" s="56">
        <v>28.899999618530273</v>
      </c>
      <c r="K168" s="56">
        <v>30.489999618530273</v>
      </c>
      <c r="L168" s="23"/>
      <c r="M168" s="24">
        <v>41306</v>
      </c>
      <c r="N168" s="57">
        <v>33.141996765136724</v>
      </c>
      <c r="O168" s="57">
        <v>34.379496765136722</v>
      </c>
      <c r="P168" s="57">
        <v>35.63949676513672</v>
      </c>
      <c r="Q168" s="22"/>
      <c r="R168" s="57">
        <v>25.553997039794922</v>
      </c>
      <c r="S168" s="57">
        <v>30.553997039794922</v>
      </c>
      <c r="T168" s="57">
        <v>31.813997039794923</v>
      </c>
      <c r="U168" s="22"/>
      <c r="V168" s="57">
        <v>0</v>
      </c>
      <c r="W168" s="57">
        <v>0</v>
      </c>
      <c r="X168" s="57">
        <v>0</v>
      </c>
      <c r="Y168" s="22"/>
      <c r="Z168" s="57">
        <v>0.12388466009781292</v>
      </c>
      <c r="AA168" s="57">
        <v>0.24776932019562584</v>
      </c>
      <c r="AB168" s="57">
        <v>0.37165398029343877</v>
      </c>
      <c r="AC168" s="22"/>
      <c r="AD168" s="57">
        <v>2.6915783624103642E-2</v>
      </c>
      <c r="AE168" s="57">
        <v>5.3831567248207285E-2</v>
      </c>
      <c r="AF168" s="57">
        <v>8.0747350872310927E-2</v>
      </c>
      <c r="AG168" s="22"/>
      <c r="AH168" s="57">
        <v>-0.75</v>
      </c>
      <c r="AI168" s="57">
        <v>2</v>
      </c>
      <c r="AJ168" s="57">
        <v>0.75</v>
      </c>
      <c r="AK168" s="22"/>
      <c r="AL168" s="57">
        <v>-0.15</v>
      </c>
      <c r="AM168" s="57">
        <v>0.5</v>
      </c>
      <c r="AN168" s="57">
        <v>0.2</v>
      </c>
      <c r="AO168" s="22"/>
      <c r="AP168" s="23">
        <v>51</v>
      </c>
      <c r="AQ168" s="58">
        <v>0.4</v>
      </c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4">
        <v>41306</v>
      </c>
      <c r="BI168" s="60">
        <v>0.9</v>
      </c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/>
      <c r="CM168" s="80"/>
      <c r="CN168" s="80"/>
      <c r="CO168" s="61"/>
      <c r="CP168"/>
      <c r="CQ168"/>
      <c r="CR168"/>
      <c r="CS168"/>
      <c r="CT168"/>
      <c r="CY168" s="282">
        <f t="shared" si="21"/>
        <v>41306</v>
      </c>
      <c r="CZ168" s="281">
        <f t="shared" si="22"/>
        <v>1.25</v>
      </c>
      <c r="DA168" s="281">
        <f t="shared" si="23"/>
        <v>2</v>
      </c>
      <c r="DB168" s="281">
        <f t="shared" si="24"/>
        <v>2.75</v>
      </c>
      <c r="DD168" s="281">
        <f t="shared" si="25"/>
        <v>0.12388466009781292</v>
      </c>
      <c r="DE168" s="281">
        <f t="shared" si="26"/>
        <v>0.24776932019562584</v>
      </c>
      <c r="DF168" s="281">
        <f t="shared" si="27"/>
        <v>0.37165398029343877</v>
      </c>
      <c r="DH168" s="282">
        <f t="shared" si="28"/>
        <v>41306</v>
      </c>
      <c r="DI168" s="17">
        <f t="shared" si="29"/>
        <v>0.9</v>
      </c>
    </row>
    <row r="169" spans="1:113" ht="13.8">
      <c r="A169" s="27">
        <f t="shared" ca="1" si="20"/>
        <v>41671</v>
      </c>
      <c r="B169" s="17">
        <f>'Gas Curves'!C173</f>
        <v>6.1272554156282015E-2</v>
      </c>
      <c r="C169" s="17"/>
      <c r="D169" s="55">
        <v>40452</v>
      </c>
      <c r="E169" s="56">
        <v>36.47</v>
      </c>
      <c r="F169" s="56">
        <v>39.1</v>
      </c>
      <c r="G169" s="56">
        <v>41.55</v>
      </c>
      <c r="H169" s="40"/>
      <c r="I169" s="56">
        <v>25.584999618530272</v>
      </c>
      <c r="J169" s="56">
        <v>26.899999618530273</v>
      </c>
      <c r="K169" s="56">
        <v>27.904999618530272</v>
      </c>
      <c r="L169" s="23"/>
      <c r="M169" s="24">
        <v>41334</v>
      </c>
      <c r="N169" s="57">
        <v>27.287496948242186</v>
      </c>
      <c r="O169" s="57">
        <v>28.524996948242187</v>
      </c>
      <c r="P169" s="57">
        <v>29.784996948242188</v>
      </c>
      <c r="Q169" s="22"/>
      <c r="R169" s="57">
        <v>20.349998474121094</v>
      </c>
      <c r="S169" s="57">
        <v>25.349998474121094</v>
      </c>
      <c r="T169" s="57">
        <v>26.609998474121095</v>
      </c>
      <c r="U169" s="22"/>
      <c r="V169" s="57">
        <v>0</v>
      </c>
      <c r="W169" s="57">
        <v>0</v>
      </c>
      <c r="X169" s="57">
        <v>0</v>
      </c>
      <c r="Y169" s="22"/>
      <c r="Z169" s="57">
        <v>9.8210445932684215E-2</v>
      </c>
      <c r="AA169" s="57">
        <v>0.19642089186536843</v>
      </c>
      <c r="AB169" s="57">
        <v>0.29463133779805262</v>
      </c>
      <c r="AC169" s="22"/>
      <c r="AD169" s="57">
        <v>2.3541501712043993E-2</v>
      </c>
      <c r="AE169" s="57">
        <v>4.7083003424087985E-2</v>
      </c>
      <c r="AF169" s="57">
        <v>7.0624505136131971E-2</v>
      </c>
      <c r="AG169" s="22"/>
      <c r="AH169" s="57">
        <v>-0.25</v>
      </c>
      <c r="AI169" s="57">
        <v>1.3</v>
      </c>
      <c r="AJ169" s="57">
        <v>0.3</v>
      </c>
      <c r="AK169" s="22"/>
      <c r="AL169" s="57">
        <v>-0.15</v>
      </c>
      <c r="AM169" s="57">
        <v>0.35</v>
      </c>
      <c r="AN169" s="57">
        <v>0.2</v>
      </c>
      <c r="AO169" s="22"/>
      <c r="AP169" s="23">
        <v>51</v>
      </c>
      <c r="AQ169" s="58">
        <v>0.4</v>
      </c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4">
        <v>41334</v>
      </c>
      <c r="BI169" s="60">
        <v>0.9</v>
      </c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/>
      <c r="CM169" s="80"/>
      <c r="CN169" s="80"/>
      <c r="CO169" s="61"/>
      <c r="CP169"/>
      <c r="CQ169"/>
      <c r="CR169"/>
      <c r="CS169"/>
      <c r="CT169"/>
      <c r="CY169" s="282">
        <f t="shared" si="21"/>
        <v>41334</v>
      </c>
      <c r="CZ169" s="281">
        <f t="shared" si="22"/>
        <v>1.05</v>
      </c>
      <c r="DA169" s="281">
        <f t="shared" si="23"/>
        <v>1.3</v>
      </c>
      <c r="DB169" s="281">
        <f t="shared" si="24"/>
        <v>1.6</v>
      </c>
      <c r="DD169" s="281">
        <f t="shared" si="25"/>
        <v>9.8210445932684215E-2</v>
      </c>
      <c r="DE169" s="281">
        <f t="shared" si="26"/>
        <v>0.19642089186536843</v>
      </c>
      <c r="DF169" s="281">
        <f t="shared" si="27"/>
        <v>0.29463133779805262</v>
      </c>
      <c r="DH169" s="282">
        <f t="shared" si="28"/>
        <v>41334</v>
      </c>
      <c r="DI169" s="17">
        <f t="shared" si="29"/>
        <v>0.9</v>
      </c>
    </row>
    <row r="170" spans="1:113" ht="13.8">
      <c r="A170" s="27">
        <f t="shared" ca="1" si="20"/>
        <v>41699</v>
      </c>
      <c r="B170" s="17">
        <f>'Gas Curves'!C174</f>
        <v>6.1294688231218003E-2</v>
      </c>
      <c r="C170" s="17"/>
      <c r="D170" s="55">
        <v>40483</v>
      </c>
      <c r="E170" s="56">
        <v>38.97</v>
      </c>
      <c r="F170" s="56">
        <v>41.6</v>
      </c>
      <c r="G170" s="56">
        <v>44.05</v>
      </c>
      <c r="H170" s="40"/>
      <c r="I170" s="56">
        <v>26.334999618530272</v>
      </c>
      <c r="J170" s="56">
        <v>27.649999618530273</v>
      </c>
      <c r="K170" s="56">
        <v>28.654999618530272</v>
      </c>
      <c r="L170" s="23"/>
      <c r="M170" s="24">
        <v>41365</v>
      </c>
      <c r="N170" s="57">
        <v>26.274999618530273</v>
      </c>
      <c r="O170" s="57">
        <v>27.849999618530273</v>
      </c>
      <c r="P170" s="57">
        <v>29.109999618530274</v>
      </c>
      <c r="Q170" s="22"/>
      <c r="R170" s="57">
        <v>19.75</v>
      </c>
      <c r="S170" s="57">
        <v>24.75</v>
      </c>
      <c r="T170" s="57">
        <v>26.01</v>
      </c>
      <c r="U170" s="22"/>
      <c r="V170" s="57">
        <v>0</v>
      </c>
      <c r="W170" s="57">
        <v>0</v>
      </c>
      <c r="X170" s="57">
        <v>0</v>
      </c>
      <c r="Y170" s="22"/>
      <c r="Z170" s="57">
        <v>9.8075355910768588E-2</v>
      </c>
      <c r="AA170" s="57">
        <v>0.19615071182153718</v>
      </c>
      <c r="AB170" s="57">
        <v>0.29422606773230575</v>
      </c>
      <c r="AC170" s="22"/>
      <c r="AD170" s="57">
        <v>2.3541501712043993E-2</v>
      </c>
      <c r="AE170" s="57">
        <v>4.7083003424087985E-2</v>
      </c>
      <c r="AF170" s="57">
        <v>7.0624505136131971E-2</v>
      </c>
      <c r="AG170" s="22"/>
      <c r="AH170" s="57">
        <v>-0.25</v>
      </c>
      <c r="AI170" s="57">
        <v>1.1000000000000001</v>
      </c>
      <c r="AJ170" s="57">
        <v>0.3</v>
      </c>
      <c r="AK170" s="22"/>
      <c r="AL170" s="57">
        <v>-0.15</v>
      </c>
      <c r="AM170" s="57">
        <v>0.35</v>
      </c>
      <c r="AN170" s="57">
        <v>0.2</v>
      </c>
      <c r="AO170" s="22"/>
      <c r="AP170" s="23">
        <v>51</v>
      </c>
      <c r="AQ170" s="58">
        <v>0.4</v>
      </c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4">
        <v>41365</v>
      </c>
      <c r="BI170" s="60">
        <v>0.9</v>
      </c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/>
      <c r="CM170" s="80"/>
      <c r="CN170" s="80"/>
      <c r="CO170" s="61"/>
      <c r="CP170"/>
      <c r="CQ170"/>
      <c r="CR170"/>
      <c r="CS170"/>
      <c r="CT170"/>
      <c r="CY170" s="282">
        <f t="shared" si="21"/>
        <v>41365</v>
      </c>
      <c r="CZ170" s="281">
        <f t="shared" si="22"/>
        <v>0.85000000000000009</v>
      </c>
      <c r="DA170" s="281">
        <f t="shared" si="23"/>
        <v>1.1000000000000001</v>
      </c>
      <c r="DB170" s="281">
        <f t="shared" si="24"/>
        <v>1.4000000000000001</v>
      </c>
      <c r="DD170" s="281">
        <f t="shared" si="25"/>
        <v>9.8075355910768588E-2</v>
      </c>
      <c r="DE170" s="281">
        <f t="shared" si="26"/>
        <v>0.19615071182153718</v>
      </c>
      <c r="DF170" s="281">
        <f t="shared" si="27"/>
        <v>0.29422606773230575</v>
      </c>
      <c r="DH170" s="282">
        <f t="shared" si="28"/>
        <v>41365</v>
      </c>
      <c r="DI170" s="17">
        <f t="shared" si="29"/>
        <v>0.9</v>
      </c>
    </row>
    <row r="171" spans="1:113" ht="13.8">
      <c r="A171" s="27">
        <f t="shared" ca="1" si="20"/>
        <v>41730</v>
      </c>
      <c r="B171" s="17">
        <f>'Gas Curves'!C175</f>
        <v>6.1319193814373014E-2</v>
      </c>
      <c r="C171" s="17"/>
      <c r="D171" s="55">
        <v>40513</v>
      </c>
      <c r="E171" s="56">
        <v>38.97</v>
      </c>
      <c r="F171" s="56">
        <v>41.6</v>
      </c>
      <c r="G171" s="56">
        <v>44.05</v>
      </c>
      <c r="H171" s="40"/>
      <c r="I171" s="56">
        <v>26.234999237060546</v>
      </c>
      <c r="J171" s="56">
        <v>27.549999237060547</v>
      </c>
      <c r="K171" s="56">
        <v>28.554999237060546</v>
      </c>
      <c r="L171" s="23"/>
      <c r="M171" s="24">
        <v>41395</v>
      </c>
      <c r="N171" s="57">
        <v>29.875</v>
      </c>
      <c r="O171" s="57">
        <v>31.45</v>
      </c>
      <c r="P171" s="57">
        <v>33.835000000000001</v>
      </c>
      <c r="Q171" s="22"/>
      <c r="R171" s="57">
        <v>22.94999885559082</v>
      </c>
      <c r="S171" s="57">
        <v>27.94999885559082</v>
      </c>
      <c r="T171" s="57">
        <v>30.334998855590818</v>
      </c>
      <c r="U171" s="22"/>
      <c r="V171" s="57">
        <v>0</v>
      </c>
      <c r="W171" s="57">
        <v>0</v>
      </c>
      <c r="X171" s="57">
        <v>0</v>
      </c>
      <c r="Y171" s="22"/>
      <c r="Z171" s="57">
        <v>0.1031774927384884</v>
      </c>
      <c r="AA171" s="57">
        <v>0.20635498547697681</v>
      </c>
      <c r="AB171" s="57">
        <v>0.3095324782154652</v>
      </c>
      <c r="AC171" s="22"/>
      <c r="AD171" s="57">
        <v>2.6915783624103642E-2</v>
      </c>
      <c r="AE171" s="57">
        <v>5.3831567248207285E-2</v>
      </c>
      <c r="AF171" s="57">
        <v>8.0747350872310927E-2</v>
      </c>
      <c r="AG171" s="22"/>
      <c r="AH171" s="57">
        <v>-0.25</v>
      </c>
      <c r="AI171" s="57">
        <v>1.1000000000000001</v>
      </c>
      <c r="AJ171" s="57">
        <v>0.3</v>
      </c>
      <c r="AK171" s="22"/>
      <c r="AL171" s="57">
        <v>-0.15</v>
      </c>
      <c r="AM171" s="57">
        <v>0.5</v>
      </c>
      <c r="AN171" s="57">
        <v>0.2</v>
      </c>
      <c r="AO171" s="22"/>
      <c r="AP171" s="23">
        <v>52</v>
      </c>
      <c r="AQ171" s="58">
        <v>0.4</v>
      </c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4">
        <v>41395</v>
      </c>
      <c r="BI171" s="60">
        <v>0.9</v>
      </c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/>
      <c r="CM171" s="80"/>
      <c r="CN171" s="80"/>
      <c r="CO171" s="61"/>
      <c r="CP171"/>
      <c r="CQ171"/>
      <c r="CR171"/>
      <c r="CS171"/>
      <c r="CT171"/>
      <c r="CY171" s="282">
        <f t="shared" si="21"/>
        <v>41395</v>
      </c>
      <c r="CZ171" s="281">
        <f t="shared" si="22"/>
        <v>0.85000000000000009</v>
      </c>
      <c r="DA171" s="281">
        <f t="shared" si="23"/>
        <v>1.1000000000000001</v>
      </c>
      <c r="DB171" s="281">
        <f t="shared" si="24"/>
        <v>1.4000000000000001</v>
      </c>
      <c r="DD171" s="281">
        <f t="shared" si="25"/>
        <v>0.1031774927384884</v>
      </c>
      <c r="DE171" s="281">
        <f t="shared" si="26"/>
        <v>0.20635498547697681</v>
      </c>
      <c r="DF171" s="281">
        <f t="shared" si="27"/>
        <v>0.3095324782154652</v>
      </c>
      <c r="DH171" s="282">
        <f t="shared" si="28"/>
        <v>41395</v>
      </c>
      <c r="DI171" s="17">
        <f t="shared" si="29"/>
        <v>0.9</v>
      </c>
    </row>
    <row r="172" spans="1:113" ht="13.8">
      <c r="A172" s="27">
        <f t="shared" ca="1" si="20"/>
        <v>41760</v>
      </c>
      <c r="B172" s="17">
        <f>'Gas Curves'!C176</f>
        <v>6.1342908895035013E-2</v>
      </c>
      <c r="C172" s="17"/>
      <c r="D172" s="55">
        <v>40544</v>
      </c>
      <c r="E172" s="56">
        <v>55.07</v>
      </c>
      <c r="F172" s="56">
        <v>57.7</v>
      </c>
      <c r="G172" s="56">
        <v>59.74</v>
      </c>
      <c r="H172" s="40"/>
      <c r="I172" s="56">
        <v>27.285000381469725</v>
      </c>
      <c r="J172" s="56">
        <v>28.600000381469727</v>
      </c>
      <c r="K172" s="56">
        <v>29.440000381469726</v>
      </c>
      <c r="L172" s="23"/>
      <c r="M172" s="24">
        <v>41426</v>
      </c>
      <c r="N172" s="57">
        <v>35.212503051757814</v>
      </c>
      <c r="O172" s="57">
        <v>38.250003051757815</v>
      </c>
      <c r="P172" s="57">
        <v>41.880003051757818</v>
      </c>
      <c r="Q172" s="22"/>
      <c r="R172" s="57">
        <v>28.450002670288086</v>
      </c>
      <c r="S172" s="57">
        <v>33.450002670288086</v>
      </c>
      <c r="T172" s="57">
        <v>37.080002670288088</v>
      </c>
      <c r="U172" s="22"/>
      <c r="V172" s="57">
        <v>0</v>
      </c>
      <c r="W172" s="57">
        <v>0</v>
      </c>
      <c r="X172" s="57">
        <v>0</v>
      </c>
      <c r="Y172" s="22"/>
      <c r="Z172" s="57">
        <v>0.11034152990071042</v>
      </c>
      <c r="AA172" s="57">
        <v>0.22068305980142083</v>
      </c>
      <c r="AB172" s="57">
        <v>0.33102458970213122</v>
      </c>
      <c r="AC172" s="22"/>
      <c r="AD172" s="57">
        <v>3.4606007516704673E-2</v>
      </c>
      <c r="AE172" s="57">
        <v>6.9212015033409346E-2</v>
      </c>
      <c r="AF172" s="57">
        <v>0.10381802255011402</v>
      </c>
      <c r="AG172" s="22"/>
      <c r="AH172" s="57">
        <v>-0.35</v>
      </c>
      <c r="AI172" s="57">
        <v>2</v>
      </c>
      <c r="AJ172" s="57">
        <v>0.3</v>
      </c>
      <c r="AK172" s="22"/>
      <c r="AL172" s="57">
        <v>-0.15</v>
      </c>
      <c r="AM172" s="57">
        <v>0.65</v>
      </c>
      <c r="AN172" s="57">
        <v>0.2</v>
      </c>
      <c r="AO172" s="22"/>
      <c r="AP172" s="23">
        <v>52</v>
      </c>
      <c r="AQ172" s="58">
        <v>0.4</v>
      </c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4">
        <v>41426</v>
      </c>
      <c r="BI172" s="60">
        <v>0.9</v>
      </c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/>
      <c r="CM172" s="80"/>
      <c r="CN172" s="80"/>
      <c r="CO172" s="61"/>
      <c r="CP172"/>
      <c r="CQ172"/>
      <c r="CR172"/>
      <c r="CS172"/>
      <c r="CT172"/>
      <c r="CY172" s="282">
        <f t="shared" si="21"/>
        <v>41426</v>
      </c>
      <c r="CZ172" s="281">
        <f t="shared" si="22"/>
        <v>1.65</v>
      </c>
      <c r="DA172" s="281">
        <f t="shared" si="23"/>
        <v>2</v>
      </c>
      <c r="DB172" s="281">
        <f t="shared" si="24"/>
        <v>2.2999999999999998</v>
      </c>
      <c r="DD172" s="281">
        <f t="shared" si="25"/>
        <v>0.11034152990071042</v>
      </c>
      <c r="DE172" s="281">
        <f t="shared" si="26"/>
        <v>0.22068305980142083</v>
      </c>
      <c r="DF172" s="281">
        <f t="shared" si="27"/>
        <v>0.33102458970213122</v>
      </c>
      <c r="DH172" s="282">
        <f t="shared" si="28"/>
        <v>41426</v>
      </c>
      <c r="DI172" s="17">
        <f t="shared" si="29"/>
        <v>0.9</v>
      </c>
    </row>
    <row r="173" spans="1:113" ht="13.8">
      <c r="A173" s="27">
        <f t="shared" ca="1" si="20"/>
        <v>41791</v>
      </c>
      <c r="B173" s="17">
        <f>'Gas Curves'!C177</f>
        <v>6.1367414478582995E-2</v>
      </c>
      <c r="C173" s="17"/>
      <c r="D173" s="55">
        <v>40575</v>
      </c>
      <c r="E173" s="56">
        <v>55.63</v>
      </c>
      <c r="F173" s="56">
        <v>57.7</v>
      </c>
      <c r="G173" s="56">
        <v>59.74</v>
      </c>
      <c r="H173" s="40"/>
      <c r="I173" s="56">
        <v>24.215</v>
      </c>
      <c r="J173" s="56">
        <v>25.25</v>
      </c>
      <c r="K173" s="56">
        <v>26.09</v>
      </c>
      <c r="L173" s="23"/>
      <c r="M173" s="24">
        <v>41456</v>
      </c>
      <c r="N173" s="57">
        <v>37.225001525878909</v>
      </c>
      <c r="O173" s="57">
        <v>44.650001525878906</v>
      </c>
      <c r="P173" s="57">
        <v>52.397501525878909</v>
      </c>
      <c r="Q173" s="22"/>
      <c r="R173" s="57">
        <v>33.650001525878906</v>
      </c>
      <c r="S173" s="57">
        <v>38.650001525878906</v>
      </c>
      <c r="T173" s="57">
        <v>46.397501525878909</v>
      </c>
      <c r="U173" s="22"/>
      <c r="V173" s="57">
        <v>0</v>
      </c>
      <c r="W173" s="57">
        <v>0</v>
      </c>
      <c r="X173" s="57">
        <v>0</v>
      </c>
      <c r="Y173" s="22"/>
      <c r="Z173" s="57">
        <v>0.1314226833207067</v>
      </c>
      <c r="AA173" s="57">
        <v>0.26284536664141339</v>
      </c>
      <c r="AB173" s="57">
        <v>0.39426804996212006</v>
      </c>
      <c r="AC173" s="22"/>
      <c r="AD173" s="57">
        <v>4.6141343355606226E-2</v>
      </c>
      <c r="AE173" s="57">
        <v>9.2282686711212453E-2</v>
      </c>
      <c r="AF173" s="57">
        <v>0.13842403006681869</v>
      </c>
      <c r="AG173" s="22"/>
      <c r="AH173" s="57">
        <v>-0.35</v>
      </c>
      <c r="AI173" s="57">
        <v>3</v>
      </c>
      <c r="AJ173" s="57">
        <v>0.5</v>
      </c>
      <c r="AK173" s="22"/>
      <c r="AL173" s="57">
        <v>-0.15</v>
      </c>
      <c r="AM173" s="57">
        <v>0.75</v>
      </c>
      <c r="AN173" s="57">
        <v>0.2</v>
      </c>
      <c r="AO173" s="22"/>
      <c r="AP173" s="23">
        <v>52</v>
      </c>
      <c r="AQ173" s="58">
        <v>0.4</v>
      </c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4">
        <v>41456</v>
      </c>
      <c r="BI173" s="60">
        <v>0.9</v>
      </c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/>
      <c r="CM173" s="80"/>
      <c r="CN173" s="80"/>
      <c r="CO173" s="61"/>
      <c r="CP173"/>
      <c r="CQ173"/>
      <c r="CR173"/>
      <c r="CS173"/>
      <c r="CT173"/>
      <c r="CY173" s="282">
        <f t="shared" si="21"/>
        <v>41456</v>
      </c>
      <c r="CZ173" s="281">
        <f t="shared" si="22"/>
        <v>2.65</v>
      </c>
      <c r="DA173" s="281">
        <f t="shared" si="23"/>
        <v>3</v>
      </c>
      <c r="DB173" s="281">
        <f t="shared" si="24"/>
        <v>3.5</v>
      </c>
      <c r="DD173" s="281">
        <f t="shared" si="25"/>
        <v>0.1314226833207067</v>
      </c>
      <c r="DE173" s="281">
        <f t="shared" si="26"/>
        <v>0.26284536664141339</v>
      </c>
      <c r="DF173" s="281">
        <f t="shared" si="27"/>
        <v>0.39426804996212006</v>
      </c>
      <c r="DH173" s="282">
        <f t="shared" si="28"/>
        <v>41456</v>
      </c>
      <c r="DI173" s="17">
        <f t="shared" si="29"/>
        <v>0.9</v>
      </c>
    </row>
    <row r="174" spans="1:113" ht="13.8">
      <c r="A174" s="27">
        <f t="shared" ca="1" si="20"/>
        <v>41821</v>
      </c>
      <c r="B174" s="17">
        <f>'Gas Curves'!C178</f>
        <v>6.1391129559625009E-2</v>
      </c>
      <c r="C174" s="17"/>
      <c r="D174" s="55">
        <v>40603</v>
      </c>
      <c r="E174" s="56">
        <v>38.630000000000003</v>
      </c>
      <c r="F174" s="56">
        <v>40.700000000000003</v>
      </c>
      <c r="G174" s="56">
        <v>42.74</v>
      </c>
      <c r="H174" s="40"/>
      <c r="I174" s="56">
        <v>24.614999618530273</v>
      </c>
      <c r="J174" s="56">
        <v>25.649999618530273</v>
      </c>
      <c r="K174" s="56">
        <v>26.489999618530273</v>
      </c>
      <c r="L174" s="23"/>
      <c r="M174" s="24">
        <v>41487</v>
      </c>
      <c r="N174" s="57">
        <v>48.975001525878909</v>
      </c>
      <c r="O174" s="57">
        <v>56.400001525878906</v>
      </c>
      <c r="P174" s="57">
        <v>64.147501525878909</v>
      </c>
      <c r="Q174" s="22"/>
      <c r="R174" s="57">
        <v>45.450000762939453</v>
      </c>
      <c r="S174" s="57">
        <v>50.450000762939453</v>
      </c>
      <c r="T174" s="57">
        <v>58.197500762939455</v>
      </c>
      <c r="U174" s="22"/>
      <c r="V174" s="57">
        <v>0</v>
      </c>
      <c r="W174" s="57">
        <v>0</v>
      </c>
      <c r="X174" s="57">
        <v>0</v>
      </c>
      <c r="Y174" s="22"/>
      <c r="Z174" s="57">
        <v>0.12854313285355712</v>
      </c>
      <c r="AA174" s="57">
        <v>0.25708626570711424</v>
      </c>
      <c r="AB174" s="57">
        <v>0.38562939856067135</v>
      </c>
      <c r="AC174" s="22"/>
      <c r="AD174" s="57">
        <v>4.6141343355606226E-2</v>
      </c>
      <c r="AE174" s="57">
        <v>9.2282686711212453E-2</v>
      </c>
      <c r="AF174" s="57">
        <v>0.13842403006681869</v>
      </c>
      <c r="AG174" s="22"/>
      <c r="AH174" s="57">
        <v>-0.35</v>
      </c>
      <c r="AI174" s="57">
        <v>3</v>
      </c>
      <c r="AJ174" s="57">
        <v>0.5</v>
      </c>
      <c r="AK174" s="22"/>
      <c r="AL174" s="57">
        <v>-0.15</v>
      </c>
      <c r="AM174" s="57">
        <v>0.75</v>
      </c>
      <c r="AN174" s="57">
        <v>0.2</v>
      </c>
      <c r="AO174" s="22"/>
      <c r="AP174" s="23">
        <v>53</v>
      </c>
      <c r="AQ174" s="58">
        <v>0.4</v>
      </c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4">
        <v>41487</v>
      </c>
      <c r="BI174" s="60">
        <v>0.9</v>
      </c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/>
      <c r="CM174" s="80"/>
      <c r="CN174" s="80"/>
      <c r="CO174" s="61"/>
      <c r="CP174"/>
      <c r="CQ174"/>
      <c r="CR174"/>
      <c r="CS174"/>
      <c r="CT174"/>
      <c r="CY174" s="282">
        <f t="shared" si="21"/>
        <v>41487</v>
      </c>
      <c r="CZ174" s="281">
        <f t="shared" si="22"/>
        <v>2.65</v>
      </c>
      <c r="DA174" s="281">
        <f t="shared" si="23"/>
        <v>3</v>
      </c>
      <c r="DB174" s="281">
        <f t="shared" si="24"/>
        <v>3.5</v>
      </c>
      <c r="DD174" s="281">
        <f t="shared" si="25"/>
        <v>0.12854313285355712</v>
      </c>
      <c r="DE174" s="281">
        <f t="shared" si="26"/>
        <v>0.25708626570711424</v>
      </c>
      <c r="DF174" s="281">
        <f t="shared" si="27"/>
        <v>0.38562939856067135</v>
      </c>
      <c r="DH174" s="282">
        <f t="shared" si="28"/>
        <v>41487</v>
      </c>
      <c r="DI174" s="17">
        <f t="shared" si="29"/>
        <v>0.9</v>
      </c>
    </row>
    <row r="175" spans="1:113" ht="13.8">
      <c r="A175" s="27">
        <f t="shared" ca="1" si="20"/>
        <v>41852</v>
      </c>
      <c r="B175" s="17">
        <f>'Gas Curves'!C179</f>
        <v>6.141563514356501E-2</v>
      </c>
      <c r="C175" s="17"/>
      <c r="D175" s="55">
        <v>40634</v>
      </c>
      <c r="E175" s="56">
        <v>34.57</v>
      </c>
      <c r="F175" s="56">
        <v>37.200000000000003</v>
      </c>
      <c r="G175" s="56">
        <v>39.24</v>
      </c>
      <c r="H175" s="40"/>
      <c r="I175" s="56">
        <v>22.084999618530272</v>
      </c>
      <c r="J175" s="56">
        <v>23.399999618530273</v>
      </c>
      <c r="K175" s="56">
        <v>24.239999618530273</v>
      </c>
      <c r="L175" s="23"/>
      <c r="M175" s="24">
        <v>41518</v>
      </c>
      <c r="N175" s="57">
        <v>30.737501144409173</v>
      </c>
      <c r="O175" s="57">
        <v>33.775001144409174</v>
      </c>
      <c r="P175" s="57">
        <v>36.160001144409172</v>
      </c>
      <c r="Q175" s="22"/>
      <c r="R175" s="57">
        <v>26.050001525878905</v>
      </c>
      <c r="S175" s="57">
        <v>31.050001525878905</v>
      </c>
      <c r="T175" s="57">
        <v>33.435001525878903</v>
      </c>
      <c r="U175" s="22"/>
      <c r="V175" s="57">
        <v>0</v>
      </c>
      <c r="W175" s="57">
        <v>0</v>
      </c>
      <c r="X175" s="57">
        <v>0</v>
      </c>
      <c r="Y175" s="22"/>
      <c r="Z175" s="57">
        <v>9.7392795800036819E-2</v>
      </c>
      <c r="AA175" s="57">
        <v>0.19478559160007364</v>
      </c>
      <c r="AB175" s="57">
        <v>0.29217838740011048</v>
      </c>
      <c r="AC175" s="22"/>
      <c r="AD175" s="57">
        <v>3.0760895570404151E-2</v>
      </c>
      <c r="AE175" s="57">
        <v>6.1521791140808302E-2</v>
      </c>
      <c r="AF175" s="57">
        <v>9.2282686711212453E-2</v>
      </c>
      <c r="AG175" s="22"/>
      <c r="AH175" s="57">
        <v>-0.35</v>
      </c>
      <c r="AI175" s="57">
        <v>1.5</v>
      </c>
      <c r="AJ175" s="57">
        <v>0.3</v>
      </c>
      <c r="AK175" s="22"/>
      <c r="AL175" s="57">
        <v>-0.15</v>
      </c>
      <c r="AM175" s="57">
        <v>0.4</v>
      </c>
      <c r="AN175" s="57">
        <v>0.2</v>
      </c>
      <c r="AO175" s="22"/>
      <c r="AP175" s="23">
        <v>53</v>
      </c>
      <c r="AQ175" s="58">
        <v>0.4</v>
      </c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4">
        <v>41518</v>
      </c>
      <c r="BI175" s="60">
        <v>0.9</v>
      </c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/>
      <c r="CM175" s="80"/>
      <c r="CN175" s="80"/>
      <c r="CO175" s="61"/>
      <c r="CP175"/>
      <c r="CQ175"/>
      <c r="CR175"/>
      <c r="CS175"/>
      <c r="CT175"/>
      <c r="CY175" s="282">
        <f t="shared" si="21"/>
        <v>41518</v>
      </c>
      <c r="CZ175" s="281">
        <f t="shared" si="22"/>
        <v>1.1499999999999999</v>
      </c>
      <c r="DA175" s="281">
        <f t="shared" si="23"/>
        <v>1.5</v>
      </c>
      <c r="DB175" s="281">
        <f t="shared" si="24"/>
        <v>1.8</v>
      </c>
      <c r="DD175" s="281">
        <f t="shared" si="25"/>
        <v>9.7392795800036819E-2</v>
      </c>
      <c r="DE175" s="281">
        <f t="shared" si="26"/>
        <v>0.19478559160007364</v>
      </c>
      <c r="DF175" s="281">
        <f t="shared" si="27"/>
        <v>0.29217838740011048</v>
      </c>
      <c r="DH175" s="282">
        <f t="shared" si="28"/>
        <v>41518</v>
      </c>
      <c r="DI175" s="17">
        <f t="shared" si="29"/>
        <v>0.9</v>
      </c>
    </row>
    <row r="176" spans="1:113" ht="13.8">
      <c r="A176" s="27">
        <f t="shared" ca="1" si="20"/>
        <v>41883</v>
      </c>
      <c r="B176" s="17">
        <f>'Gas Curves'!C180</f>
        <v>6.1440140727703998E-2</v>
      </c>
      <c r="C176" s="17"/>
      <c r="D176" s="55">
        <v>40664</v>
      </c>
      <c r="E176" s="56">
        <v>38.07</v>
      </c>
      <c r="F176" s="56">
        <v>40.700000000000003</v>
      </c>
      <c r="G176" s="56">
        <v>44.55</v>
      </c>
      <c r="H176" s="40"/>
      <c r="I176" s="56">
        <v>23.084999618530272</v>
      </c>
      <c r="J176" s="56">
        <v>24.399999618530273</v>
      </c>
      <c r="K176" s="56">
        <v>25.989999618530273</v>
      </c>
      <c r="L176" s="23"/>
      <c r="M176" s="24">
        <v>41548</v>
      </c>
      <c r="N176" s="57">
        <v>28.200001144409178</v>
      </c>
      <c r="O176" s="57">
        <v>29.775001144409178</v>
      </c>
      <c r="P176" s="57">
        <v>31.282501144409178</v>
      </c>
      <c r="Q176" s="22"/>
      <c r="R176" s="57">
        <v>21.550001525878905</v>
      </c>
      <c r="S176" s="57">
        <v>26.550001525878905</v>
      </c>
      <c r="T176" s="57">
        <v>28.057501525878905</v>
      </c>
      <c r="U176" s="22"/>
      <c r="V176" s="57">
        <v>0</v>
      </c>
      <c r="W176" s="57">
        <v>0</v>
      </c>
      <c r="X176" s="57">
        <v>0</v>
      </c>
      <c r="Y176" s="22"/>
      <c r="Z176" s="57">
        <v>8.4235738665566967E-2</v>
      </c>
      <c r="AA176" s="57">
        <v>0.16847147733113393</v>
      </c>
      <c r="AB176" s="57">
        <v>0.25270721599670087</v>
      </c>
      <c r="AC176" s="22"/>
      <c r="AD176" s="57">
        <v>2.3070671677803113E-2</v>
      </c>
      <c r="AE176" s="57">
        <v>4.6141343355606226E-2</v>
      </c>
      <c r="AF176" s="57">
        <v>6.9212015033409346E-2</v>
      </c>
      <c r="AG176" s="22"/>
      <c r="AH176" s="57">
        <v>-0.25</v>
      </c>
      <c r="AI176" s="57">
        <v>1.1000000000000001</v>
      </c>
      <c r="AJ176" s="57">
        <v>0.3</v>
      </c>
      <c r="AK176" s="22"/>
      <c r="AL176" s="57">
        <v>-0.15</v>
      </c>
      <c r="AM176" s="57">
        <v>0.35</v>
      </c>
      <c r="AN176" s="57">
        <v>0.2</v>
      </c>
      <c r="AO176" s="22"/>
      <c r="AP176" s="23">
        <v>53</v>
      </c>
      <c r="AQ176" s="58">
        <v>0.4</v>
      </c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4">
        <v>41548</v>
      </c>
      <c r="BI176" s="60">
        <v>0.9</v>
      </c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/>
      <c r="CM176" s="80"/>
      <c r="CN176" s="80"/>
      <c r="CO176" s="61"/>
      <c r="CP176"/>
      <c r="CQ176"/>
      <c r="CR176"/>
      <c r="CS176"/>
      <c r="CT176"/>
      <c r="CY176" s="282">
        <f t="shared" si="21"/>
        <v>41548</v>
      </c>
      <c r="CZ176" s="281">
        <f t="shared" si="22"/>
        <v>0.85000000000000009</v>
      </c>
      <c r="DA176" s="281">
        <f t="shared" si="23"/>
        <v>1.1000000000000001</v>
      </c>
      <c r="DB176" s="281">
        <f t="shared" si="24"/>
        <v>1.4000000000000001</v>
      </c>
      <c r="DD176" s="281">
        <f t="shared" si="25"/>
        <v>8.4235738665566967E-2</v>
      </c>
      <c r="DE176" s="281">
        <f t="shared" si="26"/>
        <v>0.16847147733113393</v>
      </c>
      <c r="DF176" s="281">
        <f t="shared" si="27"/>
        <v>0.25270721599670087</v>
      </c>
      <c r="DH176" s="282">
        <f t="shared" si="28"/>
        <v>41548</v>
      </c>
      <c r="DI176" s="17">
        <f t="shared" si="29"/>
        <v>0.9</v>
      </c>
    </row>
    <row r="177" spans="1:113" ht="13.8">
      <c r="A177" s="27">
        <f t="shared" ca="1" si="20"/>
        <v>41913</v>
      </c>
      <c r="B177" s="17">
        <f>'Gas Curves'!C181</f>
        <v>6.1463855809319012E-2</v>
      </c>
      <c r="C177" s="17"/>
      <c r="D177" s="55">
        <v>40695</v>
      </c>
      <c r="E177" s="56">
        <v>46.93</v>
      </c>
      <c r="F177" s="56">
        <v>52</v>
      </c>
      <c r="G177" s="56">
        <v>57.87</v>
      </c>
      <c r="H177" s="40"/>
      <c r="I177" s="56">
        <v>22.239999618530273</v>
      </c>
      <c r="J177" s="56">
        <v>24.774999618530273</v>
      </c>
      <c r="K177" s="56">
        <v>27.194999618530275</v>
      </c>
      <c r="L177" s="23"/>
      <c r="M177" s="24">
        <v>41579</v>
      </c>
      <c r="N177" s="57">
        <v>30.550001525878901</v>
      </c>
      <c r="O177" s="57">
        <v>32.125001525878901</v>
      </c>
      <c r="P177" s="57">
        <v>33.632501525878901</v>
      </c>
      <c r="Q177" s="22"/>
      <c r="R177" s="57">
        <v>23.750000381469725</v>
      </c>
      <c r="S177" s="57">
        <v>28.750000381469725</v>
      </c>
      <c r="T177" s="57">
        <v>30.257500381469725</v>
      </c>
      <c r="U177" s="22"/>
      <c r="V177" s="57">
        <v>0</v>
      </c>
      <c r="W177" s="57">
        <v>0</v>
      </c>
      <c r="X177" s="57">
        <v>0</v>
      </c>
      <c r="Y177" s="22"/>
      <c r="Z177" s="57">
        <v>8.4235738665566967E-2</v>
      </c>
      <c r="AA177" s="57">
        <v>0.16847147733113393</v>
      </c>
      <c r="AB177" s="57">
        <v>0.25270721599670087</v>
      </c>
      <c r="AC177" s="22"/>
      <c r="AD177" s="57">
        <v>2.3070671677803113E-2</v>
      </c>
      <c r="AE177" s="57">
        <v>4.6141343355606226E-2</v>
      </c>
      <c r="AF177" s="57">
        <v>6.9212015033409346E-2</v>
      </c>
      <c r="AG177" s="22"/>
      <c r="AH177" s="57">
        <v>-0.25</v>
      </c>
      <c r="AI177" s="57">
        <v>1.25</v>
      </c>
      <c r="AJ177" s="57">
        <v>0.3</v>
      </c>
      <c r="AK177" s="22"/>
      <c r="AL177" s="57">
        <v>-0.15</v>
      </c>
      <c r="AM177" s="57">
        <v>0.3</v>
      </c>
      <c r="AN177" s="57">
        <v>0.2</v>
      </c>
      <c r="AO177" s="22"/>
      <c r="AP177" s="23">
        <v>54</v>
      </c>
      <c r="AQ177" s="58">
        <v>0.4</v>
      </c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4">
        <v>41579</v>
      </c>
      <c r="BI177" s="60">
        <v>0.9</v>
      </c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/>
      <c r="CM177" s="80"/>
      <c r="CN177" s="80"/>
      <c r="CO177" s="61"/>
      <c r="CP177"/>
      <c r="CQ177"/>
      <c r="CR177"/>
      <c r="CS177"/>
      <c r="CT177"/>
      <c r="CY177" s="282">
        <f t="shared" si="21"/>
        <v>41579</v>
      </c>
      <c r="CZ177" s="281">
        <f t="shared" si="22"/>
        <v>1</v>
      </c>
      <c r="DA177" s="281">
        <f t="shared" si="23"/>
        <v>1.25</v>
      </c>
      <c r="DB177" s="281">
        <f t="shared" si="24"/>
        <v>1.55</v>
      </c>
      <c r="DD177" s="281">
        <f t="shared" si="25"/>
        <v>8.4235738665566967E-2</v>
      </c>
      <c r="DE177" s="281">
        <f t="shared" si="26"/>
        <v>0.16847147733113393</v>
      </c>
      <c r="DF177" s="281">
        <f t="shared" si="27"/>
        <v>0.25270721599670087</v>
      </c>
      <c r="DH177" s="282">
        <f t="shared" si="28"/>
        <v>41579</v>
      </c>
      <c r="DI177" s="17">
        <f t="shared" si="29"/>
        <v>0.9</v>
      </c>
    </row>
    <row r="178" spans="1:113" ht="13.8">
      <c r="A178" s="27">
        <f t="shared" ca="1" si="20"/>
        <v>41944</v>
      </c>
      <c r="B178" s="17">
        <f>'Gas Curves'!C182</f>
        <v>6.1488361393850006E-2</v>
      </c>
      <c r="C178" s="17"/>
      <c r="D178" s="55">
        <v>40725</v>
      </c>
      <c r="E178" s="56">
        <v>62.85</v>
      </c>
      <c r="F178" s="56">
        <v>72.75</v>
      </c>
      <c r="G178" s="56">
        <v>85.26</v>
      </c>
      <c r="H178" s="40"/>
      <c r="I178" s="56">
        <v>23.55</v>
      </c>
      <c r="J178" s="56">
        <v>28.5</v>
      </c>
      <c r="K178" s="56">
        <v>33.664999999999999</v>
      </c>
      <c r="L178" s="23"/>
      <c r="M178" s="24">
        <v>41609</v>
      </c>
      <c r="N178" s="57">
        <v>31.15</v>
      </c>
      <c r="O178" s="57">
        <v>32.725000000000001</v>
      </c>
      <c r="P178" s="57">
        <v>34.232500000000002</v>
      </c>
      <c r="Q178" s="22"/>
      <c r="R178" s="57">
        <v>24.250000381469725</v>
      </c>
      <c r="S178" s="57">
        <v>29.250000381469725</v>
      </c>
      <c r="T178" s="57">
        <v>30.757500381469725</v>
      </c>
      <c r="U178" s="22"/>
      <c r="V178" s="57">
        <v>0</v>
      </c>
      <c r="W178" s="57">
        <v>0</v>
      </c>
      <c r="X178" s="57">
        <v>0</v>
      </c>
      <c r="Y178" s="22"/>
      <c r="Z178" s="57">
        <v>8.255422339277467E-2</v>
      </c>
      <c r="AA178" s="57">
        <v>0.16510844678554934</v>
      </c>
      <c r="AB178" s="57">
        <v>0.247662670178324</v>
      </c>
      <c r="AC178" s="22"/>
      <c r="AD178" s="57">
        <v>2.3070671677803113E-2</v>
      </c>
      <c r="AE178" s="57">
        <v>4.6141343355606226E-2</v>
      </c>
      <c r="AF178" s="57">
        <v>6.9212015033409346E-2</v>
      </c>
      <c r="AG178" s="22"/>
      <c r="AH178" s="57">
        <v>-0.25</v>
      </c>
      <c r="AI178" s="57">
        <v>1.25</v>
      </c>
      <c r="AJ178" s="57">
        <v>0.35</v>
      </c>
      <c r="AK178" s="22"/>
      <c r="AL178" s="57">
        <v>-0.15</v>
      </c>
      <c r="AM178" s="57">
        <v>0.3</v>
      </c>
      <c r="AN178" s="57">
        <v>0.2</v>
      </c>
      <c r="AO178" s="22"/>
      <c r="AP178" s="23">
        <v>54</v>
      </c>
      <c r="AQ178" s="58">
        <v>0.4</v>
      </c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4">
        <v>41609</v>
      </c>
      <c r="BI178" s="60">
        <v>0.9</v>
      </c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/>
      <c r="CM178" s="80"/>
      <c r="CN178" s="80"/>
      <c r="CO178" s="61"/>
      <c r="CP178"/>
      <c r="CQ178"/>
      <c r="CR178"/>
      <c r="CS178"/>
      <c r="CT178"/>
      <c r="CY178" s="282">
        <f t="shared" si="21"/>
        <v>41609</v>
      </c>
      <c r="CZ178" s="281">
        <f t="shared" si="22"/>
        <v>1</v>
      </c>
      <c r="DA178" s="281">
        <f t="shared" si="23"/>
        <v>1.25</v>
      </c>
      <c r="DB178" s="281">
        <f t="shared" si="24"/>
        <v>1.6</v>
      </c>
      <c r="DD178" s="281">
        <f t="shared" si="25"/>
        <v>8.255422339277467E-2</v>
      </c>
      <c r="DE178" s="281">
        <f t="shared" si="26"/>
        <v>0.16510844678554934</v>
      </c>
      <c r="DF178" s="281">
        <f t="shared" si="27"/>
        <v>0.247662670178324</v>
      </c>
      <c r="DH178" s="282">
        <f t="shared" si="28"/>
        <v>41609</v>
      </c>
      <c r="DI178" s="17">
        <f t="shared" si="29"/>
        <v>0.9</v>
      </c>
    </row>
    <row r="179" spans="1:113" ht="13.8">
      <c r="A179" s="27">
        <f t="shared" ca="1" si="20"/>
        <v>41974</v>
      </c>
      <c r="B179" s="17">
        <f>'Gas Curves'!C183</f>
        <v>6.1512076475844009E-2</v>
      </c>
      <c r="C179" s="17"/>
      <c r="D179" s="55">
        <v>40756</v>
      </c>
      <c r="E179" s="56">
        <v>62.85</v>
      </c>
      <c r="F179" s="56">
        <v>72.75</v>
      </c>
      <c r="G179" s="56">
        <v>85.26</v>
      </c>
      <c r="H179" s="40"/>
      <c r="I179" s="56">
        <v>35.700001525878903</v>
      </c>
      <c r="J179" s="56">
        <v>40.650001525878906</v>
      </c>
      <c r="K179" s="56">
        <v>45.815001525878905</v>
      </c>
      <c r="L179" s="23"/>
      <c r="M179" s="24">
        <v>41640</v>
      </c>
      <c r="N179" s="57">
        <v>33.729496002197266</v>
      </c>
      <c r="O179" s="57">
        <v>35.304496002197268</v>
      </c>
      <c r="P179" s="57">
        <v>36.564496002197266</v>
      </c>
      <c r="Q179" s="22"/>
      <c r="R179" s="57">
        <v>26.403997421264648</v>
      </c>
      <c r="S179" s="57">
        <v>31.403997421264648</v>
      </c>
      <c r="T179" s="57">
        <v>32.663997421264646</v>
      </c>
      <c r="U179" s="22"/>
      <c r="V179" s="57">
        <v>0</v>
      </c>
      <c r="W179" s="57">
        <v>0</v>
      </c>
      <c r="X179" s="57">
        <v>0</v>
      </c>
      <c r="Y179" s="22"/>
      <c r="Z179" s="57">
        <v>0.12182418176354144</v>
      </c>
      <c r="AA179" s="57">
        <v>0.24364836352708288</v>
      </c>
      <c r="AB179" s="57">
        <v>0.36547254529062434</v>
      </c>
      <c r="AC179" s="22"/>
      <c r="AD179" s="57">
        <v>2.6377467951621568E-2</v>
      </c>
      <c r="AE179" s="57">
        <v>5.2754935903243136E-2</v>
      </c>
      <c r="AF179" s="57">
        <v>7.9132403854864697E-2</v>
      </c>
      <c r="AG179" s="22"/>
      <c r="AH179" s="57">
        <v>-0.75</v>
      </c>
      <c r="AI179" s="57">
        <v>2</v>
      </c>
      <c r="AJ179" s="57">
        <v>0.75</v>
      </c>
      <c r="AK179" s="22"/>
      <c r="AL179" s="57">
        <v>-0.15</v>
      </c>
      <c r="AM179" s="57">
        <v>0.5</v>
      </c>
      <c r="AN179" s="57">
        <v>0.2</v>
      </c>
      <c r="AO179" s="22"/>
      <c r="AP179" s="23">
        <v>54</v>
      </c>
      <c r="AQ179" s="58">
        <v>0.4</v>
      </c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4">
        <v>41640</v>
      </c>
      <c r="BI179" s="60">
        <v>0.9</v>
      </c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/>
      <c r="CM179" s="80"/>
      <c r="CN179" s="80"/>
      <c r="CO179" s="61"/>
      <c r="CP179"/>
      <c r="CQ179"/>
      <c r="CR179"/>
      <c r="CS179"/>
      <c r="CT179"/>
      <c r="CY179" s="282">
        <f t="shared" si="21"/>
        <v>41640</v>
      </c>
      <c r="CZ179" s="281">
        <f t="shared" si="22"/>
        <v>1.25</v>
      </c>
      <c r="DA179" s="281">
        <f t="shared" si="23"/>
        <v>2</v>
      </c>
      <c r="DB179" s="281">
        <f t="shared" si="24"/>
        <v>2.75</v>
      </c>
      <c r="DD179" s="281">
        <f t="shared" si="25"/>
        <v>0.12182418176354144</v>
      </c>
      <c r="DE179" s="281">
        <f t="shared" si="26"/>
        <v>0.24364836352708288</v>
      </c>
      <c r="DF179" s="281">
        <f t="shared" si="27"/>
        <v>0.36547254529062434</v>
      </c>
      <c r="DH179" s="282">
        <f t="shared" si="28"/>
        <v>41640</v>
      </c>
      <c r="DI179" s="17">
        <f t="shared" si="29"/>
        <v>0.9</v>
      </c>
    </row>
    <row r="180" spans="1:113" ht="13.8">
      <c r="A180" s="27">
        <f t="shared" ca="1" si="20"/>
        <v>42005</v>
      </c>
      <c r="B180" s="17">
        <f>'Gas Curves'!C184</f>
        <v>6.1536582060768001E-2</v>
      </c>
      <c r="C180" s="17"/>
      <c r="D180" s="55">
        <v>40787</v>
      </c>
      <c r="E180" s="56">
        <v>34.130000000000003</v>
      </c>
      <c r="F180" s="56">
        <v>39.200000000000003</v>
      </c>
      <c r="G180" s="56">
        <v>43.05</v>
      </c>
      <c r="H180" s="40"/>
      <c r="I180" s="56">
        <v>26.614999618530273</v>
      </c>
      <c r="J180" s="56">
        <v>29.149999618530273</v>
      </c>
      <c r="K180" s="56">
        <v>30.739999618530273</v>
      </c>
      <c r="L180" s="23"/>
      <c r="M180" s="24">
        <v>41671</v>
      </c>
      <c r="N180" s="57">
        <v>33.391996765136724</v>
      </c>
      <c r="O180" s="57">
        <v>34.629496765136722</v>
      </c>
      <c r="P180" s="57">
        <v>35.88949676513672</v>
      </c>
      <c r="Q180" s="22"/>
      <c r="R180" s="57">
        <v>25.803997039794922</v>
      </c>
      <c r="S180" s="57">
        <v>30.803997039794922</v>
      </c>
      <c r="T180" s="57">
        <v>32.06399703979492</v>
      </c>
      <c r="U180" s="22"/>
      <c r="V180" s="57">
        <v>0</v>
      </c>
      <c r="W180" s="57">
        <v>0</v>
      </c>
      <c r="X180" s="57">
        <v>0</v>
      </c>
      <c r="Y180" s="22"/>
      <c r="Z180" s="57">
        <v>0.11769042709292227</v>
      </c>
      <c r="AA180" s="57">
        <v>0.23538085418584453</v>
      </c>
      <c r="AB180" s="57">
        <v>0.3530712812787668</v>
      </c>
      <c r="AC180" s="22"/>
      <c r="AD180" s="57">
        <v>2.6377467951621568E-2</v>
      </c>
      <c r="AE180" s="57">
        <v>5.2754935903243136E-2</v>
      </c>
      <c r="AF180" s="57">
        <v>7.9132403854864697E-2</v>
      </c>
      <c r="AG180" s="22"/>
      <c r="AH180" s="57">
        <v>-0.75</v>
      </c>
      <c r="AI180" s="57">
        <v>2</v>
      </c>
      <c r="AJ180" s="57">
        <v>0.75</v>
      </c>
      <c r="AK180" s="22"/>
      <c r="AL180" s="57">
        <v>-0.15</v>
      </c>
      <c r="AM180" s="57">
        <v>0.5</v>
      </c>
      <c r="AN180" s="57">
        <v>0.2</v>
      </c>
      <c r="AO180" s="22"/>
      <c r="AP180" s="23">
        <v>55</v>
      </c>
      <c r="AQ180" s="58">
        <v>0.4</v>
      </c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4">
        <v>41671</v>
      </c>
      <c r="BI180" s="60">
        <v>0.9</v>
      </c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/>
      <c r="CM180" s="80"/>
      <c r="CN180" s="80"/>
      <c r="CO180" s="61"/>
      <c r="CP180"/>
      <c r="CQ180"/>
      <c r="CR180"/>
      <c r="CS180"/>
      <c r="CT180"/>
      <c r="CY180" s="282">
        <f t="shared" si="21"/>
        <v>41671</v>
      </c>
      <c r="CZ180" s="281">
        <f t="shared" si="22"/>
        <v>1.25</v>
      </c>
      <c r="DA180" s="281">
        <f t="shared" si="23"/>
        <v>2</v>
      </c>
      <c r="DB180" s="281">
        <f t="shared" si="24"/>
        <v>2.75</v>
      </c>
      <c r="DD180" s="281">
        <f t="shared" si="25"/>
        <v>0.11769042709292227</v>
      </c>
      <c r="DE180" s="281">
        <f t="shared" si="26"/>
        <v>0.23538085418584453</v>
      </c>
      <c r="DF180" s="281">
        <f t="shared" si="27"/>
        <v>0.3530712812787668</v>
      </c>
      <c r="DH180" s="282">
        <f t="shared" si="28"/>
        <v>41671</v>
      </c>
      <c r="DI180" s="17">
        <f t="shared" si="29"/>
        <v>0.9</v>
      </c>
    </row>
    <row r="181" spans="1:113" ht="13.8">
      <c r="A181" s="27">
        <f t="shared" ca="1" si="20"/>
        <v>42036</v>
      </c>
      <c r="B181" s="17">
        <f>'Gas Curves'!C185</f>
        <v>6.1561087645891022E-2</v>
      </c>
      <c r="C181" s="17"/>
      <c r="D181" s="55">
        <v>40817</v>
      </c>
      <c r="E181" s="56">
        <v>36.57</v>
      </c>
      <c r="F181" s="56">
        <v>39.200000000000003</v>
      </c>
      <c r="G181" s="56">
        <v>41.65</v>
      </c>
      <c r="H181" s="40"/>
      <c r="I181" s="56">
        <v>25.834999618530272</v>
      </c>
      <c r="J181" s="56">
        <v>27.149999618530273</v>
      </c>
      <c r="K181" s="56">
        <v>28.154999618530272</v>
      </c>
      <c r="L181" s="23"/>
      <c r="M181" s="24">
        <v>41699</v>
      </c>
      <c r="N181" s="57">
        <v>27.537496948242186</v>
      </c>
      <c r="O181" s="57">
        <v>28.774996948242187</v>
      </c>
      <c r="P181" s="57">
        <v>30.034996948242188</v>
      </c>
      <c r="Q181" s="22"/>
      <c r="R181" s="57">
        <v>20.599998474121094</v>
      </c>
      <c r="S181" s="57">
        <v>25.599998474121094</v>
      </c>
      <c r="T181" s="57">
        <v>26.859998474121095</v>
      </c>
      <c r="U181" s="22"/>
      <c r="V181" s="57">
        <v>0</v>
      </c>
      <c r="W181" s="57">
        <v>0</v>
      </c>
      <c r="X181" s="57">
        <v>0</v>
      </c>
      <c r="Y181" s="22"/>
      <c r="Z181" s="57">
        <v>9.3299923636049997E-2</v>
      </c>
      <c r="AA181" s="57">
        <v>0.18659984727209999</v>
      </c>
      <c r="AB181" s="57">
        <v>0.27989977090814999</v>
      </c>
      <c r="AC181" s="22"/>
      <c r="AD181" s="57">
        <v>2.3070671677803113E-2</v>
      </c>
      <c r="AE181" s="57">
        <v>4.6141343355606226E-2</v>
      </c>
      <c r="AF181" s="57">
        <v>6.9212015033409346E-2</v>
      </c>
      <c r="AG181" s="22"/>
      <c r="AH181" s="57">
        <v>-0.25</v>
      </c>
      <c r="AI181" s="57">
        <v>1.3</v>
      </c>
      <c r="AJ181" s="57">
        <v>0.3</v>
      </c>
      <c r="AK181" s="22"/>
      <c r="AL181" s="57">
        <v>-0.15</v>
      </c>
      <c r="AM181" s="57">
        <v>0.35</v>
      </c>
      <c r="AN181" s="57">
        <v>0.2</v>
      </c>
      <c r="AO181" s="22"/>
      <c r="AP181" s="23">
        <v>55</v>
      </c>
      <c r="AQ181" s="58">
        <v>0.4</v>
      </c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4">
        <v>41699</v>
      </c>
      <c r="BI181" s="60">
        <v>0.9</v>
      </c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/>
      <c r="CM181" s="80"/>
      <c r="CN181" s="80"/>
      <c r="CO181" s="61"/>
      <c r="CP181"/>
      <c r="CQ181"/>
      <c r="CR181"/>
      <c r="CS181"/>
      <c r="CT181"/>
      <c r="CY181" s="282">
        <f t="shared" si="21"/>
        <v>41699</v>
      </c>
      <c r="CZ181" s="281">
        <f t="shared" si="22"/>
        <v>1.05</v>
      </c>
      <c r="DA181" s="281">
        <f t="shared" si="23"/>
        <v>1.3</v>
      </c>
      <c r="DB181" s="281">
        <f t="shared" si="24"/>
        <v>1.6</v>
      </c>
      <c r="DD181" s="281">
        <f t="shared" si="25"/>
        <v>9.3299923636049997E-2</v>
      </c>
      <c r="DE181" s="281">
        <f t="shared" si="26"/>
        <v>0.18659984727209999</v>
      </c>
      <c r="DF181" s="281">
        <f t="shared" si="27"/>
        <v>0.27989977090814999</v>
      </c>
      <c r="DH181" s="282">
        <f t="shared" si="28"/>
        <v>41699</v>
      </c>
      <c r="DI181" s="17">
        <f t="shared" si="29"/>
        <v>0.9</v>
      </c>
    </row>
    <row r="182" spans="1:113" ht="13.8">
      <c r="A182" s="27">
        <f t="shared" ca="1" si="20"/>
        <v>42064</v>
      </c>
      <c r="B182" s="17">
        <f>'Gas Curves'!C186</f>
        <v>6.1583221722948008E-2</v>
      </c>
      <c r="C182" s="17"/>
      <c r="D182" s="55">
        <v>40848</v>
      </c>
      <c r="E182" s="56">
        <v>39.07</v>
      </c>
      <c r="F182" s="56">
        <v>41.7</v>
      </c>
      <c r="G182" s="56">
        <v>44.15</v>
      </c>
      <c r="H182" s="40"/>
      <c r="I182" s="56">
        <v>26.584999618530272</v>
      </c>
      <c r="J182" s="56">
        <v>27.899999618530273</v>
      </c>
      <c r="K182" s="56">
        <v>28.904999618530272</v>
      </c>
      <c r="L182" s="23"/>
      <c r="M182" s="24">
        <v>41730</v>
      </c>
      <c r="N182" s="57">
        <v>26.524999618530273</v>
      </c>
      <c r="O182" s="57">
        <v>28.099999618530273</v>
      </c>
      <c r="P182" s="57">
        <v>29.359999618530274</v>
      </c>
      <c r="Q182" s="22"/>
      <c r="R182" s="57">
        <v>20</v>
      </c>
      <c r="S182" s="57">
        <v>25</v>
      </c>
      <c r="T182" s="57">
        <v>26.26</v>
      </c>
      <c r="U182" s="22"/>
      <c r="V182" s="57">
        <v>0</v>
      </c>
      <c r="W182" s="57">
        <v>0</v>
      </c>
      <c r="X182" s="57">
        <v>0</v>
      </c>
      <c r="Y182" s="22"/>
      <c r="Z182" s="57">
        <v>9.3171588115230158E-2</v>
      </c>
      <c r="AA182" s="57">
        <v>0.18634317623046032</v>
      </c>
      <c r="AB182" s="57">
        <v>0.27951476434569045</v>
      </c>
      <c r="AC182" s="22"/>
      <c r="AD182" s="57">
        <v>2.3070671677803113E-2</v>
      </c>
      <c r="AE182" s="57">
        <v>4.6141343355606226E-2</v>
      </c>
      <c r="AF182" s="57">
        <v>6.9212015033409346E-2</v>
      </c>
      <c r="AG182" s="22"/>
      <c r="AH182" s="57">
        <v>-0.25</v>
      </c>
      <c r="AI182" s="57">
        <v>1.1000000000000001</v>
      </c>
      <c r="AJ182" s="57">
        <v>0.3</v>
      </c>
      <c r="AK182" s="22"/>
      <c r="AL182" s="57">
        <v>-0.15</v>
      </c>
      <c r="AM182" s="57">
        <v>0.35</v>
      </c>
      <c r="AN182" s="57">
        <v>0.2</v>
      </c>
      <c r="AO182" s="22"/>
      <c r="AP182" s="23">
        <v>55</v>
      </c>
      <c r="AQ182" s="58">
        <v>0.4</v>
      </c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4">
        <v>41730</v>
      </c>
      <c r="BI182" s="60">
        <v>0.9</v>
      </c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/>
      <c r="CM182" s="80"/>
      <c r="CN182" s="80"/>
      <c r="CO182" s="61"/>
      <c r="CP182"/>
      <c r="CQ182"/>
      <c r="CR182"/>
      <c r="CS182"/>
      <c r="CT182"/>
      <c r="CY182" s="282">
        <f t="shared" si="21"/>
        <v>41730</v>
      </c>
      <c r="CZ182" s="281">
        <f t="shared" si="22"/>
        <v>0.85000000000000009</v>
      </c>
      <c r="DA182" s="281">
        <f t="shared" si="23"/>
        <v>1.1000000000000001</v>
      </c>
      <c r="DB182" s="281">
        <f t="shared" si="24"/>
        <v>1.4000000000000001</v>
      </c>
      <c r="DD182" s="281">
        <f t="shared" si="25"/>
        <v>9.3171588115230158E-2</v>
      </c>
      <c r="DE182" s="281">
        <f t="shared" si="26"/>
        <v>0.18634317623046032</v>
      </c>
      <c r="DF182" s="281">
        <f t="shared" si="27"/>
        <v>0.27951476434569045</v>
      </c>
      <c r="DH182" s="282">
        <f t="shared" si="28"/>
        <v>41730</v>
      </c>
      <c r="DI182" s="17">
        <f t="shared" si="29"/>
        <v>0.9</v>
      </c>
    </row>
    <row r="183" spans="1:113" ht="13.8">
      <c r="A183" s="27">
        <f t="shared" ca="1" si="20"/>
        <v>42095</v>
      </c>
      <c r="B183" s="17">
        <f>'Gas Curves'!C187</f>
        <v>6.1607727308451016E-2</v>
      </c>
      <c r="C183" s="17"/>
      <c r="D183" s="55">
        <v>40878</v>
      </c>
      <c r="E183" s="56">
        <v>39.07</v>
      </c>
      <c r="F183" s="56">
        <v>41.7</v>
      </c>
      <c r="G183" s="56">
        <v>44.15</v>
      </c>
      <c r="H183" s="40"/>
      <c r="I183" s="56">
        <v>26.484999237060546</v>
      </c>
      <c r="J183" s="56">
        <v>27.799999237060547</v>
      </c>
      <c r="K183" s="56">
        <v>28.804999237060546</v>
      </c>
      <c r="L183" s="23"/>
      <c r="M183" s="24">
        <v>41760</v>
      </c>
      <c r="N183" s="57">
        <v>30.125</v>
      </c>
      <c r="O183" s="57">
        <v>31.7</v>
      </c>
      <c r="P183" s="57">
        <v>34.085000000000001</v>
      </c>
      <c r="Q183" s="22"/>
      <c r="R183" s="57">
        <v>23.19999885559082</v>
      </c>
      <c r="S183" s="57">
        <v>28.19999885559082</v>
      </c>
      <c r="T183" s="57">
        <v>30.584998855590818</v>
      </c>
      <c r="U183" s="22"/>
      <c r="V183" s="57">
        <v>0</v>
      </c>
      <c r="W183" s="57">
        <v>0</v>
      </c>
      <c r="X183" s="57">
        <v>0</v>
      </c>
      <c r="Y183" s="22"/>
      <c r="Z183" s="57">
        <v>9.8018618101563981E-2</v>
      </c>
      <c r="AA183" s="57">
        <v>0.19603723620312796</v>
      </c>
      <c r="AB183" s="57">
        <v>0.29405585430469194</v>
      </c>
      <c r="AC183" s="22"/>
      <c r="AD183" s="57">
        <v>2.6377467951621568E-2</v>
      </c>
      <c r="AE183" s="57">
        <v>5.2754935903243136E-2</v>
      </c>
      <c r="AF183" s="57">
        <v>7.9132403854864697E-2</v>
      </c>
      <c r="AG183" s="22"/>
      <c r="AH183" s="57">
        <v>-0.25</v>
      </c>
      <c r="AI183" s="57">
        <v>1.1000000000000001</v>
      </c>
      <c r="AJ183" s="57">
        <v>0.3</v>
      </c>
      <c r="AK183" s="22"/>
      <c r="AL183" s="57">
        <v>-0.15</v>
      </c>
      <c r="AM183" s="57">
        <v>0.5</v>
      </c>
      <c r="AN183" s="57">
        <v>0.2</v>
      </c>
      <c r="AO183" s="22"/>
      <c r="AP183" s="23">
        <v>56</v>
      </c>
      <c r="AQ183" s="58">
        <v>0.4</v>
      </c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4">
        <v>41760</v>
      </c>
      <c r="BI183" s="60">
        <v>0.9</v>
      </c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/>
      <c r="CM183" s="80"/>
      <c r="CN183" s="80"/>
      <c r="CO183" s="61"/>
      <c r="CP183"/>
      <c r="CQ183"/>
      <c r="CR183"/>
      <c r="CS183"/>
      <c r="CT183"/>
      <c r="CY183" s="282">
        <f t="shared" si="21"/>
        <v>41760</v>
      </c>
      <c r="CZ183" s="281">
        <f t="shared" si="22"/>
        <v>0.85000000000000009</v>
      </c>
      <c r="DA183" s="281">
        <f t="shared" si="23"/>
        <v>1.1000000000000001</v>
      </c>
      <c r="DB183" s="281">
        <f t="shared" si="24"/>
        <v>1.4000000000000001</v>
      </c>
      <c r="DD183" s="281">
        <f t="shared" si="25"/>
        <v>9.8018618101563981E-2</v>
      </c>
      <c r="DE183" s="281">
        <f t="shared" si="26"/>
        <v>0.19603723620312796</v>
      </c>
      <c r="DF183" s="281">
        <f t="shared" si="27"/>
        <v>0.29405585430469194</v>
      </c>
      <c r="DH183" s="282">
        <f t="shared" si="28"/>
        <v>41760</v>
      </c>
      <c r="DI183" s="17">
        <f t="shared" si="29"/>
        <v>0.9</v>
      </c>
    </row>
    <row r="184" spans="1:113" ht="13.8">
      <c r="A184" s="27">
        <f t="shared" ca="1" si="20"/>
        <v>42125</v>
      </c>
      <c r="B184" s="17">
        <f>'Gas Curves'!C188</f>
        <v>6.1631442391386022E-2</v>
      </c>
      <c r="C184" s="17"/>
      <c r="D184" s="55">
        <v>40909</v>
      </c>
      <c r="E184" s="56">
        <v>55.17</v>
      </c>
      <c r="F184" s="56">
        <v>57.8</v>
      </c>
      <c r="G184" s="56">
        <v>59.84</v>
      </c>
      <c r="H184" s="40"/>
      <c r="I184" s="56">
        <v>27.535000381469725</v>
      </c>
      <c r="J184" s="56">
        <v>28.850000381469727</v>
      </c>
      <c r="K184" s="56">
        <v>29.690000381469726</v>
      </c>
      <c r="L184" s="23"/>
      <c r="M184" s="24">
        <v>41791</v>
      </c>
      <c r="N184" s="57">
        <v>35.462503051757814</v>
      </c>
      <c r="O184" s="57">
        <v>38.500003051757815</v>
      </c>
      <c r="P184" s="57">
        <v>42.130003051757818</v>
      </c>
      <c r="Q184" s="22"/>
      <c r="R184" s="57">
        <v>28.700002670288086</v>
      </c>
      <c r="S184" s="57">
        <v>33.700002670288086</v>
      </c>
      <c r="T184" s="57">
        <v>37.330002670288088</v>
      </c>
      <c r="U184" s="22"/>
      <c r="V184" s="57">
        <v>0</v>
      </c>
      <c r="W184" s="57">
        <v>0</v>
      </c>
      <c r="X184" s="57">
        <v>0</v>
      </c>
      <c r="Y184" s="22"/>
      <c r="Z184" s="57">
        <v>0.10482445340567489</v>
      </c>
      <c r="AA184" s="57">
        <v>0.20964890681134979</v>
      </c>
      <c r="AB184" s="57">
        <v>0.31447336021702466</v>
      </c>
      <c r="AC184" s="22"/>
      <c r="AD184" s="57">
        <v>3.3913887366370576E-2</v>
      </c>
      <c r="AE184" s="57">
        <v>6.7827774732741153E-2</v>
      </c>
      <c r="AF184" s="57">
        <v>0.10174166209911173</v>
      </c>
      <c r="AG184" s="22"/>
      <c r="AH184" s="57">
        <v>-0.35</v>
      </c>
      <c r="AI184" s="57">
        <v>2</v>
      </c>
      <c r="AJ184" s="57">
        <v>0.3</v>
      </c>
      <c r="AK184" s="22"/>
      <c r="AL184" s="57">
        <v>-0.15</v>
      </c>
      <c r="AM184" s="57">
        <v>0.65</v>
      </c>
      <c r="AN184" s="57">
        <v>0.2</v>
      </c>
      <c r="AO184" s="22"/>
      <c r="AP184" s="23">
        <v>56</v>
      </c>
      <c r="AQ184" s="58">
        <v>0.4</v>
      </c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4">
        <v>41791</v>
      </c>
      <c r="BI184" s="60">
        <v>0.9</v>
      </c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/>
      <c r="CM184" s="80"/>
      <c r="CN184" s="80"/>
      <c r="CO184" s="61"/>
      <c r="CP184"/>
      <c r="CQ184"/>
      <c r="CR184"/>
      <c r="CS184"/>
      <c r="CT184"/>
      <c r="CY184" s="282">
        <f t="shared" si="21"/>
        <v>41791</v>
      </c>
      <c r="CZ184" s="281">
        <f t="shared" si="22"/>
        <v>1.65</v>
      </c>
      <c r="DA184" s="281">
        <f t="shared" si="23"/>
        <v>2</v>
      </c>
      <c r="DB184" s="281">
        <f t="shared" si="24"/>
        <v>2.2999999999999998</v>
      </c>
      <c r="DD184" s="281">
        <f t="shared" si="25"/>
        <v>0.10482445340567489</v>
      </c>
      <c r="DE184" s="281">
        <f t="shared" si="26"/>
        <v>0.20964890681134979</v>
      </c>
      <c r="DF184" s="281">
        <f t="shared" si="27"/>
        <v>0.31447336021702466</v>
      </c>
      <c r="DH184" s="282">
        <f t="shared" si="28"/>
        <v>41791</v>
      </c>
      <c r="DI184" s="17">
        <f t="shared" si="29"/>
        <v>0.9</v>
      </c>
    </row>
    <row r="185" spans="1:113" ht="13.8">
      <c r="A185" s="27">
        <f t="shared" ca="1" si="20"/>
        <v>42156</v>
      </c>
      <c r="B185" s="17">
        <f>'Gas Curves'!C189</f>
        <v>6.165594797728001E-2</v>
      </c>
      <c r="C185" s="17"/>
      <c r="D185" s="55">
        <v>40940</v>
      </c>
      <c r="E185" s="56">
        <v>55.73</v>
      </c>
      <c r="F185" s="56">
        <v>57.8</v>
      </c>
      <c r="G185" s="56">
        <v>59.84</v>
      </c>
      <c r="H185" s="40"/>
      <c r="I185" s="56">
        <v>24.465</v>
      </c>
      <c r="J185" s="56">
        <v>25.5</v>
      </c>
      <c r="K185" s="56">
        <v>26.34</v>
      </c>
      <c r="L185" s="23"/>
      <c r="M185" s="24">
        <v>41821</v>
      </c>
      <c r="N185" s="57">
        <v>37.475001525878909</v>
      </c>
      <c r="O185" s="57">
        <v>44.900001525878906</v>
      </c>
      <c r="P185" s="57">
        <v>52.647501525878909</v>
      </c>
      <c r="Q185" s="22"/>
      <c r="R185" s="57">
        <v>33.900001525878906</v>
      </c>
      <c r="S185" s="57">
        <v>38.900001525878906</v>
      </c>
      <c r="T185" s="57">
        <v>46.647501525878909</v>
      </c>
      <c r="U185" s="22"/>
      <c r="V185" s="57">
        <v>0</v>
      </c>
      <c r="W185" s="57">
        <v>0</v>
      </c>
      <c r="X185" s="57">
        <v>0</v>
      </c>
      <c r="Y185" s="22"/>
      <c r="Z185" s="57">
        <v>0.12485154915467135</v>
      </c>
      <c r="AA185" s="57">
        <v>0.2497030983093427</v>
      </c>
      <c r="AB185" s="57">
        <v>0.37455464746401407</v>
      </c>
      <c r="AC185" s="22"/>
      <c r="AD185" s="57">
        <v>4.52185164884941E-2</v>
      </c>
      <c r="AE185" s="57">
        <v>9.0437032976988199E-2</v>
      </c>
      <c r="AF185" s="57">
        <v>0.13565554946548231</v>
      </c>
      <c r="AG185" s="22"/>
      <c r="AH185" s="57">
        <v>-0.35</v>
      </c>
      <c r="AI185" s="57">
        <v>3</v>
      </c>
      <c r="AJ185" s="57">
        <v>0.5</v>
      </c>
      <c r="AK185" s="22"/>
      <c r="AL185" s="57">
        <v>-0.15</v>
      </c>
      <c r="AM185" s="57">
        <v>0.75</v>
      </c>
      <c r="AN185" s="57">
        <v>0.2</v>
      </c>
      <c r="AO185" s="22"/>
      <c r="AP185" s="23">
        <v>56</v>
      </c>
      <c r="AQ185" s="58">
        <v>0.4</v>
      </c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4">
        <v>41821</v>
      </c>
      <c r="BI185" s="60">
        <v>0.9</v>
      </c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/>
      <c r="CM185" s="80"/>
      <c r="CN185" s="80"/>
      <c r="CO185" s="61"/>
      <c r="CP185"/>
      <c r="CQ185"/>
      <c r="CR185"/>
      <c r="CS185"/>
      <c r="CT185"/>
      <c r="CY185" s="282">
        <f t="shared" si="21"/>
        <v>41821</v>
      </c>
      <c r="CZ185" s="281">
        <f t="shared" si="22"/>
        <v>2.65</v>
      </c>
      <c r="DA185" s="281">
        <f t="shared" si="23"/>
        <v>3</v>
      </c>
      <c r="DB185" s="281">
        <f t="shared" si="24"/>
        <v>3.5</v>
      </c>
      <c r="DD185" s="281">
        <f t="shared" si="25"/>
        <v>0.12485154915467135</v>
      </c>
      <c r="DE185" s="281">
        <f t="shared" si="26"/>
        <v>0.2497030983093427</v>
      </c>
      <c r="DF185" s="281">
        <f t="shared" si="27"/>
        <v>0.37455464746401407</v>
      </c>
      <c r="DH185" s="282">
        <f t="shared" si="28"/>
        <v>41821</v>
      </c>
      <c r="DI185" s="17">
        <f t="shared" si="29"/>
        <v>0.9</v>
      </c>
    </row>
    <row r="186" spans="1:113" ht="13.8">
      <c r="A186" s="27">
        <f t="shared" ca="1" si="20"/>
        <v>42186</v>
      </c>
      <c r="B186" s="17">
        <f>'Gas Curves'!C190</f>
        <v>6.1679663060593998E-2</v>
      </c>
      <c r="C186" s="17"/>
      <c r="D186" s="55">
        <v>40969</v>
      </c>
      <c r="E186" s="56">
        <v>38.729999999999997</v>
      </c>
      <c r="F186" s="56">
        <v>40.799999999999997</v>
      </c>
      <c r="G186" s="56">
        <v>42.84</v>
      </c>
      <c r="H186" s="40"/>
      <c r="I186" s="56">
        <v>24.864999618530273</v>
      </c>
      <c r="J186" s="56">
        <v>25.899999618530273</v>
      </c>
      <c r="K186" s="56">
        <v>26.739999618530273</v>
      </c>
      <c r="L186" s="23"/>
      <c r="M186" s="24">
        <v>41852</v>
      </c>
      <c r="N186" s="57">
        <v>49.225001525878909</v>
      </c>
      <c r="O186" s="57">
        <v>56.650001525878906</v>
      </c>
      <c r="P186" s="57">
        <v>64.397501525878909</v>
      </c>
      <c r="Q186" s="22"/>
      <c r="R186" s="57">
        <v>45.700000762939453</v>
      </c>
      <c r="S186" s="57">
        <v>50.700000762939453</v>
      </c>
      <c r="T186" s="57">
        <v>58.447500762939455</v>
      </c>
      <c r="U186" s="22"/>
      <c r="V186" s="57">
        <v>0</v>
      </c>
      <c r="W186" s="57">
        <v>0</v>
      </c>
      <c r="X186" s="57">
        <v>0</v>
      </c>
      <c r="Y186" s="22"/>
      <c r="Z186" s="57">
        <v>0.12211597621087926</v>
      </c>
      <c r="AA186" s="57">
        <v>0.24423195242175852</v>
      </c>
      <c r="AB186" s="57">
        <v>0.36634792863263776</v>
      </c>
      <c r="AC186" s="22"/>
      <c r="AD186" s="57">
        <v>4.52185164884941E-2</v>
      </c>
      <c r="AE186" s="57">
        <v>9.0437032976988199E-2</v>
      </c>
      <c r="AF186" s="57">
        <v>0.13565554946548231</v>
      </c>
      <c r="AG186" s="22"/>
      <c r="AH186" s="57">
        <v>-0.35</v>
      </c>
      <c r="AI186" s="57">
        <v>3</v>
      </c>
      <c r="AJ186" s="57">
        <v>0.5</v>
      </c>
      <c r="AK186" s="22"/>
      <c r="AL186" s="57">
        <v>-0.15</v>
      </c>
      <c r="AM186" s="57">
        <v>0.75</v>
      </c>
      <c r="AN186" s="57">
        <v>0.2</v>
      </c>
      <c r="AO186" s="22"/>
      <c r="AP186" s="23">
        <v>57</v>
      </c>
      <c r="AQ186" s="58">
        <v>0.4</v>
      </c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4">
        <v>41852</v>
      </c>
      <c r="BI186" s="60">
        <v>0.9</v>
      </c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/>
      <c r="CM186" s="80"/>
      <c r="CN186" s="80"/>
      <c r="CO186" s="61"/>
      <c r="CP186"/>
      <c r="CQ186"/>
      <c r="CR186"/>
      <c r="CS186"/>
      <c r="CT186"/>
      <c r="CY186" s="282">
        <f t="shared" si="21"/>
        <v>41852</v>
      </c>
      <c r="CZ186" s="281">
        <f t="shared" si="22"/>
        <v>2.65</v>
      </c>
      <c r="DA186" s="281">
        <f t="shared" si="23"/>
        <v>3</v>
      </c>
      <c r="DB186" s="281">
        <f t="shared" si="24"/>
        <v>3.5</v>
      </c>
      <c r="DD186" s="281">
        <f t="shared" si="25"/>
        <v>0.12211597621087926</v>
      </c>
      <c r="DE186" s="281">
        <f t="shared" si="26"/>
        <v>0.24423195242175852</v>
      </c>
      <c r="DF186" s="281">
        <f t="shared" si="27"/>
        <v>0.36634792863263776</v>
      </c>
      <c r="DH186" s="282">
        <f t="shared" si="28"/>
        <v>41852</v>
      </c>
      <c r="DI186" s="17">
        <f t="shared" si="29"/>
        <v>0.9</v>
      </c>
    </row>
    <row r="187" spans="1:113" ht="13.8">
      <c r="A187" s="27">
        <f t="shared" ca="1" si="20"/>
        <v>42217</v>
      </c>
      <c r="B187" s="17">
        <f>'Gas Curves'!C191</f>
        <v>6.1704168646881018E-2</v>
      </c>
      <c r="C187" s="17"/>
      <c r="D187" s="55">
        <v>41000</v>
      </c>
      <c r="E187" s="56">
        <v>34.67</v>
      </c>
      <c r="F187" s="56">
        <v>37.299999999999997</v>
      </c>
      <c r="G187" s="56">
        <v>39.340000000000003</v>
      </c>
      <c r="H187" s="40"/>
      <c r="I187" s="56">
        <v>22.334999618530272</v>
      </c>
      <c r="J187" s="56">
        <v>23.649999618530273</v>
      </c>
      <c r="K187" s="56">
        <v>24.489999618530273</v>
      </c>
      <c r="L187" s="23"/>
      <c r="M187" s="24">
        <v>41883</v>
      </c>
      <c r="N187" s="57">
        <v>30.987501144409173</v>
      </c>
      <c r="O187" s="57">
        <v>34.025001144409174</v>
      </c>
      <c r="P187" s="57">
        <v>36.410001144409172</v>
      </c>
      <c r="Q187" s="22"/>
      <c r="R187" s="57">
        <v>26.300001525878905</v>
      </c>
      <c r="S187" s="57">
        <v>31.300001525878905</v>
      </c>
      <c r="T187" s="57">
        <v>33.685001525878903</v>
      </c>
      <c r="U187" s="22"/>
      <c r="V187" s="57">
        <v>0</v>
      </c>
      <c r="W187" s="57">
        <v>0</v>
      </c>
      <c r="X187" s="57">
        <v>0</v>
      </c>
      <c r="Y187" s="22"/>
      <c r="Z187" s="57">
        <v>9.2523156010034968E-2</v>
      </c>
      <c r="AA187" s="57">
        <v>0.18504631202006994</v>
      </c>
      <c r="AB187" s="57">
        <v>0.2775694680301049</v>
      </c>
      <c r="AC187" s="22"/>
      <c r="AD187" s="57">
        <v>3.0145677658996069E-2</v>
      </c>
      <c r="AE187" s="57">
        <v>6.0291355317992137E-2</v>
      </c>
      <c r="AF187" s="57">
        <v>9.0437032976988213E-2</v>
      </c>
      <c r="AG187" s="22"/>
      <c r="AH187" s="57">
        <v>-0.35</v>
      </c>
      <c r="AI187" s="57">
        <v>1.5</v>
      </c>
      <c r="AJ187" s="57">
        <v>0.3</v>
      </c>
      <c r="AK187" s="22"/>
      <c r="AL187" s="57">
        <v>-0.15</v>
      </c>
      <c r="AM187" s="57">
        <v>0.4</v>
      </c>
      <c r="AN187" s="57">
        <v>0.2</v>
      </c>
      <c r="AO187" s="22"/>
      <c r="AP187" s="23">
        <v>57</v>
      </c>
      <c r="AQ187" s="58">
        <v>0.4</v>
      </c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4">
        <v>41883</v>
      </c>
      <c r="BI187" s="60">
        <v>0.9</v>
      </c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/>
      <c r="CM187" s="80"/>
      <c r="CN187" s="80"/>
      <c r="CO187" s="61"/>
      <c r="CP187"/>
      <c r="CQ187"/>
      <c r="CR187"/>
      <c r="CS187"/>
      <c r="CT187"/>
      <c r="CY187" s="282">
        <f t="shared" si="21"/>
        <v>41883</v>
      </c>
      <c r="CZ187" s="281">
        <f t="shared" si="22"/>
        <v>1.1499999999999999</v>
      </c>
      <c r="DA187" s="281">
        <f t="shared" si="23"/>
        <v>1.5</v>
      </c>
      <c r="DB187" s="281">
        <f t="shared" si="24"/>
        <v>1.8</v>
      </c>
      <c r="DD187" s="281">
        <f t="shared" si="25"/>
        <v>9.2523156010034968E-2</v>
      </c>
      <c r="DE187" s="281">
        <f t="shared" si="26"/>
        <v>0.18504631202006994</v>
      </c>
      <c r="DF187" s="281">
        <f t="shared" si="27"/>
        <v>0.2775694680301049</v>
      </c>
      <c r="DH187" s="282">
        <f t="shared" si="28"/>
        <v>41883</v>
      </c>
      <c r="DI187" s="17">
        <f t="shared" si="29"/>
        <v>0.9</v>
      </c>
    </row>
    <row r="188" spans="1:113" ht="13.8">
      <c r="A188" s="27">
        <f t="shared" ca="1" si="20"/>
        <v>42248</v>
      </c>
      <c r="B188" s="17">
        <f>'Gas Curves'!C192</f>
        <v>6.1728674233368017E-2</v>
      </c>
      <c r="C188" s="17"/>
      <c r="D188" s="55">
        <v>41030</v>
      </c>
      <c r="E188" s="56">
        <v>38.17</v>
      </c>
      <c r="F188" s="56">
        <v>40.799999999999997</v>
      </c>
      <c r="G188" s="56">
        <v>44.65</v>
      </c>
      <c r="H188" s="40"/>
      <c r="I188" s="56">
        <v>23.334999618530272</v>
      </c>
      <c r="J188" s="56">
        <v>24.649999618530273</v>
      </c>
      <c r="K188" s="56">
        <v>26.239999618530273</v>
      </c>
      <c r="L188" s="23"/>
      <c r="M188" s="24">
        <v>41913</v>
      </c>
      <c r="N188" s="57">
        <v>28.450001144409178</v>
      </c>
      <c r="O188" s="57">
        <v>30.025001144409178</v>
      </c>
      <c r="P188" s="57">
        <v>31.532501144409178</v>
      </c>
      <c r="Q188" s="22"/>
      <c r="R188" s="57">
        <v>21.800001525878905</v>
      </c>
      <c r="S188" s="57">
        <v>26.800001525878905</v>
      </c>
      <c r="T188" s="57">
        <v>28.307501525878905</v>
      </c>
      <c r="U188" s="22"/>
      <c r="V188" s="57">
        <v>0</v>
      </c>
      <c r="W188" s="57">
        <v>0</v>
      </c>
      <c r="X188" s="57">
        <v>0</v>
      </c>
      <c r="Y188" s="22"/>
      <c r="Z188" s="57">
        <v>8.0023951732288615E-2</v>
      </c>
      <c r="AA188" s="57">
        <v>0.16004790346457723</v>
      </c>
      <c r="AB188" s="57">
        <v>0.24007185519686586</v>
      </c>
      <c r="AC188" s="22"/>
      <c r="AD188" s="57">
        <v>2.260925824424705E-2</v>
      </c>
      <c r="AE188" s="57">
        <v>4.52185164884941E-2</v>
      </c>
      <c r="AF188" s="57">
        <v>6.7827774732741153E-2</v>
      </c>
      <c r="AG188" s="22"/>
      <c r="AH188" s="57">
        <v>-0.25</v>
      </c>
      <c r="AI188" s="57">
        <v>1.1000000000000001</v>
      </c>
      <c r="AJ188" s="57">
        <v>0.3</v>
      </c>
      <c r="AK188" s="22"/>
      <c r="AL188" s="57">
        <v>-0.15</v>
      </c>
      <c r="AM188" s="57">
        <v>0.35</v>
      </c>
      <c r="AN188" s="57">
        <v>0.2</v>
      </c>
      <c r="AO188" s="22"/>
      <c r="AP188" s="23">
        <v>57</v>
      </c>
      <c r="AQ188" s="58">
        <v>0.4</v>
      </c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4">
        <v>41913</v>
      </c>
      <c r="BI188" s="60">
        <v>0.9</v>
      </c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/>
      <c r="CM188" s="80"/>
      <c r="CN188" s="80"/>
      <c r="CO188" s="61"/>
      <c r="CP188"/>
      <c r="CQ188"/>
      <c r="CR188"/>
      <c r="CS188"/>
      <c r="CT188"/>
      <c r="CY188" s="282">
        <f t="shared" si="21"/>
        <v>41913</v>
      </c>
      <c r="CZ188" s="281">
        <f t="shared" si="22"/>
        <v>0.85000000000000009</v>
      </c>
      <c r="DA188" s="281">
        <f t="shared" si="23"/>
        <v>1.1000000000000001</v>
      </c>
      <c r="DB188" s="281">
        <f t="shared" si="24"/>
        <v>1.4000000000000001</v>
      </c>
      <c r="DD188" s="281">
        <f t="shared" si="25"/>
        <v>8.0023951732288615E-2</v>
      </c>
      <c r="DE188" s="281">
        <f t="shared" si="26"/>
        <v>0.16004790346457723</v>
      </c>
      <c r="DF188" s="281">
        <f t="shared" si="27"/>
        <v>0.24007185519686586</v>
      </c>
      <c r="DH188" s="282">
        <f t="shared" si="28"/>
        <v>41913</v>
      </c>
      <c r="DI188" s="17">
        <f t="shared" si="29"/>
        <v>0.9</v>
      </c>
    </row>
    <row r="189" spans="1:113" ht="13.8">
      <c r="A189" s="27">
        <f t="shared" ca="1" si="20"/>
        <v>42278</v>
      </c>
      <c r="B189" s="17">
        <f>'Gas Curves'!C193</f>
        <v>6.1752389317255005E-2</v>
      </c>
      <c r="C189" s="17"/>
      <c r="D189" s="55">
        <v>41061</v>
      </c>
      <c r="E189" s="56">
        <v>47.68</v>
      </c>
      <c r="F189" s="56">
        <v>52.75</v>
      </c>
      <c r="G189" s="56">
        <v>58.62</v>
      </c>
      <c r="H189" s="40"/>
      <c r="I189" s="56">
        <v>22.489999618530273</v>
      </c>
      <c r="J189" s="56">
        <v>25.024999618530273</v>
      </c>
      <c r="K189" s="56">
        <v>27.444999618530275</v>
      </c>
      <c r="L189" s="23"/>
      <c r="M189" s="24">
        <v>41944</v>
      </c>
      <c r="N189" s="57">
        <v>30.800001525878901</v>
      </c>
      <c r="O189" s="57">
        <v>32.375001525878901</v>
      </c>
      <c r="P189" s="57">
        <v>33.882501525878901</v>
      </c>
      <c r="Q189" s="22"/>
      <c r="R189" s="57">
        <v>24.000000381469725</v>
      </c>
      <c r="S189" s="57">
        <v>29.000000381469725</v>
      </c>
      <c r="T189" s="57">
        <v>30.507500381469725</v>
      </c>
      <c r="U189" s="22"/>
      <c r="V189" s="57">
        <v>0</v>
      </c>
      <c r="W189" s="57">
        <v>0</v>
      </c>
      <c r="X189" s="57">
        <v>0</v>
      </c>
      <c r="Y189" s="22"/>
      <c r="Z189" s="57">
        <v>8.0023951732288615E-2</v>
      </c>
      <c r="AA189" s="57">
        <v>0.16004790346457723</v>
      </c>
      <c r="AB189" s="57">
        <v>0.24007185519686586</v>
      </c>
      <c r="AC189" s="22"/>
      <c r="AD189" s="57">
        <v>2.260925824424705E-2</v>
      </c>
      <c r="AE189" s="57">
        <v>4.52185164884941E-2</v>
      </c>
      <c r="AF189" s="57">
        <v>6.7827774732741153E-2</v>
      </c>
      <c r="AG189" s="22"/>
      <c r="AH189" s="57">
        <v>-0.25</v>
      </c>
      <c r="AI189" s="57">
        <v>1.25</v>
      </c>
      <c r="AJ189" s="57">
        <v>0.3</v>
      </c>
      <c r="AK189" s="22"/>
      <c r="AL189" s="57">
        <v>-0.15</v>
      </c>
      <c r="AM189" s="57">
        <v>0.3</v>
      </c>
      <c r="AN189" s="57">
        <v>0.2</v>
      </c>
      <c r="AO189" s="22"/>
      <c r="AP189" s="23">
        <v>58</v>
      </c>
      <c r="AQ189" s="58">
        <v>0.4</v>
      </c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4">
        <v>41944</v>
      </c>
      <c r="BI189" s="60">
        <v>0.9</v>
      </c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/>
      <c r="CM189" s="80"/>
      <c r="CN189" s="80"/>
      <c r="CO189" s="61"/>
      <c r="CP189"/>
      <c r="CQ189"/>
      <c r="CR189"/>
      <c r="CS189"/>
      <c r="CT189"/>
      <c r="CY189" s="282">
        <f t="shared" si="21"/>
        <v>41944</v>
      </c>
      <c r="CZ189" s="281">
        <f t="shared" si="22"/>
        <v>1</v>
      </c>
      <c r="DA189" s="281">
        <f t="shared" si="23"/>
        <v>1.25</v>
      </c>
      <c r="DB189" s="281">
        <f t="shared" si="24"/>
        <v>1.55</v>
      </c>
      <c r="DD189" s="281">
        <f t="shared" si="25"/>
        <v>8.0023951732288615E-2</v>
      </c>
      <c r="DE189" s="281">
        <f t="shared" si="26"/>
        <v>0.16004790346457723</v>
      </c>
      <c r="DF189" s="281">
        <f t="shared" si="27"/>
        <v>0.24007185519686586</v>
      </c>
      <c r="DH189" s="282">
        <f t="shared" si="28"/>
        <v>41944</v>
      </c>
      <c r="DI189" s="17">
        <f t="shared" si="29"/>
        <v>0.9</v>
      </c>
    </row>
    <row r="190" spans="1:113" ht="13.8">
      <c r="A190" s="27">
        <f t="shared" ca="1" si="20"/>
        <v>42309</v>
      </c>
      <c r="B190" s="17">
        <f>'Gas Curves'!C194</f>
        <v>6.177689490413401E-2</v>
      </c>
      <c r="C190" s="17"/>
      <c r="D190" s="55">
        <v>41091</v>
      </c>
      <c r="E190" s="56">
        <v>64.349999999999994</v>
      </c>
      <c r="F190" s="56">
        <v>74.25</v>
      </c>
      <c r="G190" s="56">
        <v>86.76</v>
      </c>
      <c r="H190" s="40"/>
      <c r="I190" s="56">
        <v>23.8</v>
      </c>
      <c r="J190" s="56">
        <v>28.75</v>
      </c>
      <c r="K190" s="56">
        <v>33.914999999999999</v>
      </c>
      <c r="L190" s="23"/>
      <c r="M190" s="24">
        <v>41974</v>
      </c>
      <c r="N190" s="57">
        <v>31.4</v>
      </c>
      <c r="O190" s="57">
        <v>32.975000000000001</v>
      </c>
      <c r="P190" s="57">
        <v>34.482500000000002</v>
      </c>
      <c r="Q190" s="22"/>
      <c r="R190" s="57">
        <v>24.500000381469725</v>
      </c>
      <c r="S190" s="57">
        <v>29.500000381469725</v>
      </c>
      <c r="T190" s="57">
        <v>31.007500381469725</v>
      </c>
      <c r="U190" s="22"/>
      <c r="V190" s="57">
        <v>0</v>
      </c>
      <c r="W190" s="57">
        <v>0</v>
      </c>
      <c r="X190" s="57">
        <v>0</v>
      </c>
      <c r="Y190" s="22"/>
      <c r="Z190" s="57">
        <v>7.842651222313593E-2</v>
      </c>
      <c r="AA190" s="57">
        <v>0.15685302444627186</v>
      </c>
      <c r="AB190" s="57">
        <v>0.23527953666940779</v>
      </c>
      <c r="AC190" s="22"/>
      <c r="AD190" s="57">
        <v>2.260925824424705E-2</v>
      </c>
      <c r="AE190" s="57">
        <v>4.52185164884941E-2</v>
      </c>
      <c r="AF190" s="57">
        <v>6.7827774732741153E-2</v>
      </c>
      <c r="AG190" s="22"/>
      <c r="AH190" s="57">
        <v>-0.25</v>
      </c>
      <c r="AI190" s="57">
        <v>1.25</v>
      </c>
      <c r="AJ190" s="57">
        <v>0.35</v>
      </c>
      <c r="AK190" s="22"/>
      <c r="AL190" s="57">
        <v>-0.15</v>
      </c>
      <c r="AM190" s="57">
        <v>0.3</v>
      </c>
      <c r="AN190" s="57">
        <v>0.2</v>
      </c>
      <c r="AO190" s="22"/>
      <c r="AP190" s="23">
        <v>58</v>
      </c>
      <c r="AQ190" s="58">
        <v>0.4</v>
      </c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4">
        <v>41974</v>
      </c>
      <c r="BI190" s="60">
        <v>0.9</v>
      </c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/>
      <c r="CM190" s="80"/>
      <c r="CN190" s="80"/>
      <c r="CO190" s="61"/>
      <c r="CP190"/>
      <c r="CQ190"/>
      <c r="CR190"/>
      <c r="CS190"/>
      <c r="CT190"/>
      <c r="CY190" s="282">
        <f t="shared" si="21"/>
        <v>41974</v>
      </c>
      <c r="CZ190" s="281">
        <f t="shared" si="22"/>
        <v>1</v>
      </c>
      <c r="DA190" s="281">
        <f t="shared" si="23"/>
        <v>1.25</v>
      </c>
      <c r="DB190" s="281">
        <f t="shared" si="24"/>
        <v>1.6</v>
      </c>
      <c r="DD190" s="281">
        <f t="shared" si="25"/>
        <v>7.842651222313593E-2</v>
      </c>
      <c r="DE190" s="281">
        <f t="shared" si="26"/>
        <v>0.15685302444627186</v>
      </c>
      <c r="DF190" s="281">
        <f t="shared" si="27"/>
        <v>0.23527953666940779</v>
      </c>
      <c r="DH190" s="282">
        <f t="shared" si="28"/>
        <v>41974</v>
      </c>
      <c r="DI190" s="17">
        <f t="shared" si="29"/>
        <v>0.9</v>
      </c>
    </row>
    <row r="191" spans="1:113" ht="13.8">
      <c r="A191" s="27">
        <f t="shared" ca="1" si="20"/>
        <v>42339</v>
      </c>
      <c r="B191" s="17">
        <f>'Gas Curves'!C195</f>
        <v>6.1800609988399015E-2</v>
      </c>
      <c r="C191" s="17"/>
      <c r="D191" s="55">
        <v>41122</v>
      </c>
      <c r="E191" s="56">
        <v>64.349999999999994</v>
      </c>
      <c r="F191" s="56">
        <v>74.25</v>
      </c>
      <c r="G191" s="56">
        <v>86.76</v>
      </c>
      <c r="H191" s="40"/>
      <c r="I191" s="56">
        <v>35.950001525878903</v>
      </c>
      <c r="J191" s="56">
        <v>40.900001525878906</v>
      </c>
      <c r="K191" s="56">
        <v>46.065001525878905</v>
      </c>
      <c r="L191" s="23"/>
      <c r="M191" s="24">
        <v>42005</v>
      </c>
      <c r="N191" s="57">
        <v>33.979496002197266</v>
      </c>
      <c r="O191" s="57">
        <v>35.554496002197268</v>
      </c>
      <c r="P191" s="57">
        <v>36.814496002197266</v>
      </c>
      <c r="Q191" s="22"/>
      <c r="R191" s="57">
        <v>26.653997421264648</v>
      </c>
      <c r="S191" s="57">
        <v>31.653997421264648</v>
      </c>
      <c r="T191" s="57">
        <v>32.913997421264646</v>
      </c>
      <c r="U191" s="22"/>
      <c r="V191" s="57">
        <v>0</v>
      </c>
      <c r="W191" s="57">
        <v>0</v>
      </c>
      <c r="X191" s="57">
        <v>0</v>
      </c>
      <c r="Y191" s="22"/>
      <c r="Z191" s="57">
        <v>0.11573297267536437</v>
      </c>
      <c r="AA191" s="57">
        <v>0.23146594535072873</v>
      </c>
      <c r="AB191" s="57">
        <v>0.3471989180260931</v>
      </c>
      <c r="AC191" s="22"/>
      <c r="AD191" s="57">
        <v>2.5849918592589137E-2</v>
      </c>
      <c r="AE191" s="57">
        <v>5.1699837185178274E-2</v>
      </c>
      <c r="AF191" s="57">
        <v>7.7549755777767404E-2</v>
      </c>
      <c r="AG191" s="22"/>
      <c r="AH191" s="57">
        <v>-0.75</v>
      </c>
      <c r="AI191" s="57">
        <v>2</v>
      </c>
      <c r="AJ191" s="57">
        <v>0.75</v>
      </c>
      <c r="AK191" s="22"/>
      <c r="AL191" s="57">
        <v>-0.15</v>
      </c>
      <c r="AM191" s="57">
        <v>0.5</v>
      </c>
      <c r="AN191" s="57">
        <v>0.2</v>
      </c>
      <c r="AO191" s="22"/>
      <c r="AP191" s="23">
        <v>58</v>
      </c>
      <c r="AQ191" s="58">
        <v>0.4</v>
      </c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4">
        <v>42005</v>
      </c>
      <c r="BI191" s="60">
        <v>0.9</v>
      </c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/>
      <c r="CM191" s="80"/>
      <c r="CN191" s="80"/>
      <c r="CO191" s="61"/>
      <c r="CP191"/>
      <c r="CQ191"/>
      <c r="CR191"/>
      <c r="CS191"/>
      <c r="CT191"/>
      <c r="CY191" s="282">
        <f t="shared" si="21"/>
        <v>42005</v>
      </c>
      <c r="CZ191" s="281">
        <f t="shared" si="22"/>
        <v>1.25</v>
      </c>
      <c r="DA191" s="281">
        <f t="shared" si="23"/>
        <v>2</v>
      </c>
      <c r="DB191" s="281">
        <f t="shared" si="24"/>
        <v>2.75</v>
      </c>
      <c r="DD191" s="281">
        <f t="shared" si="25"/>
        <v>0.11573297267536437</v>
      </c>
      <c r="DE191" s="281">
        <f t="shared" si="26"/>
        <v>0.23146594535072873</v>
      </c>
      <c r="DF191" s="281">
        <f t="shared" si="27"/>
        <v>0.3471989180260931</v>
      </c>
      <c r="DH191" s="282">
        <f t="shared" si="28"/>
        <v>42005</v>
      </c>
      <c r="DI191" s="17">
        <f t="shared" si="29"/>
        <v>0.9</v>
      </c>
    </row>
    <row r="192" spans="1:113" ht="13.8">
      <c r="A192" s="27">
        <f t="shared" ca="1" si="20"/>
        <v>42370</v>
      </c>
      <c r="B192" s="17">
        <f>'Gas Curves'!C196</f>
        <v>6.1825115575671025E-2</v>
      </c>
      <c r="C192" s="17"/>
      <c r="D192" s="55">
        <v>41153</v>
      </c>
      <c r="E192" s="56">
        <v>34.229999999999997</v>
      </c>
      <c r="F192" s="56">
        <v>39.299999999999997</v>
      </c>
      <c r="G192" s="56">
        <v>43.15</v>
      </c>
      <c r="H192" s="40"/>
      <c r="I192" s="56">
        <v>26.864999618530273</v>
      </c>
      <c r="J192" s="56">
        <v>29.399999618530273</v>
      </c>
      <c r="K192" s="56">
        <v>30.989999618530273</v>
      </c>
      <c r="L192" s="23"/>
      <c r="M192" s="24">
        <v>42036</v>
      </c>
      <c r="N192" s="57">
        <v>33.641996765136724</v>
      </c>
      <c r="O192" s="57">
        <v>34.879496765136722</v>
      </c>
      <c r="P192" s="57">
        <v>36.13949676513672</v>
      </c>
      <c r="Q192" s="22"/>
      <c r="R192" s="57">
        <v>26.053997039794922</v>
      </c>
      <c r="S192" s="57">
        <v>31.053997039794922</v>
      </c>
      <c r="T192" s="57">
        <v>32.31399703979492</v>
      </c>
      <c r="U192" s="22"/>
      <c r="V192" s="57">
        <v>0</v>
      </c>
      <c r="W192" s="57">
        <v>0</v>
      </c>
      <c r="X192" s="57">
        <v>0</v>
      </c>
      <c r="Y192" s="22"/>
      <c r="Z192" s="57">
        <v>0.11180590573827615</v>
      </c>
      <c r="AA192" s="57">
        <v>0.22361181147655229</v>
      </c>
      <c r="AB192" s="57">
        <v>0.33541771721482844</v>
      </c>
      <c r="AC192" s="22"/>
      <c r="AD192" s="57">
        <v>2.5849918592589137E-2</v>
      </c>
      <c r="AE192" s="57">
        <v>5.1699837185178274E-2</v>
      </c>
      <c r="AF192" s="57">
        <v>7.7549755777767404E-2</v>
      </c>
      <c r="AG192" s="22"/>
      <c r="AH192" s="57">
        <v>-0.75</v>
      </c>
      <c r="AI192" s="57">
        <v>2</v>
      </c>
      <c r="AJ192" s="57">
        <v>0.75</v>
      </c>
      <c r="AK192" s="22"/>
      <c r="AL192" s="57">
        <v>-0.15</v>
      </c>
      <c r="AM192" s="57">
        <v>0.5</v>
      </c>
      <c r="AN192" s="57">
        <v>0.2</v>
      </c>
      <c r="AO192" s="22"/>
      <c r="AP192" s="23">
        <v>59</v>
      </c>
      <c r="AQ192" s="58">
        <v>0.4</v>
      </c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4">
        <v>42036</v>
      </c>
      <c r="BI192" s="60">
        <v>0.9</v>
      </c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/>
      <c r="CM192" s="80"/>
      <c r="CN192" s="80"/>
      <c r="CO192" s="61"/>
      <c r="CP192"/>
      <c r="CQ192"/>
      <c r="CR192"/>
      <c r="CS192"/>
      <c r="CT192"/>
      <c r="CY192" s="282">
        <f t="shared" si="21"/>
        <v>42036</v>
      </c>
      <c r="CZ192" s="281">
        <f t="shared" si="22"/>
        <v>1.25</v>
      </c>
      <c r="DA192" s="281">
        <f t="shared" si="23"/>
        <v>2</v>
      </c>
      <c r="DB192" s="281">
        <f t="shared" si="24"/>
        <v>2.75</v>
      </c>
      <c r="DD192" s="281">
        <f t="shared" si="25"/>
        <v>0.11180590573827615</v>
      </c>
      <c r="DE192" s="281">
        <f t="shared" si="26"/>
        <v>0.22361181147655229</v>
      </c>
      <c r="DF192" s="281">
        <f t="shared" si="27"/>
        <v>0.33541771721482844</v>
      </c>
      <c r="DH192" s="282">
        <f t="shared" si="28"/>
        <v>42036</v>
      </c>
      <c r="DI192" s="17">
        <f t="shared" si="29"/>
        <v>0.9</v>
      </c>
    </row>
    <row r="193" spans="1:113" ht="13.8">
      <c r="A193" s="27">
        <f t="shared" ca="1" si="20"/>
        <v>42401</v>
      </c>
      <c r="B193" s="17">
        <f>'Gas Curves'!C197</f>
        <v>6.1849621163141015E-2</v>
      </c>
      <c r="C193" s="17"/>
      <c r="D193" s="55">
        <v>41183</v>
      </c>
      <c r="E193" s="56">
        <v>36.67</v>
      </c>
      <c r="F193" s="56">
        <v>39.299999999999997</v>
      </c>
      <c r="G193" s="56">
        <v>41.75</v>
      </c>
      <c r="H193" s="40"/>
      <c r="I193" s="56">
        <v>26.084999618530272</v>
      </c>
      <c r="J193" s="56">
        <v>27.399999618530273</v>
      </c>
      <c r="K193" s="56">
        <v>28.404999618530272</v>
      </c>
      <c r="L193" s="23"/>
      <c r="M193" s="24">
        <v>42064</v>
      </c>
      <c r="N193" s="57">
        <v>27.787496948242186</v>
      </c>
      <c r="O193" s="57">
        <v>29.024996948242187</v>
      </c>
      <c r="P193" s="57">
        <v>30.284996948242188</v>
      </c>
      <c r="Q193" s="22"/>
      <c r="R193" s="57">
        <v>20.849998474121094</v>
      </c>
      <c r="S193" s="57">
        <v>25.849998474121094</v>
      </c>
      <c r="T193" s="57">
        <v>27.109998474121095</v>
      </c>
      <c r="U193" s="22"/>
      <c r="V193" s="57">
        <v>0</v>
      </c>
      <c r="W193" s="57">
        <v>0</v>
      </c>
      <c r="X193" s="57">
        <v>0</v>
      </c>
      <c r="Y193" s="22"/>
      <c r="Z193" s="57">
        <v>8.8634927454247489E-2</v>
      </c>
      <c r="AA193" s="57">
        <v>0.17726985490849498</v>
      </c>
      <c r="AB193" s="57">
        <v>0.26590478236274245</v>
      </c>
      <c r="AC193" s="22"/>
      <c r="AD193" s="57">
        <v>2.260925824424705E-2</v>
      </c>
      <c r="AE193" s="57">
        <v>4.52185164884941E-2</v>
      </c>
      <c r="AF193" s="57">
        <v>6.7827774732741153E-2</v>
      </c>
      <c r="AG193" s="22"/>
      <c r="AH193" s="57">
        <v>-0.25</v>
      </c>
      <c r="AI193" s="57">
        <v>1.3</v>
      </c>
      <c r="AJ193" s="57">
        <v>0.3</v>
      </c>
      <c r="AK193" s="22"/>
      <c r="AL193" s="57">
        <v>-0.15</v>
      </c>
      <c r="AM193" s="57">
        <v>0.35</v>
      </c>
      <c r="AN193" s="57">
        <v>0.2</v>
      </c>
      <c r="AO193" s="22"/>
      <c r="AP193" s="23">
        <v>59</v>
      </c>
      <c r="AQ193" s="58">
        <v>0.4</v>
      </c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4">
        <v>42064</v>
      </c>
      <c r="BI193" s="60">
        <v>0.9</v>
      </c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/>
      <c r="CM193" s="80"/>
      <c r="CN193" s="80"/>
      <c r="CO193" s="61"/>
      <c r="CP193"/>
      <c r="CQ193"/>
      <c r="CR193"/>
      <c r="CS193"/>
      <c r="CT193"/>
      <c r="CY193" s="282">
        <f t="shared" si="21"/>
        <v>42064</v>
      </c>
      <c r="CZ193" s="281">
        <f t="shared" si="22"/>
        <v>1.05</v>
      </c>
      <c r="DA193" s="281">
        <f t="shared" si="23"/>
        <v>1.3</v>
      </c>
      <c r="DB193" s="281">
        <f t="shared" si="24"/>
        <v>1.6</v>
      </c>
      <c r="DD193" s="281">
        <f t="shared" si="25"/>
        <v>8.8634927454247489E-2</v>
      </c>
      <c r="DE193" s="281">
        <f t="shared" si="26"/>
        <v>0.17726985490849498</v>
      </c>
      <c r="DF193" s="281">
        <f t="shared" si="27"/>
        <v>0.26590478236274245</v>
      </c>
      <c r="DH193" s="282">
        <f t="shared" si="28"/>
        <v>42064</v>
      </c>
      <c r="DI193" s="17">
        <f t="shared" si="29"/>
        <v>0.9</v>
      </c>
    </row>
    <row r="194" spans="1:113" ht="13.8">
      <c r="A194" s="27">
        <f t="shared" ca="1" si="20"/>
        <v>42430</v>
      </c>
      <c r="B194" s="17">
        <f>'Gas Curves'!C198</f>
        <v>6.187254574514902E-2</v>
      </c>
      <c r="C194" s="17"/>
      <c r="D194" s="55">
        <v>41214</v>
      </c>
      <c r="E194" s="56">
        <v>39.17</v>
      </c>
      <c r="F194" s="56">
        <v>41.8</v>
      </c>
      <c r="G194" s="56">
        <v>44.25</v>
      </c>
      <c r="H194" s="40"/>
      <c r="I194" s="56">
        <v>26.834999618530272</v>
      </c>
      <c r="J194" s="56">
        <v>28.149999618530273</v>
      </c>
      <c r="K194" s="56">
        <v>29.154999618530272</v>
      </c>
      <c r="L194" s="23"/>
      <c r="M194" s="24">
        <v>42095</v>
      </c>
      <c r="N194" s="57">
        <v>26.774999618530273</v>
      </c>
      <c r="O194" s="57">
        <v>28.349999618530273</v>
      </c>
      <c r="P194" s="57">
        <v>29.609999618530274</v>
      </c>
      <c r="Q194" s="22"/>
      <c r="R194" s="57">
        <v>20.25</v>
      </c>
      <c r="S194" s="57">
        <v>25.25</v>
      </c>
      <c r="T194" s="57">
        <v>26.51</v>
      </c>
      <c r="U194" s="22"/>
      <c r="V194" s="57">
        <v>0</v>
      </c>
      <c r="W194" s="57">
        <v>0</v>
      </c>
      <c r="X194" s="57">
        <v>0</v>
      </c>
      <c r="Y194" s="22"/>
      <c r="Z194" s="57">
        <v>8.8513008709468641E-2</v>
      </c>
      <c r="AA194" s="57">
        <v>0.17702601741893728</v>
      </c>
      <c r="AB194" s="57">
        <v>0.26553902612840591</v>
      </c>
      <c r="AC194" s="22"/>
      <c r="AD194" s="57">
        <v>2.260925824424705E-2</v>
      </c>
      <c r="AE194" s="57">
        <v>4.52185164884941E-2</v>
      </c>
      <c r="AF194" s="57">
        <v>6.7827774732741153E-2</v>
      </c>
      <c r="AG194" s="22"/>
      <c r="AH194" s="57">
        <v>-0.25</v>
      </c>
      <c r="AI194" s="57">
        <v>1.1000000000000001</v>
      </c>
      <c r="AJ194" s="57">
        <v>0.3</v>
      </c>
      <c r="AK194" s="22"/>
      <c r="AL194" s="57">
        <v>-0.15</v>
      </c>
      <c r="AM194" s="57">
        <v>0.35</v>
      </c>
      <c r="AN194" s="57">
        <v>0.2</v>
      </c>
      <c r="AO194" s="22"/>
      <c r="AP194" s="23">
        <v>59</v>
      </c>
      <c r="AQ194" s="58">
        <v>0.4</v>
      </c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4">
        <v>42095</v>
      </c>
      <c r="BI194" s="60">
        <v>0.9</v>
      </c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/>
      <c r="CM194" s="80"/>
      <c r="CN194" s="80"/>
      <c r="CO194" s="61"/>
      <c r="CP194"/>
      <c r="CQ194"/>
      <c r="CR194"/>
      <c r="CS194"/>
      <c r="CT194"/>
      <c r="CY194" s="282">
        <f t="shared" si="21"/>
        <v>42095</v>
      </c>
      <c r="CZ194" s="281">
        <f t="shared" si="22"/>
        <v>0.85000000000000009</v>
      </c>
      <c r="DA194" s="281">
        <f t="shared" si="23"/>
        <v>1.1000000000000001</v>
      </c>
      <c r="DB194" s="281">
        <f t="shared" si="24"/>
        <v>1.4000000000000001</v>
      </c>
      <c r="DD194" s="281">
        <f t="shared" si="25"/>
        <v>8.8513008709468641E-2</v>
      </c>
      <c r="DE194" s="281">
        <f t="shared" si="26"/>
        <v>0.17702601741893728</v>
      </c>
      <c r="DF194" s="281">
        <f t="shared" si="27"/>
        <v>0.26553902612840591</v>
      </c>
      <c r="DH194" s="282">
        <f t="shared" si="28"/>
        <v>42095</v>
      </c>
      <c r="DI194" s="17">
        <f t="shared" si="29"/>
        <v>0.9</v>
      </c>
    </row>
    <row r="195" spans="1:113" ht="13.8">
      <c r="A195" s="27">
        <f t="shared" ca="1" si="20"/>
        <v>42461</v>
      </c>
      <c r="B195" s="17">
        <f>'Gas Curves'!C199</f>
        <v>6.1897051333005014E-2</v>
      </c>
      <c r="C195" s="17"/>
      <c r="D195" s="55">
        <v>41244</v>
      </c>
      <c r="E195" s="56">
        <v>39.17</v>
      </c>
      <c r="F195" s="56">
        <v>41.8</v>
      </c>
      <c r="G195" s="56">
        <v>44.25</v>
      </c>
      <c r="H195" s="40"/>
      <c r="I195" s="56">
        <v>26.734999237060546</v>
      </c>
      <c r="J195" s="56">
        <v>28.049999237060547</v>
      </c>
      <c r="K195" s="56">
        <v>29.054999237060546</v>
      </c>
      <c r="L195" s="23"/>
      <c r="M195" s="24">
        <v>42125</v>
      </c>
      <c r="N195" s="57">
        <v>30.375</v>
      </c>
      <c r="O195" s="57">
        <v>31.95</v>
      </c>
      <c r="P195" s="57">
        <v>34.335000000000001</v>
      </c>
      <c r="Q195" s="22"/>
      <c r="R195" s="57">
        <v>23.44999885559082</v>
      </c>
      <c r="S195" s="57">
        <v>28.44999885559082</v>
      </c>
      <c r="T195" s="57">
        <v>30.834998855590818</v>
      </c>
      <c r="U195" s="22"/>
      <c r="V195" s="57">
        <v>0</v>
      </c>
      <c r="W195" s="57">
        <v>0</v>
      </c>
      <c r="X195" s="57">
        <v>0</v>
      </c>
      <c r="Y195" s="22"/>
      <c r="Z195" s="57">
        <v>9.3117687196485777E-2</v>
      </c>
      <c r="AA195" s="57">
        <v>0.18623537439297155</v>
      </c>
      <c r="AB195" s="57">
        <v>0.27935306158945733</v>
      </c>
      <c r="AC195" s="22"/>
      <c r="AD195" s="57">
        <v>2.5849918592589137E-2</v>
      </c>
      <c r="AE195" s="57">
        <v>5.1699837185178274E-2</v>
      </c>
      <c r="AF195" s="57">
        <v>7.7549755777767404E-2</v>
      </c>
      <c r="AG195" s="22"/>
      <c r="AH195" s="57">
        <v>-0.25</v>
      </c>
      <c r="AI195" s="57">
        <v>1.1000000000000001</v>
      </c>
      <c r="AJ195" s="57">
        <v>0.3</v>
      </c>
      <c r="AK195" s="22"/>
      <c r="AL195" s="57">
        <v>-0.15</v>
      </c>
      <c r="AM195" s="57">
        <v>0.5</v>
      </c>
      <c r="AN195" s="57">
        <v>0.2</v>
      </c>
      <c r="AO195" s="22"/>
      <c r="AP195" s="23">
        <v>60</v>
      </c>
      <c r="AQ195" s="58">
        <v>0.4</v>
      </c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4">
        <v>42125</v>
      </c>
      <c r="BI195" s="60">
        <v>0.9</v>
      </c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/>
      <c r="CM195" s="80"/>
      <c r="CN195" s="80"/>
      <c r="CO195" s="61"/>
      <c r="CP195"/>
      <c r="CQ195"/>
      <c r="CR195"/>
      <c r="CS195"/>
      <c r="CT195"/>
      <c r="CY195" s="282">
        <f t="shared" si="21"/>
        <v>42125</v>
      </c>
      <c r="CZ195" s="281">
        <f t="shared" si="22"/>
        <v>0.85000000000000009</v>
      </c>
      <c r="DA195" s="281">
        <f t="shared" si="23"/>
        <v>1.1000000000000001</v>
      </c>
      <c r="DB195" s="281">
        <f t="shared" si="24"/>
        <v>1.4000000000000001</v>
      </c>
      <c r="DD195" s="281">
        <f t="shared" si="25"/>
        <v>9.3117687196485777E-2</v>
      </c>
      <c r="DE195" s="281">
        <f t="shared" si="26"/>
        <v>0.18623537439297155</v>
      </c>
      <c r="DF195" s="281">
        <f t="shared" si="27"/>
        <v>0.27935306158945733</v>
      </c>
      <c r="DH195" s="282">
        <f t="shared" si="28"/>
        <v>42125</v>
      </c>
      <c r="DI195" s="17">
        <f t="shared" si="29"/>
        <v>0.9</v>
      </c>
    </row>
    <row r="196" spans="1:113" ht="13.8">
      <c r="A196" s="27">
        <f t="shared" ca="1" si="20"/>
        <v>42491</v>
      </c>
      <c r="B196" s="17">
        <f>'Gas Curves'!C200</f>
        <v>6.1920766418217012E-2</v>
      </c>
      <c r="C196" s="17"/>
      <c r="D196" s="55">
        <v>41275</v>
      </c>
      <c r="E196" s="56">
        <v>55.47</v>
      </c>
      <c r="F196" s="56">
        <v>58.1</v>
      </c>
      <c r="G196" s="56">
        <v>60.14</v>
      </c>
      <c r="H196" s="40"/>
      <c r="I196" s="56">
        <v>27.785000381469725</v>
      </c>
      <c r="J196" s="56">
        <v>29.100000381469727</v>
      </c>
      <c r="K196" s="56">
        <v>29.940000381469726</v>
      </c>
      <c r="L196" s="23"/>
      <c r="M196" s="24">
        <v>42156</v>
      </c>
      <c r="N196" s="57">
        <v>35.712503051757814</v>
      </c>
      <c r="O196" s="57">
        <v>38.750003051757815</v>
      </c>
      <c r="P196" s="57">
        <v>42.380003051757818</v>
      </c>
      <c r="Q196" s="22"/>
      <c r="R196" s="57">
        <v>28.950002670288086</v>
      </c>
      <c r="S196" s="57">
        <v>33.950002670288086</v>
      </c>
      <c r="T196" s="57">
        <v>37.580002670288088</v>
      </c>
      <c r="U196" s="22"/>
      <c r="V196" s="57">
        <v>0</v>
      </c>
      <c r="W196" s="57">
        <v>0</v>
      </c>
      <c r="X196" s="57">
        <v>0</v>
      </c>
      <c r="Y196" s="22"/>
      <c r="Z196" s="57">
        <v>9.9583230735391146E-2</v>
      </c>
      <c r="AA196" s="57">
        <v>0.19916646147078229</v>
      </c>
      <c r="AB196" s="57">
        <v>0.29874969220617342</v>
      </c>
      <c r="AC196" s="22"/>
      <c r="AD196" s="57">
        <v>3.3235609619043163E-2</v>
      </c>
      <c r="AE196" s="57">
        <v>6.6471219238086326E-2</v>
      </c>
      <c r="AF196" s="57">
        <v>9.970682885712949E-2</v>
      </c>
      <c r="AG196" s="22"/>
      <c r="AH196" s="57">
        <v>-0.35</v>
      </c>
      <c r="AI196" s="57">
        <v>2</v>
      </c>
      <c r="AJ196" s="57">
        <v>0.3</v>
      </c>
      <c r="AK196" s="22"/>
      <c r="AL196" s="57">
        <v>-0.15</v>
      </c>
      <c r="AM196" s="57">
        <v>0.65</v>
      </c>
      <c r="AN196" s="57">
        <v>0.2</v>
      </c>
      <c r="AO196" s="22"/>
      <c r="AP196" s="23">
        <v>60</v>
      </c>
      <c r="AQ196" s="58">
        <v>0.4</v>
      </c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4">
        <v>42156</v>
      </c>
      <c r="BI196" s="60">
        <v>0.9</v>
      </c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/>
      <c r="CM196" s="80"/>
      <c r="CN196" s="80"/>
      <c r="CO196" s="61"/>
      <c r="CP196"/>
      <c r="CQ196"/>
      <c r="CR196"/>
      <c r="CS196"/>
      <c r="CT196"/>
      <c r="CY196" s="282">
        <f t="shared" si="21"/>
        <v>42156</v>
      </c>
      <c r="CZ196" s="281">
        <f t="shared" si="22"/>
        <v>1.65</v>
      </c>
      <c r="DA196" s="281">
        <f t="shared" si="23"/>
        <v>2</v>
      </c>
      <c r="DB196" s="281">
        <f t="shared" si="24"/>
        <v>2.2999999999999998</v>
      </c>
      <c r="DD196" s="281">
        <f t="shared" si="25"/>
        <v>9.9583230735391146E-2</v>
      </c>
      <c r="DE196" s="281">
        <f t="shared" si="26"/>
        <v>0.19916646147078229</v>
      </c>
      <c r="DF196" s="281">
        <f t="shared" si="27"/>
        <v>0.29874969220617342</v>
      </c>
      <c r="DH196" s="282">
        <f t="shared" si="28"/>
        <v>42156</v>
      </c>
      <c r="DI196" s="17">
        <f t="shared" si="29"/>
        <v>0.9</v>
      </c>
    </row>
    <row r="197" spans="1:113" ht="13.8">
      <c r="A197" s="27">
        <f t="shared" ca="1" si="20"/>
        <v>42522</v>
      </c>
      <c r="B197" s="17">
        <f>'Gas Curves'!C201</f>
        <v>6.1945272006466004E-2</v>
      </c>
      <c r="C197" s="17"/>
      <c r="D197" s="55">
        <v>41306</v>
      </c>
      <c r="E197" s="56">
        <v>56.03</v>
      </c>
      <c r="F197" s="56">
        <v>58.1</v>
      </c>
      <c r="G197" s="56">
        <v>60.14</v>
      </c>
      <c r="H197" s="40"/>
      <c r="I197" s="56">
        <v>24.715</v>
      </c>
      <c r="J197" s="56">
        <v>25.75</v>
      </c>
      <c r="K197" s="56">
        <v>26.59</v>
      </c>
      <c r="L197" s="23"/>
      <c r="M197" s="24">
        <v>42186</v>
      </c>
      <c r="N197" s="57">
        <v>37.725001525878909</v>
      </c>
      <c r="O197" s="57">
        <v>45.150001525878906</v>
      </c>
      <c r="P197" s="57">
        <v>52.897501525878909</v>
      </c>
      <c r="Q197" s="22"/>
      <c r="R197" s="57">
        <v>34.150001525878906</v>
      </c>
      <c r="S197" s="57">
        <v>39.150001525878906</v>
      </c>
      <c r="T197" s="57">
        <v>46.897501525878909</v>
      </c>
      <c r="U197" s="22"/>
      <c r="V197" s="57">
        <v>0</v>
      </c>
      <c r="W197" s="57">
        <v>0</v>
      </c>
      <c r="X197" s="57">
        <v>0</v>
      </c>
      <c r="Y197" s="22"/>
      <c r="Z197" s="57">
        <v>0.11860897169693778</v>
      </c>
      <c r="AA197" s="57">
        <v>0.23721794339387556</v>
      </c>
      <c r="AB197" s="57">
        <v>0.35582691509081332</v>
      </c>
      <c r="AC197" s="22"/>
      <c r="AD197" s="57">
        <v>4.431414615872422E-2</v>
      </c>
      <c r="AE197" s="57">
        <v>8.862829231744844E-2</v>
      </c>
      <c r="AF197" s="57">
        <v>0.13294243847617265</v>
      </c>
      <c r="AG197" s="22"/>
      <c r="AH197" s="57">
        <v>-0.35</v>
      </c>
      <c r="AI197" s="57">
        <v>3</v>
      </c>
      <c r="AJ197" s="57">
        <v>0.5</v>
      </c>
      <c r="AK197" s="22"/>
      <c r="AL197" s="57">
        <v>-0.15</v>
      </c>
      <c r="AM197" s="57">
        <v>0.75</v>
      </c>
      <c r="AN197" s="57">
        <v>0.2</v>
      </c>
      <c r="AO197" s="22"/>
      <c r="AP197" s="23">
        <v>60</v>
      </c>
      <c r="AQ197" s="58">
        <v>0.4</v>
      </c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4">
        <v>42186</v>
      </c>
      <c r="BI197" s="60">
        <v>0.9</v>
      </c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/>
      <c r="CM197" s="80"/>
      <c r="CN197" s="80"/>
      <c r="CO197" s="61"/>
      <c r="CP197"/>
      <c r="CQ197"/>
      <c r="CR197"/>
      <c r="CS197"/>
      <c r="CT197"/>
      <c r="CY197" s="282">
        <f t="shared" si="21"/>
        <v>42186</v>
      </c>
      <c r="CZ197" s="281">
        <f t="shared" si="22"/>
        <v>2.65</v>
      </c>
      <c r="DA197" s="281">
        <f t="shared" si="23"/>
        <v>3</v>
      </c>
      <c r="DB197" s="281">
        <f t="shared" si="24"/>
        <v>3.5</v>
      </c>
      <c r="DD197" s="281">
        <f t="shared" si="25"/>
        <v>0.11860897169693778</v>
      </c>
      <c r="DE197" s="281">
        <f t="shared" si="26"/>
        <v>0.23721794339387556</v>
      </c>
      <c r="DF197" s="281">
        <f t="shared" si="27"/>
        <v>0.35582691509081332</v>
      </c>
      <c r="DH197" s="282">
        <f t="shared" si="28"/>
        <v>42186</v>
      </c>
      <c r="DI197" s="17">
        <f t="shared" si="29"/>
        <v>0.9</v>
      </c>
    </row>
    <row r="198" spans="1:113" ht="13.8">
      <c r="A198" s="27">
        <f t="shared" ca="1" si="20"/>
        <v>42552</v>
      </c>
      <c r="B198" s="17">
        <f>'Gas Curves'!C202</f>
        <v>6.1968987092058017E-2</v>
      </c>
      <c r="C198" s="17"/>
      <c r="D198" s="55">
        <v>41334</v>
      </c>
      <c r="E198" s="56">
        <v>39.03</v>
      </c>
      <c r="F198" s="56">
        <v>41.1</v>
      </c>
      <c r="G198" s="56">
        <v>43.14</v>
      </c>
      <c r="H198" s="40"/>
      <c r="I198" s="56">
        <v>25.114999618530273</v>
      </c>
      <c r="J198" s="56">
        <v>26.149999618530273</v>
      </c>
      <c r="K198" s="56">
        <v>26.989999618530273</v>
      </c>
      <c r="L198" s="23"/>
      <c r="M198" s="24">
        <v>42217</v>
      </c>
      <c r="N198" s="57">
        <v>49.475001525878909</v>
      </c>
      <c r="O198" s="57">
        <v>56.900001525878906</v>
      </c>
      <c r="P198" s="57">
        <v>64.647501525878909</v>
      </c>
      <c r="Q198" s="22"/>
      <c r="R198" s="57">
        <v>45.950000762939453</v>
      </c>
      <c r="S198" s="57">
        <v>50.950000762939453</v>
      </c>
      <c r="T198" s="57">
        <v>58.697500762939455</v>
      </c>
      <c r="U198" s="22"/>
      <c r="V198" s="57">
        <v>0</v>
      </c>
      <c r="W198" s="57">
        <v>0</v>
      </c>
      <c r="X198" s="57">
        <v>0</v>
      </c>
      <c r="Y198" s="22"/>
      <c r="Z198" s="57">
        <v>0.11601017740033528</v>
      </c>
      <c r="AA198" s="57">
        <v>0.23202035480067057</v>
      </c>
      <c r="AB198" s="57">
        <v>0.34803053220100588</v>
      </c>
      <c r="AC198" s="22"/>
      <c r="AD198" s="57">
        <v>4.431414615872422E-2</v>
      </c>
      <c r="AE198" s="57">
        <v>8.862829231744844E-2</v>
      </c>
      <c r="AF198" s="57">
        <v>0.13294243847617265</v>
      </c>
      <c r="AG198" s="22"/>
      <c r="AH198" s="57">
        <v>-0.35</v>
      </c>
      <c r="AI198" s="57">
        <v>3</v>
      </c>
      <c r="AJ198" s="57">
        <v>0.5</v>
      </c>
      <c r="AK198" s="22"/>
      <c r="AL198" s="57">
        <v>-0.15</v>
      </c>
      <c r="AM198" s="57">
        <v>0.75</v>
      </c>
      <c r="AN198" s="57">
        <v>0.2</v>
      </c>
      <c r="AO198" s="22"/>
      <c r="AP198" s="23">
        <v>61</v>
      </c>
      <c r="AQ198" s="58">
        <v>0.4</v>
      </c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4">
        <v>42217</v>
      </c>
      <c r="BI198" s="60">
        <v>0.9</v>
      </c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/>
      <c r="CM198" s="80"/>
      <c r="CN198" s="80"/>
      <c r="CO198" s="61"/>
      <c r="CP198"/>
      <c r="CQ198"/>
      <c r="CR198"/>
      <c r="CS198"/>
      <c r="CT198"/>
      <c r="CY198" s="282">
        <f t="shared" si="21"/>
        <v>42217</v>
      </c>
      <c r="CZ198" s="281">
        <f t="shared" si="22"/>
        <v>2.65</v>
      </c>
      <c r="DA198" s="281">
        <f t="shared" si="23"/>
        <v>3</v>
      </c>
      <c r="DB198" s="281">
        <f t="shared" si="24"/>
        <v>3.5</v>
      </c>
      <c r="DD198" s="281">
        <f t="shared" si="25"/>
        <v>0.11601017740033528</v>
      </c>
      <c r="DE198" s="281">
        <f t="shared" si="26"/>
        <v>0.23202035480067057</v>
      </c>
      <c r="DF198" s="281">
        <f t="shared" si="27"/>
        <v>0.34803053220100588</v>
      </c>
      <c r="DH198" s="282">
        <f t="shared" si="28"/>
        <v>42217</v>
      </c>
      <c r="DI198" s="17">
        <f t="shared" si="29"/>
        <v>0.9</v>
      </c>
    </row>
    <row r="199" spans="1:113" ht="13.8">
      <c r="A199" s="27">
        <f t="shared" ca="1" si="20"/>
        <v>42583</v>
      </c>
      <c r="B199" s="17">
        <f>'Gas Curves'!C203</f>
        <v>6.1993492680699001E-2</v>
      </c>
      <c r="C199" s="17"/>
      <c r="D199" s="55">
        <v>41365</v>
      </c>
      <c r="E199" s="56">
        <v>34.97</v>
      </c>
      <c r="F199" s="56">
        <v>37.6</v>
      </c>
      <c r="G199" s="56">
        <v>39.64</v>
      </c>
      <c r="H199" s="40"/>
      <c r="I199" s="56">
        <v>22.584999618530272</v>
      </c>
      <c r="J199" s="56">
        <v>23.899999618530273</v>
      </c>
      <c r="K199" s="56">
        <v>24.739999618530273</v>
      </c>
      <c r="L199" s="23"/>
      <c r="M199" s="24">
        <v>42248</v>
      </c>
      <c r="N199" s="57">
        <v>31.237501144409173</v>
      </c>
      <c r="O199" s="57">
        <v>34.275001144409174</v>
      </c>
      <c r="P199" s="57">
        <v>36.660001144409172</v>
      </c>
      <c r="Q199" s="22"/>
      <c r="R199" s="57">
        <v>26.550001525878905</v>
      </c>
      <c r="S199" s="57">
        <v>31.550001525878905</v>
      </c>
      <c r="T199" s="57">
        <v>33.935001525878903</v>
      </c>
      <c r="U199" s="22"/>
      <c r="V199" s="57">
        <v>0</v>
      </c>
      <c r="W199" s="57">
        <v>0</v>
      </c>
      <c r="X199" s="57">
        <v>0</v>
      </c>
      <c r="Y199" s="22"/>
      <c r="Z199" s="57">
        <v>8.7896998209533214E-2</v>
      </c>
      <c r="AA199" s="57">
        <v>0.17579399641906643</v>
      </c>
      <c r="AB199" s="57">
        <v>0.26369099462859963</v>
      </c>
      <c r="AC199" s="22"/>
      <c r="AD199" s="57">
        <v>2.9542764105816147E-2</v>
      </c>
      <c r="AE199" s="57">
        <v>5.9085528211632293E-2</v>
      </c>
      <c r="AF199" s="57">
        <v>8.862829231744844E-2</v>
      </c>
      <c r="AG199" s="22"/>
      <c r="AH199" s="57">
        <v>-0.35</v>
      </c>
      <c r="AI199" s="57">
        <v>1.5</v>
      </c>
      <c r="AJ199" s="57">
        <v>0.3</v>
      </c>
      <c r="AK199" s="22"/>
      <c r="AL199" s="57">
        <v>-0.15</v>
      </c>
      <c r="AM199" s="57">
        <v>0.4</v>
      </c>
      <c r="AN199" s="57">
        <v>0.2</v>
      </c>
      <c r="AO199" s="22"/>
      <c r="AP199" s="23">
        <v>61</v>
      </c>
      <c r="AQ199" s="58">
        <v>0.4</v>
      </c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4">
        <v>42248</v>
      </c>
      <c r="BI199" s="60">
        <v>0.9</v>
      </c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/>
      <c r="CM199" s="80"/>
      <c r="CN199" s="80"/>
      <c r="CO199" s="61"/>
      <c r="CP199"/>
      <c r="CQ199"/>
      <c r="CR199"/>
      <c r="CS199"/>
      <c r="CT199"/>
      <c r="CY199" s="282">
        <f t="shared" si="21"/>
        <v>42248</v>
      </c>
      <c r="CZ199" s="281">
        <f t="shared" si="22"/>
        <v>1.1499999999999999</v>
      </c>
      <c r="DA199" s="281">
        <f t="shared" si="23"/>
        <v>1.5</v>
      </c>
      <c r="DB199" s="281">
        <f t="shared" si="24"/>
        <v>1.8</v>
      </c>
      <c r="DD199" s="281">
        <f t="shared" si="25"/>
        <v>8.7896998209533214E-2</v>
      </c>
      <c r="DE199" s="281">
        <f t="shared" si="26"/>
        <v>0.17579399641906643</v>
      </c>
      <c r="DF199" s="281">
        <f t="shared" si="27"/>
        <v>0.26369099462859963</v>
      </c>
      <c r="DH199" s="282">
        <f t="shared" si="28"/>
        <v>42248</v>
      </c>
      <c r="DI199" s="17">
        <f t="shared" si="29"/>
        <v>0.9</v>
      </c>
    </row>
    <row r="200" spans="1:113" ht="13.8">
      <c r="A200" s="27">
        <f t="shared" ca="1" si="20"/>
        <v>42614</v>
      </c>
      <c r="B200" s="17">
        <f>'Gas Curves'!C204</f>
        <v>6.2017998269539007E-2</v>
      </c>
      <c r="C200" s="17"/>
      <c r="D200" s="55">
        <v>41395</v>
      </c>
      <c r="E200" s="56">
        <v>38.67</v>
      </c>
      <c r="F200" s="56">
        <v>41.3</v>
      </c>
      <c r="G200" s="56">
        <v>45.15</v>
      </c>
      <c r="H200" s="40"/>
      <c r="I200" s="56">
        <v>23.584999618530272</v>
      </c>
      <c r="J200" s="56">
        <v>24.899999618530273</v>
      </c>
      <c r="K200" s="56">
        <v>26.489999618530273</v>
      </c>
      <c r="L200" s="23"/>
      <c r="M200" s="24">
        <v>42278</v>
      </c>
      <c r="N200" s="57">
        <v>28.700001144409178</v>
      </c>
      <c r="O200" s="57">
        <v>30.275001144409178</v>
      </c>
      <c r="P200" s="57">
        <v>31.782501144409178</v>
      </c>
      <c r="Q200" s="22"/>
      <c r="R200" s="57">
        <v>22.050001525878905</v>
      </c>
      <c r="S200" s="57">
        <v>27.050001525878905</v>
      </c>
      <c r="T200" s="57">
        <v>28.557501525878905</v>
      </c>
      <c r="U200" s="22"/>
      <c r="V200" s="57">
        <v>0</v>
      </c>
      <c r="W200" s="57">
        <v>0</v>
      </c>
      <c r="X200" s="57">
        <v>0</v>
      </c>
      <c r="Y200" s="22"/>
      <c r="Z200" s="57">
        <v>7.6022754145674179E-2</v>
      </c>
      <c r="AA200" s="57">
        <v>0.15204550829134836</v>
      </c>
      <c r="AB200" s="57">
        <v>0.22806826243702255</v>
      </c>
      <c r="AC200" s="22"/>
      <c r="AD200" s="57">
        <v>2.215707307936211E-2</v>
      </c>
      <c r="AE200" s="57">
        <v>4.431414615872422E-2</v>
      </c>
      <c r="AF200" s="57">
        <v>6.6471219238086326E-2</v>
      </c>
      <c r="AG200" s="22"/>
      <c r="AH200" s="57">
        <v>-0.25</v>
      </c>
      <c r="AI200" s="57">
        <v>1.1000000000000001</v>
      </c>
      <c r="AJ200" s="57">
        <v>0.3</v>
      </c>
      <c r="AK200" s="22"/>
      <c r="AL200" s="57">
        <v>-0.15</v>
      </c>
      <c r="AM200" s="57">
        <v>0.35</v>
      </c>
      <c r="AN200" s="57">
        <v>0.2</v>
      </c>
      <c r="AO200" s="22"/>
      <c r="AP200" s="23">
        <v>61</v>
      </c>
      <c r="AQ200" s="58">
        <v>0.4</v>
      </c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4">
        <v>42278</v>
      </c>
      <c r="BI200" s="60">
        <v>0.9</v>
      </c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/>
      <c r="CM200" s="80"/>
      <c r="CN200" s="80"/>
      <c r="CO200" s="61"/>
      <c r="CP200"/>
      <c r="CQ200"/>
      <c r="CR200"/>
      <c r="CS200"/>
      <c r="CT200"/>
      <c r="CY200" s="282">
        <f t="shared" si="21"/>
        <v>42278</v>
      </c>
      <c r="CZ200" s="281">
        <f t="shared" si="22"/>
        <v>0.85000000000000009</v>
      </c>
      <c r="DA200" s="281">
        <f t="shared" si="23"/>
        <v>1.1000000000000001</v>
      </c>
      <c r="DB200" s="281">
        <f t="shared" si="24"/>
        <v>1.4000000000000001</v>
      </c>
      <c r="DD200" s="281">
        <f t="shared" si="25"/>
        <v>7.6022754145674179E-2</v>
      </c>
      <c r="DE200" s="281">
        <f t="shared" si="26"/>
        <v>0.15204550829134836</v>
      </c>
      <c r="DF200" s="281">
        <f t="shared" si="27"/>
        <v>0.22806826243702255</v>
      </c>
      <c r="DH200" s="282">
        <f t="shared" si="28"/>
        <v>42278</v>
      </c>
      <c r="DI200" s="17">
        <f t="shared" si="29"/>
        <v>0.9</v>
      </c>
    </row>
    <row r="201" spans="1:113">
      <c r="A201" s="27">
        <f t="shared" ca="1" si="20"/>
        <v>42644</v>
      </c>
      <c r="B201" s="17">
        <f>'Gas Curves'!C205</f>
        <v>6.2041713355704027E-2</v>
      </c>
      <c r="C201" s="17"/>
      <c r="D201" s="55">
        <v>41426</v>
      </c>
      <c r="E201" s="56">
        <v>48.68</v>
      </c>
      <c r="F201" s="56">
        <v>53.75</v>
      </c>
      <c r="G201" s="56">
        <v>59.62</v>
      </c>
      <c r="H201" s="40"/>
      <c r="I201" s="56">
        <v>22.739999618530273</v>
      </c>
      <c r="J201" s="56">
        <v>25.274999618530273</v>
      </c>
      <c r="K201" s="56">
        <v>27.694999618530275</v>
      </c>
      <c r="L201" s="23"/>
      <c r="M201" s="24">
        <v>42309</v>
      </c>
      <c r="N201" s="57">
        <v>31.050001525878901</v>
      </c>
      <c r="O201" s="57">
        <v>32.625001525878901</v>
      </c>
      <c r="P201" s="57">
        <v>34.132501525878901</v>
      </c>
      <c r="Q201" s="22"/>
      <c r="R201" s="57">
        <v>24.250000381469725</v>
      </c>
      <c r="S201" s="57">
        <v>29.250000381469725</v>
      </c>
      <c r="T201" s="57">
        <v>30.757500381469725</v>
      </c>
      <c r="U201" s="22"/>
      <c r="V201" s="57">
        <v>0</v>
      </c>
      <c r="W201" s="57">
        <v>0</v>
      </c>
      <c r="X201" s="57">
        <v>0</v>
      </c>
      <c r="Y201" s="22"/>
      <c r="Z201" s="57">
        <v>7.6022754145674179E-2</v>
      </c>
      <c r="AA201" s="57">
        <v>0.15204550829134836</v>
      </c>
      <c r="AB201" s="57">
        <v>0.22806826243702255</v>
      </c>
      <c r="AC201" s="22"/>
      <c r="AD201" s="57">
        <v>2.215707307936211E-2</v>
      </c>
      <c r="AE201" s="57">
        <v>4.431414615872422E-2</v>
      </c>
      <c r="AF201" s="57">
        <v>6.6471219238086326E-2</v>
      </c>
      <c r="AG201" s="22"/>
      <c r="AH201" s="57">
        <v>-0.25</v>
      </c>
      <c r="AI201" s="57">
        <v>1.25</v>
      </c>
      <c r="AJ201" s="57">
        <v>0.3</v>
      </c>
      <c r="AK201" s="22"/>
      <c r="AL201" s="57">
        <v>-0.15</v>
      </c>
      <c r="AM201" s="57">
        <v>0.3</v>
      </c>
      <c r="AN201" s="57">
        <v>0.2</v>
      </c>
      <c r="AO201" s="22"/>
      <c r="AP201" s="23">
        <v>62</v>
      </c>
      <c r="AQ201" s="58">
        <v>0.4</v>
      </c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4">
        <v>42309</v>
      </c>
      <c r="BI201" s="60">
        <v>0.9</v>
      </c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/>
      <c r="CP201"/>
      <c r="CQ201"/>
      <c r="CR201"/>
      <c r="CS201"/>
      <c r="CT201"/>
      <c r="CY201" s="282">
        <f t="shared" si="21"/>
        <v>42309</v>
      </c>
      <c r="CZ201" s="281">
        <f t="shared" si="22"/>
        <v>1</v>
      </c>
      <c r="DA201" s="281">
        <f t="shared" si="23"/>
        <v>1.25</v>
      </c>
      <c r="DB201" s="281">
        <f t="shared" si="24"/>
        <v>1.55</v>
      </c>
      <c r="DD201" s="281">
        <f t="shared" si="25"/>
        <v>7.6022754145674179E-2</v>
      </c>
      <c r="DE201" s="281">
        <f t="shared" si="26"/>
        <v>0.15204550829134836</v>
      </c>
      <c r="DF201" s="281">
        <f t="shared" si="27"/>
        <v>0.22806826243702255</v>
      </c>
      <c r="DH201" s="282">
        <f t="shared" si="28"/>
        <v>42309</v>
      </c>
      <c r="DI201" s="17">
        <f t="shared" si="29"/>
        <v>0.9</v>
      </c>
    </row>
    <row r="202" spans="1:113">
      <c r="A202" s="27">
        <f t="shared" ca="1" si="20"/>
        <v>42675</v>
      </c>
      <c r="B202" s="17">
        <f>'Gas Curves'!C206</f>
        <v>6.2066218944936004E-2</v>
      </c>
      <c r="C202" s="17"/>
      <c r="D202" s="55">
        <v>41456</v>
      </c>
      <c r="E202" s="56">
        <v>66.349999999999994</v>
      </c>
      <c r="F202" s="56">
        <v>76.25</v>
      </c>
      <c r="G202" s="56">
        <v>88.76</v>
      </c>
      <c r="H202" s="40"/>
      <c r="I202" s="56">
        <v>24.05</v>
      </c>
      <c r="J202" s="56">
        <v>29</v>
      </c>
      <c r="K202" s="56">
        <v>34.164999999999999</v>
      </c>
      <c r="L202" s="23"/>
      <c r="M202" s="24">
        <v>42339</v>
      </c>
      <c r="N202" s="57">
        <v>31.65</v>
      </c>
      <c r="O202" s="57">
        <v>33.225000000000001</v>
      </c>
      <c r="P202" s="57">
        <v>34.732500000000002</v>
      </c>
      <c r="Q202" s="22"/>
      <c r="R202" s="57">
        <v>24.750000381469725</v>
      </c>
      <c r="S202" s="57">
        <v>29.750000381469725</v>
      </c>
      <c r="T202" s="57">
        <v>31.257500381469725</v>
      </c>
      <c r="U202" s="22"/>
      <c r="V202" s="57">
        <v>0</v>
      </c>
      <c r="W202" s="57">
        <v>0</v>
      </c>
      <c r="X202" s="57">
        <v>0</v>
      </c>
      <c r="Y202" s="22"/>
      <c r="Z202" s="57">
        <v>7.4505186611979135E-2</v>
      </c>
      <c r="AA202" s="57">
        <v>0.14901037322395827</v>
      </c>
      <c r="AB202" s="57">
        <v>0.22351555983593741</v>
      </c>
      <c r="AC202" s="22"/>
      <c r="AD202" s="57">
        <v>2.215707307936211E-2</v>
      </c>
      <c r="AE202" s="57">
        <v>4.431414615872422E-2</v>
      </c>
      <c r="AF202" s="57">
        <v>6.6471219238086326E-2</v>
      </c>
      <c r="AG202" s="22"/>
      <c r="AH202" s="57">
        <v>-0.25</v>
      </c>
      <c r="AI202" s="57">
        <v>1.25</v>
      </c>
      <c r="AJ202" s="57">
        <v>0.35</v>
      </c>
      <c r="AK202" s="22"/>
      <c r="AL202" s="57">
        <v>-0.15</v>
      </c>
      <c r="AM202" s="57">
        <v>0.3</v>
      </c>
      <c r="AN202" s="57">
        <v>0.2</v>
      </c>
      <c r="AO202" s="22"/>
      <c r="AP202" s="23">
        <v>62</v>
      </c>
      <c r="AQ202" s="58">
        <v>0.4</v>
      </c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4">
        <v>42339</v>
      </c>
      <c r="BI202" s="60">
        <v>0.9</v>
      </c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/>
      <c r="CP202"/>
      <c r="CQ202"/>
      <c r="CR202"/>
      <c r="CS202"/>
      <c r="CT202"/>
      <c r="CY202" s="282">
        <f t="shared" si="21"/>
        <v>42339</v>
      </c>
      <c r="CZ202" s="281">
        <f t="shared" si="22"/>
        <v>1</v>
      </c>
      <c r="DA202" s="281">
        <f t="shared" si="23"/>
        <v>1.25</v>
      </c>
      <c r="DB202" s="281">
        <f t="shared" si="24"/>
        <v>1.6</v>
      </c>
      <c r="DD202" s="281">
        <f t="shared" si="25"/>
        <v>7.4505186611979135E-2</v>
      </c>
      <c r="DE202" s="281">
        <f t="shared" si="26"/>
        <v>0.14901037322395827</v>
      </c>
      <c r="DF202" s="281">
        <f t="shared" si="27"/>
        <v>0.22351555983593741</v>
      </c>
      <c r="DH202" s="282">
        <f t="shared" si="28"/>
        <v>42339</v>
      </c>
      <c r="DI202" s="17">
        <f t="shared" si="29"/>
        <v>0.9</v>
      </c>
    </row>
    <row r="203" spans="1:113">
      <c r="A203" s="27">
        <f t="shared" ca="1" si="20"/>
        <v>42705</v>
      </c>
      <c r="B203" s="17">
        <f>'Gas Curves'!C207</f>
        <v>6.2089934031479006E-2</v>
      </c>
      <c r="C203" s="17"/>
      <c r="D203" s="55">
        <v>41487</v>
      </c>
      <c r="E203" s="56">
        <v>66.349999999999994</v>
      </c>
      <c r="F203" s="56">
        <v>76.25</v>
      </c>
      <c r="G203" s="56">
        <v>88.76</v>
      </c>
      <c r="H203" s="40"/>
      <c r="I203" s="56">
        <v>36.200001525878903</v>
      </c>
      <c r="J203" s="56">
        <v>41.150001525878906</v>
      </c>
      <c r="K203" s="56">
        <v>46.315001525878905</v>
      </c>
      <c r="L203" s="23"/>
      <c r="M203" s="24">
        <v>42370</v>
      </c>
      <c r="N203" s="57">
        <v>34.229496002197266</v>
      </c>
      <c r="O203" s="57">
        <v>35.804496002197268</v>
      </c>
      <c r="P203" s="57">
        <v>37.064496002197266</v>
      </c>
      <c r="Q203" s="22"/>
      <c r="R203" s="57">
        <v>26.903997421264648</v>
      </c>
      <c r="S203" s="57">
        <v>31.903997421264648</v>
      </c>
      <c r="T203" s="57">
        <v>33.163997421264646</v>
      </c>
      <c r="U203" s="22"/>
      <c r="V203" s="57">
        <v>0</v>
      </c>
      <c r="W203" s="57">
        <v>0</v>
      </c>
      <c r="X203" s="57">
        <v>0</v>
      </c>
      <c r="Y203" s="22"/>
      <c r="Z203" s="57">
        <v>0.10994632404159614</v>
      </c>
      <c r="AA203" s="57">
        <v>0.21989264808319228</v>
      </c>
      <c r="AB203" s="57">
        <v>0.32983897212478841</v>
      </c>
      <c r="AC203" s="22"/>
      <c r="AD203" s="57">
        <v>2.5332920220737354E-2</v>
      </c>
      <c r="AE203" s="57">
        <v>5.0665840441474708E-2</v>
      </c>
      <c r="AF203" s="57">
        <v>7.5998760662212062E-2</v>
      </c>
      <c r="AG203" s="22"/>
      <c r="AH203" s="57">
        <v>-0.75</v>
      </c>
      <c r="AI203" s="57">
        <v>2</v>
      </c>
      <c r="AJ203" s="57">
        <v>0.75</v>
      </c>
      <c r="AK203" s="22"/>
      <c r="AL203" s="57">
        <v>-0.15</v>
      </c>
      <c r="AM203" s="57">
        <v>0.5</v>
      </c>
      <c r="AN203" s="57">
        <v>0.2</v>
      </c>
      <c r="AO203" s="22"/>
      <c r="AP203" s="23">
        <v>62</v>
      </c>
      <c r="AQ203" s="58">
        <v>0.4</v>
      </c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4">
        <v>42370</v>
      </c>
      <c r="BI203" s="60">
        <v>0.9</v>
      </c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/>
      <c r="CP203"/>
      <c r="CQ203"/>
      <c r="CR203"/>
      <c r="CS203"/>
      <c r="CT203"/>
      <c r="CY203" s="282">
        <f t="shared" si="21"/>
        <v>42370</v>
      </c>
      <c r="CZ203" s="281">
        <f t="shared" si="22"/>
        <v>1.25</v>
      </c>
      <c r="DA203" s="281">
        <f t="shared" si="23"/>
        <v>2</v>
      </c>
      <c r="DB203" s="281">
        <f t="shared" si="24"/>
        <v>2.75</v>
      </c>
      <c r="DD203" s="281">
        <f t="shared" si="25"/>
        <v>0.10994632404159614</v>
      </c>
      <c r="DE203" s="281">
        <f t="shared" si="26"/>
        <v>0.21989264808319228</v>
      </c>
      <c r="DF203" s="281">
        <f t="shared" si="27"/>
        <v>0.32983897212478841</v>
      </c>
      <c r="DH203" s="282">
        <f t="shared" si="28"/>
        <v>42370</v>
      </c>
      <c r="DI203" s="17">
        <f t="shared" si="29"/>
        <v>0.9</v>
      </c>
    </row>
    <row r="204" spans="1:113">
      <c r="A204" s="27">
        <f t="shared" ca="1" si="20"/>
        <v>42736</v>
      </c>
      <c r="B204" s="17">
        <f>'Gas Curves'!C208</f>
        <v>6.2114439621104002E-2</v>
      </c>
      <c r="C204" s="17"/>
      <c r="D204" s="55">
        <v>41518</v>
      </c>
      <c r="E204" s="56">
        <v>34.53</v>
      </c>
      <c r="F204" s="56">
        <v>39.6</v>
      </c>
      <c r="G204" s="56">
        <v>43.45</v>
      </c>
      <c r="H204" s="40"/>
      <c r="I204" s="56">
        <v>27.114999618530273</v>
      </c>
      <c r="J204" s="56">
        <v>29.649999618530273</v>
      </c>
      <c r="K204" s="56">
        <v>31.239999618530273</v>
      </c>
      <c r="L204" s="23"/>
      <c r="M204" s="24">
        <v>42401</v>
      </c>
      <c r="N204" s="57">
        <v>33.891996765136724</v>
      </c>
      <c r="O204" s="57">
        <v>35.129496765136722</v>
      </c>
      <c r="P204" s="57">
        <v>36.38949676513672</v>
      </c>
      <c r="Q204" s="22"/>
      <c r="R204" s="57">
        <v>26.303997039794922</v>
      </c>
      <c r="S204" s="57">
        <v>31.303997039794922</v>
      </c>
      <c r="T204" s="57">
        <v>32.56399703979492</v>
      </c>
      <c r="U204" s="22"/>
      <c r="V204" s="57">
        <v>0</v>
      </c>
      <c r="W204" s="57">
        <v>0</v>
      </c>
      <c r="X204" s="57">
        <v>0</v>
      </c>
      <c r="Y204" s="22"/>
      <c r="Z204" s="57">
        <v>0.10621561045136234</v>
      </c>
      <c r="AA204" s="57">
        <v>0.21243122090272468</v>
      </c>
      <c r="AB204" s="57">
        <v>0.318646831354087</v>
      </c>
      <c r="AC204" s="22"/>
      <c r="AD204" s="57">
        <v>2.5332920220737354E-2</v>
      </c>
      <c r="AE204" s="57">
        <v>5.0665840441474708E-2</v>
      </c>
      <c r="AF204" s="57">
        <v>7.5998760662212062E-2</v>
      </c>
      <c r="AG204" s="22"/>
      <c r="AH204" s="57">
        <v>-0.75</v>
      </c>
      <c r="AI204" s="57">
        <v>2</v>
      </c>
      <c r="AJ204" s="57">
        <v>0.75</v>
      </c>
      <c r="AK204" s="22"/>
      <c r="AL204" s="57">
        <v>-0.15</v>
      </c>
      <c r="AM204" s="57">
        <v>0.5</v>
      </c>
      <c r="AN204" s="57">
        <v>0.2</v>
      </c>
      <c r="AO204" s="22"/>
      <c r="AP204" s="23">
        <v>63</v>
      </c>
      <c r="AQ204" s="58">
        <v>0.4</v>
      </c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4">
        <v>42401</v>
      </c>
      <c r="BI204" s="60">
        <v>0.9</v>
      </c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/>
      <c r="CP204"/>
      <c r="CQ204"/>
      <c r="CR204"/>
      <c r="CS204"/>
      <c r="CT204"/>
      <c r="CY204" s="282">
        <f t="shared" si="21"/>
        <v>42401</v>
      </c>
      <c r="CZ204" s="281">
        <f t="shared" si="22"/>
        <v>1.25</v>
      </c>
      <c r="DA204" s="281">
        <f t="shared" si="23"/>
        <v>2</v>
      </c>
      <c r="DB204" s="281">
        <f t="shared" si="24"/>
        <v>2.75</v>
      </c>
      <c r="DD204" s="281">
        <f t="shared" si="25"/>
        <v>0.10621561045136234</v>
      </c>
      <c r="DE204" s="281">
        <f t="shared" si="26"/>
        <v>0.21243122090272468</v>
      </c>
      <c r="DF204" s="281">
        <f t="shared" si="27"/>
        <v>0.318646831354087</v>
      </c>
      <c r="DH204" s="282">
        <f t="shared" si="28"/>
        <v>42401</v>
      </c>
      <c r="DI204" s="17">
        <f t="shared" si="29"/>
        <v>0.9</v>
      </c>
    </row>
    <row r="205" spans="1:113">
      <c r="A205" s="27">
        <f t="shared" ca="1" si="20"/>
        <v>42767</v>
      </c>
      <c r="B205" s="17">
        <f>'Gas Curves'!C209</f>
        <v>6.2138945210927998E-2</v>
      </c>
      <c r="C205" s="17"/>
      <c r="D205" s="55">
        <v>41548</v>
      </c>
      <c r="E205" s="56">
        <v>36.97</v>
      </c>
      <c r="F205" s="56">
        <v>39.6</v>
      </c>
      <c r="G205" s="56">
        <v>42.05</v>
      </c>
      <c r="H205" s="40"/>
      <c r="I205" s="56">
        <v>26.334999618530272</v>
      </c>
      <c r="J205" s="56">
        <v>27.649999618530273</v>
      </c>
      <c r="K205" s="56">
        <v>28.654999618530272</v>
      </c>
      <c r="L205" s="23"/>
      <c r="M205" s="24">
        <v>42430</v>
      </c>
      <c r="N205" s="57">
        <v>28.037496948242186</v>
      </c>
      <c r="O205" s="57">
        <v>29.274996948242187</v>
      </c>
      <c r="P205" s="57">
        <v>30.534996948242188</v>
      </c>
      <c r="Q205" s="22"/>
      <c r="R205" s="57">
        <v>21.099998474121094</v>
      </c>
      <c r="S205" s="57">
        <v>26.099998474121094</v>
      </c>
      <c r="T205" s="57">
        <v>27.359998474121095</v>
      </c>
      <c r="U205" s="22"/>
      <c r="V205" s="57">
        <v>0</v>
      </c>
      <c r="W205" s="57">
        <v>0</v>
      </c>
      <c r="X205" s="57">
        <v>0</v>
      </c>
      <c r="Y205" s="22"/>
      <c r="Z205" s="57">
        <v>8.4203181081535114E-2</v>
      </c>
      <c r="AA205" s="57">
        <v>0.16840636216307023</v>
      </c>
      <c r="AB205" s="57">
        <v>0.25260954324460533</v>
      </c>
      <c r="AC205" s="22"/>
      <c r="AD205" s="57">
        <v>2.215707307936211E-2</v>
      </c>
      <c r="AE205" s="57">
        <v>4.431414615872422E-2</v>
      </c>
      <c r="AF205" s="57">
        <v>6.6471219238086326E-2</v>
      </c>
      <c r="AG205" s="22"/>
      <c r="AH205" s="57">
        <v>-0.25</v>
      </c>
      <c r="AI205" s="57">
        <v>1.3</v>
      </c>
      <c r="AJ205" s="57">
        <v>0.3</v>
      </c>
      <c r="AK205" s="22"/>
      <c r="AL205" s="57">
        <v>-0.15</v>
      </c>
      <c r="AM205" s="57">
        <v>0.35</v>
      </c>
      <c r="AN205" s="57">
        <v>0.2</v>
      </c>
      <c r="AO205" s="22"/>
      <c r="AP205" s="23">
        <v>63</v>
      </c>
      <c r="AQ205" s="58">
        <v>0.4</v>
      </c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4">
        <v>42430</v>
      </c>
      <c r="BI205" s="60">
        <v>0.9</v>
      </c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/>
      <c r="CP205"/>
      <c r="CQ205"/>
      <c r="CR205"/>
      <c r="CS205"/>
      <c r="CT205"/>
      <c r="CY205" s="282">
        <f t="shared" si="21"/>
        <v>42430</v>
      </c>
      <c r="CZ205" s="281">
        <f t="shared" si="22"/>
        <v>1.05</v>
      </c>
      <c r="DA205" s="281">
        <f t="shared" si="23"/>
        <v>1.3</v>
      </c>
      <c r="DB205" s="281">
        <f t="shared" si="24"/>
        <v>1.6</v>
      </c>
      <c r="DD205" s="281">
        <f t="shared" si="25"/>
        <v>8.4203181081535114E-2</v>
      </c>
      <c r="DE205" s="281">
        <f t="shared" si="26"/>
        <v>0.16840636216307023</v>
      </c>
      <c r="DF205" s="281">
        <f t="shared" si="27"/>
        <v>0.25260954324460533</v>
      </c>
      <c r="DH205" s="282">
        <f t="shared" si="28"/>
        <v>42430</v>
      </c>
      <c r="DI205" s="17">
        <f t="shared" si="29"/>
        <v>0.9</v>
      </c>
    </row>
    <row r="206" spans="1:113">
      <c r="A206" s="27">
        <f t="shared" ref="A206:A269" ca="1" si="30">EOMONTH(A205,0)+1</f>
        <v>42795</v>
      </c>
      <c r="B206" s="17">
        <f>'Gas Curves'!C210</f>
        <v>6.2161079292231011E-2</v>
      </c>
      <c r="C206" s="17"/>
      <c r="D206" s="55">
        <v>41579</v>
      </c>
      <c r="E206" s="56">
        <v>39.47</v>
      </c>
      <c r="F206" s="56">
        <v>42.1</v>
      </c>
      <c r="G206" s="56">
        <v>44.55</v>
      </c>
      <c r="H206" s="40"/>
      <c r="I206" s="56">
        <v>27.084999618530272</v>
      </c>
      <c r="J206" s="56">
        <v>28.399999618530273</v>
      </c>
      <c r="K206" s="56">
        <v>29.404999618530272</v>
      </c>
      <c r="L206" s="23"/>
      <c r="M206" s="24">
        <v>42461</v>
      </c>
      <c r="N206" s="57">
        <v>27.024999618530273</v>
      </c>
      <c r="O206" s="57">
        <v>28.599999618530273</v>
      </c>
      <c r="P206" s="57">
        <v>29.859999618530274</v>
      </c>
      <c r="Q206" s="22"/>
      <c r="R206" s="57">
        <v>20.5</v>
      </c>
      <c r="S206" s="57">
        <v>25.5</v>
      </c>
      <c r="T206" s="57">
        <v>26.76</v>
      </c>
      <c r="U206" s="22"/>
      <c r="V206" s="57">
        <v>0</v>
      </c>
      <c r="W206" s="57">
        <v>0</v>
      </c>
      <c r="X206" s="57">
        <v>0</v>
      </c>
      <c r="Y206" s="22"/>
      <c r="Z206" s="57">
        <v>8.4087358273995202E-2</v>
      </c>
      <c r="AA206" s="57">
        <v>0.1681747165479904</v>
      </c>
      <c r="AB206" s="57">
        <v>0.25226207482198559</v>
      </c>
      <c r="AC206" s="22"/>
      <c r="AD206" s="57">
        <v>2.215707307936211E-2</v>
      </c>
      <c r="AE206" s="57">
        <v>4.431414615872422E-2</v>
      </c>
      <c r="AF206" s="57">
        <v>6.6471219238086326E-2</v>
      </c>
      <c r="AG206" s="22"/>
      <c r="AH206" s="57">
        <v>-0.25</v>
      </c>
      <c r="AI206" s="57">
        <v>1.1000000000000001</v>
      </c>
      <c r="AJ206" s="57">
        <v>0.3</v>
      </c>
      <c r="AK206" s="22"/>
      <c r="AL206" s="57">
        <v>-0.15</v>
      </c>
      <c r="AM206" s="57">
        <v>0.35</v>
      </c>
      <c r="AN206" s="57">
        <v>0.2</v>
      </c>
      <c r="AO206" s="22"/>
      <c r="AP206" s="23">
        <v>63</v>
      </c>
      <c r="AQ206" s="58">
        <v>0.4</v>
      </c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4">
        <v>42461</v>
      </c>
      <c r="BI206" s="60">
        <v>0.9</v>
      </c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/>
      <c r="CP206"/>
      <c r="CQ206"/>
      <c r="CR206"/>
      <c r="CS206"/>
      <c r="CT206"/>
      <c r="CY206" s="282">
        <f t="shared" si="21"/>
        <v>42461</v>
      </c>
      <c r="CZ206" s="281">
        <f t="shared" si="22"/>
        <v>0.85000000000000009</v>
      </c>
      <c r="DA206" s="281">
        <f t="shared" si="23"/>
        <v>1.1000000000000001</v>
      </c>
      <c r="DB206" s="281">
        <f t="shared" si="24"/>
        <v>1.4000000000000001</v>
      </c>
      <c r="DD206" s="281">
        <f t="shared" si="25"/>
        <v>8.4087358273995202E-2</v>
      </c>
      <c r="DE206" s="281">
        <f t="shared" si="26"/>
        <v>0.1681747165479904</v>
      </c>
      <c r="DF206" s="281">
        <f t="shared" si="27"/>
        <v>0.25226207482198559</v>
      </c>
      <c r="DH206" s="282">
        <f t="shared" si="28"/>
        <v>42461</v>
      </c>
      <c r="DI206" s="17">
        <f t="shared" si="29"/>
        <v>0.9</v>
      </c>
    </row>
    <row r="207" spans="1:113">
      <c r="A207" s="27">
        <f t="shared" ca="1" si="30"/>
        <v>42826</v>
      </c>
      <c r="B207" s="17">
        <f>'Gas Curves'!C211</f>
        <v>6.2185584882435009E-2</v>
      </c>
      <c r="C207" s="17"/>
      <c r="D207" s="55">
        <v>41609</v>
      </c>
      <c r="E207" s="56">
        <v>39.47</v>
      </c>
      <c r="F207" s="56">
        <v>42.1</v>
      </c>
      <c r="G207" s="56">
        <v>44.55</v>
      </c>
      <c r="H207" s="40"/>
      <c r="I207" s="56">
        <v>26.984999237060546</v>
      </c>
      <c r="J207" s="56">
        <v>28.299999237060547</v>
      </c>
      <c r="K207" s="56">
        <v>29.304999237060546</v>
      </c>
      <c r="L207" s="23"/>
      <c r="M207" s="24">
        <v>42491</v>
      </c>
      <c r="N207" s="57">
        <v>30.625</v>
      </c>
      <c r="O207" s="57">
        <v>32.200000000000003</v>
      </c>
      <c r="P207" s="57">
        <v>34.585000000000001</v>
      </c>
      <c r="Q207" s="22"/>
      <c r="R207" s="57">
        <v>23.69999885559082</v>
      </c>
      <c r="S207" s="57">
        <v>28.69999885559082</v>
      </c>
      <c r="T207" s="57">
        <v>31.084998855590818</v>
      </c>
      <c r="U207" s="22"/>
      <c r="V207" s="57">
        <v>0</v>
      </c>
      <c r="W207" s="57">
        <v>0</v>
      </c>
      <c r="X207" s="57">
        <v>0</v>
      </c>
      <c r="Y207" s="22"/>
      <c r="Z207" s="57">
        <v>8.8461802836661482E-2</v>
      </c>
      <c r="AA207" s="57">
        <v>0.17692360567332296</v>
      </c>
      <c r="AB207" s="57">
        <v>0.26538540850998443</v>
      </c>
      <c r="AC207" s="22"/>
      <c r="AD207" s="57">
        <v>2.5332920220737354E-2</v>
      </c>
      <c r="AE207" s="57">
        <v>5.0665840441474708E-2</v>
      </c>
      <c r="AF207" s="57">
        <v>7.5998760662212062E-2</v>
      </c>
      <c r="AG207" s="22"/>
      <c r="AH207" s="57">
        <v>-0.25</v>
      </c>
      <c r="AI207" s="57">
        <v>1.1000000000000001</v>
      </c>
      <c r="AJ207" s="57">
        <v>0.3</v>
      </c>
      <c r="AK207" s="22"/>
      <c r="AL207" s="57">
        <v>-0.15</v>
      </c>
      <c r="AM207" s="57">
        <v>0.5</v>
      </c>
      <c r="AN207" s="57">
        <v>0.2</v>
      </c>
      <c r="AO207" s="22"/>
      <c r="AP207" s="23">
        <v>64</v>
      </c>
      <c r="AQ207" s="58">
        <v>0.4</v>
      </c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4">
        <v>42491</v>
      </c>
      <c r="BI207" s="60">
        <v>0.9</v>
      </c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/>
      <c r="CP207"/>
      <c r="CQ207"/>
      <c r="CR207"/>
      <c r="CS207"/>
      <c r="CT207"/>
      <c r="CY207" s="282">
        <f t="shared" si="21"/>
        <v>42491</v>
      </c>
      <c r="CZ207" s="281">
        <f t="shared" si="22"/>
        <v>0.85000000000000009</v>
      </c>
      <c r="DA207" s="281">
        <f t="shared" si="23"/>
        <v>1.1000000000000001</v>
      </c>
      <c r="DB207" s="281">
        <f t="shared" si="24"/>
        <v>1.4000000000000001</v>
      </c>
      <c r="DD207" s="281">
        <f t="shared" si="25"/>
        <v>8.8461802836661482E-2</v>
      </c>
      <c r="DE207" s="281">
        <f t="shared" si="26"/>
        <v>0.17692360567332296</v>
      </c>
      <c r="DF207" s="281">
        <f t="shared" si="27"/>
        <v>0.26538540850998443</v>
      </c>
      <c r="DH207" s="282">
        <f t="shared" si="28"/>
        <v>42491</v>
      </c>
      <c r="DI207" s="17">
        <f t="shared" si="29"/>
        <v>0.9</v>
      </c>
    </row>
    <row r="208" spans="1:113">
      <c r="A208" s="27">
        <f t="shared" ca="1" si="30"/>
        <v>42856</v>
      </c>
      <c r="B208" s="17">
        <f>'Gas Curves'!C212</f>
        <v>6.2209299969918003E-2</v>
      </c>
      <c r="C208" s="17"/>
      <c r="D208" s="55">
        <v>41640</v>
      </c>
      <c r="E208" s="56">
        <v>55.77</v>
      </c>
      <c r="F208" s="56">
        <v>58.4</v>
      </c>
      <c r="G208" s="56">
        <v>60.44</v>
      </c>
      <c r="H208" s="40"/>
      <c r="I208" s="56">
        <v>28.035000381469725</v>
      </c>
      <c r="J208" s="56">
        <v>29.350000381469727</v>
      </c>
      <c r="K208" s="56">
        <v>30.190000381469726</v>
      </c>
      <c r="L208" s="23"/>
      <c r="M208" s="24">
        <v>42522</v>
      </c>
      <c r="N208" s="57">
        <v>35.962503051757814</v>
      </c>
      <c r="O208" s="57">
        <v>39.000003051757815</v>
      </c>
      <c r="P208" s="57">
        <v>42.630003051757818</v>
      </c>
      <c r="Q208" s="22"/>
      <c r="R208" s="57">
        <v>29.200002670288086</v>
      </c>
      <c r="S208" s="57">
        <v>34.200002670288086</v>
      </c>
      <c r="T208" s="57">
        <v>37.830002670288088</v>
      </c>
      <c r="U208" s="22"/>
      <c r="V208" s="57">
        <v>0</v>
      </c>
      <c r="W208" s="57">
        <v>0</v>
      </c>
      <c r="X208" s="57">
        <v>0</v>
      </c>
      <c r="Y208" s="22"/>
      <c r="Z208" s="57">
        <v>9.460406919862159E-2</v>
      </c>
      <c r="AA208" s="57">
        <v>0.18920813839724318</v>
      </c>
      <c r="AB208" s="57">
        <v>0.28381220759586478</v>
      </c>
      <c r="AC208" s="22"/>
      <c r="AD208" s="57">
        <v>3.2570897426662297E-2</v>
      </c>
      <c r="AE208" s="57">
        <v>6.5141794853324594E-2</v>
      </c>
      <c r="AF208" s="57">
        <v>9.7712692279986885E-2</v>
      </c>
      <c r="AG208" s="22"/>
      <c r="AH208" s="57">
        <v>-0.35</v>
      </c>
      <c r="AI208" s="57">
        <v>2</v>
      </c>
      <c r="AJ208" s="57">
        <v>0.3</v>
      </c>
      <c r="AK208" s="22"/>
      <c r="AL208" s="57">
        <v>-0.15</v>
      </c>
      <c r="AM208" s="57">
        <v>0.65</v>
      </c>
      <c r="AN208" s="57">
        <v>0.2</v>
      </c>
      <c r="AO208" s="22"/>
      <c r="AP208" s="23">
        <v>64</v>
      </c>
      <c r="AQ208" s="58">
        <v>0.4</v>
      </c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4">
        <v>42522</v>
      </c>
      <c r="BI208" s="60">
        <v>0.9</v>
      </c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/>
      <c r="CP208"/>
      <c r="CQ208"/>
      <c r="CR208"/>
      <c r="CS208"/>
      <c r="CT208"/>
      <c r="CY208" s="282">
        <f t="shared" si="21"/>
        <v>42522</v>
      </c>
      <c r="CZ208" s="281">
        <f t="shared" si="22"/>
        <v>1.65</v>
      </c>
      <c r="DA208" s="281">
        <f t="shared" si="23"/>
        <v>2</v>
      </c>
      <c r="DB208" s="281">
        <f t="shared" si="24"/>
        <v>2.2999999999999998</v>
      </c>
      <c r="DD208" s="281">
        <f t="shared" si="25"/>
        <v>9.460406919862159E-2</v>
      </c>
      <c r="DE208" s="281">
        <f t="shared" si="26"/>
        <v>0.18920813839724318</v>
      </c>
      <c r="DF208" s="281">
        <f t="shared" si="27"/>
        <v>0.28381220759586478</v>
      </c>
      <c r="DH208" s="282">
        <f t="shared" si="28"/>
        <v>42522</v>
      </c>
      <c r="DI208" s="17">
        <f t="shared" si="29"/>
        <v>0.9</v>
      </c>
    </row>
    <row r="209" spans="1:113">
      <c r="A209" s="27">
        <f t="shared" ca="1" si="30"/>
        <v>42887</v>
      </c>
      <c r="B209" s="17">
        <f>'Gas Curves'!C213</f>
        <v>6.2233805560513007E-2</v>
      </c>
      <c r="C209" s="17"/>
      <c r="D209" s="55">
        <v>41671</v>
      </c>
      <c r="E209" s="56">
        <v>56.33</v>
      </c>
      <c r="F209" s="56">
        <v>58.4</v>
      </c>
      <c r="G209" s="56">
        <v>60.44</v>
      </c>
      <c r="H209" s="40"/>
      <c r="I209" s="56">
        <v>24.965</v>
      </c>
      <c r="J209" s="56">
        <v>26</v>
      </c>
      <c r="K209" s="56">
        <v>26.84</v>
      </c>
      <c r="L209" s="23"/>
      <c r="M209" s="24">
        <v>42552</v>
      </c>
      <c r="N209" s="57">
        <v>37.975001525878909</v>
      </c>
      <c r="O209" s="57">
        <v>45.400001525878906</v>
      </c>
      <c r="P209" s="57">
        <v>53.147501525878909</v>
      </c>
      <c r="Q209" s="22"/>
      <c r="R209" s="57">
        <v>34.400001525878906</v>
      </c>
      <c r="S209" s="57">
        <v>39.400001525878906</v>
      </c>
      <c r="T209" s="57">
        <v>47.147501525878909</v>
      </c>
      <c r="U209" s="22"/>
      <c r="V209" s="57">
        <v>0</v>
      </c>
      <c r="W209" s="57">
        <v>0</v>
      </c>
      <c r="X209" s="57">
        <v>0</v>
      </c>
      <c r="Y209" s="22"/>
      <c r="Z209" s="57">
        <v>0.11267852311209088</v>
      </c>
      <c r="AA209" s="57">
        <v>0.22535704622418176</v>
      </c>
      <c r="AB209" s="57">
        <v>0.33803556933627266</v>
      </c>
      <c r="AC209" s="22"/>
      <c r="AD209" s="57">
        <v>4.3427863235549737E-2</v>
      </c>
      <c r="AE209" s="57">
        <v>8.6855726471099473E-2</v>
      </c>
      <c r="AF209" s="57">
        <v>0.13028358970664922</v>
      </c>
      <c r="AG209" s="22"/>
      <c r="AH209" s="57">
        <v>-0.35</v>
      </c>
      <c r="AI209" s="57">
        <v>3</v>
      </c>
      <c r="AJ209" s="57">
        <v>0.5</v>
      </c>
      <c r="AK209" s="22"/>
      <c r="AL209" s="57">
        <v>-0.15</v>
      </c>
      <c r="AM209" s="57">
        <v>0.75</v>
      </c>
      <c r="AN209" s="57">
        <v>0.2</v>
      </c>
      <c r="AO209" s="22"/>
      <c r="AP209" s="23">
        <v>64</v>
      </c>
      <c r="AQ209" s="58">
        <v>0.4</v>
      </c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4">
        <v>42552</v>
      </c>
      <c r="BI209" s="60">
        <v>0.9</v>
      </c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/>
      <c r="CP209"/>
      <c r="CQ209"/>
      <c r="CR209"/>
      <c r="CS209"/>
      <c r="CT209"/>
      <c r="CY209" s="282">
        <f t="shared" si="21"/>
        <v>42552</v>
      </c>
      <c r="CZ209" s="281">
        <f t="shared" si="22"/>
        <v>2.65</v>
      </c>
      <c r="DA209" s="281">
        <f t="shared" si="23"/>
        <v>3</v>
      </c>
      <c r="DB209" s="281">
        <f t="shared" si="24"/>
        <v>3.5</v>
      </c>
      <c r="DD209" s="281">
        <f t="shared" si="25"/>
        <v>0.11267852311209088</v>
      </c>
      <c r="DE209" s="281">
        <f t="shared" si="26"/>
        <v>0.22535704622418176</v>
      </c>
      <c r="DF209" s="281">
        <f t="shared" si="27"/>
        <v>0.33803556933627266</v>
      </c>
      <c r="DH209" s="282">
        <f t="shared" si="28"/>
        <v>42552</v>
      </c>
      <c r="DI209" s="17">
        <f t="shared" si="29"/>
        <v>0.9</v>
      </c>
    </row>
    <row r="210" spans="1:113">
      <c r="A210" s="27">
        <f t="shared" ca="1" si="30"/>
        <v>42917</v>
      </c>
      <c r="B210" s="17">
        <f>'Gas Curves'!C214</f>
        <v>6.2257520648377022E-2</v>
      </c>
      <c r="C210" s="17"/>
      <c r="D210" s="55">
        <v>41699</v>
      </c>
      <c r="E210" s="56">
        <v>39.33</v>
      </c>
      <c r="F210" s="56">
        <v>41.4</v>
      </c>
      <c r="G210" s="56">
        <v>43.44</v>
      </c>
      <c r="H210" s="40"/>
      <c r="I210" s="56">
        <v>25.364999618530273</v>
      </c>
      <c r="J210" s="56">
        <v>26.399999618530273</v>
      </c>
      <c r="K210" s="56">
        <v>27.239999618530273</v>
      </c>
      <c r="L210" s="23"/>
      <c r="M210" s="24">
        <v>42583</v>
      </c>
      <c r="N210" s="57">
        <v>49.725001525878909</v>
      </c>
      <c r="O210" s="57">
        <v>57.150001525878906</v>
      </c>
      <c r="P210" s="57">
        <v>64.897501525878909</v>
      </c>
      <c r="Q210" s="22"/>
      <c r="R210" s="57">
        <v>46.200000762939453</v>
      </c>
      <c r="S210" s="57">
        <v>51.200000762939453</v>
      </c>
      <c r="T210" s="57">
        <v>58.947500762939455</v>
      </c>
      <c r="U210" s="22"/>
      <c r="V210" s="57">
        <v>0</v>
      </c>
      <c r="W210" s="57">
        <v>0</v>
      </c>
      <c r="X210" s="57">
        <v>0</v>
      </c>
      <c r="Y210" s="22"/>
      <c r="Z210" s="57">
        <v>0.11020966853031852</v>
      </c>
      <c r="AA210" s="57">
        <v>0.22041933706063704</v>
      </c>
      <c r="AB210" s="57">
        <v>0.33062900559095554</v>
      </c>
      <c r="AC210" s="22"/>
      <c r="AD210" s="57">
        <v>4.3427863235549737E-2</v>
      </c>
      <c r="AE210" s="57">
        <v>8.6855726471099473E-2</v>
      </c>
      <c r="AF210" s="57">
        <v>0.13028358970664922</v>
      </c>
      <c r="AG210" s="22"/>
      <c r="AH210" s="57">
        <v>-0.35</v>
      </c>
      <c r="AI210" s="57">
        <v>3</v>
      </c>
      <c r="AJ210" s="57">
        <v>0.5</v>
      </c>
      <c r="AK210" s="22"/>
      <c r="AL210" s="57">
        <v>-0.15</v>
      </c>
      <c r="AM210" s="57">
        <v>0.75</v>
      </c>
      <c r="AN210" s="57">
        <v>0.2</v>
      </c>
      <c r="AO210" s="22"/>
      <c r="AP210" s="23">
        <v>65</v>
      </c>
      <c r="AQ210" s="58">
        <v>0.4</v>
      </c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4">
        <v>42583</v>
      </c>
      <c r="BI210" s="60">
        <v>0.9</v>
      </c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/>
      <c r="CP210"/>
      <c r="CQ210"/>
      <c r="CR210"/>
      <c r="CS210"/>
      <c r="CT210"/>
      <c r="CY210" s="282">
        <f t="shared" si="21"/>
        <v>42583</v>
      </c>
      <c r="CZ210" s="281">
        <f t="shared" si="22"/>
        <v>2.65</v>
      </c>
      <c r="DA210" s="281">
        <f t="shared" si="23"/>
        <v>3</v>
      </c>
      <c r="DB210" s="281">
        <f t="shared" si="24"/>
        <v>3.5</v>
      </c>
      <c r="DD210" s="281">
        <f t="shared" si="25"/>
        <v>0.11020966853031852</v>
      </c>
      <c r="DE210" s="281">
        <f t="shared" si="26"/>
        <v>0.22041933706063704</v>
      </c>
      <c r="DF210" s="281">
        <f t="shared" si="27"/>
        <v>0.33062900559095554</v>
      </c>
      <c r="DH210" s="282">
        <f t="shared" si="28"/>
        <v>42583</v>
      </c>
      <c r="DI210" s="17">
        <f t="shared" si="29"/>
        <v>0.9</v>
      </c>
    </row>
    <row r="211" spans="1:113">
      <c r="A211" s="27">
        <f t="shared" ca="1" si="30"/>
        <v>42948</v>
      </c>
      <c r="B211" s="17">
        <f>'Gas Curves'!C215</f>
        <v>6.2282026239364997E-2</v>
      </c>
      <c r="C211" s="17"/>
      <c r="D211" s="55">
        <v>41730</v>
      </c>
      <c r="E211" s="56">
        <v>35.270000000000003</v>
      </c>
      <c r="F211" s="56">
        <v>37.9</v>
      </c>
      <c r="G211" s="56">
        <v>39.94</v>
      </c>
      <c r="H211" s="40"/>
      <c r="I211" s="56">
        <v>22.834999618530272</v>
      </c>
      <c r="J211" s="56">
        <v>24.149999618530273</v>
      </c>
      <c r="K211" s="56">
        <v>24.989999618530273</v>
      </c>
      <c r="L211" s="23"/>
      <c r="M211" s="24">
        <v>42614</v>
      </c>
      <c r="N211" s="57">
        <v>31.487501144409173</v>
      </c>
      <c r="O211" s="57">
        <v>34.525001144409174</v>
      </c>
      <c r="P211" s="57">
        <v>36.910001144409172</v>
      </c>
      <c r="Q211" s="22"/>
      <c r="R211" s="57">
        <v>26.800001525878905</v>
      </c>
      <c r="S211" s="57">
        <v>31.800001525878905</v>
      </c>
      <c r="T211" s="57">
        <v>34.185001525878903</v>
      </c>
      <c r="U211" s="22"/>
      <c r="V211" s="57">
        <v>0</v>
      </c>
      <c r="W211" s="57">
        <v>0</v>
      </c>
      <c r="X211" s="57">
        <v>0</v>
      </c>
      <c r="Y211" s="22"/>
      <c r="Z211" s="57">
        <v>8.3502148299056556E-2</v>
      </c>
      <c r="AA211" s="57">
        <v>0.16700429659811311</v>
      </c>
      <c r="AB211" s="57">
        <v>0.25050644489716967</v>
      </c>
      <c r="AC211" s="22"/>
      <c r="AD211" s="57">
        <v>2.8951908823699822E-2</v>
      </c>
      <c r="AE211" s="57">
        <v>5.7903817647399644E-2</v>
      </c>
      <c r="AF211" s="57">
        <v>8.6855726471099459E-2</v>
      </c>
      <c r="AG211" s="22"/>
      <c r="AH211" s="57">
        <v>-0.35</v>
      </c>
      <c r="AI211" s="57">
        <v>1.5</v>
      </c>
      <c r="AJ211" s="57">
        <v>0.3</v>
      </c>
      <c r="AK211" s="22"/>
      <c r="AL211" s="57">
        <v>-0.15</v>
      </c>
      <c r="AM211" s="57">
        <v>0.4</v>
      </c>
      <c r="AN211" s="57">
        <v>0.2</v>
      </c>
      <c r="AO211" s="22"/>
      <c r="AP211" s="23">
        <v>65</v>
      </c>
      <c r="AQ211" s="58">
        <v>0.4</v>
      </c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4">
        <v>42614</v>
      </c>
      <c r="BI211" s="60">
        <v>0.9</v>
      </c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/>
      <c r="CP211"/>
      <c r="CQ211"/>
      <c r="CR211"/>
      <c r="CS211"/>
      <c r="CT211"/>
      <c r="CY211" s="282">
        <f t="shared" si="21"/>
        <v>42614</v>
      </c>
      <c r="CZ211" s="281">
        <f t="shared" si="22"/>
        <v>1.1499999999999999</v>
      </c>
      <c r="DA211" s="281">
        <f t="shared" si="23"/>
        <v>1.5</v>
      </c>
      <c r="DB211" s="281">
        <f t="shared" si="24"/>
        <v>1.8</v>
      </c>
      <c r="DD211" s="281">
        <f t="shared" si="25"/>
        <v>8.3502148299056556E-2</v>
      </c>
      <c r="DE211" s="281">
        <f t="shared" si="26"/>
        <v>0.16700429659811311</v>
      </c>
      <c r="DF211" s="281">
        <f t="shared" si="27"/>
        <v>0.25050644489716967</v>
      </c>
      <c r="DH211" s="282">
        <f t="shared" si="28"/>
        <v>42614</v>
      </c>
      <c r="DI211" s="17">
        <f t="shared" si="29"/>
        <v>0.9</v>
      </c>
    </row>
    <row r="212" spans="1:113">
      <c r="A212" s="27">
        <f t="shared" ca="1" si="30"/>
        <v>42979</v>
      </c>
      <c r="B212" s="17">
        <f>'Gas Curves'!C216</f>
        <v>6.2306531830551029E-2</v>
      </c>
      <c r="C212" s="17"/>
      <c r="D212" s="55">
        <v>41760</v>
      </c>
      <c r="E212" s="56">
        <v>39.17</v>
      </c>
      <c r="F212" s="56">
        <v>41.8</v>
      </c>
      <c r="G212" s="56">
        <v>45.65</v>
      </c>
      <c r="H212" s="40"/>
      <c r="I212" s="56">
        <v>23.834999618530272</v>
      </c>
      <c r="J212" s="56">
        <v>25.149999618530273</v>
      </c>
      <c r="K212" s="56">
        <v>26.739999618530273</v>
      </c>
      <c r="L212" s="23"/>
      <c r="M212" s="24">
        <v>42644</v>
      </c>
      <c r="N212" s="57">
        <v>28.950001144409178</v>
      </c>
      <c r="O212" s="57">
        <v>30.525001144409178</v>
      </c>
      <c r="P212" s="57">
        <v>32.032501144409174</v>
      </c>
      <c r="Q212" s="22"/>
      <c r="R212" s="57">
        <v>22.300001525878905</v>
      </c>
      <c r="S212" s="57">
        <v>27.300001525878905</v>
      </c>
      <c r="T212" s="57">
        <v>28.807501525878905</v>
      </c>
      <c r="U212" s="22"/>
      <c r="V212" s="57">
        <v>0</v>
      </c>
      <c r="W212" s="57">
        <v>0</v>
      </c>
      <c r="X212" s="57">
        <v>0</v>
      </c>
      <c r="Y212" s="22"/>
      <c r="Z212" s="57">
        <v>7.2221616438390465E-2</v>
      </c>
      <c r="AA212" s="57">
        <v>0.14444323287678093</v>
      </c>
      <c r="AB212" s="57">
        <v>0.21666484931517138</v>
      </c>
      <c r="AC212" s="22"/>
      <c r="AD212" s="57">
        <v>2.1713931617774868E-2</v>
      </c>
      <c r="AE212" s="57">
        <v>4.3427863235549737E-2</v>
      </c>
      <c r="AF212" s="57">
        <v>6.5141794853324608E-2</v>
      </c>
      <c r="AG212" s="22"/>
      <c r="AH212" s="57">
        <v>-0.25</v>
      </c>
      <c r="AI212" s="57">
        <v>1.1000000000000001</v>
      </c>
      <c r="AJ212" s="57">
        <v>0.3</v>
      </c>
      <c r="AK212" s="22"/>
      <c r="AL212" s="57">
        <v>-0.15</v>
      </c>
      <c r="AM212" s="57">
        <v>0.35</v>
      </c>
      <c r="AN212" s="57">
        <v>0.2</v>
      </c>
      <c r="AO212" s="22"/>
      <c r="AP212" s="23">
        <v>65</v>
      </c>
      <c r="AQ212" s="58">
        <v>0.4</v>
      </c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4">
        <v>42644</v>
      </c>
      <c r="BI212" s="60">
        <v>0.9</v>
      </c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/>
      <c r="CP212"/>
      <c r="CQ212"/>
      <c r="CR212"/>
      <c r="CS212"/>
      <c r="CT212"/>
      <c r="CY212" s="282">
        <f t="shared" ref="CY212:CY242" si="31">M212</f>
        <v>42644</v>
      </c>
      <c r="CZ212" s="281">
        <f t="shared" ref="CZ212:CZ242" si="32">AI212+AH212</f>
        <v>0.85000000000000009</v>
      </c>
      <c r="DA212" s="281">
        <f t="shared" ref="DA212:DA242" si="33">AI212</f>
        <v>1.1000000000000001</v>
      </c>
      <c r="DB212" s="281">
        <f t="shared" ref="DB212:DB242" si="34">AI212+AJ212</f>
        <v>1.4000000000000001</v>
      </c>
      <c r="DD212" s="281">
        <f t="shared" ref="DD212:DD242" si="35">Z212</f>
        <v>7.2221616438390465E-2</v>
      </c>
      <c r="DE212" s="281">
        <f t="shared" ref="DE212:DE242" si="36">AA212</f>
        <v>0.14444323287678093</v>
      </c>
      <c r="DF212" s="281">
        <f t="shared" ref="DF212:DF242" si="37">AB212</f>
        <v>0.21666484931517138</v>
      </c>
      <c r="DH212" s="282">
        <f t="shared" ref="DH212:DH242" si="38">BH212</f>
        <v>42644</v>
      </c>
      <c r="DI212" s="17">
        <f t="shared" ref="DI212:DI242" si="39">BI212</f>
        <v>0.9</v>
      </c>
    </row>
    <row r="213" spans="1:113">
      <c r="A213" s="27">
        <f t="shared" ca="1" si="30"/>
        <v>43009</v>
      </c>
      <c r="B213" s="17">
        <f>'Gas Curves'!C217</f>
        <v>6.2330246918987003E-2</v>
      </c>
      <c r="C213" s="17"/>
      <c r="D213" s="55">
        <v>41791</v>
      </c>
      <c r="E213" s="56">
        <v>49.68</v>
      </c>
      <c r="F213" s="56">
        <v>54.75</v>
      </c>
      <c r="G213" s="56">
        <v>60.62</v>
      </c>
      <c r="H213" s="40"/>
      <c r="I213" s="56">
        <v>22.989999618530273</v>
      </c>
      <c r="J213" s="56">
        <v>25.524999618530273</v>
      </c>
      <c r="K213" s="56">
        <v>27.944999618530275</v>
      </c>
      <c r="L213" s="23"/>
      <c r="M213" s="24">
        <v>42675</v>
      </c>
      <c r="N213" s="57">
        <v>31.300001525878901</v>
      </c>
      <c r="O213" s="57">
        <v>32.875001525878901</v>
      </c>
      <c r="P213" s="57">
        <v>34.382501525878901</v>
      </c>
      <c r="Q213" s="22"/>
      <c r="R213" s="57">
        <v>24.500000381469725</v>
      </c>
      <c r="S213" s="57">
        <v>29.500000381469725</v>
      </c>
      <c r="T213" s="57">
        <v>31.007500381469725</v>
      </c>
      <c r="U213" s="22"/>
      <c r="V213" s="57">
        <v>0</v>
      </c>
      <c r="W213" s="57">
        <v>0</v>
      </c>
      <c r="X213" s="57">
        <v>0</v>
      </c>
      <c r="Y213" s="22"/>
      <c r="Z213" s="57">
        <v>7.2221616438390465E-2</v>
      </c>
      <c r="AA213" s="57">
        <v>0.14444323287678093</v>
      </c>
      <c r="AB213" s="57">
        <v>0.21666484931517138</v>
      </c>
      <c r="AC213" s="22"/>
      <c r="AD213" s="57">
        <v>2.1713931617774868E-2</v>
      </c>
      <c r="AE213" s="57">
        <v>4.3427863235549737E-2</v>
      </c>
      <c r="AF213" s="57">
        <v>6.5141794853324608E-2</v>
      </c>
      <c r="AG213" s="22"/>
      <c r="AH213" s="57">
        <v>-0.25</v>
      </c>
      <c r="AI213" s="57">
        <v>1.25</v>
      </c>
      <c r="AJ213" s="57">
        <v>0.3</v>
      </c>
      <c r="AK213" s="22"/>
      <c r="AL213" s="57">
        <v>-0.15</v>
      </c>
      <c r="AM213" s="57">
        <v>0.3</v>
      </c>
      <c r="AN213" s="57">
        <v>0.2</v>
      </c>
      <c r="AO213" s="22"/>
      <c r="AP213" s="23">
        <v>66</v>
      </c>
      <c r="AQ213" s="58">
        <v>0.4</v>
      </c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4">
        <v>42675</v>
      </c>
      <c r="BI213" s="60">
        <v>0.9</v>
      </c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/>
      <c r="CP213"/>
      <c r="CQ213"/>
      <c r="CR213"/>
      <c r="CS213"/>
      <c r="CT213"/>
      <c r="CY213" s="282">
        <f t="shared" si="31"/>
        <v>42675</v>
      </c>
      <c r="CZ213" s="281">
        <f t="shared" si="32"/>
        <v>1</v>
      </c>
      <c r="DA213" s="281">
        <f t="shared" si="33"/>
        <v>1.25</v>
      </c>
      <c r="DB213" s="281">
        <f t="shared" si="34"/>
        <v>1.55</v>
      </c>
      <c r="DD213" s="281">
        <f t="shared" si="35"/>
        <v>7.2221616438390465E-2</v>
      </c>
      <c r="DE213" s="281">
        <f t="shared" si="36"/>
        <v>0.14444323287678093</v>
      </c>
      <c r="DF213" s="281">
        <f t="shared" si="37"/>
        <v>0.21666484931517138</v>
      </c>
      <c r="DH213" s="282">
        <f t="shared" si="38"/>
        <v>42675</v>
      </c>
      <c r="DI213" s="17">
        <f t="shared" si="39"/>
        <v>0.9</v>
      </c>
    </row>
    <row r="214" spans="1:113">
      <c r="A214" s="27">
        <f t="shared" ca="1" si="30"/>
        <v>43040</v>
      </c>
      <c r="B214" s="17">
        <f>'Gas Curves'!C218</f>
        <v>6.2354752510566012E-2</v>
      </c>
      <c r="C214" s="17"/>
      <c r="D214" s="55">
        <v>41821</v>
      </c>
      <c r="E214" s="56">
        <v>68.349999999999994</v>
      </c>
      <c r="F214" s="56">
        <v>78.25</v>
      </c>
      <c r="G214" s="56">
        <v>90.76</v>
      </c>
      <c r="H214" s="40"/>
      <c r="I214" s="56">
        <v>24.3</v>
      </c>
      <c r="J214" s="56">
        <v>29.25</v>
      </c>
      <c r="K214" s="56">
        <v>34.414999999999999</v>
      </c>
      <c r="L214" s="23"/>
      <c r="M214" s="24">
        <v>42705</v>
      </c>
      <c r="N214" s="57">
        <v>31.9</v>
      </c>
      <c r="O214" s="57">
        <v>33.475000000000001</v>
      </c>
      <c r="P214" s="57">
        <v>34.982500000000002</v>
      </c>
      <c r="Q214" s="22"/>
      <c r="R214" s="57">
        <v>25.000000381469725</v>
      </c>
      <c r="S214" s="57">
        <v>30.000000381469725</v>
      </c>
      <c r="T214" s="57">
        <v>31.507500381469725</v>
      </c>
      <c r="U214" s="22"/>
      <c r="V214" s="57">
        <v>0</v>
      </c>
      <c r="W214" s="57">
        <v>0</v>
      </c>
      <c r="X214" s="57">
        <v>0</v>
      </c>
      <c r="Y214" s="22"/>
      <c r="Z214" s="57">
        <v>7.0779927281380176E-2</v>
      </c>
      <c r="AA214" s="57">
        <v>0.14155985456276035</v>
      </c>
      <c r="AB214" s="57">
        <v>0.21233978184414054</v>
      </c>
      <c r="AC214" s="22"/>
      <c r="AD214" s="57">
        <v>2.1713931617774868E-2</v>
      </c>
      <c r="AE214" s="57">
        <v>4.3427863235549737E-2</v>
      </c>
      <c r="AF214" s="57">
        <v>6.5141794853324608E-2</v>
      </c>
      <c r="AG214" s="22"/>
      <c r="AH214" s="57">
        <v>-0.25</v>
      </c>
      <c r="AI214" s="57">
        <v>1.25</v>
      </c>
      <c r="AJ214" s="57">
        <v>0.35</v>
      </c>
      <c r="AK214" s="22"/>
      <c r="AL214" s="57">
        <v>-0.15</v>
      </c>
      <c r="AM214" s="57">
        <v>0.3</v>
      </c>
      <c r="AN214" s="57">
        <v>0.2</v>
      </c>
      <c r="AO214" s="22"/>
      <c r="AP214" s="23">
        <v>66</v>
      </c>
      <c r="AQ214" s="58">
        <v>0.4</v>
      </c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4">
        <v>42705</v>
      </c>
      <c r="BI214" s="60">
        <v>0.9</v>
      </c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/>
      <c r="CP214"/>
      <c r="CQ214"/>
      <c r="CR214"/>
      <c r="CS214"/>
      <c r="CT214"/>
      <c r="CY214" s="282">
        <f t="shared" si="31"/>
        <v>42705</v>
      </c>
      <c r="CZ214" s="281">
        <f t="shared" si="32"/>
        <v>1</v>
      </c>
      <c r="DA214" s="281">
        <f t="shared" si="33"/>
        <v>1.25</v>
      </c>
      <c r="DB214" s="281">
        <f t="shared" si="34"/>
        <v>1.6</v>
      </c>
      <c r="DD214" s="281">
        <f t="shared" si="35"/>
        <v>7.0779927281380176E-2</v>
      </c>
      <c r="DE214" s="281">
        <f t="shared" si="36"/>
        <v>0.14155985456276035</v>
      </c>
      <c r="DF214" s="281">
        <f t="shared" si="37"/>
        <v>0.21233978184414054</v>
      </c>
      <c r="DH214" s="282">
        <f t="shared" si="38"/>
        <v>42705</v>
      </c>
      <c r="DI214" s="17">
        <f t="shared" si="39"/>
        <v>0.9</v>
      </c>
    </row>
    <row r="215" spans="1:113">
      <c r="A215" s="27">
        <f t="shared" ca="1" si="30"/>
        <v>43070</v>
      </c>
      <c r="B215" s="17">
        <f>'Gas Curves'!C219</f>
        <v>6.237846759938101E-2</v>
      </c>
      <c r="C215" s="17"/>
      <c r="D215" s="55">
        <v>41852</v>
      </c>
      <c r="E215" s="56">
        <v>68.349999999999994</v>
      </c>
      <c r="F215" s="56">
        <v>78.25</v>
      </c>
      <c r="G215" s="56">
        <v>90.76</v>
      </c>
      <c r="H215" s="40"/>
      <c r="I215" s="56">
        <v>36.450001525878903</v>
      </c>
      <c r="J215" s="56">
        <v>41.400001525878906</v>
      </c>
      <c r="K215" s="56">
        <v>46.565001525878905</v>
      </c>
      <c r="L215" s="23"/>
      <c r="M215" s="24">
        <v>42736</v>
      </c>
      <c r="N215" s="57">
        <v>34.429496002197268</v>
      </c>
      <c r="O215" s="57">
        <v>36.004496002197271</v>
      </c>
      <c r="P215" s="57">
        <v>37.264496002197269</v>
      </c>
      <c r="Q215" s="22"/>
      <c r="R215" s="57">
        <v>27.103997421264651</v>
      </c>
      <c r="S215" s="57">
        <v>32.103997421264651</v>
      </c>
      <c r="T215" s="57">
        <v>33.363997421264649</v>
      </c>
      <c r="U215" s="22"/>
      <c r="V215" s="57">
        <v>0</v>
      </c>
      <c r="W215" s="57">
        <v>0</v>
      </c>
      <c r="X215" s="57">
        <v>0</v>
      </c>
      <c r="Y215" s="22"/>
      <c r="Z215" s="57">
        <v>0.10444900783951633</v>
      </c>
      <c r="AA215" s="57">
        <v>0.20889801567903266</v>
      </c>
      <c r="AB215" s="57">
        <v>0.31334702351854898</v>
      </c>
      <c r="AC215" s="22"/>
      <c r="AD215" s="57">
        <v>2.4826261816322606E-2</v>
      </c>
      <c r="AE215" s="57">
        <v>4.9652523632645211E-2</v>
      </c>
      <c r="AF215" s="57">
        <v>7.4478785448967813E-2</v>
      </c>
      <c r="AG215" s="22"/>
      <c r="AH215" s="57">
        <v>-0.75</v>
      </c>
      <c r="AI215" s="57">
        <v>2</v>
      </c>
      <c r="AJ215" s="57">
        <v>0.75</v>
      </c>
      <c r="AK215" s="22"/>
      <c r="AL215" s="57">
        <v>-0.15</v>
      </c>
      <c r="AM215" s="57">
        <v>0.5</v>
      </c>
      <c r="AN215" s="57">
        <v>0.2</v>
      </c>
      <c r="AO215" s="22"/>
      <c r="AP215" s="23">
        <v>66</v>
      </c>
      <c r="AQ215" s="58">
        <v>0.4</v>
      </c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4">
        <v>42736</v>
      </c>
      <c r="BI215" s="60">
        <v>0.9</v>
      </c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/>
      <c r="CP215"/>
      <c r="CQ215"/>
      <c r="CR215"/>
      <c r="CS215"/>
      <c r="CT215"/>
      <c r="CY215" s="282">
        <f t="shared" si="31"/>
        <v>42736</v>
      </c>
      <c r="CZ215" s="281">
        <f t="shared" si="32"/>
        <v>1.25</v>
      </c>
      <c r="DA215" s="281">
        <f t="shared" si="33"/>
        <v>2</v>
      </c>
      <c r="DB215" s="281">
        <f t="shared" si="34"/>
        <v>2.75</v>
      </c>
      <c r="DD215" s="281">
        <f t="shared" si="35"/>
        <v>0.10444900783951633</v>
      </c>
      <c r="DE215" s="281">
        <f t="shared" si="36"/>
        <v>0.20889801567903266</v>
      </c>
      <c r="DF215" s="281">
        <f t="shared" si="37"/>
        <v>0.31334702351854898</v>
      </c>
      <c r="DH215" s="282">
        <f t="shared" si="38"/>
        <v>42736</v>
      </c>
      <c r="DI215" s="17">
        <f t="shared" si="39"/>
        <v>0.9</v>
      </c>
    </row>
    <row r="216" spans="1:113">
      <c r="A216" s="27">
        <f t="shared" ca="1" si="30"/>
        <v>43101</v>
      </c>
      <c r="B216" s="17">
        <f>'Gas Curves'!C220</f>
        <v>6.2402973191352018E-2</v>
      </c>
      <c r="C216" s="17"/>
      <c r="D216" s="55">
        <v>41883</v>
      </c>
      <c r="E216" s="56">
        <v>34.83</v>
      </c>
      <c r="F216" s="56">
        <v>39.9</v>
      </c>
      <c r="G216" s="56">
        <v>43.75</v>
      </c>
      <c r="H216" s="40"/>
      <c r="I216" s="56">
        <v>27.364999618530273</v>
      </c>
      <c r="J216" s="56">
        <v>29.899999618530273</v>
      </c>
      <c r="K216" s="56">
        <v>31.489999618530273</v>
      </c>
      <c r="L216" s="23"/>
      <c r="M216" s="24">
        <v>42767</v>
      </c>
      <c r="N216" s="57">
        <v>34.091996765136727</v>
      </c>
      <c r="O216" s="57">
        <v>35.329496765136724</v>
      </c>
      <c r="P216" s="57">
        <v>36.589496765136722</v>
      </c>
      <c r="Q216" s="22"/>
      <c r="R216" s="57">
        <v>26.503997039794921</v>
      </c>
      <c r="S216" s="57">
        <v>31.503997039794921</v>
      </c>
      <c r="T216" s="57">
        <v>32.763997039794923</v>
      </c>
      <c r="U216" s="22"/>
      <c r="V216" s="57">
        <v>0</v>
      </c>
      <c r="W216" s="57">
        <v>0</v>
      </c>
      <c r="X216" s="57">
        <v>0</v>
      </c>
      <c r="Y216" s="22"/>
      <c r="Z216" s="57">
        <v>0.10090482992879422</v>
      </c>
      <c r="AA216" s="57">
        <v>0.20180965985758845</v>
      </c>
      <c r="AB216" s="57">
        <v>0.30271448978638266</v>
      </c>
      <c r="AC216" s="22"/>
      <c r="AD216" s="57">
        <v>2.4826261816322606E-2</v>
      </c>
      <c r="AE216" s="57">
        <v>4.9652523632645211E-2</v>
      </c>
      <c r="AF216" s="57">
        <v>7.4478785448967813E-2</v>
      </c>
      <c r="AG216" s="22"/>
      <c r="AH216" s="57">
        <v>-0.75</v>
      </c>
      <c r="AI216" s="57">
        <v>2</v>
      </c>
      <c r="AJ216" s="57">
        <v>0.75</v>
      </c>
      <c r="AK216" s="22"/>
      <c r="AL216" s="57">
        <v>-0.15</v>
      </c>
      <c r="AM216" s="57">
        <v>0.5</v>
      </c>
      <c r="AN216" s="57">
        <v>0.2</v>
      </c>
      <c r="AO216" s="22"/>
      <c r="AP216" s="23">
        <v>67</v>
      </c>
      <c r="AQ216" s="58">
        <v>0.4</v>
      </c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4">
        <v>42767</v>
      </c>
      <c r="BI216" s="60">
        <v>0.9</v>
      </c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/>
      <c r="CP216"/>
      <c r="CQ216"/>
      <c r="CR216"/>
      <c r="CS216"/>
      <c r="CT216"/>
      <c r="CY216" s="282">
        <f t="shared" si="31"/>
        <v>42767</v>
      </c>
      <c r="CZ216" s="281">
        <f t="shared" si="32"/>
        <v>1.25</v>
      </c>
      <c r="DA216" s="281">
        <f t="shared" si="33"/>
        <v>2</v>
      </c>
      <c r="DB216" s="281">
        <f t="shared" si="34"/>
        <v>2.75</v>
      </c>
      <c r="DD216" s="281">
        <f t="shared" si="35"/>
        <v>0.10090482992879422</v>
      </c>
      <c r="DE216" s="281">
        <f t="shared" si="36"/>
        <v>0.20180965985758845</v>
      </c>
      <c r="DF216" s="281">
        <f t="shared" si="37"/>
        <v>0.30271448978638266</v>
      </c>
      <c r="DH216" s="282">
        <f t="shared" si="38"/>
        <v>42767</v>
      </c>
      <c r="DI216" s="17">
        <f t="shared" si="39"/>
        <v>0.9</v>
      </c>
    </row>
    <row r="217" spans="1:113">
      <c r="A217" s="27">
        <f t="shared" ca="1" si="30"/>
        <v>43132</v>
      </c>
      <c r="B217" s="17">
        <f>'Gas Curves'!C221</f>
        <v>6.2427478783523012E-2</v>
      </c>
      <c r="C217" s="17"/>
      <c r="D217" s="55">
        <v>41913</v>
      </c>
      <c r="E217" s="56">
        <v>37.270000000000003</v>
      </c>
      <c r="F217" s="56">
        <v>39.9</v>
      </c>
      <c r="G217" s="56">
        <v>42.35</v>
      </c>
      <c r="H217" s="40"/>
      <c r="I217" s="56">
        <v>26.584999618530272</v>
      </c>
      <c r="J217" s="56">
        <v>27.899999618530273</v>
      </c>
      <c r="K217" s="56">
        <v>28.904999618530272</v>
      </c>
      <c r="L217" s="23"/>
      <c r="M217" s="24">
        <v>42795</v>
      </c>
      <c r="N217" s="57">
        <v>28.237496948242185</v>
      </c>
      <c r="O217" s="57">
        <v>29.474996948242186</v>
      </c>
      <c r="P217" s="57">
        <v>30.734996948242188</v>
      </c>
      <c r="Q217" s="22"/>
      <c r="R217" s="57">
        <v>21.299998474121093</v>
      </c>
      <c r="S217" s="57">
        <v>26.299998474121093</v>
      </c>
      <c r="T217" s="57">
        <v>27.559998474121095</v>
      </c>
      <c r="U217" s="22"/>
      <c r="V217" s="57">
        <v>0</v>
      </c>
      <c r="W217" s="57">
        <v>0</v>
      </c>
      <c r="X217" s="57">
        <v>0</v>
      </c>
      <c r="Y217" s="22"/>
      <c r="Z217" s="57">
        <v>7.9993022027458352E-2</v>
      </c>
      <c r="AA217" s="57">
        <v>0.1599860440549167</v>
      </c>
      <c r="AB217" s="57">
        <v>0.23997906608237507</v>
      </c>
      <c r="AC217" s="22"/>
      <c r="AD217" s="57">
        <v>2.1713931617774868E-2</v>
      </c>
      <c r="AE217" s="57">
        <v>4.3427863235549737E-2</v>
      </c>
      <c r="AF217" s="57">
        <v>6.5141794853324608E-2</v>
      </c>
      <c r="AG217" s="22"/>
      <c r="AH217" s="57">
        <v>-0.25</v>
      </c>
      <c r="AI217" s="57">
        <v>1.3</v>
      </c>
      <c r="AJ217" s="57">
        <v>0.3</v>
      </c>
      <c r="AK217" s="22"/>
      <c r="AL217" s="57">
        <v>-0.15</v>
      </c>
      <c r="AM217" s="57">
        <v>0.35</v>
      </c>
      <c r="AN217" s="57">
        <v>0.2</v>
      </c>
      <c r="AO217" s="22"/>
      <c r="AP217" s="23">
        <v>67</v>
      </c>
      <c r="AQ217" s="58">
        <v>0.4</v>
      </c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4">
        <v>42795</v>
      </c>
      <c r="BI217" s="60">
        <v>0.9</v>
      </c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/>
      <c r="CP217"/>
      <c r="CQ217"/>
      <c r="CR217"/>
      <c r="CS217"/>
      <c r="CT217"/>
      <c r="CY217" s="282">
        <f t="shared" si="31"/>
        <v>42795</v>
      </c>
      <c r="CZ217" s="281">
        <f t="shared" si="32"/>
        <v>1.05</v>
      </c>
      <c r="DA217" s="281">
        <f t="shared" si="33"/>
        <v>1.3</v>
      </c>
      <c r="DB217" s="281">
        <f t="shared" si="34"/>
        <v>1.6</v>
      </c>
      <c r="DD217" s="281">
        <f t="shared" si="35"/>
        <v>7.9993022027458352E-2</v>
      </c>
      <c r="DE217" s="281">
        <f t="shared" si="36"/>
        <v>0.1599860440549167</v>
      </c>
      <c r="DF217" s="281">
        <f t="shared" si="37"/>
        <v>0.23997906608237507</v>
      </c>
      <c r="DH217" s="282">
        <f t="shared" si="38"/>
        <v>42795</v>
      </c>
      <c r="DI217" s="17">
        <f t="shared" si="39"/>
        <v>0.9</v>
      </c>
    </row>
    <row r="218" spans="1:113">
      <c r="A218" s="27">
        <f t="shared" ca="1" si="30"/>
        <v>43160</v>
      </c>
      <c r="B218" s="17">
        <f>'Gas Curves'!C222</f>
        <v>6.244961286694601E-2</v>
      </c>
      <c r="C218" s="17"/>
      <c r="D218" s="55">
        <v>41944</v>
      </c>
      <c r="E218" s="56">
        <v>39.770000000000003</v>
      </c>
      <c r="F218" s="56">
        <v>42.4</v>
      </c>
      <c r="G218" s="56">
        <v>44.85</v>
      </c>
      <c r="H218" s="40"/>
      <c r="I218" s="56">
        <v>27.334999618530272</v>
      </c>
      <c r="J218" s="56">
        <v>28.649999618530273</v>
      </c>
      <c r="K218" s="56">
        <v>29.654999618530272</v>
      </c>
      <c r="L218" s="23"/>
      <c r="M218" s="24">
        <v>42826</v>
      </c>
      <c r="N218" s="57">
        <v>27.224999618530273</v>
      </c>
      <c r="O218" s="57">
        <v>28.799999618530272</v>
      </c>
      <c r="P218" s="57">
        <v>30.059999618530274</v>
      </c>
      <c r="Q218" s="22"/>
      <c r="R218" s="57">
        <v>20.7</v>
      </c>
      <c r="S218" s="57">
        <v>25.7</v>
      </c>
      <c r="T218" s="57">
        <v>26.96</v>
      </c>
      <c r="U218" s="22"/>
      <c r="V218" s="57">
        <v>0</v>
      </c>
      <c r="W218" s="57">
        <v>0</v>
      </c>
      <c r="X218" s="57">
        <v>0</v>
      </c>
      <c r="Y218" s="22"/>
      <c r="Z218" s="57">
        <v>7.9882990360295433E-2</v>
      </c>
      <c r="AA218" s="57">
        <v>0.15976598072059087</v>
      </c>
      <c r="AB218" s="57">
        <v>0.23964897108088629</v>
      </c>
      <c r="AC218" s="22"/>
      <c r="AD218" s="57">
        <v>2.1713931617774868E-2</v>
      </c>
      <c r="AE218" s="57">
        <v>4.3427863235549737E-2</v>
      </c>
      <c r="AF218" s="57">
        <v>6.5141794853324608E-2</v>
      </c>
      <c r="AG218" s="22"/>
      <c r="AH218" s="57">
        <v>-0.25</v>
      </c>
      <c r="AI218" s="57">
        <v>1.1000000000000001</v>
      </c>
      <c r="AJ218" s="57">
        <v>0.3</v>
      </c>
      <c r="AK218" s="22"/>
      <c r="AL218" s="57">
        <v>-0.15</v>
      </c>
      <c r="AM218" s="57">
        <v>0.35</v>
      </c>
      <c r="AN218" s="57">
        <v>0.2</v>
      </c>
      <c r="AO218" s="22"/>
      <c r="AP218" s="23">
        <v>67</v>
      </c>
      <c r="AQ218" s="58">
        <v>0.4</v>
      </c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4">
        <v>42826</v>
      </c>
      <c r="BI218" s="60">
        <v>0.9</v>
      </c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/>
      <c r="CP218"/>
      <c r="CQ218"/>
      <c r="CR218"/>
      <c r="CS218"/>
      <c r="CT218"/>
      <c r="CY218" s="282">
        <f t="shared" si="31"/>
        <v>42826</v>
      </c>
      <c r="CZ218" s="281">
        <f t="shared" si="32"/>
        <v>0.85000000000000009</v>
      </c>
      <c r="DA218" s="281">
        <f t="shared" si="33"/>
        <v>1.1000000000000001</v>
      </c>
      <c r="DB218" s="281">
        <f t="shared" si="34"/>
        <v>1.4000000000000001</v>
      </c>
      <c r="DD218" s="281">
        <f t="shared" si="35"/>
        <v>7.9882990360295433E-2</v>
      </c>
      <c r="DE218" s="281">
        <f t="shared" si="36"/>
        <v>0.15976598072059087</v>
      </c>
      <c r="DF218" s="281">
        <f t="shared" si="37"/>
        <v>0.23964897108088629</v>
      </c>
      <c r="DH218" s="282">
        <f t="shared" si="38"/>
        <v>42826</v>
      </c>
      <c r="DI218" s="17">
        <f t="shared" si="39"/>
        <v>0.9</v>
      </c>
    </row>
    <row r="219" spans="1:113">
      <c r="A219" s="27">
        <f t="shared" ca="1" si="30"/>
        <v>43191</v>
      </c>
      <c r="B219" s="17">
        <f>'Gas Curves'!C223</f>
        <v>6.247411845949602E-2</v>
      </c>
      <c r="C219" s="17"/>
      <c r="D219" s="55">
        <v>41974</v>
      </c>
      <c r="E219" s="56">
        <v>39.770000000000003</v>
      </c>
      <c r="F219" s="56">
        <v>42.4</v>
      </c>
      <c r="G219" s="56">
        <v>44.85</v>
      </c>
      <c r="H219" s="40"/>
      <c r="I219" s="56">
        <v>27.234999237060546</v>
      </c>
      <c r="J219" s="56">
        <v>28.549999237060547</v>
      </c>
      <c r="K219" s="56">
        <v>29.554999237060546</v>
      </c>
      <c r="L219" s="23"/>
      <c r="M219" s="24">
        <v>42856</v>
      </c>
      <c r="N219" s="57">
        <v>30.824999999999999</v>
      </c>
      <c r="O219" s="57">
        <v>32.4</v>
      </c>
      <c r="P219" s="57">
        <v>34.784999999999997</v>
      </c>
      <c r="Q219" s="22"/>
      <c r="R219" s="57">
        <v>23.89999885559082</v>
      </c>
      <c r="S219" s="57">
        <v>28.89999885559082</v>
      </c>
      <c r="T219" s="57">
        <v>31.284998855590821</v>
      </c>
      <c r="U219" s="22"/>
      <c r="V219" s="57">
        <v>0</v>
      </c>
      <c r="W219" s="57">
        <v>0</v>
      </c>
      <c r="X219" s="57">
        <v>0</v>
      </c>
      <c r="Y219" s="22"/>
      <c r="Z219" s="57">
        <v>8.4038712694828405E-2</v>
      </c>
      <c r="AA219" s="57">
        <v>0.16807742538965681</v>
      </c>
      <c r="AB219" s="57">
        <v>0.25211613808448519</v>
      </c>
      <c r="AC219" s="22"/>
      <c r="AD219" s="57">
        <v>2.4826261816322606E-2</v>
      </c>
      <c r="AE219" s="57">
        <v>4.9652523632645211E-2</v>
      </c>
      <c r="AF219" s="57">
        <v>7.4478785448967813E-2</v>
      </c>
      <c r="AG219" s="22"/>
      <c r="AH219" s="57">
        <v>-0.25</v>
      </c>
      <c r="AI219" s="57">
        <v>1.1000000000000001</v>
      </c>
      <c r="AJ219" s="57">
        <v>0.3</v>
      </c>
      <c r="AK219" s="22"/>
      <c r="AL219" s="57">
        <v>-0.15</v>
      </c>
      <c r="AM219" s="57">
        <v>0.5</v>
      </c>
      <c r="AN219" s="57">
        <v>0.2</v>
      </c>
      <c r="AO219" s="22"/>
      <c r="AP219" s="23">
        <v>68</v>
      </c>
      <c r="AQ219" s="58">
        <v>0.4</v>
      </c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4">
        <v>42856</v>
      </c>
      <c r="BI219" s="60">
        <v>0.9</v>
      </c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/>
      <c r="CP219"/>
      <c r="CQ219"/>
      <c r="CR219"/>
      <c r="CS219"/>
      <c r="CT219"/>
      <c r="CY219" s="282">
        <f t="shared" si="31"/>
        <v>42856</v>
      </c>
      <c r="CZ219" s="281">
        <f t="shared" si="32"/>
        <v>0.85000000000000009</v>
      </c>
      <c r="DA219" s="281">
        <f t="shared" si="33"/>
        <v>1.1000000000000001</v>
      </c>
      <c r="DB219" s="281">
        <f t="shared" si="34"/>
        <v>1.4000000000000001</v>
      </c>
      <c r="DD219" s="281">
        <f t="shared" si="35"/>
        <v>8.4038712694828405E-2</v>
      </c>
      <c r="DE219" s="281">
        <f t="shared" si="36"/>
        <v>0.16807742538965681</v>
      </c>
      <c r="DF219" s="281">
        <f t="shared" si="37"/>
        <v>0.25211613808448519</v>
      </c>
      <c r="DH219" s="282">
        <f t="shared" si="38"/>
        <v>42856</v>
      </c>
      <c r="DI219" s="17">
        <f t="shared" si="39"/>
        <v>0.9</v>
      </c>
    </row>
    <row r="220" spans="1:113">
      <c r="A220" s="27">
        <f t="shared" ca="1" si="30"/>
        <v>43221</v>
      </c>
      <c r="B220" s="17">
        <f>'Gas Curves'!C224</f>
        <v>6.2497833549250016E-2</v>
      </c>
      <c r="C220" s="17"/>
      <c r="D220" s="55">
        <v>42005</v>
      </c>
      <c r="E220" s="56">
        <v>56.07</v>
      </c>
      <c r="F220" s="56">
        <v>58.7</v>
      </c>
      <c r="G220" s="56">
        <v>60.74</v>
      </c>
      <c r="H220" s="40"/>
      <c r="I220" s="56">
        <v>28.285000381469725</v>
      </c>
      <c r="J220" s="56">
        <v>29.600000381469727</v>
      </c>
      <c r="K220" s="56">
        <v>30.440000381469726</v>
      </c>
      <c r="L220" s="23"/>
      <c r="M220" s="24">
        <v>42887</v>
      </c>
      <c r="N220" s="57">
        <v>36.162503051757817</v>
      </c>
      <c r="O220" s="57">
        <v>39.200003051757818</v>
      </c>
      <c r="P220" s="57">
        <v>42.830003051757821</v>
      </c>
      <c r="Q220" s="22"/>
      <c r="R220" s="57">
        <v>29.400002670288089</v>
      </c>
      <c r="S220" s="57">
        <v>34.400002670288089</v>
      </c>
      <c r="T220" s="57">
        <v>38.030002670288091</v>
      </c>
      <c r="U220" s="22"/>
      <c r="V220" s="57">
        <v>0</v>
      </c>
      <c r="W220" s="57">
        <v>0</v>
      </c>
      <c r="X220" s="57">
        <v>0</v>
      </c>
      <c r="Y220" s="22"/>
      <c r="Z220" s="57">
        <v>8.9873865738690509E-2</v>
      </c>
      <c r="AA220" s="57">
        <v>0.17974773147738102</v>
      </c>
      <c r="AB220" s="57">
        <v>0.26962159721607154</v>
      </c>
      <c r="AC220" s="22"/>
      <c r="AD220" s="57">
        <v>3.1919479478129051E-2</v>
      </c>
      <c r="AE220" s="57">
        <v>6.3838958956258102E-2</v>
      </c>
      <c r="AF220" s="57">
        <v>9.5758438434387153E-2</v>
      </c>
      <c r="AG220" s="22"/>
      <c r="AH220" s="57">
        <v>-0.35</v>
      </c>
      <c r="AI220" s="57">
        <v>2</v>
      </c>
      <c r="AJ220" s="57">
        <v>0.3</v>
      </c>
      <c r="AK220" s="22"/>
      <c r="AL220" s="57">
        <v>-0.15</v>
      </c>
      <c r="AM220" s="57">
        <v>0.65</v>
      </c>
      <c r="AN220" s="57">
        <v>0.2</v>
      </c>
      <c r="AO220" s="22"/>
      <c r="AP220" s="23">
        <v>68</v>
      </c>
      <c r="AQ220" s="58">
        <v>0.4</v>
      </c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4">
        <v>42887</v>
      </c>
      <c r="BI220" s="60">
        <v>0.9</v>
      </c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/>
      <c r="CP220"/>
      <c r="CQ220"/>
      <c r="CR220"/>
      <c r="CS220"/>
      <c r="CT220"/>
      <c r="CY220" s="282">
        <f t="shared" si="31"/>
        <v>42887</v>
      </c>
      <c r="CZ220" s="281">
        <f t="shared" si="32"/>
        <v>1.65</v>
      </c>
      <c r="DA220" s="281">
        <f t="shared" si="33"/>
        <v>2</v>
      </c>
      <c r="DB220" s="281">
        <f t="shared" si="34"/>
        <v>2.2999999999999998</v>
      </c>
      <c r="DD220" s="281">
        <f t="shared" si="35"/>
        <v>8.9873865738690509E-2</v>
      </c>
      <c r="DE220" s="281">
        <f t="shared" si="36"/>
        <v>0.17974773147738102</v>
      </c>
      <c r="DF220" s="281">
        <f t="shared" si="37"/>
        <v>0.26962159721607154</v>
      </c>
      <c r="DH220" s="282">
        <f t="shared" si="38"/>
        <v>42887</v>
      </c>
      <c r="DI220" s="17">
        <f t="shared" si="39"/>
        <v>0.9</v>
      </c>
    </row>
    <row r="221" spans="1:113">
      <c r="A221" s="27">
        <f t="shared" ca="1" si="30"/>
        <v>43252</v>
      </c>
      <c r="B221" s="17">
        <f>'Gas Curves'!C225</f>
        <v>6.2522339142193017E-2</v>
      </c>
      <c r="C221" s="17"/>
      <c r="D221" s="55">
        <v>42036</v>
      </c>
      <c r="E221" s="56">
        <v>56.63</v>
      </c>
      <c r="F221" s="56">
        <v>58.7</v>
      </c>
      <c r="G221" s="56">
        <v>60.74</v>
      </c>
      <c r="H221" s="40"/>
      <c r="I221" s="56">
        <v>25.215</v>
      </c>
      <c r="J221" s="56">
        <v>26.25</v>
      </c>
      <c r="K221" s="56">
        <v>27.09</v>
      </c>
      <c r="L221" s="23"/>
      <c r="M221" s="24">
        <v>42917</v>
      </c>
      <c r="N221" s="57">
        <v>38.175001525878912</v>
      </c>
      <c r="O221" s="57">
        <v>45.600001525878909</v>
      </c>
      <c r="P221" s="57">
        <v>53.347501525878911</v>
      </c>
      <c r="Q221" s="22"/>
      <c r="R221" s="57">
        <v>34.600001525878909</v>
      </c>
      <c r="S221" s="57">
        <v>39.600001525878909</v>
      </c>
      <c r="T221" s="57">
        <v>47.347501525878911</v>
      </c>
      <c r="U221" s="22"/>
      <c r="V221" s="57">
        <v>0</v>
      </c>
      <c r="W221" s="57">
        <v>0</v>
      </c>
      <c r="X221" s="57">
        <v>0</v>
      </c>
      <c r="Y221" s="22"/>
      <c r="Z221" s="57">
        <v>0.10704459695648633</v>
      </c>
      <c r="AA221" s="57">
        <v>0.21408919391297265</v>
      </c>
      <c r="AB221" s="57">
        <v>0.32113379086945898</v>
      </c>
      <c r="AC221" s="22"/>
      <c r="AD221" s="57">
        <v>4.2559305970838741E-2</v>
      </c>
      <c r="AE221" s="57">
        <v>8.5118611941677483E-2</v>
      </c>
      <c r="AF221" s="57">
        <v>0.12767791791251623</v>
      </c>
      <c r="AG221" s="22"/>
      <c r="AH221" s="57">
        <v>-0.35</v>
      </c>
      <c r="AI221" s="57">
        <v>3</v>
      </c>
      <c r="AJ221" s="57">
        <v>0.5</v>
      </c>
      <c r="AK221" s="22"/>
      <c r="AL221" s="57">
        <v>-0.15</v>
      </c>
      <c r="AM221" s="57">
        <v>0.75</v>
      </c>
      <c r="AN221" s="57">
        <v>0.2</v>
      </c>
      <c r="AO221" s="22"/>
      <c r="AP221" s="23">
        <v>68</v>
      </c>
      <c r="AQ221" s="58">
        <v>0.4</v>
      </c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4">
        <v>42917</v>
      </c>
      <c r="BI221" s="60">
        <v>0.9</v>
      </c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/>
      <c r="CP221"/>
      <c r="CQ221"/>
      <c r="CR221"/>
      <c r="CS221"/>
      <c r="CT221"/>
      <c r="CY221" s="282">
        <f t="shared" si="31"/>
        <v>42917</v>
      </c>
      <c r="CZ221" s="281">
        <f t="shared" si="32"/>
        <v>2.65</v>
      </c>
      <c r="DA221" s="281">
        <f t="shared" si="33"/>
        <v>3</v>
      </c>
      <c r="DB221" s="281">
        <f t="shared" si="34"/>
        <v>3.5</v>
      </c>
      <c r="DD221" s="281">
        <f t="shared" si="35"/>
        <v>0.10704459695648633</v>
      </c>
      <c r="DE221" s="281">
        <f t="shared" si="36"/>
        <v>0.21408919391297265</v>
      </c>
      <c r="DF221" s="281">
        <f t="shared" si="37"/>
        <v>0.32113379086945898</v>
      </c>
      <c r="DH221" s="282">
        <f t="shared" si="38"/>
        <v>42917</v>
      </c>
      <c r="DI221" s="17">
        <f t="shared" si="39"/>
        <v>0.9</v>
      </c>
    </row>
    <row r="222" spans="1:113">
      <c r="A222" s="27">
        <f t="shared" ca="1" si="30"/>
        <v>43282</v>
      </c>
      <c r="B222" s="17">
        <f>'Gas Curves'!C226</f>
        <v>6.2546054232326023E-2</v>
      </c>
      <c r="C222" s="17"/>
      <c r="D222" s="55">
        <v>42064</v>
      </c>
      <c r="E222" s="56">
        <v>39.630000000000003</v>
      </c>
      <c r="F222" s="56">
        <v>41.7</v>
      </c>
      <c r="G222" s="56">
        <v>43.74</v>
      </c>
      <c r="H222" s="40"/>
      <c r="I222" s="56">
        <v>25.614999618530273</v>
      </c>
      <c r="J222" s="56">
        <v>26.649999618530273</v>
      </c>
      <c r="K222" s="56">
        <v>27.489999618530273</v>
      </c>
      <c r="L222" s="23"/>
      <c r="M222" s="24">
        <v>42948</v>
      </c>
      <c r="N222" s="57">
        <v>49.925001525878912</v>
      </c>
      <c r="O222" s="57">
        <v>57.350001525878909</v>
      </c>
      <c r="P222" s="57">
        <v>65.097501525878911</v>
      </c>
      <c r="Q222" s="22"/>
      <c r="R222" s="57">
        <v>46.400000762939456</v>
      </c>
      <c r="S222" s="57">
        <v>51.400000762939456</v>
      </c>
      <c r="T222" s="57">
        <v>59.147500762939458</v>
      </c>
      <c r="U222" s="22"/>
      <c r="V222" s="57">
        <v>0</v>
      </c>
      <c r="W222" s="57">
        <v>0</v>
      </c>
      <c r="X222" s="57">
        <v>0</v>
      </c>
      <c r="Y222" s="22"/>
      <c r="Z222" s="57">
        <v>0.10469918510380259</v>
      </c>
      <c r="AA222" s="57">
        <v>0.20939837020760518</v>
      </c>
      <c r="AB222" s="57">
        <v>0.31409755531140776</v>
      </c>
      <c r="AC222" s="22"/>
      <c r="AD222" s="57">
        <v>4.2559305970838741E-2</v>
      </c>
      <c r="AE222" s="57">
        <v>8.5118611941677483E-2</v>
      </c>
      <c r="AF222" s="57">
        <v>0.12767791791251623</v>
      </c>
      <c r="AG222" s="22"/>
      <c r="AH222" s="57">
        <v>-0.35</v>
      </c>
      <c r="AI222" s="57">
        <v>3</v>
      </c>
      <c r="AJ222" s="57">
        <v>0.5</v>
      </c>
      <c r="AK222" s="22"/>
      <c r="AL222" s="57">
        <v>-0.15</v>
      </c>
      <c r="AM222" s="57">
        <v>0.75</v>
      </c>
      <c r="AN222" s="57">
        <v>0.2</v>
      </c>
      <c r="AO222" s="22"/>
      <c r="AP222" s="23">
        <v>69</v>
      </c>
      <c r="AQ222" s="58">
        <v>0.4</v>
      </c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4">
        <v>42948</v>
      </c>
      <c r="BI222" s="60">
        <v>0.9</v>
      </c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/>
      <c r="CP222"/>
      <c r="CQ222"/>
      <c r="CR222"/>
      <c r="CS222"/>
      <c r="CT222"/>
      <c r="CY222" s="282">
        <f t="shared" si="31"/>
        <v>42948</v>
      </c>
      <c r="CZ222" s="281">
        <f t="shared" si="32"/>
        <v>2.65</v>
      </c>
      <c r="DA222" s="281">
        <f t="shared" si="33"/>
        <v>3</v>
      </c>
      <c r="DB222" s="281">
        <f t="shared" si="34"/>
        <v>3.5</v>
      </c>
      <c r="DD222" s="281">
        <f t="shared" si="35"/>
        <v>0.10469918510380259</v>
      </c>
      <c r="DE222" s="281">
        <f t="shared" si="36"/>
        <v>0.20939837020760518</v>
      </c>
      <c r="DF222" s="281">
        <f t="shared" si="37"/>
        <v>0.31409755531140776</v>
      </c>
      <c r="DH222" s="282">
        <f t="shared" si="38"/>
        <v>42948</v>
      </c>
      <c r="DI222" s="17">
        <f t="shared" si="39"/>
        <v>0.9</v>
      </c>
    </row>
    <row r="223" spans="1:113">
      <c r="A223" s="27">
        <f t="shared" ca="1" si="30"/>
        <v>43313</v>
      </c>
      <c r="B223" s="17">
        <f>'Gas Curves'!C227</f>
        <v>6.2570559825661023E-2</v>
      </c>
      <c r="C223" s="17"/>
      <c r="D223" s="55">
        <v>42095</v>
      </c>
      <c r="E223" s="56">
        <v>35.57</v>
      </c>
      <c r="F223" s="56">
        <v>38.200000000000003</v>
      </c>
      <c r="G223" s="56">
        <v>40.24</v>
      </c>
      <c r="H223" s="40"/>
      <c r="I223" s="56">
        <v>23.084999618530272</v>
      </c>
      <c r="J223" s="56">
        <v>24.399999618530273</v>
      </c>
      <c r="K223" s="56">
        <v>25.239999618530273</v>
      </c>
      <c r="L223" s="23"/>
      <c r="M223" s="24">
        <v>42979</v>
      </c>
      <c r="N223" s="57">
        <v>31.687501144409175</v>
      </c>
      <c r="O223" s="57">
        <v>34.725001144409177</v>
      </c>
      <c r="P223" s="57">
        <v>37.110001144409175</v>
      </c>
      <c r="Q223" s="22"/>
      <c r="R223" s="57">
        <v>27.000001525878908</v>
      </c>
      <c r="S223" s="57">
        <v>32.000001525878908</v>
      </c>
      <c r="T223" s="57">
        <v>34.385001525878906</v>
      </c>
      <c r="U223" s="22"/>
      <c r="V223" s="57">
        <v>0</v>
      </c>
      <c r="W223" s="57">
        <v>0</v>
      </c>
      <c r="X223" s="57">
        <v>0</v>
      </c>
      <c r="Y223" s="22"/>
      <c r="Z223" s="57">
        <v>7.9327040884103722E-2</v>
      </c>
      <c r="AA223" s="57">
        <v>0.15865408176820744</v>
      </c>
      <c r="AB223" s="57">
        <v>0.23798112265231117</v>
      </c>
      <c r="AC223" s="22"/>
      <c r="AD223" s="57">
        <v>2.8372870647225826E-2</v>
      </c>
      <c r="AE223" s="57">
        <v>5.6745741294451653E-2</v>
      </c>
      <c r="AF223" s="57">
        <v>8.5118611941677483E-2</v>
      </c>
      <c r="AG223" s="22"/>
      <c r="AH223" s="57">
        <v>-0.35</v>
      </c>
      <c r="AI223" s="57">
        <v>1.5</v>
      </c>
      <c r="AJ223" s="57">
        <v>0.3</v>
      </c>
      <c r="AK223" s="22"/>
      <c r="AL223" s="57">
        <v>-0.15</v>
      </c>
      <c r="AM223" s="57">
        <v>0.4</v>
      </c>
      <c r="AN223" s="57">
        <v>0.2</v>
      </c>
      <c r="AO223" s="22"/>
      <c r="AP223" s="23">
        <v>69</v>
      </c>
      <c r="AQ223" s="58">
        <v>0.4</v>
      </c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4">
        <v>42979</v>
      </c>
      <c r="BI223" s="60">
        <v>0.9</v>
      </c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/>
      <c r="CP223"/>
      <c r="CQ223"/>
      <c r="CR223"/>
      <c r="CS223"/>
      <c r="CT223"/>
      <c r="CY223" s="282">
        <f t="shared" si="31"/>
        <v>42979</v>
      </c>
      <c r="CZ223" s="281">
        <f t="shared" si="32"/>
        <v>1.1499999999999999</v>
      </c>
      <c r="DA223" s="281">
        <f t="shared" si="33"/>
        <v>1.5</v>
      </c>
      <c r="DB223" s="281">
        <f t="shared" si="34"/>
        <v>1.8</v>
      </c>
      <c r="DD223" s="281">
        <f t="shared" si="35"/>
        <v>7.9327040884103722E-2</v>
      </c>
      <c r="DE223" s="281">
        <f t="shared" si="36"/>
        <v>0.15865408176820744</v>
      </c>
      <c r="DF223" s="281">
        <f t="shared" si="37"/>
        <v>0.23798112265231117</v>
      </c>
      <c r="DH223" s="282">
        <f t="shared" si="38"/>
        <v>42979</v>
      </c>
      <c r="DI223" s="17">
        <f t="shared" si="39"/>
        <v>0.9</v>
      </c>
    </row>
    <row r="224" spans="1:113">
      <c r="A224" s="27">
        <f t="shared" ca="1" si="30"/>
        <v>43344</v>
      </c>
      <c r="B224" s="17">
        <f>'Gas Curves'!C228</f>
        <v>6.2595065419194004E-2</v>
      </c>
      <c r="C224" s="17"/>
      <c r="D224" s="55">
        <v>42125</v>
      </c>
      <c r="E224" s="56">
        <v>39.67</v>
      </c>
      <c r="F224" s="56">
        <v>42.3</v>
      </c>
      <c r="G224" s="56">
        <v>46.15</v>
      </c>
      <c r="H224" s="40"/>
      <c r="I224" s="56">
        <v>24.084999618530272</v>
      </c>
      <c r="J224" s="56">
        <v>25.399999618530273</v>
      </c>
      <c r="K224" s="56">
        <v>26.989999618530273</v>
      </c>
      <c r="L224" s="23"/>
      <c r="M224" s="24">
        <v>43009</v>
      </c>
      <c r="N224" s="57">
        <v>29.150001144409178</v>
      </c>
      <c r="O224" s="57">
        <v>30.725001144409177</v>
      </c>
      <c r="P224" s="57">
        <v>32.232501144409177</v>
      </c>
      <c r="Q224" s="22"/>
      <c r="R224" s="57">
        <v>22.500001525878904</v>
      </c>
      <c r="S224" s="57">
        <v>27.500001525878904</v>
      </c>
      <c r="T224" s="57">
        <v>29.007501525878904</v>
      </c>
      <c r="U224" s="22"/>
      <c r="V224" s="57">
        <v>0</v>
      </c>
      <c r="W224" s="57">
        <v>0</v>
      </c>
      <c r="X224" s="57">
        <v>0</v>
      </c>
      <c r="Y224" s="22"/>
      <c r="Z224" s="57">
        <v>6.8610535616470944E-2</v>
      </c>
      <c r="AA224" s="57">
        <v>0.13722107123294189</v>
      </c>
      <c r="AB224" s="57">
        <v>0.20583160684941282</v>
      </c>
      <c r="AC224" s="22"/>
      <c r="AD224" s="57">
        <v>2.1279652985419371E-2</v>
      </c>
      <c r="AE224" s="57">
        <v>4.2559305970838741E-2</v>
      </c>
      <c r="AF224" s="57">
        <v>6.3838958956258116E-2</v>
      </c>
      <c r="AG224" s="22"/>
      <c r="AH224" s="57">
        <v>-0.25</v>
      </c>
      <c r="AI224" s="57">
        <v>1.1000000000000001</v>
      </c>
      <c r="AJ224" s="57">
        <v>0.3</v>
      </c>
      <c r="AK224" s="22"/>
      <c r="AL224" s="57">
        <v>-0.15</v>
      </c>
      <c r="AM224" s="57">
        <v>0.35</v>
      </c>
      <c r="AN224" s="57">
        <v>0.2</v>
      </c>
      <c r="AO224" s="22"/>
      <c r="AP224" s="23">
        <v>69</v>
      </c>
      <c r="AQ224" s="58">
        <v>0.4</v>
      </c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4">
        <v>43009</v>
      </c>
      <c r="BI224" s="60">
        <v>0.9</v>
      </c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/>
      <c r="CP224"/>
      <c r="CQ224"/>
      <c r="CR224"/>
      <c r="CS224"/>
      <c r="CT224"/>
      <c r="CY224" s="282">
        <f t="shared" si="31"/>
        <v>43009</v>
      </c>
      <c r="CZ224" s="281">
        <f t="shared" si="32"/>
        <v>0.85000000000000009</v>
      </c>
      <c r="DA224" s="281">
        <f t="shared" si="33"/>
        <v>1.1000000000000001</v>
      </c>
      <c r="DB224" s="281">
        <f t="shared" si="34"/>
        <v>1.4000000000000001</v>
      </c>
      <c r="DD224" s="281">
        <f t="shared" si="35"/>
        <v>6.8610535616470944E-2</v>
      </c>
      <c r="DE224" s="281">
        <f t="shared" si="36"/>
        <v>0.13722107123294189</v>
      </c>
      <c r="DF224" s="281">
        <f t="shared" si="37"/>
        <v>0.20583160684941282</v>
      </c>
      <c r="DH224" s="282">
        <f t="shared" si="38"/>
        <v>43009</v>
      </c>
      <c r="DI224" s="17">
        <f t="shared" si="39"/>
        <v>0.9</v>
      </c>
    </row>
    <row r="225" spans="1:113">
      <c r="A225" s="27">
        <f t="shared" ca="1" si="30"/>
        <v>43374</v>
      </c>
      <c r="B225" s="17">
        <f>'Gas Curves'!C229</f>
        <v>6.2618780509901009E-2</v>
      </c>
      <c r="C225" s="17"/>
      <c r="D225" s="55">
        <v>42156</v>
      </c>
      <c r="E225" s="56">
        <v>50.68</v>
      </c>
      <c r="F225" s="56">
        <v>55.75</v>
      </c>
      <c r="G225" s="56">
        <v>61.62</v>
      </c>
      <c r="H225" s="40"/>
      <c r="I225" s="56">
        <v>23.239999618530273</v>
      </c>
      <c r="J225" s="56">
        <v>25.774999618530273</v>
      </c>
      <c r="K225" s="56">
        <v>28.194999618530275</v>
      </c>
      <c r="L225" s="23"/>
      <c r="M225" s="24">
        <v>43040</v>
      </c>
      <c r="N225" s="57">
        <v>31.500001525878904</v>
      </c>
      <c r="O225" s="57">
        <v>33.075001525878903</v>
      </c>
      <c r="P225" s="57">
        <v>34.582501525878904</v>
      </c>
      <c r="Q225" s="22"/>
      <c r="R225" s="57">
        <v>24.700000381469724</v>
      </c>
      <c r="S225" s="57">
        <v>29.700000381469724</v>
      </c>
      <c r="T225" s="57">
        <v>31.207500381469725</v>
      </c>
      <c r="U225" s="22"/>
      <c r="V225" s="57">
        <v>0</v>
      </c>
      <c r="W225" s="57">
        <v>0</v>
      </c>
      <c r="X225" s="57">
        <v>0</v>
      </c>
      <c r="Y225" s="22"/>
      <c r="Z225" s="57">
        <v>6.8610535616470944E-2</v>
      </c>
      <c r="AA225" s="57">
        <v>0.13722107123294189</v>
      </c>
      <c r="AB225" s="57">
        <v>0.20583160684941282</v>
      </c>
      <c r="AC225" s="22"/>
      <c r="AD225" s="57">
        <v>2.1279652985419371E-2</v>
      </c>
      <c r="AE225" s="57">
        <v>4.2559305970838741E-2</v>
      </c>
      <c r="AF225" s="57">
        <v>6.3838958956258116E-2</v>
      </c>
      <c r="AG225" s="22"/>
      <c r="AH225" s="57">
        <v>-0.25</v>
      </c>
      <c r="AI225" s="57">
        <v>1.25</v>
      </c>
      <c r="AJ225" s="57">
        <v>0.3</v>
      </c>
      <c r="AK225" s="22"/>
      <c r="AL225" s="57">
        <v>-0.15</v>
      </c>
      <c r="AM225" s="57">
        <v>0.3</v>
      </c>
      <c r="AN225" s="57">
        <v>0.2</v>
      </c>
      <c r="AO225" s="22"/>
      <c r="AP225" s="23">
        <v>70</v>
      </c>
      <c r="AQ225" s="58">
        <v>0.4</v>
      </c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4">
        <v>43040</v>
      </c>
      <c r="BI225" s="60">
        <v>0.9</v>
      </c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/>
      <c r="CP225"/>
      <c r="CQ225"/>
      <c r="CR225"/>
      <c r="CS225"/>
      <c r="CT225"/>
      <c r="CY225" s="282">
        <f t="shared" si="31"/>
        <v>43040</v>
      </c>
      <c r="CZ225" s="281">
        <f t="shared" si="32"/>
        <v>1</v>
      </c>
      <c r="DA225" s="281">
        <f t="shared" si="33"/>
        <v>1.25</v>
      </c>
      <c r="DB225" s="281">
        <f t="shared" si="34"/>
        <v>1.55</v>
      </c>
      <c r="DD225" s="281">
        <f t="shared" si="35"/>
        <v>6.8610535616470944E-2</v>
      </c>
      <c r="DE225" s="281">
        <f t="shared" si="36"/>
        <v>0.13722107123294189</v>
      </c>
      <c r="DF225" s="281">
        <f t="shared" si="37"/>
        <v>0.20583160684941282</v>
      </c>
      <c r="DH225" s="282">
        <f t="shared" si="38"/>
        <v>43040</v>
      </c>
      <c r="DI225" s="17">
        <f t="shared" si="39"/>
        <v>0.9</v>
      </c>
    </row>
    <row r="226" spans="1:113">
      <c r="A226" s="27">
        <f t="shared" ca="1" si="30"/>
        <v>43405</v>
      </c>
      <c r="B226" s="17">
        <f>'Gas Curves'!C230</f>
        <v>6.2643286103827009E-2</v>
      </c>
      <c r="C226" s="17"/>
      <c r="D226" s="55">
        <v>42186</v>
      </c>
      <c r="E226" s="56">
        <v>70.349999999999994</v>
      </c>
      <c r="F226" s="56">
        <v>80.25</v>
      </c>
      <c r="G226" s="56">
        <v>92.76</v>
      </c>
      <c r="H226" s="40"/>
      <c r="I226" s="56">
        <v>24.55</v>
      </c>
      <c r="J226" s="56">
        <v>29.5</v>
      </c>
      <c r="K226" s="56">
        <v>34.664999999999999</v>
      </c>
      <c r="L226" s="23"/>
      <c r="M226" s="24">
        <v>43070</v>
      </c>
      <c r="N226" s="57">
        <v>32.1</v>
      </c>
      <c r="O226" s="57">
        <v>33.674999999999997</v>
      </c>
      <c r="P226" s="57">
        <v>35.182499999999997</v>
      </c>
      <c r="Q226" s="22"/>
      <c r="R226" s="57">
        <v>25.200000381469724</v>
      </c>
      <c r="S226" s="57">
        <v>30.200000381469724</v>
      </c>
      <c r="T226" s="57">
        <v>31.707500381469725</v>
      </c>
      <c r="U226" s="22"/>
      <c r="V226" s="57">
        <v>0</v>
      </c>
      <c r="W226" s="57">
        <v>0</v>
      </c>
      <c r="X226" s="57">
        <v>0</v>
      </c>
      <c r="Y226" s="22"/>
      <c r="Z226" s="57">
        <v>6.7240930917311162E-2</v>
      </c>
      <c r="AA226" s="57">
        <v>0.13448186183462232</v>
      </c>
      <c r="AB226" s="57">
        <v>0.2017227927519335</v>
      </c>
      <c r="AC226" s="22"/>
      <c r="AD226" s="57">
        <v>2.1279652985419371E-2</v>
      </c>
      <c r="AE226" s="57">
        <v>4.2559305970838741E-2</v>
      </c>
      <c r="AF226" s="57">
        <v>6.3838958956258116E-2</v>
      </c>
      <c r="AG226" s="22"/>
      <c r="AH226" s="57">
        <v>-0.25</v>
      </c>
      <c r="AI226" s="57">
        <v>1.25</v>
      </c>
      <c r="AJ226" s="57">
        <v>0.3</v>
      </c>
      <c r="AK226" s="22"/>
      <c r="AL226" s="57">
        <v>-0.15</v>
      </c>
      <c r="AM226" s="57">
        <v>0.3</v>
      </c>
      <c r="AN226" s="57">
        <v>0.2</v>
      </c>
      <c r="AO226" s="22"/>
      <c r="AP226" s="23">
        <v>70</v>
      </c>
      <c r="AQ226" s="58">
        <v>0.4</v>
      </c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4">
        <v>43070</v>
      </c>
      <c r="BI226" s="60">
        <v>0.9</v>
      </c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/>
      <c r="CP226"/>
      <c r="CQ226"/>
      <c r="CR226"/>
      <c r="CS226"/>
      <c r="CT226"/>
      <c r="CY226" s="282">
        <f t="shared" si="31"/>
        <v>43070</v>
      </c>
      <c r="CZ226" s="281">
        <f t="shared" si="32"/>
        <v>1</v>
      </c>
      <c r="DA226" s="281">
        <f t="shared" si="33"/>
        <v>1.25</v>
      </c>
      <c r="DB226" s="281">
        <f t="shared" si="34"/>
        <v>1.55</v>
      </c>
      <c r="DD226" s="281">
        <f t="shared" si="35"/>
        <v>6.7240930917311162E-2</v>
      </c>
      <c r="DE226" s="281">
        <f t="shared" si="36"/>
        <v>0.13448186183462232</v>
      </c>
      <c r="DF226" s="281">
        <f t="shared" si="37"/>
        <v>0.2017227927519335</v>
      </c>
      <c r="DH226" s="282">
        <f t="shared" si="38"/>
        <v>43070</v>
      </c>
      <c r="DI226" s="17">
        <f t="shared" si="39"/>
        <v>0.9</v>
      </c>
    </row>
    <row r="227" spans="1:113">
      <c r="A227" s="27">
        <f t="shared" ca="1" si="30"/>
        <v>43435</v>
      </c>
      <c r="B227" s="17">
        <f>'Gas Curves'!C231</f>
        <v>6.2667001194912017E-2</v>
      </c>
      <c r="C227" s="17"/>
      <c r="D227" s="55">
        <v>42217</v>
      </c>
      <c r="E227" s="56">
        <v>70.349999999999994</v>
      </c>
      <c r="F227" s="56">
        <v>80.25</v>
      </c>
      <c r="G227" s="56">
        <v>92.76</v>
      </c>
      <c r="H227" s="40"/>
      <c r="I227" s="56">
        <v>36.700001525878903</v>
      </c>
      <c r="J227" s="56">
        <v>41.650001525878906</v>
      </c>
      <c r="K227" s="56">
        <v>46.815001525878905</v>
      </c>
      <c r="L227" s="23"/>
      <c r="M227" s="24">
        <v>43101</v>
      </c>
      <c r="N227" s="57">
        <v>34.629496002197271</v>
      </c>
      <c r="O227" s="57">
        <v>36.204496002197274</v>
      </c>
      <c r="P227" s="57">
        <v>37.464496002197272</v>
      </c>
      <c r="Q227" s="22"/>
      <c r="R227" s="57">
        <v>27.303997421264654</v>
      </c>
      <c r="S227" s="57">
        <v>32.303997421264654</v>
      </c>
      <c r="T227" s="57">
        <v>33.563997421264652</v>
      </c>
      <c r="U227" s="22"/>
      <c r="V227" s="57">
        <v>0</v>
      </c>
      <c r="W227" s="57">
        <v>0</v>
      </c>
      <c r="X227" s="57">
        <v>0</v>
      </c>
      <c r="Y227" s="22"/>
      <c r="Z227" s="57">
        <v>9.9226557447540512E-2</v>
      </c>
      <c r="AA227" s="57">
        <v>0.19845311489508102</v>
      </c>
      <c r="AB227" s="57">
        <v>0.29767967234262155</v>
      </c>
      <c r="AC227" s="22"/>
      <c r="AD227" s="57">
        <v>2.4329736579996153E-2</v>
      </c>
      <c r="AE227" s="57">
        <v>4.8659473159992306E-2</v>
      </c>
      <c r="AF227" s="57">
        <v>7.2989209739988459E-2</v>
      </c>
      <c r="AG227" s="22"/>
      <c r="AH227" s="57">
        <v>-0.75</v>
      </c>
      <c r="AI227" s="57">
        <v>2</v>
      </c>
      <c r="AJ227" s="57">
        <v>0.75</v>
      </c>
      <c r="AK227" s="22"/>
      <c r="AL227" s="57">
        <v>-0.15</v>
      </c>
      <c r="AM227" s="57">
        <v>0.5</v>
      </c>
      <c r="AN227" s="57">
        <v>0.2</v>
      </c>
      <c r="AO227" s="22"/>
      <c r="AP227" s="23">
        <v>70</v>
      </c>
      <c r="AQ227" s="58">
        <v>0.4</v>
      </c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4">
        <v>43101</v>
      </c>
      <c r="BI227" s="60">
        <v>0.9</v>
      </c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/>
      <c r="CP227"/>
      <c r="CQ227"/>
      <c r="CR227"/>
      <c r="CS227"/>
      <c r="CT227"/>
      <c r="CY227" s="282">
        <f t="shared" si="31"/>
        <v>43101</v>
      </c>
      <c r="CZ227" s="281">
        <f t="shared" si="32"/>
        <v>1.25</v>
      </c>
      <c r="DA227" s="281">
        <f t="shared" si="33"/>
        <v>2</v>
      </c>
      <c r="DB227" s="281">
        <f t="shared" si="34"/>
        <v>2.75</v>
      </c>
      <c r="DD227" s="281">
        <f t="shared" si="35"/>
        <v>9.9226557447540512E-2</v>
      </c>
      <c r="DE227" s="281">
        <f t="shared" si="36"/>
        <v>0.19845311489508102</v>
      </c>
      <c r="DF227" s="281">
        <f t="shared" si="37"/>
        <v>0.29767967234262155</v>
      </c>
      <c r="DH227" s="282">
        <f t="shared" si="38"/>
        <v>43101</v>
      </c>
      <c r="DI227" s="17">
        <f t="shared" si="39"/>
        <v>0.9</v>
      </c>
    </row>
    <row r="228" spans="1:113">
      <c r="A228" s="27">
        <f t="shared" ca="1" si="30"/>
        <v>43466</v>
      </c>
      <c r="B228" s="17">
        <f>'Gas Curves'!C232</f>
        <v>6.2691506789231022E-2</v>
      </c>
      <c r="C228" s="17"/>
      <c r="D228" s="55">
        <v>42248</v>
      </c>
      <c r="E228" s="56">
        <v>35.130000000000003</v>
      </c>
      <c r="F228" s="56">
        <v>40.200000000000003</v>
      </c>
      <c r="G228" s="56">
        <v>44.05</v>
      </c>
      <c r="H228" s="40"/>
      <c r="I228" s="56">
        <v>27.614999618530273</v>
      </c>
      <c r="J228" s="56">
        <v>30.149999618530273</v>
      </c>
      <c r="K228" s="56">
        <v>31.739999618530273</v>
      </c>
      <c r="L228" s="23"/>
      <c r="M228" s="24">
        <v>43132</v>
      </c>
      <c r="N228" s="57">
        <v>34.29199676513673</v>
      </c>
      <c r="O228" s="57">
        <v>35.529496765136727</v>
      </c>
      <c r="P228" s="57">
        <v>36.789496765136725</v>
      </c>
      <c r="Q228" s="22"/>
      <c r="R228" s="57">
        <v>26.70399703979492</v>
      </c>
      <c r="S228" s="57">
        <v>31.70399703979492</v>
      </c>
      <c r="T228" s="57">
        <v>32.963997039794918</v>
      </c>
      <c r="U228" s="22"/>
      <c r="V228" s="57">
        <v>0</v>
      </c>
      <c r="W228" s="57">
        <v>0</v>
      </c>
      <c r="X228" s="57">
        <v>0</v>
      </c>
      <c r="Y228" s="22"/>
      <c r="Z228" s="57">
        <v>9.5859588432354509E-2</v>
      </c>
      <c r="AA228" s="57">
        <v>0.19171917686470902</v>
      </c>
      <c r="AB228" s="57">
        <v>0.2875787652970635</v>
      </c>
      <c r="AC228" s="22"/>
      <c r="AD228" s="57">
        <v>2.4329736579996153E-2</v>
      </c>
      <c r="AE228" s="57">
        <v>4.8659473159992306E-2</v>
      </c>
      <c r="AF228" s="57">
        <v>7.2989209739988459E-2</v>
      </c>
      <c r="AG228" s="22"/>
      <c r="AH228" s="57">
        <v>-0.75</v>
      </c>
      <c r="AI228" s="57">
        <v>2</v>
      </c>
      <c r="AJ228" s="57">
        <v>0.75</v>
      </c>
      <c r="AK228" s="22"/>
      <c r="AL228" s="57">
        <v>-0.15</v>
      </c>
      <c r="AM228" s="57">
        <v>0.5</v>
      </c>
      <c r="AN228" s="57">
        <v>0.2</v>
      </c>
      <c r="AO228" s="22"/>
      <c r="AP228" s="23">
        <v>71</v>
      </c>
      <c r="AQ228" s="58">
        <v>0.4</v>
      </c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4">
        <v>43132</v>
      </c>
      <c r="BI228" s="60">
        <v>0.9</v>
      </c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/>
      <c r="CP228"/>
      <c r="CQ228"/>
      <c r="CR228"/>
      <c r="CS228"/>
      <c r="CT228"/>
      <c r="CY228" s="282">
        <f t="shared" si="31"/>
        <v>43132</v>
      </c>
      <c r="CZ228" s="281">
        <f t="shared" si="32"/>
        <v>1.25</v>
      </c>
      <c r="DA228" s="281">
        <f t="shared" si="33"/>
        <v>2</v>
      </c>
      <c r="DB228" s="281">
        <f t="shared" si="34"/>
        <v>2.75</v>
      </c>
      <c r="DD228" s="281">
        <f t="shared" si="35"/>
        <v>9.5859588432354509E-2</v>
      </c>
      <c r="DE228" s="281">
        <f t="shared" si="36"/>
        <v>0.19171917686470902</v>
      </c>
      <c r="DF228" s="281">
        <f t="shared" si="37"/>
        <v>0.2875787652970635</v>
      </c>
      <c r="DH228" s="282">
        <f t="shared" si="38"/>
        <v>43132</v>
      </c>
      <c r="DI228" s="17">
        <f t="shared" si="39"/>
        <v>0.9</v>
      </c>
    </row>
    <row r="229" spans="1:113">
      <c r="A229" s="27">
        <f t="shared" ca="1" si="30"/>
        <v>43497</v>
      </c>
      <c r="B229" s="17">
        <f>'Gas Curves'!C233</f>
        <v>6.2716012383748007E-2</v>
      </c>
      <c r="C229" s="17"/>
      <c r="D229" s="55">
        <v>42278</v>
      </c>
      <c r="E229" s="56">
        <v>37.57</v>
      </c>
      <c r="F229" s="56">
        <v>40.200000000000003</v>
      </c>
      <c r="G229" s="56">
        <v>42.65</v>
      </c>
      <c r="H229" s="40"/>
      <c r="I229" s="56">
        <v>26.834999618530272</v>
      </c>
      <c r="J229" s="56">
        <v>28.149999618530273</v>
      </c>
      <c r="K229" s="56">
        <v>29.154999618530272</v>
      </c>
      <c r="L229" s="23"/>
      <c r="M229" s="24">
        <v>43160</v>
      </c>
      <c r="N229" s="57">
        <v>28.437496948242185</v>
      </c>
      <c r="O229" s="57">
        <v>29.674996948242185</v>
      </c>
      <c r="P229" s="57">
        <v>30.934996948242187</v>
      </c>
      <c r="Q229" s="22"/>
      <c r="R229" s="57">
        <v>21.499998474121092</v>
      </c>
      <c r="S229" s="57">
        <v>26.499998474121092</v>
      </c>
      <c r="T229" s="57">
        <v>27.759998474121094</v>
      </c>
      <c r="U229" s="22"/>
      <c r="V229" s="57">
        <v>0</v>
      </c>
      <c r="W229" s="57">
        <v>0</v>
      </c>
      <c r="X229" s="57">
        <v>0</v>
      </c>
      <c r="Y229" s="22"/>
      <c r="Z229" s="57">
        <v>7.5993370926085435E-2</v>
      </c>
      <c r="AA229" s="57">
        <v>0.15198674185217087</v>
      </c>
      <c r="AB229" s="57">
        <v>0.22798011277825631</v>
      </c>
      <c r="AC229" s="22"/>
      <c r="AD229" s="57">
        <v>2.1279652985419371E-2</v>
      </c>
      <c r="AE229" s="57">
        <v>4.2559305970838741E-2</v>
      </c>
      <c r="AF229" s="57">
        <v>6.3838958956258116E-2</v>
      </c>
      <c r="AG229" s="22"/>
      <c r="AH229" s="57">
        <v>-0.25</v>
      </c>
      <c r="AI229" s="57">
        <v>1.25</v>
      </c>
      <c r="AJ229" s="57">
        <v>0.3</v>
      </c>
      <c r="AK229" s="22"/>
      <c r="AL229" s="57">
        <v>-0.15</v>
      </c>
      <c r="AM229" s="57">
        <v>0.35</v>
      </c>
      <c r="AN229" s="57">
        <v>0.2</v>
      </c>
      <c r="AO229" s="22"/>
      <c r="AP229" s="23">
        <v>71</v>
      </c>
      <c r="AQ229" s="58">
        <v>0.4</v>
      </c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4">
        <v>43160</v>
      </c>
      <c r="BI229" s="60">
        <v>0.9</v>
      </c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/>
      <c r="CP229"/>
      <c r="CQ229"/>
      <c r="CR229"/>
      <c r="CS229"/>
      <c r="CT229"/>
      <c r="CY229" s="282">
        <f t="shared" si="31"/>
        <v>43160</v>
      </c>
      <c r="CZ229" s="281">
        <f t="shared" si="32"/>
        <v>1</v>
      </c>
      <c r="DA229" s="281">
        <f t="shared" si="33"/>
        <v>1.25</v>
      </c>
      <c r="DB229" s="281">
        <f t="shared" si="34"/>
        <v>1.55</v>
      </c>
      <c r="DD229" s="281">
        <f t="shared" si="35"/>
        <v>7.5993370926085435E-2</v>
      </c>
      <c r="DE229" s="281">
        <f t="shared" si="36"/>
        <v>0.15198674185217087</v>
      </c>
      <c r="DF229" s="281">
        <f t="shared" si="37"/>
        <v>0.22798011277825631</v>
      </c>
      <c r="DH229" s="282">
        <f t="shared" si="38"/>
        <v>43160</v>
      </c>
      <c r="DI229" s="17">
        <f t="shared" si="39"/>
        <v>0.9</v>
      </c>
    </row>
    <row r="230" spans="1:113">
      <c r="A230" s="27">
        <f t="shared" ca="1" si="30"/>
        <v>43525</v>
      </c>
      <c r="B230" s="17">
        <f>'Gas Curves'!C234</f>
        <v>6.2738146469289005E-2</v>
      </c>
      <c r="C230" s="17"/>
      <c r="D230" s="55">
        <v>42309</v>
      </c>
      <c r="E230" s="56">
        <v>40.07</v>
      </c>
      <c r="F230" s="56">
        <v>42.7</v>
      </c>
      <c r="G230" s="56">
        <v>45.15</v>
      </c>
      <c r="H230" s="40"/>
      <c r="I230" s="56">
        <v>27.584999618530272</v>
      </c>
      <c r="J230" s="56">
        <v>28.899999618530273</v>
      </c>
      <c r="K230" s="56">
        <v>29.904999618530272</v>
      </c>
      <c r="L230" s="23"/>
      <c r="M230" s="24">
        <v>43191</v>
      </c>
      <c r="N230" s="57">
        <v>27.424999618530272</v>
      </c>
      <c r="O230" s="57">
        <v>28.999999618530271</v>
      </c>
      <c r="P230" s="57">
        <v>30.259999618530273</v>
      </c>
      <c r="Q230" s="22"/>
      <c r="R230" s="57">
        <v>20.9</v>
      </c>
      <c r="S230" s="57">
        <v>25.9</v>
      </c>
      <c r="T230" s="57">
        <v>27.16</v>
      </c>
      <c r="U230" s="22"/>
      <c r="V230" s="57">
        <v>0</v>
      </c>
      <c r="W230" s="57">
        <v>0</v>
      </c>
      <c r="X230" s="57">
        <v>0</v>
      </c>
      <c r="Y230" s="22"/>
      <c r="Z230" s="57">
        <v>7.5888840842280661E-2</v>
      </c>
      <c r="AA230" s="57">
        <v>0.15177768168456132</v>
      </c>
      <c r="AB230" s="57">
        <v>0.227666522526842</v>
      </c>
      <c r="AC230" s="22"/>
      <c r="AD230" s="57">
        <v>2.1279652985419371E-2</v>
      </c>
      <c r="AE230" s="57">
        <v>4.2559305970838741E-2</v>
      </c>
      <c r="AF230" s="57">
        <v>6.3838958956258116E-2</v>
      </c>
      <c r="AG230" s="22"/>
      <c r="AH230" s="57">
        <v>-0.25</v>
      </c>
      <c r="AI230" s="57">
        <v>1.25</v>
      </c>
      <c r="AJ230" s="57">
        <v>0.3</v>
      </c>
      <c r="AK230" s="22"/>
      <c r="AL230" s="57">
        <v>-0.15</v>
      </c>
      <c r="AM230" s="57">
        <v>0.35</v>
      </c>
      <c r="AN230" s="57">
        <v>0.2</v>
      </c>
      <c r="AO230" s="22"/>
      <c r="AP230" s="23">
        <v>71</v>
      </c>
      <c r="AQ230" s="58">
        <v>0.4</v>
      </c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4">
        <v>43191</v>
      </c>
      <c r="BI230" s="60">
        <v>0.9</v>
      </c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/>
      <c r="CP230"/>
      <c r="CQ230"/>
      <c r="CR230"/>
      <c r="CS230"/>
      <c r="CT230"/>
      <c r="CY230" s="282">
        <f t="shared" si="31"/>
        <v>43191</v>
      </c>
      <c r="CZ230" s="281">
        <f t="shared" si="32"/>
        <v>1</v>
      </c>
      <c r="DA230" s="281">
        <f t="shared" si="33"/>
        <v>1.25</v>
      </c>
      <c r="DB230" s="281">
        <f t="shared" si="34"/>
        <v>1.55</v>
      </c>
      <c r="DD230" s="281">
        <f t="shared" si="35"/>
        <v>7.5888840842280661E-2</v>
      </c>
      <c r="DE230" s="281">
        <f t="shared" si="36"/>
        <v>0.15177768168456132</v>
      </c>
      <c r="DF230" s="281">
        <f t="shared" si="37"/>
        <v>0.227666522526842</v>
      </c>
      <c r="DH230" s="282">
        <f t="shared" si="38"/>
        <v>43191</v>
      </c>
      <c r="DI230" s="17">
        <f t="shared" si="39"/>
        <v>0.9</v>
      </c>
    </row>
    <row r="231" spans="1:113">
      <c r="A231" s="27">
        <f t="shared" ca="1" si="30"/>
        <v>43556</v>
      </c>
      <c r="B231" s="17">
        <f>'Gas Curves'!C235</f>
        <v>6.2762652064186006E-2</v>
      </c>
      <c r="C231" s="17"/>
      <c r="D231" s="55">
        <v>42339</v>
      </c>
      <c r="E231" s="56">
        <v>40.07</v>
      </c>
      <c r="F231" s="56">
        <v>42.7</v>
      </c>
      <c r="G231" s="56">
        <v>45.15</v>
      </c>
      <c r="H231" s="40"/>
      <c r="I231" s="56">
        <v>27.484999237060546</v>
      </c>
      <c r="J231" s="56">
        <v>28.799999237060547</v>
      </c>
      <c r="K231" s="56">
        <v>29.804999237060546</v>
      </c>
      <c r="L231" s="23"/>
      <c r="M231" s="24">
        <v>43221</v>
      </c>
      <c r="N231" s="57">
        <v>31.024999999999999</v>
      </c>
      <c r="O231" s="57">
        <v>32.6</v>
      </c>
      <c r="P231" s="57">
        <v>34.984999999999999</v>
      </c>
      <c r="Q231" s="22"/>
      <c r="R231" s="57">
        <v>24.099998855590819</v>
      </c>
      <c r="S231" s="57">
        <v>29.099998855590819</v>
      </c>
      <c r="T231" s="57">
        <v>31.484998855590817</v>
      </c>
      <c r="U231" s="22"/>
      <c r="V231" s="57">
        <v>0</v>
      </c>
      <c r="W231" s="57">
        <v>0</v>
      </c>
      <c r="X231" s="57">
        <v>0</v>
      </c>
      <c r="Y231" s="22"/>
      <c r="Z231" s="57">
        <v>7.9836777060086975E-2</v>
      </c>
      <c r="AA231" s="57">
        <v>0.15967355412017395</v>
      </c>
      <c r="AB231" s="57">
        <v>0.23951033118026094</v>
      </c>
      <c r="AC231" s="22"/>
      <c r="AD231" s="57">
        <v>2.4329736579996153E-2</v>
      </c>
      <c r="AE231" s="57">
        <v>4.8659473159992306E-2</v>
      </c>
      <c r="AF231" s="57">
        <v>7.2989209739988459E-2</v>
      </c>
      <c r="AG231" s="22"/>
      <c r="AH231" s="57">
        <v>-0.25</v>
      </c>
      <c r="AI231" s="57">
        <v>1.25</v>
      </c>
      <c r="AJ231" s="57">
        <v>0.3</v>
      </c>
      <c r="AK231" s="22"/>
      <c r="AL231" s="57">
        <v>-0.15</v>
      </c>
      <c r="AM231" s="57">
        <v>0.5</v>
      </c>
      <c r="AN231" s="57">
        <v>0.2</v>
      </c>
      <c r="AO231" s="22"/>
      <c r="AP231" s="23">
        <v>72</v>
      </c>
      <c r="AQ231" s="58">
        <v>0.4</v>
      </c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4">
        <v>43221</v>
      </c>
      <c r="BI231" s="60">
        <v>0.9</v>
      </c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/>
      <c r="CP231"/>
      <c r="CQ231"/>
      <c r="CR231"/>
      <c r="CS231"/>
      <c r="CT231"/>
      <c r="CY231" s="282">
        <f t="shared" si="31"/>
        <v>43221</v>
      </c>
      <c r="CZ231" s="281">
        <f t="shared" si="32"/>
        <v>1</v>
      </c>
      <c r="DA231" s="281">
        <f t="shared" si="33"/>
        <v>1.25</v>
      </c>
      <c r="DB231" s="281">
        <f t="shared" si="34"/>
        <v>1.55</v>
      </c>
      <c r="DD231" s="281">
        <f t="shared" si="35"/>
        <v>7.9836777060086975E-2</v>
      </c>
      <c r="DE231" s="281">
        <f t="shared" si="36"/>
        <v>0.15967355412017395</v>
      </c>
      <c r="DF231" s="281">
        <f t="shared" si="37"/>
        <v>0.23951033118026094</v>
      </c>
      <c r="DH231" s="282">
        <f t="shared" si="38"/>
        <v>43221</v>
      </c>
      <c r="DI231" s="17">
        <f t="shared" si="39"/>
        <v>0.9</v>
      </c>
    </row>
    <row r="232" spans="1:113">
      <c r="A232" s="27">
        <f t="shared" ca="1" si="30"/>
        <v>43586</v>
      </c>
      <c r="B232" s="17">
        <f>'Gas Curves'!C236</f>
        <v>6.2786367156211012E-2</v>
      </c>
      <c r="C232" s="17"/>
      <c r="D232" s="55">
        <v>42370</v>
      </c>
      <c r="E232" s="56">
        <v>56.37</v>
      </c>
      <c r="F232" s="56">
        <v>59</v>
      </c>
      <c r="G232" s="56">
        <v>61.04</v>
      </c>
      <c r="H232" s="40"/>
      <c r="I232" s="56">
        <v>28.535000381469725</v>
      </c>
      <c r="J232" s="56">
        <v>29.850000381469727</v>
      </c>
      <c r="K232" s="56">
        <v>30.690000381469726</v>
      </c>
      <c r="L232" s="23"/>
      <c r="M232" s="24">
        <v>43252</v>
      </c>
      <c r="N232" s="57">
        <v>36.36250305175782</v>
      </c>
      <c r="O232" s="57">
        <v>39.400003051757821</v>
      </c>
      <c r="P232" s="57">
        <v>43.030003051757824</v>
      </c>
      <c r="Q232" s="22"/>
      <c r="R232" s="57">
        <v>29.600002670288092</v>
      </c>
      <c r="S232" s="57">
        <v>34.600002670288092</v>
      </c>
      <c r="T232" s="57">
        <v>38.230002670288094</v>
      </c>
      <c r="U232" s="22"/>
      <c r="V232" s="57">
        <v>0</v>
      </c>
      <c r="W232" s="57">
        <v>0</v>
      </c>
      <c r="X232" s="57">
        <v>0</v>
      </c>
      <c r="Y232" s="22"/>
      <c r="Z232" s="57">
        <v>8.5380172451755984E-2</v>
      </c>
      <c r="AA232" s="57">
        <v>0.17076034490351197</v>
      </c>
      <c r="AB232" s="57">
        <v>0.25614051735526794</v>
      </c>
      <c r="AC232" s="22"/>
      <c r="AD232" s="57">
        <v>3.1281089888566468E-2</v>
      </c>
      <c r="AE232" s="57">
        <v>6.2562179777132937E-2</v>
      </c>
      <c r="AF232" s="57">
        <v>9.3843269665699405E-2</v>
      </c>
      <c r="AG232" s="22"/>
      <c r="AH232" s="57">
        <v>-0.25</v>
      </c>
      <c r="AI232" s="57">
        <v>1.25</v>
      </c>
      <c r="AJ232" s="57">
        <v>0.3</v>
      </c>
      <c r="AK232" s="22"/>
      <c r="AL232" s="57">
        <v>-0.15</v>
      </c>
      <c r="AM232" s="57">
        <v>0.65</v>
      </c>
      <c r="AN232" s="57">
        <v>0.2</v>
      </c>
      <c r="AO232" s="22"/>
      <c r="AP232" s="23">
        <v>72</v>
      </c>
      <c r="AQ232" s="58">
        <v>0.4</v>
      </c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4">
        <v>43252</v>
      </c>
      <c r="BI232" s="60">
        <v>0.9</v>
      </c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/>
      <c r="CP232"/>
      <c r="CQ232"/>
      <c r="CR232"/>
      <c r="CS232"/>
      <c r="CT232"/>
      <c r="CY232" s="282">
        <f t="shared" si="31"/>
        <v>43252</v>
      </c>
      <c r="CZ232" s="281">
        <f t="shared" si="32"/>
        <v>1</v>
      </c>
      <c r="DA232" s="281">
        <f t="shared" si="33"/>
        <v>1.25</v>
      </c>
      <c r="DB232" s="281">
        <f t="shared" si="34"/>
        <v>1.55</v>
      </c>
      <c r="DD232" s="281">
        <f t="shared" si="35"/>
        <v>8.5380172451755984E-2</v>
      </c>
      <c r="DE232" s="281">
        <f t="shared" si="36"/>
        <v>0.17076034490351197</v>
      </c>
      <c r="DF232" s="281">
        <f t="shared" si="37"/>
        <v>0.25614051735526794</v>
      </c>
      <c r="DH232" s="282">
        <f t="shared" si="38"/>
        <v>43252</v>
      </c>
      <c r="DI232" s="17">
        <f t="shared" si="39"/>
        <v>0.9</v>
      </c>
    </row>
    <row r="233" spans="1:113">
      <c r="A233" s="27">
        <f t="shared" ca="1" si="30"/>
        <v>43617</v>
      </c>
      <c r="B233" s="17">
        <f>'Gas Curves'!C237</f>
        <v>6.2810872751499019E-2</v>
      </c>
      <c r="C233" s="17"/>
      <c r="D233" s="55">
        <v>42401</v>
      </c>
      <c r="E233" s="56">
        <v>56.93</v>
      </c>
      <c r="F233" s="56">
        <v>59</v>
      </c>
      <c r="G233" s="56">
        <v>61.04</v>
      </c>
      <c r="H233" s="40"/>
      <c r="I233" s="56">
        <v>25.465</v>
      </c>
      <c r="J233" s="56">
        <v>26.5</v>
      </c>
      <c r="K233" s="56">
        <v>27.34</v>
      </c>
      <c r="L233" s="23"/>
      <c r="M233" s="24">
        <v>43282</v>
      </c>
      <c r="N233" s="57">
        <v>38.375001525878915</v>
      </c>
      <c r="O233" s="57">
        <v>45.800001525878912</v>
      </c>
      <c r="P233" s="57">
        <v>53.547501525878914</v>
      </c>
      <c r="Q233" s="22"/>
      <c r="R233" s="57">
        <v>34.800001525878912</v>
      </c>
      <c r="S233" s="57">
        <v>39.800001525878912</v>
      </c>
      <c r="T233" s="57">
        <v>47.547501525878914</v>
      </c>
      <c r="U233" s="22"/>
      <c r="V233" s="57">
        <v>0</v>
      </c>
      <c r="W233" s="57">
        <v>0</v>
      </c>
      <c r="X233" s="57">
        <v>0</v>
      </c>
      <c r="Y233" s="22"/>
      <c r="Z233" s="57">
        <v>0.101692367108662</v>
      </c>
      <c r="AA233" s="57">
        <v>0.203384734217324</v>
      </c>
      <c r="AB233" s="57">
        <v>0.30507710132598598</v>
      </c>
      <c r="AC233" s="22"/>
      <c r="AD233" s="57">
        <v>4.1708119851421963E-2</v>
      </c>
      <c r="AE233" s="57">
        <v>8.3416239702843925E-2</v>
      </c>
      <c r="AF233" s="57">
        <v>0.12512435955426587</v>
      </c>
      <c r="AG233" s="22"/>
      <c r="AH233" s="57">
        <v>-0.25</v>
      </c>
      <c r="AI233" s="57">
        <v>1.25</v>
      </c>
      <c r="AJ233" s="57">
        <v>0.3</v>
      </c>
      <c r="AK233" s="22"/>
      <c r="AL233" s="57">
        <v>-0.15</v>
      </c>
      <c r="AM233" s="57">
        <v>0.75</v>
      </c>
      <c r="AN233" s="57">
        <v>0.2</v>
      </c>
      <c r="AO233" s="22"/>
      <c r="AP233" s="23">
        <v>72</v>
      </c>
      <c r="AQ233" s="58">
        <v>0.4</v>
      </c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4">
        <v>43282</v>
      </c>
      <c r="BI233" s="60">
        <v>0.9</v>
      </c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/>
      <c r="CP233"/>
      <c r="CQ233"/>
      <c r="CR233"/>
      <c r="CS233"/>
      <c r="CT233"/>
      <c r="CY233" s="282">
        <f t="shared" si="31"/>
        <v>43282</v>
      </c>
      <c r="CZ233" s="281">
        <f t="shared" si="32"/>
        <v>1</v>
      </c>
      <c r="DA233" s="281">
        <f t="shared" si="33"/>
        <v>1.25</v>
      </c>
      <c r="DB233" s="281">
        <f t="shared" si="34"/>
        <v>1.55</v>
      </c>
      <c r="DD233" s="281">
        <f t="shared" si="35"/>
        <v>0.101692367108662</v>
      </c>
      <c r="DE233" s="281">
        <f t="shared" si="36"/>
        <v>0.203384734217324</v>
      </c>
      <c r="DF233" s="281">
        <f t="shared" si="37"/>
        <v>0.30507710132598598</v>
      </c>
      <c r="DH233" s="282">
        <f t="shared" si="38"/>
        <v>43282</v>
      </c>
      <c r="DI233" s="17">
        <f t="shared" si="39"/>
        <v>0.9</v>
      </c>
    </row>
    <row r="234" spans="1:113">
      <c r="A234" s="27">
        <f t="shared" ca="1" si="30"/>
        <v>43647</v>
      </c>
      <c r="B234" s="17">
        <f>'Gas Curves'!C238</f>
        <v>6.2834587843904013E-2</v>
      </c>
      <c r="C234" s="17"/>
      <c r="D234" s="55">
        <v>42430</v>
      </c>
      <c r="E234" s="56">
        <v>39.93</v>
      </c>
      <c r="F234" s="56">
        <v>42</v>
      </c>
      <c r="G234" s="56">
        <v>44.04</v>
      </c>
      <c r="H234" s="40"/>
      <c r="I234" s="56">
        <v>25.864999618530273</v>
      </c>
      <c r="J234" s="56">
        <v>26.899999618530273</v>
      </c>
      <c r="K234" s="56">
        <v>27.739999618530273</v>
      </c>
      <c r="L234" s="23"/>
      <c r="M234" s="24">
        <v>43313</v>
      </c>
      <c r="N234" s="57">
        <v>50.125001525878915</v>
      </c>
      <c r="O234" s="57">
        <v>57.550001525878912</v>
      </c>
      <c r="P234" s="57">
        <v>65.297501525878914</v>
      </c>
      <c r="Q234" s="22"/>
      <c r="R234" s="57">
        <v>46.600000762939459</v>
      </c>
      <c r="S234" s="57">
        <v>51.600000762939459</v>
      </c>
      <c r="T234" s="57">
        <v>59.347500762939461</v>
      </c>
      <c r="U234" s="22"/>
      <c r="V234" s="57">
        <v>0</v>
      </c>
      <c r="W234" s="57">
        <v>0</v>
      </c>
      <c r="X234" s="57">
        <v>0</v>
      </c>
      <c r="Y234" s="22"/>
      <c r="Z234" s="57">
        <v>9.9464225848612461E-2</v>
      </c>
      <c r="AA234" s="57">
        <v>0.19892845169722492</v>
      </c>
      <c r="AB234" s="57">
        <v>0.29839267754583737</v>
      </c>
      <c r="AC234" s="22"/>
      <c r="AD234" s="57">
        <v>4.1708119851421963E-2</v>
      </c>
      <c r="AE234" s="57">
        <v>8.3416239702843925E-2</v>
      </c>
      <c r="AF234" s="57">
        <v>0.12512435955426587</v>
      </c>
      <c r="AG234" s="22"/>
      <c r="AH234" s="57">
        <v>-0.25</v>
      </c>
      <c r="AI234" s="57">
        <v>1.25</v>
      </c>
      <c r="AJ234" s="57">
        <v>0.3</v>
      </c>
      <c r="AK234" s="22"/>
      <c r="AL234" s="57">
        <v>-0.15</v>
      </c>
      <c r="AM234" s="57">
        <v>0.75</v>
      </c>
      <c r="AN234" s="57">
        <v>0.2</v>
      </c>
      <c r="AO234" s="22"/>
      <c r="AP234" s="23">
        <v>73</v>
      </c>
      <c r="AQ234" s="58">
        <v>0.4</v>
      </c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4">
        <v>43313</v>
      </c>
      <c r="BI234" s="60">
        <v>0.9</v>
      </c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/>
      <c r="CP234"/>
      <c r="CQ234"/>
      <c r="CR234"/>
      <c r="CS234"/>
      <c r="CT234"/>
      <c r="CY234" s="282">
        <f t="shared" si="31"/>
        <v>43313</v>
      </c>
      <c r="CZ234" s="281">
        <f t="shared" si="32"/>
        <v>1</v>
      </c>
      <c r="DA234" s="281">
        <f t="shared" si="33"/>
        <v>1.25</v>
      </c>
      <c r="DB234" s="281">
        <f t="shared" si="34"/>
        <v>1.55</v>
      </c>
      <c r="DD234" s="281">
        <f t="shared" si="35"/>
        <v>9.9464225848612461E-2</v>
      </c>
      <c r="DE234" s="281">
        <f t="shared" si="36"/>
        <v>0.19892845169722492</v>
      </c>
      <c r="DF234" s="281">
        <f t="shared" si="37"/>
        <v>0.29839267754583737</v>
      </c>
      <c r="DH234" s="282">
        <f t="shared" si="38"/>
        <v>43313</v>
      </c>
      <c r="DI234" s="17">
        <f t="shared" si="39"/>
        <v>0.9</v>
      </c>
    </row>
    <row r="235" spans="1:113">
      <c r="A235" s="27">
        <f t="shared" ca="1" si="30"/>
        <v>43678</v>
      </c>
      <c r="B235" s="17">
        <f>'Gas Curves'!C239</f>
        <v>6.2859093439584013E-2</v>
      </c>
      <c r="C235" s="17"/>
      <c r="D235" s="55">
        <v>42461</v>
      </c>
      <c r="E235" s="56">
        <v>35.869999999999997</v>
      </c>
      <c r="F235" s="56">
        <v>38.5</v>
      </c>
      <c r="G235" s="56">
        <v>40.54</v>
      </c>
      <c r="H235" s="40"/>
      <c r="I235" s="56">
        <v>23.334999618530272</v>
      </c>
      <c r="J235" s="56">
        <v>24.649999618530273</v>
      </c>
      <c r="K235" s="56">
        <v>25.489999618530273</v>
      </c>
      <c r="L235" s="23"/>
      <c r="M235" s="24">
        <v>43344</v>
      </c>
      <c r="N235" s="57">
        <v>31.887501144409178</v>
      </c>
      <c r="O235" s="57">
        <v>34.92500114440918</v>
      </c>
      <c r="P235" s="57">
        <v>37.310001144409178</v>
      </c>
      <c r="Q235" s="22"/>
      <c r="R235" s="57">
        <v>27.200001525878911</v>
      </c>
      <c r="S235" s="57">
        <v>32.200001525878911</v>
      </c>
      <c r="T235" s="57">
        <v>34.585001525878909</v>
      </c>
      <c r="U235" s="22"/>
      <c r="V235" s="57">
        <v>0</v>
      </c>
      <c r="W235" s="57">
        <v>0</v>
      </c>
      <c r="X235" s="57">
        <v>0</v>
      </c>
      <c r="Y235" s="22"/>
      <c r="Z235" s="57">
        <v>7.5360688839898535E-2</v>
      </c>
      <c r="AA235" s="57">
        <v>0.15072137767979707</v>
      </c>
      <c r="AB235" s="57">
        <v>0.22608206651969559</v>
      </c>
      <c r="AC235" s="22"/>
      <c r="AD235" s="57">
        <v>2.7805413234281311E-2</v>
      </c>
      <c r="AE235" s="57">
        <v>5.5610826468562621E-2</v>
      </c>
      <c r="AF235" s="57">
        <v>8.3416239702843925E-2</v>
      </c>
      <c r="AG235" s="22"/>
      <c r="AH235" s="57">
        <v>-0.25</v>
      </c>
      <c r="AI235" s="57">
        <v>1.25</v>
      </c>
      <c r="AJ235" s="57">
        <v>0.3</v>
      </c>
      <c r="AK235" s="22"/>
      <c r="AL235" s="57">
        <v>-0.15</v>
      </c>
      <c r="AM235" s="57">
        <v>0.4</v>
      </c>
      <c r="AN235" s="57">
        <v>0.2</v>
      </c>
      <c r="AO235" s="22"/>
      <c r="AP235" s="23">
        <v>73</v>
      </c>
      <c r="AQ235" s="58">
        <v>0.4</v>
      </c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4">
        <v>43344</v>
      </c>
      <c r="BI235" s="60">
        <v>0.9</v>
      </c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/>
      <c r="CP235"/>
      <c r="CQ235"/>
      <c r="CR235"/>
      <c r="CS235"/>
      <c r="CT235"/>
      <c r="CY235" s="282">
        <f t="shared" si="31"/>
        <v>43344</v>
      </c>
      <c r="CZ235" s="281">
        <f t="shared" si="32"/>
        <v>1</v>
      </c>
      <c r="DA235" s="281">
        <f t="shared" si="33"/>
        <v>1.25</v>
      </c>
      <c r="DB235" s="281">
        <f t="shared" si="34"/>
        <v>1.55</v>
      </c>
      <c r="DD235" s="281">
        <f t="shared" si="35"/>
        <v>7.5360688839898535E-2</v>
      </c>
      <c r="DE235" s="281">
        <f t="shared" si="36"/>
        <v>0.15072137767979707</v>
      </c>
      <c r="DF235" s="281">
        <f t="shared" si="37"/>
        <v>0.22608206651969559</v>
      </c>
      <c r="DH235" s="282">
        <f t="shared" si="38"/>
        <v>43344</v>
      </c>
      <c r="DI235" s="17">
        <f t="shared" si="39"/>
        <v>0.9</v>
      </c>
    </row>
    <row r="236" spans="1:113">
      <c r="A236" s="27">
        <f t="shared" ca="1" si="30"/>
        <v>43709</v>
      </c>
      <c r="B236" s="17">
        <f>'Gas Curves'!C240</f>
        <v>6.2883599035464005E-2</v>
      </c>
      <c r="C236" s="17"/>
      <c r="D236" s="55">
        <v>42491</v>
      </c>
      <c r="E236" s="56">
        <v>40.17</v>
      </c>
      <c r="F236" s="56">
        <v>42.8</v>
      </c>
      <c r="G236" s="56">
        <v>46.65</v>
      </c>
      <c r="H236" s="40"/>
      <c r="I236" s="56">
        <v>24.334999618530272</v>
      </c>
      <c r="J236" s="56">
        <v>25.649999618530273</v>
      </c>
      <c r="K236" s="56">
        <v>27.239999618530273</v>
      </c>
      <c r="L236" s="23"/>
      <c r="M236" s="24">
        <v>43374</v>
      </c>
      <c r="N236" s="57">
        <v>29.350001144409177</v>
      </c>
      <c r="O236" s="57">
        <v>30.925001144409176</v>
      </c>
      <c r="P236" s="57">
        <v>32.432501144409173</v>
      </c>
      <c r="Q236" s="22"/>
      <c r="R236" s="57">
        <v>22.700001525878903</v>
      </c>
      <c r="S236" s="57">
        <v>27.700001525878903</v>
      </c>
      <c r="T236" s="57">
        <v>29.207501525878904</v>
      </c>
      <c r="U236" s="22"/>
      <c r="V236" s="57">
        <v>0</v>
      </c>
      <c r="W236" s="57">
        <v>0</v>
      </c>
      <c r="X236" s="57">
        <v>0</v>
      </c>
      <c r="Y236" s="22"/>
      <c r="Z236" s="57">
        <v>6.5180008835647396E-2</v>
      </c>
      <c r="AA236" s="57">
        <v>0.13036001767129479</v>
      </c>
      <c r="AB236" s="57">
        <v>0.19554002650694219</v>
      </c>
      <c r="AC236" s="22"/>
      <c r="AD236" s="57">
        <v>2.0854059925710981E-2</v>
      </c>
      <c r="AE236" s="57">
        <v>4.1708119851421963E-2</v>
      </c>
      <c r="AF236" s="57">
        <v>6.2562179777132937E-2</v>
      </c>
      <c r="AG236" s="22"/>
      <c r="AH236" s="57">
        <v>-0.25</v>
      </c>
      <c r="AI236" s="57">
        <v>1.25</v>
      </c>
      <c r="AJ236" s="57">
        <v>0.3</v>
      </c>
      <c r="AK236" s="22"/>
      <c r="AL236" s="57">
        <v>-0.15</v>
      </c>
      <c r="AM236" s="57">
        <v>0.35</v>
      </c>
      <c r="AN236" s="57">
        <v>0.2</v>
      </c>
      <c r="AO236" s="22"/>
      <c r="AP236" s="23">
        <v>73</v>
      </c>
      <c r="AQ236" s="58">
        <v>0.4</v>
      </c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4">
        <v>43374</v>
      </c>
      <c r="BI236" s="60">
        <v>0.9</v>
      </c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/>
      <c r="CP236"/>
      <c r="CQ236"/>
      <c r="CR236"/>
      <c r="CS236"/>
      <c r="CT236"/>
      <c r="CY236" s="282">
        <f t="shared" si="31"/>
        <v>43374</v>
      </c>
      <c r="CZ236" s="281">
        <f t="shared" si="32"/>
        <v>1</v>
      </c>
      <c r="DA236" s="281">
        <f t="shared" si="33"/>
        <v>1.25</v>
      </c>
      <c r="DB236" s="281">
        <f t="shared" si="34"/>
        <v>1.55</v>
      </c>
      <c r="DD236" s="281">
        <f t="shared" si="35"/>
        <v>6.5180008835647396E-2</v>
      </c>
      <c r="DE236" s="281">
        <f t="shared" si="36"/>
        <v>0.13036001767129479</v>
      </c>
      <c r="DF236" s="281">
        <f t="shared" si="37"/>
        <v>0.19554002650694219</v>
      </c>
      <c r="DH236" s="282">
        <f t="shared" si="38"/>
        <v>43374</v>
      </c>
      <c r="DI236" s="17">
        <f t="shared" si="39"/>
        <v>0.9</v>
      </c>
    </row>
    <row r="237" spans="1:113">
      <c r="A237" s="27">
        <f t="shared" ca="1" si="30"/>
        <v>43739</v>
      </c>
      <c r="B237" s="17">
        <f>'Gas Curves'!C241</f>
        <v>6.2907314128441014E-2</v>
      </c>
      <c r="C237" s="17"/>
      <c r="D237" s="55">
        <v>42522</v>
      </c>
      <c r="E237" s="56">
        <v>51.68</v>
      </c>
      <c r="F237" s="56">
        <v>56.75</v>
      </c>
      <c r="G237" s="56">
        <v>62.62</v>
      </c>
      <c r="H237" s="40"/>
      <c r="I237" s="56">
        <v>23.489999618530273</v>
      </c>
      <c r="J237" s="56">
        <v>26.024999618530273</v>
      </c>
      <c r="K237" s="56">
        <v>28.444999618530275</v>
      </c>
      <c r="L237" s="23"/>
      <c r="M237" s="24">
        <v>43405</v>
      </c>
      <c r="N237" s="57">
        <v>31.700001525878907</v>
      </c>
      <c r="O237" s="57">
        <v>33.275001525878906</v>
      </c>
      <c r="P237" s="57">
        <v>34.782501525878907</v>
      </c>
      <c r="Q237" s="22"/>
      <c r="R237" s="57">
        <v>24.900000381469724</v>
      </c>
      <c r="S237" s="57">
        <v>29.900000381469724</v>
      </c>
      <c r="T237" s="57">
        <v>31.407500381469724</v>
      </c>
      <c r="U237" s="22"/>
      <c r="V237" s="57">
        <v>0</v>
      </c>
      <c r="W237" s="57">
        <v>0</v>
      </c>
      <c r="X237" s="57">
        <v>0</v>
      </c>
      <c r="Y237" s="22"/>
      <c r="Z237" s="57">
        <v>6.5180008835647396E-2</v>
      </c>
      <c r="AA237" s="57">
        <v>0.13036001767129479</v>
      </c>
      <c r="AB237" s="57">
        <v>0.19554002650694219</v>
      </c>
      <c r="AC237" s="22"/>
      <c r="AD237" s="57">
        <v>2.0854059925710981E-2</v>
      </c>
      <c r="AE237" s="57">
        <v>4.1708119851421963E-2</v>
      </c>
      <c r="AF237" s="57">
        <v>6.2562179777132937E-2</v>
      </c>
      <c r="AG237" s="22"/>
      <c r="AH237" s="57">
        <v>-0.25</v>
      </c>
      <c r="AI237" s="57">
        <v>1.25</v>
      </c>
      <c r="AJ237" s="57">
        <v>0.3</v>
      </c>
      <c r="AK237" s="22"/>
      <c r="AL237" s="57">
        <v>-0.15</v>
      </c>
      <c r="AM237" s="57">
        <v>0.3</v>
      </c>
      <c r="AN237" s="57">
        <v>0.2</v>
      </c>
      <c r="AO237" s="22"/>
      <c r="AP237" s="23">
        <v>74</v>
      </c>
      <c r="AQ237" s="58">
        <v>0.4</v>
      </c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4">
        <v>43405</v>
      </c>
      <c r="BI237" s="60">
        <v>0.9</v>
      </c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/>
      <c r="CP237"/>
      <c r="CQ237"/>
      <c r="CR237"/>
      <c r="CS237"/>
      <c r="CT237"/>
      <c r="CY237" s="282">
        <f t="shared" si="31"/>
        <v>43405</v>
      </c>
      <c r="CZ237" s="281">
        <f t="shared" si="32"/>
        <v>1</v>
      </c>
      <c r="DA237" s="281">
        <f t="shared" si="33"/>
        <v>1.25</v>
      </c>
      <c r="DB237" s="281">
        <f t="shared" si="34"/>
        <v>1.55</v>
      </c>
      <c r="DD237" s="281">
        <f t="shared" si="35"/>
        <v>6.5180008835647396E-2</v>
      </c>
      <c r="DE237" s="281">
        <f t="shared" si="36"/>
        <v>0.13036001767129479</v>
      </c>
      <c r="DF237" s="281">
        <f t="shared" si="37"/>
        <v>0.19554002650694219</v>
      </c>
      <c r="DH237" s="282">
        <f t="shared" si="38"/>
        <v>43405</v>
      </c>
      <c r="DI237" s="17">
        <f t="shared" si="39"/>
        <v>0.9</v>
      </c>
    </row>
    <row r="238" spans="1:113">
      <c r="A238" s="27">
        <f t="shared" ca="1" si="30"/>
        <v>43770</v>
      </c>
      <c r="B238" s="17">
        <f>'Gas Curves'!C242</f>
        <v>6.2931819724713012E-2</v>
      </c>
      <c r="C238" s="17"/>
      <c r="D238" s="55">
        <v>42552</v>
      </c>
      <c r="E238" s="56">
        <v>72.349999999999994</v>
      </c>
      <c r="F238" s="56">
        <v>82.25</v>
      </c>
      <c r="G238" s="56">
        <v>94.76</v>
      </c>
      <c r="H238" s="40"/>
      <c r="I238" s="56">
        <v>24.8</v>
      </c>
      <c r="J238" s="56">
        <v>29.75</v>
      </c>
      <c r="K238" s="56">
        <v>34.914999999999999</v>
      </c>
      <c r="L238" s="23"/>
      <c r="M238" s="24">
        <v>43435</v>
      </c>
      <c r="N238" s="57">
        <v>32.299999999999997</v>
      </c>
      <c r="O238" s="57">
        <v>33.875</v>
      </c>
      <c r="P238" s="57">
        <v>35.3825</v>
      </c>
      <c r="Q238" s="22"/>
      <c r="R238" s="57">
        <v>25.400000381469724</v>
      </c>
      <c r="S238" s="57">
        <v>30.400000381469724</v>
      </c>
      <c r="T238" s="57">
        <v>31.907500381469724</v>
      </c>
      <c r="U238" s="22"/>
      <c r="V238" s="57">
        <v>0</v>
      </c>
      <c r="W238" s="57">
        <v>0</v>
      </c>
      <c r="X238" s="57">
        <v>0</v>
      </c>
      <c r="Y238" s="22"/>
      <c r="Z238" s="57">
        <v>6.3878884371445607E-2</v>
      </c>
      <c r="AA238" s="57">
        <v>0.12775776874289121</v>
      </c>
      <c r="AB238" s="57">
        <v>0.19163665311433681</v>
      </c>
      <c r="AC238" s="22"/>
      <c r="AD238" s="57">
        <v>2.0854059925710981E-2</v>
      </c>
      <c r="AE238" s="57">
        <v>4.1708119851421963E-2</v>
      </c>
      <c r="AF238" s="57">
        <v>6.2562179777132937E-2</v>
      </c>
      <c r="AG238" s="22"/>
      <c r="AH238" s="57">
        <v>-0.25</v>
      </c>
      <c r="AI238" s="57">
        <v>1.25</v>
      </c>
      <c r="AJ238" s="57">
        <v>0.3</v>
      </c>
      <c r="AK238" s="22"/>
      <c r="AL238" s="57">
        <v>-0.15</v>
      </c>
      <c r="AM238" s="57">
        <v>0.3</v>
      </c>
      <c r="AN238" s="57">
        <v>0.2</v>
      </c>
      <c r="AO238" s="22"/>
      <c r="AP238" s="23">
        <v>74</v>
      </c>
      <c r="AQ238" s="58">
        <v>0.4</v>
      </c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4">
        <v>43435</v>
      </c>
      <c r="BI238" s="60">
        <v>0.9</v>
      </c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/>
      <c r="CP238"/>
      <c r="CQ238"/>
      <c r="CR238"/>
      <c r="CS238"/>
      <c r="CT238"/>
      <c r="CY238" s="282">
        <f t="shared" si="31"/>
        <v>43435</v>
      </c>
      <c r="CZ238" s="281">
        <f t="shared" si="32"/>
        <v>1</v>
      </c>
      <c r="DA238" s="281">
        <f t="shared" si="33"/>
        <v>1.25</v>
      </c>
      <c r="DB238" s="281">
        <f t="shared" si="34"/>
        <v>1.55</v>
      </c>
      <c r="DD238" s="281">
        <f t="shared" si="35"/>
        <v>6.3878884371445607E-2</v>
      </c>
      <c r="DE238" s="281">
        <f t="shared" si="36"/>
        <v>0.12775776874289121</v>
      </c>
      <c r="DF238" s="281">
        <f t="shared" si="37"/>
        <v>0.19163665311433681</v>
      </c>
      <c r="DH238" s="282">
        <f t="shared" si="38"/>
        <v>43435</v>
      </c>
      <c r="DI238" s="17">
        <f t="shared" si="39"/>
        <v>0.9</v>
      </c>
    </row>
    <row r="239" spans="1:113">
      <c r="A239" s="27">
        <f t="shared" ca="1" si="30"/>
        <v>43800</v>
      </c>
      <c r="B239" s="17">
        <f>'Gas Curves'!C243</f>
        <v>6.2955534818069009E-2</v>
      </c>
      <c r="C239" s="17"/>
      <c r="D239" s="55">
        <v>42583</v>
      </c>
      <c r="E239" s="56">
        <v>72.349999999999994</v>
      </c>
      <c r="F239" s="56">
        <v>82.25</v>
      </c>
      <c r="G239" s="56">
        <v>94.76</v>
      </c>
      <c r="H239" s="40"/>
      <c r="I239" s="56">
        <v>36.950001525878903</v>
      </c>
      <c r="J239" s="56">
        <v>41.900001525878906</v>
      </c>
      <c r="K239" s="56">
        <v>47.065001525878905</v>
      </c>
      <c r="L239" s="23"/>
      <c r="M239" s="24">
        <v>43466</v>
      </c>
      <c r="N239" s="57">
        <v>34.829496002197274</v>
      </c>
      <c r="O239" s="57">
        <v>36.404496002197277</v>
      </c>
      <c r="P239" s="57">
        <v>37.664496002197275</v>
      </c>
      <c r="Q239" s="22"/>
      <c r="R239" s="57">
        <v>27.503997421264657</v>
      </c>
      <c r="S239" s="57">
        <v>32.503997421264657</v>
      </c>
      <c r="T239" s="57">
        <v>33.763997421264655</v>
      </c>
      <c r="U239" s="22"/>
      <c r="V239" s="57">
        <v>0</v>
      </c>
      <c r="W239" s="57">
        <v>0</v>
      </c>
      <c r="X239" s="57">
        <v>0</v>
      </c>
      <c r="Y239" s="22"/>
      <c r="Z239" s="57">
        <v>9.4265229575163478E-2</v>
      </c>
      <c r="AA239" s="57">
        <v>0.18853045915032696</v>
      </c>
      <c r="AB239" s="57">
        <v>0.28279568872549044</v>
      </c>
      <c r="AC239" s="22"/>
      <c r="AD239" s="57">
        <v>2.0854059925710981E-2</v>
      </c>
      <c r="AE239" s="57">
        <v>4.1708119851421963E-2</v>
      </c>
      <c r="AF239" s="57">
        <v>6.2562179777132937E-2</v>
      </c>
      <c r="AG239" s="22"/>
      <c r="AH239" s="57">
        <v>-0.25</v>
      </c>
      <c r="AI239" s="57">
        <v>1.25</v>
      </c>
      <c r="AJ239" s="57">
        <v>0.3</v>
      </c>
      <c r="AK239" s="22"/>
      <c r="AL239" s="57">
        <v>-0.15</v>
      </c>
      <c r="AM239" s="57">
        <v>0.3</v>
      </c>
      <c r="AN239" s="57">
        <v>0.2</v>
      </c>
      <c r="AO239" s="22"/>
      <c r="AP239" s="23">
        <v>74</v>
      </c>
      <c r="AQ239" s="58">
        <v>0.4</v>
      </c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4">
        <v>43466</v>
      </c>
      <c r="BI239" s="60">
        <v>0.9</v>
      </c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/>
      <c r="CP239"/>
      <c r="CQ239"/>
      <c r="CR239"/>
      <c r="CS239"/>
      <c r="CT239"/>
      <c r="CY239" s="282">
        <f t="shared" si="31"/>
        <v>43466</v>
      </c>
      <c r="CZ239" s="281">
        <f t="shared" si="32"/>
        <v>1</v>
      </c>
      <c r="DA239" s="281">
        <f t="shared" si="33"/>
        <v>1.25</v>
      </c>
      <c r="DB239" s="281">
        <f t="shared" si="34"/>
        <v>1.55</v>
      </c>
      <c r="DD239" s="281">
        <f t="shared" si="35"/>
        <v>9.4265229575163478E-2</v>
      </c>
      <c r="DE239" s="281">
        <f t="shared" si="36"/>
        <v>0.18853045915032696</v>
      </c>
      <c r="DF239" s="281">
        <f t="shared" si="37"/>
        <v>0.28279568872549044</v>
      </c>
      <c r="DH239" s="282">
        <f t="shared" si="38"/>
        <v>43466</v>
      </c>
      <c r="DI239" s="17">
        <f t="shared" si="39"/>
        <v>0.9</v>
      </c>
    </row>
    <row r="240" spans="1:113">
      <c r="A240" s="27">
        <f t="shared" ca="1" si="30"/>
        <v>43831</v>
      </c>
      <c r="B240" s="17">
        <f>'Gas Curves'!C244</f>
        <v>6.2980040414732999E-2</v>
      </c>
      <c r="C240" s="17"/>
      <c r="D240" s="55">
        <v>42614</v>
      </c>
      <c r="E240" s="56">
        <v>35.43</v>
      </c>
      <c r="F240" s="56">
        <v>40.5</v>
      </c>
      <c r="G240" s="56">
        <v>44.35</v>
      </c>
      <c r="H240" s="40"/>
      <c r="I240" s="56">
        <v>27.864999618530273</v>
      </c>
      <c r="J240" s="56">
        <v>30.399999618530273</v>
      </c>
      <c r="K240" s="56">
        <v>31.989999618530273</v>
      </c>
      <c r="L240" s="23"/>
      <c r="M240" s="24">
        <v>43497</v>
      </c>
      <c r="N240" s="57">
        <v>34.491996765136733</v>
      </c>
      <c r="O240" s="57">
        <v>35.72949676513673</v>
      </c>
      <c r="P240" s="57">
        <v>36.989496765136728</v>
      </c>
      <c r="Q240" s="22"/>
      <c r="R240" s="57">
        <v>26.90399703979492</v>
      </c>
      <c r="S240" s="57">
        <v>31.90399703979492</v>
      </c>
      <c r="T240" s="57">
        <v>33.163997039794921</v>
      </c>
      <c r="U240" s="22"/>
      <c r="V240" s="57">
        <v>0</v>
      </c>
      <c r="W240" s="57">
        <v>0</v>
      </c>
      <c r="X240" s="57">
        <v>0</v>
      </c>
      <c r="Y240" s="22"/>
      <c r="Z240" s="57">
        <v>9.1066609010736779E-2</v>
      </c>
      <c r="AA240" s="57">
        <v>0.18213321802147356</v>
      </c>
      <c r="AB240" s="57">
        <v>0.27319982703221035</v>
      </c>
      <c r="AC240" s="22"/>
      <c r="AD240" s="57">
        <v>2.0854059925710981E-2</v>
      </c>
      <c r="AE240" s="57">
        <v>4.1708119851421963E-2</v>
      </c>
      <c r="AF240" s="57">
        <v>6.2562179777132937E-2</v>
      </c>
      <c r="AG240" s="22"/>
      <c r="AH240" s="57">
        <v>-0.25</v>
      </c>
      <c r="AI240" s="57">
        <v>1.25</v>
      </c>
      <c r="AJ240" s="57">
        <v>0.3</v>
      </c>
      <c r="AK240" s="22"/>
      <c r="AL240" s="57">
        <v>-0.15</v>
      </c>
      <c r="AM240" s="57">
        <v>0.3</v>
      </c>
      <c r="AN240" s="57">
        <v>0.2</v>
      </c>
      <c r="AO240" s="22"/>
      <c r="AP240" s="23">
        <v>74</v>
      </c>
      <c r="AQ240" s="58">
        <v>0.4</v>
      </c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4">
        <v>43497</v>
      </c>
      <c r="BI240" s="60">
        <v>0.9</v>
      </c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/>
      <c r="CP240"/>
      <c r="CQ240"/>
      <c r="CR240"/>
      <c r="CS240"/>
      <c r="CT240"/>
      <c r="CY240" s="282">
        <f t="shared" si="31"/>
        <v>43497</v>
      </c>
      <c r="CZ240" s="281">
        <f t="shared" si="32"/>
        <v>1</v>
      </c>
      <c r="DA240" s="281">
        <f t="shared" si="33"/>
        <v>1.25</v>
      </c>
      <c r="DB240" s="281">
        <f t="shared" si="34"/>
        <v>1.55</v>
      </c>
      <c r="DD240" s="281">
        <f t="shared" si="35"/>
        <v>9.1066609010736779E-2</v>
      </c>
      <c r="DE240" s="281">
        <f t="shared" si="36"/>
        <v>0.18213321802147356</v>
      </c>
      <c r="DF240" s="281">
        <f t="shared" si="37"/>
        <v>0.27319982703221035</v>
      </c>
      <c r="DH240" s="282">
        <f t="shared" si="38"/>
        <v>43497</v>
      </c>
      <c r="DI240" s="17">
        <f t="shared" si="39"/>
        <v>0.9</v>
      </c>
    </row>
    <row r="241" spans="1:113">
      <c r="A241" s="27">
        <f t="shared" ca="1" si="30"/>
        <v>43862</v>
      </c>
      <c r="B241" s="17">
        <f>'Gas Curves'!C245</f>
        <v>6.300454601159701E-2</v>
      </c>
      <c r="C241" s="17"/>
      <c r="D241" s="55">
        <v>42644</v>
      </c>
      <c r="E241" s="56">
        <v>37.869999999999997</v>
      </c>
      <c r="F241" s="56">
        <v>40.5</v>
      </c>
      <c r="G241" s="56">
        <v>42.95</v>
      </c>
      <c r="H241" s="40"/>
      <c r="I241" s="56">
        <v>27.084999618530272</v>
      </c>
      <c r="J241" s="56">
        <v>28.399999618530273</v>
      </c>
      <c r="K241" s="56">
        <v>29.404999618530272</v>
      </c>
      <c r="L241" s="23"/>
      <c r="M241" s="24">
        <v>43525</v>
      </c>
      <c r="N241" s="57">
        <v>28.637496948242184</v>
      </c>
      <c r="O241" s="57">
        <v>29.874996948242185</v>
      </c>
      <c r="P241" s="57">
        <v>31.134996948242186</v>
      </c>
      <c r="Q241" s="22"/>
      <c r="R241" s="57">
        <v>21.699998474121092</v>
      </c>
      <c r="S241" s="57">
        <v>26.699998474121092</v>
      </c>
      <c r="T241" s="57">
        <v>27.959998474121093</v>
      </c>
      <c r="U241" s="22"/>
      <c r="V241" s="57">
        <v>0</v>
      </c>
      <c r="W241" s="57">
        <v>0</v>
      </c>
      <c r="X241" s="57">
        <v>0</v>
      </c>
      <c r="Y241" s="22"/>
      <c r="Z241" s="57">
        <v>7.2193702379781163E-2</v>
      </c>
      <c r="AA241" s="57">
        <v>0.14438740475956233</v>
      </c>
      <c r="AB241" s="57">
        <v>0.21658110713934348</v>
      </c>
      <c r="AC241" s="22"/>
      <c r="AD241" s="57">
        <v>2.0854059925710981E-2</v>
      </c>
      <c r="AE241" s="57">
        <v>4.1708119851421963E-2</v>
      </c>
      <c r="AF241" s="57">
        <v>6.2562179777132937E-2</v>
      </c>
      <c r="AG241" s="22"/>
      <c r="AH241" s="57">
        <v>-0.25</v>
      </c>
      <c r="AI241" s="57">
        <v>1.25</v>
      </c>
      <c r="AJ241" s="57">
        <v>0.3</v>
      </c>
      <c r="AK241" s="22"/>
      <c r="AL241" s="57">
        <v>-0.15</v>
      </c>
      <c r="AM241" s="57">
        <v>0.3</v>
      </c>
      <c r="AN241" s="57">
        <v>0.2</v>
      </c>
      <c r="AO241" s="22"/>
      <c r="AP241" s="23">
        <v>74</v>
      </c>
      <c r="AQ241" s="58">
        <v>0.4</v>
      </c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4">
        <v>43525</v>
      </c>
      <c r="BI241" s="60">
        <v>0.9</v>
      </c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/>
      <c r="CP241"/>
      <c r="CQ241"/>
      <c r="CR241"/>
      <c r="CS241"/>
      <c r="CT241"/>
      <c r="CY241" s="282">
        <f t="shared" si="31"/>
        <v>43525</v>
      </c>
      <c r="CZ241" s="281">
        <f t="shared" si="32"/>
        <v>1</v>
      </c>
      <c r="DA241" s="281">
        <f t="shared" si="33"/>
        <v>1.25</v>
      </c>
      <c r="DB241" s="281">
        <f t="shared" si="34"/>
        <v>1.55</v>
      </c>
      <c r="DD241" s="281">
        <f t="shared" si="35"/>
        <v>7.2193702379781163E-2</v>
      </c>
      <c r="DE241" s="281">
        <f t="shared" si="36"/>
        <v>0.14438740475956233</v>
      </c>
      <c r="DF241" s="281">
        <f t="shared" si="37"/>
        <v>0.21658110713934348</v>
      </c>
      <c r="DH241" s="282">
        <f t="shared" si="38"/>
        <v>43525</v>
      </c>
      <c r="DI241" s="17">
        <f t="shared" si="39"/>
        <v>0.9</v>
      </c>
    </row>
    <row r="242" spans="1:113">
      <c r="A242" s="27">
        <f t="shared" ca="1" si="30"/>
        <v>43891</v>
      </c>
      <c r="B242" s="17">
        <f>'Gas Curves'!C246</f>
        <v>6.3027470602391014E-2</v>
      </c>
      <c r="C242" s="17"/>
      <c r="D242" s="55">
        <v>42675</v>
      </c>
      <c r="E242" s="56">
        <v>40.369999999999997</v>
      </c>
      <c r="F242" s="56">
        <v>43</v>
      </c>
      <c r="G242" s="56">
        <v>45.45</v>
      </c>
      <c r="H242" s="40"/>
      <c r="I242" s="56">
        <v>27.834999618530272</v>
      </c>
      <c r="J242" s="56">
        <v>29.149999618530273</v>
      </c>
      <c r="K242" s="56">
        <v>30.154999618530272</v>
      </c>
      <c r="L242" s="23"/>
      <c r="M242" s="24">
        <v>43556</v>
      </c>
      <c r="N242" s="57">
        <v>27.624999618530271</v>
      </c>
      <c r="O242" s="57">
        <v>29.199999618530271</v>
      </c>
      <c r="P242" s="57">
        <v>30.459999618530272</v>
      </c>
      <c r="Q242" s="22"/>
      <c r="R242" s="57">
        <v>21.1</v>
      </c>
      <c r="S242" s="57">
        <v>26.1</v>
      </c>
      <c r="T242" s="57">
        <v>27.36</v>
      </c>
      <c r="U242" s="22"/>
      <c r="V242" s="57">
        <v>0</v>
      </c>
      <c r="W242" s="57">
        <v>0</v>
      </c>
      <c r="X242" s="57">
        <v>0</v>
      </c>
      <c r="Y242" s="22"/>
      <c r="Z242" s="57">
        <v>0</v>
      </c>
      <c r="AA242" s="57">
        <v>0</v>
      </c>
      <c r="AB242" s="57">
        <v>0</v>
      </c>
      <c r="AC242" s="22"/>
      <c r="AD242" s="57">
        <v>0</v>
      </c>
      <c r="AE242" s="57">
        <v>0</v>
      </c>
      <c r="AF242" s="57">
        <v>0</v>
      </c>
      <c r="AG242" s="22"/>
      <c r="AH242" s="57">
        <v>0</v>
      </c>
      <c r="AI242" s="57">
        <v>0</v>
      </c>
      <c r="AJ242" s="57">
        <v>0</v>
      </c>
      <c r="AK242" s="22"/>
      <c r="AL242" s="57">
        <v>0</v>
      </c>
      <c r="AM242" s="57">
        <v>0</v>
      </c>
      <c r="AN242" s="57">
        <v>0</v>
      </c>
      <c r="AO242" s="22"/>
      <c r="AP242" s="23">
        <v>0</v>
      </c>
      <c r="AQ242" s="58">
        <v>0</v>
      </c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4">
        <v>43556</v>
      </c>
      <c r="BI242" s="60">
        <v>0</v>
      </c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/>
      <c r="CP242"/>
      <c r="CQ242"/>
      <c r="CR242"/>
      <c r="CS242"/>
      <c r="CT242"/>
      <c r="CY242" s="282">
        <f t="shared" si="31"/>
        <v>43556</v>
      </c>
      <c r="CZ242" s="281">
        <f t="shared" si="32"/>
        <v>0</v>
      </c>
      <c r="DA242" s="281">
        <f t="shared" si="33"/>
        <v>0</v>
      </c>
      <c r="DB242" s="281">
        <f t="shared" si="34"/>
        <v>0</v>
      </c>
      <c r="DD242" s="281">
        <f t="shared" si="35"/>
        <v>0</v>
      </c>
      <c r="DE242" s="281">
        <f t="shared" si="36"/>
        <v>0</v>
      </c>
      <c r="DF242" s="281">
        <f t="shared" si="37"/>
        <v>0</v>
      </c>
      <c r="DH242" s="282">
        <f t="shared" si="38"/>
        <v>43556</v>
      </c>
      <c r="DI242" s="17">
        <f t="shared" si="39"/>
        <v>0</v>
      </c>
    </row>
    <row r="243" spans="1:113">
      <c r="A243" s="27">
        <f t="shared" ca="1" si="30"/>
        <v>43922</v>
      </c>
      <c r="B243" s="17">
        <f>'Gas Curves'!C247</f>
        <v>6.3051976199639995E-2</v>
      </c>
      <c r="C243" s="17"/>
      <c r="D243" s="55">
        <v>42705</v>
      </c>
      <c r="E243" s="56">
        <v>40.369999999999997</v>
      </c>
      <c r="F243" s="56">
        <v>43</v>
      </c>
      <c r="G243" s="56">
        <v>45.45</v>
      </c>
      <c r="H243" s="40"/>
      <c r="I243" s="56">
        <v>27.734999237060546</v>
      </c>
      <c r="J243" s="56">
        <v>29.049999237060547</v>
      </c>
      <c r="K243" s="56">
        <v>30.054999237060546</v>
      </c>
      <c r="L243" s="23"/>
      <c r="M243" s="24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4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/>
      <c r="CP243"/>
      <c r="CQ243"/>
      <c r="CR243"/>
      <c r="CS243"/>
      <c r="CT243"/>
      <c r="CY243" s="282">
        <f>IF(M243=0,EOMONTH(CY242,0)+1,M243)</f>
        <v>43586</v>
      </c>
      <c r="CZ243" s="281">
        <f>IF(AI243=0,CZ231,AH243+AI243)</f>
        <v>1</v>
      </c>
      <c r="DA243" s="281">
        <f>IF(AI243=0,DA231,AI243)</f>
        <v>1.25</v>
      </c>
      <c r="DB243" s="281">
        <f>IF(AI243=0,DB231,AI243+AJ243)</f>
        <v>1.55</v>
      </c>
      <c r="DD243" s="101">
        <f>IF(Z243=0,DD231,Z243)</f>
        <v>7.9836777060086975E-2</v>
      </c>
      <c r="DE243" s="101">
        <f>IF(AA243=0,DE231,AA243)</f>
        <v>0.15967355412017395</v>
      </c>
      <c r="DF243" s="101">
        <f>IF(AB243=0,DF231,AB243)</f>
        <v>0.23951033118026094</v>
      </c>
      <c r="DH243" s="282">
        <f t="shared" ref="DH243:DH274" si="40">IF(BH243=0,EOMONTH(DH242,0)+1,BH243)</f>
        <v>43586</v>
      </c>
      <c r="DI243" s="318">
        <f>IF(BI243=0,DI231,BI243)</f>
        <v>0.9</v>
      </c>
    </row>
    <row r="244" spans="1:113">
      <c r="A244" s="27">
        <f t="shared" ca="1" si="30"/>
        <v>43952</v>
      </c>
      <c r="B244" s="17">
        <f>'Gas Curves'!C248</f>
        <v>6.3075691293941014E-2</v>
      </c>
      <c r="C244" s="17"/>
      <c r="D244" s="55">
        <v>42736</v>
      </c>
      <c r="E244" s="56">
        <v>56.67</v>
      </c>
      <c r="F244" s="56">
        <v>59.3</v>
      </c>
      <c r="G244" s="56">
        <v>61.34</v>
      </c>
      <c r="H244" s="40"/>
      <c r="I244" s="56">
        <v>28.735000381469725</v>
      </c>
      <c r="J244" s="56">
        <v>30.050000381469726</v>
      </c>
      <c r="K244" s="56">
        <v>30.890000381469726</v>
      </c>
      <c r="L244" s="23"/>
      <c r="M244" s="24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4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/>
      <c r="CP244"/>
      <c r="CQ244"/>
      <c r="CR244"/>
      <c r="CS244"/>
      <c r="CT244"/>
      <c r="CY244" s="282">
        <f t="shared" ref="CY244:CY275" si="41">EOMONTH(CY243,0)+1</f>
        <v>43617</v>
      </c>
      <c r="CZ244" s="281">
        <f t="shared" ref="CZ244:CZ285" si="42">IF(AI244=0,CZ232,AH244+AI244)</f>
        <v>1</v>
      </c>
      <c r="DA244" s="281">
        <f t="shared" ref="DA244:DA285" si="43">IF(AI244=0,DA232,AI244)</f>
        <v>1.25</v>
      </c>
      <c r="DB244" s="281">
        <f t="shared" ref="DB244:DB285" si="44">IF(AI244=0,DB232,AI244+AJ244)</f>
        <v>1.55</v>
      </c>
      <c r="DD244" s="101">
        <f t="shared" ref="DD244:DD285" si="45">IF(Z244=0,DD232,Z244)</f>
        <v>8.5380172451755984E-2</v>
      </c>
      <c r="DE244" s="101">
        <f t="shared" ref="DE244:DE285" si="46">IF(AA244=0,DE232,AA244)</f>
        <v>0.17076034490351197</v>
      </c>
      <c r="DF244" s="101">
        <f t="shared" ref="DF244:DF285" si="47">IF(AB244=0,DF232,AB244)</f>
        <v>0.25614051735526794</v>
      </c>
      <c r="DH244" s="282">
        <f t="shared" si="40"/>
        <v>43617</v>
      </c>
      <c r="DI244" s="318">
        <f t="shared" ref="DI244:DI285" si="48">IF(BI244=0,DI232,BI244)</f>
        <v>0.9</v>
      </c>
    </row>
    <row r="245" spans="1:113">
      <c r="A245" s="27">
        <f t="shared" ca="1" si="30"/>
        <v>43983</v>
      </c>
      <c r="B245" s="17">
        <f>'Gas Curves'!C249</f>
        <v>6.3100196891582E-2</v>
      </c>
      <c r="C245" s="17"/>
      <c r="D245" s="55">
        <v>42767</v>
      </c>
      <c r="E245" s="56">
        <v>57.23</v>
      </c>
      <c r="F245" s="56">
        <v>59.3</v>
      </c>
      <c r="G245" s="56">
        <v>61.34</v>
      </c>
      <c r="H245" s="40"/>
      <c r="I245" s="56">
        <v>25.664999999999999</v>
      </c>
      <c r="J245" s="56">
        <v>26.7</v>
      </c>
      <c r="K245" s="56">
        <v>27.54</v>
      </c>
      <c r="L245" s="23"/>
      <c r="M245" s="24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4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/>
      <c r="CP245"/>
      <c r="CQ245"/>
      <c r="CR245"/>
      <c r="CS245"/>
      <c r="CT245"/>
      <c r="CY245" s="282">
        <f t="shared" si="41"/>
        <v>43647</v>
      </c>
      <c r="CZ245" s="281">
        <f t="shared" si="42"/>
        <v>1</v>
      </c>
      <c r="DA245" s="281">
        <f t="shared" si="43"/>
        <v>1.25</v>
      </c>
      <c r="DB245" s="281">
        <f t="shared" si="44"/>
        <v>1.55</v>
      </c>
      <c r="DD245" s="101">
        <f t="shared" si="45"/>
        <v>0.101692367108662</v>
      </c>
      <c r="DE245" s="101">
        <f t="shared" si="46"/>
        <v>0.203384734217324</v>
      </c>
      <c r="DF245" s="101">
        <f t="shared" si="47"/>
        <v>0.30507710132598598</v>
      </c>
      <c r="DH245" s="282">
        <f t="shared" si="40"/>
        <v>43647</v>
      </c>
      <c r="DI245" s="318">
        <f t="shared" si="48"/>
        <v>0.9</v>
      </c>
    </row>
    <row r="246" spans="1:113">
      <c r="A246" s="27">
        <f t="shared" ca="1" si="30"/>
        <v>44013</v>
      </c>
      <c r="B246" s="17">
        <f>'Gas Curves'!C250</f>
        <v>6.3123911986263007E-2</v>
      </c>
      <c r="C246" s="17"/>
      <c r="D246" s="55">
        <v>42795</v>
      </c>
      <c r="E246" s="56">
        <v>40.229999999999997</v>
      </c>
      <c r="F246" s="56">
        <v>42.3</v>
      </c>
      <c r="G246" s="56">
        <v>44.34</v>
      </c>
      <c r="H246" s="40"/>
      <c r="I246" s="56">
        <v>26.064999618530273</v>
      </c>
      <c r="J246" s="56">
        <v>27.099999618530273</v>
      </c>
      <c r="K246" s="56">
        <v>27.939999618530273</v>
      </c>
      <c r="L246" s="23"/>
      <c r="M246" s="24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4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/>
      <c r="CP246"/>
      <c r="CQ246"/>
      <c r="CR246"/>
      <c r="CS246"/>
      <c r="CT246"/>
      <c r="CY246" s="282">
        <f t="shared" si="41"/>
        <v>43678</v>
      </c>
      <c r="CZ246" s="281">
        <f t="shared" si="42"/>
        <v>1</v>
      </c>
      <c r="DA246" s="281">
        <f t="shared" si="43"/>
        <v>1.25</v>
      </c>
      <c r="DB246" s="281">
        <f t="shared" si="44"/>
        <v>1.55</v>
      </c>
      <c r="DD246" s="101">
        <f t="shared" si="45"/>
        <v>9.9464225848612461E-2</v>
      </c>
      <c r="DE246" s="101">
        <f t="shared" si="46"/>
        <v>0.19892845169722492</v>
      </c>
      <c r="DF246" s="101">
        <f t="shared" si="47"/>
        <v>0.29839267754583737</v>
      </c>
      <c r="DH246" s="282">
        <f t="shared" si="40"/>
        <v>43678</v>
      </c>
      <c r="DI246" s="318">
        <f t="shared" si="48"/>
        <v>0.9</v>
      </c>
    </row>
    <row r="247" spans="1:113">
      <c r="A247" s="27">
        <f t="shared" ca="1" si="30"/>
        <v>44044</v>
      </c>
      <c r="B247" s="17">
        <f>'Gas Curves'!C251</f>
        <v>6.3148417584296027E-2</v>
      </c>
      <c r="C247" s="17"/>
      <c r="D247" s="55">
        <v>42826</v>
      </c>
      <c r="E247" s="56">
        <v>36.17</v>
      </c>
      <c r="F247" s="56">
        <v>38.799999999999997</v>
      </c>
      <c r="G247" s="56">
        <v>40.840000000000003</v>
      </c>
      <c r="H247" s="40"/>
      <c r="I247" s="56">
        <v>23.534999618530271</v>
      </c>
      <c r="J247" s="56">
        <v>24.849999618530273</v>
      </c>
      <c r="K247" s="56">
        <v>25.689999618530273</v>
      </c>
      <c r="L247" s="23"/>
      <c r="M247" s="24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4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/>
      <c r="CP247"/>
      <c r="CQ247"/>
      <c r="CR247"/>
      <c r="CS247"/>
      <c r="CT247"/>
      <c r="CY247" s="282">
        <f t="shared" si="41"/>
        <v>43709</v>
      </c>
      <c r="CZ247" s="281">
        <f t="shared" si="42"/>
        <v>1</v>
      </c>
      <c r="DA247" s="281">
        <f t="shared" si="43"/>
        <v>1.25</v>
      </c>
      <c r="DB247" s="281">
        <f t="shared" si="44"/>
        <v>1.55</v>
      </c>
      <c r="DD247" s="101">
        <f t="shared" si="45"/>
        <v>7.5360688839898535E-2</v>
      </c>
      <c r="DE247" s="101">
        <f t="shared" si="46"/>
        <v>0.15072137767979707</v>
      </c>
      <c r="DF247" s="101">
        <f t="shared" si="47"/>
        <v>0.22608206651969559</v>
      </c>
      <c r="DH247" s="282">
        <f t="shared" si="40"/>
        <v>43709</v>
      </c>
      <c r="DI247" s="318">
        <f t="shared" si="48"/>
        <v>0.9</v>
      </c>
    </row>
    <row r="248" spans="1:113">
      <c r="A248" s="27">
        <f t="shared" ca="1" si="30"/>
        <v>44075</v>
      </c>
      <c r="B248" s="17">
        <f>'Gas Curves'!C252</f>
        <v>6.3172923182529012E-2</v>
      </c>
      <c r="C248" s="17"/>
      <c r="D248" s="55">
        <v>42856</v>
      </c>
      <c r="E248" s="56">
        <v>40.67</v>
      </c>
      <c r="F248" s="56">
        <v>43.3</v>
      </c>
      <c r="G248" s="56">
        <v>47.15</v>
      </c>
      <c r="H248" s="40"/>
      <c r="I248" s="56">
        <v>24.534999618530271</v>
      </c>
      <c r="J248" s="56">
        <v>25.849999618530273</v>
      </c>
      <c r="K248" s="56">
        <v>27.439999618530273</v>
      </c>
      <c r="L248" s="23"/>
      <c r="M248" s="24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4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/>
      <c r="CP248"/>
      <c r="CQ248"/>
      <c r="CR248"/>
      <c r="CS248"/>
      <c r="CT248"/>
      <c r="CY248" s="282">
        <f t="shared" si="41"/>
        <v>43739</v>
      </c>
      <c r="CZ248" s="281">
        <f t="shared" si="42"/>
        <v>1</v>
      </c>
      <c r="DA248" s="281">
        <f t="shared" si="43"/>
        <v>1.25</v>
      </c>
      <c r="DB248" s="281">
        <f t="shared" si="44"/>
        <v>1.55</v>
      </c>
      <c r="DD248" s="101">
        <f t="shared" si="45"/>
        <v>6.5180008835647396E-2</v>
      </c>
      <c r="DE248" s="101">
        <f t="shared" si="46"/>
        <v>0.13036001767129479</v>
      </c>
      <c r="DF248" s="101">
        <f t="shared" si="47"/>
        <v>0.19554002650694219</v>
      </c>
      <c r="DH248" s="282">
        <f t="shared" si="40"/>
        <v>43739</v>
      </c>
      <c r="DI248" s="318">
        <f t="shared" si="48"/>
        <v>0.9</v>
      </c>
    </row>
    <row r="249" spans="1:113">
      <c r="A249" s="27">
        <f t="shared" ca="1" si="30"/>
        <v>44105</v>
      </c>
      <c r="B249" s="17">
        <f>'Gas Curves'!C253</f>
        <v>6.3196638277782019E-2</v>
      </c>
      <c r="C249" s="17"/>
      <c r="D249" s="55">
        <v>42887</v>
      </c>
      <c r="E249" s="56">
        <v>52.68</v>
      </c>
      <c r="F249" s="56">
        <v>57.75</v>
      </c>
      <c r="G249" s="56">
        <v>63.62</v>
      </c>
      <c r="H249" s="40"/>
      <c r="I249" s="56">
        <v>23.689999618530273</v>
      </c>
      <c r="J249" s="56">
        <v>26.224999618530273</v>
      </c>
      <c r="K249" s="56">
        <v>28.644999618530271</v>
      </c>
      <c r="L249" s="23"/>
      <c r="M249" s="24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4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/>
      <c r="CP249"/>
      <c r="CQ249"/>
      <c r="CR249"/>
      <c r="CS249"/>
      <c r="CT249"/>
      <c r="CY249" s="282">
        <f t="shared" si="41"/>
        <v>43770</v>
      </c>
      <c r="CZ249" s="281">
        <f t="shared" si="42"/>
        <v>1</v>
      </c>
      <c r="DA249" s="281">
        <f t="shared" si="43"/>
        <v>1.25</v>
      </c>
      <c r="DB249" s="281">
        <f t="shared" si="44"/>
        <v>1.55</v>
      </c>
      <c r="DD249" s="101">
        <f t="shared" si="45"/>
        <v>6.5180008835647396E-2</v>
      </c>
      <c r="DE249" s="101">
        <f t="shared" si="46"/>
        <v>0.13036001767129479</v>
      </c>
      <c r="DF249" s="101">
        <f t="shared" si="47"/>
        <v>0.19554002650694219</v>
      </c>
      <c r="DH249" s="282">
        <f t="shared" si="40"/>
        <v>43770</v>
      </c>
      <c r="DI249" s="318">
        <f t="shared" si="48"/>
        <v>0.9</v>
      </c>
    </row>
    <row r="250" spans="1:113">
      <c r="A250" s="27">
        <f t="shared" ca="1" si="30"/>
        <v>44136</v>
      </c>
      <c r="B250" s="17">
        <f>'Gas Curves'!C254</f>
        <v>6.3221143876406011E-2</v>
      </c>
      <c r="C250" s="17"/>
      <c r="D250" s="55">
        <v>42917</v>
      </c>
      <c r="E250" s="56">
        <v>74.349999999999994</v>
      </c>
      <c r="F250" s="56">
        <v>84.25</v>
      </c>
      <c r="G250" s="56">
        <v>96.76</v>
      </c>
      <c r="H250" s="40"/>
      <c r="I250" s="56">
        <v>25</v>
      </c>
      <c r="J250" s="56">
        <v>29.95</v>
      </c>
      <c r="K250" s="56">
        <v>35.115000000000002</v>
      </c>
      <c r="L250" s="23"/>
      <c r="M250" s="24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4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/>
      <c r="CP250"/>
      <c r="CQ250"/>
      <c r="CR250"/>
      <c r="CS250"/>
      <c r="CT250"/>
      <c r="CY250" s="282">
        <f t="shared" si="41"/>
        <v>43800</v>
      </c>
      <c r="CZ250" s="281">
        <f t="shared" si="42"/>
        <v>1</v>
      </c>
      <c r="DA250" s="281">
        <f t="shared" si="43"/>
        <v>1.25</v>
      </c>
      <c r="DB250" s="281">
        <f t="shared" si="44"/>
        <v>1.55</v>
      </c>
      <c r="DD250" s="101">
        <f t="shared" si="45"/>
        <v>6.3878884371445607E-2</v>
      </c>
      <c r="DE250" s="101">
        <f t="shared" si="46"/>
        <v>0.12775776874289121</v>
      </c>
      <c r="DF250" s="101">
        <f t="shared" si="47"/>
        <v>0.19163665311433681</v>
      </c>
      <c r="DH250" s="282">
        <f t="shared" si="40"/>
        <v>43800</v>
      </c>
      <c r="DI250" s="318">
        <f t="shared" si="48"/>
        <v>0.9</v>
      </c>
    </row>
    <row r="251" spans="1:113">
      <c r="A251" s="27">
        <f t="shared" ca="1" si="30"/>
        <v>44166</v>
      </c>
      <c r="B251" s="17">
        <f>'Gas Curves'!C255</f>
        <v>6.3244858972038007E-2</v>
      </c>
      <c r="C251" s="17"/>
      <c r="D251" s="55">
        <v>42948</v>
      </c>
      <c r="E251" s="56">
        <v>74.349999999999994</v>
      </c>
      <c r="F251" s="56">
        <v>84.25</v>
      </c>
      <c r="G251" s="56">
        <v>96.76</v>
      </c>
      <c r="H251" s="40"/>
      <c r="I251" s="56">
        <v>37.150001525878906</v>
      </c>
      <c r="J251" s="56">
        <v>42.100001525878909</v>
      </c>
      <c r="K251" s="56">
        <v>47.265001525878908</v>
      </c>
      <c r="L251" s="23"/>
      <c r="M251" s="24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4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/>
      <c r="CP251"/>
      <c r="CQ251"/>
      <c r="CR251"/>
      <c r="CS251"/>
      <c r="CT251"/>
      <c r="CY251" s="282">
        <f t="shared" si="41"/>
        <v>43831</v>
      </c>
      <c r="CZ251" s="281">
        <f t="shared" si="42"/>
        <v>1</v>
      </c>
      <c r="DA251" s="281">
        <f t="shared" si="43"/>
        <v>1.25</v>
      </c>
      <c r="DB251" s="281">
        <f t="shared" si="44"/>
        <v>1.55</v>
      </c>
      <c r="DD251" s="101">
        <f t="shared" si="45"/>
        <v>9.4265229575163478E-2</v>
      </c>
      <c r="DE251" s="101">
        <f t="shared" si="46"/>
        <v>0.18853045915032696</v>
      </c>
      <c r="DF251" s="101">
        <f t="shared" si="47"/>
        <v>0.28279568872549044</v>
      </c>
      <c r="DH251" s="282">
        <f t="shared" si="40"/>
        <v>43831</v>
      </c>
      <c r="DI251" s="318">
        <f t="shared" si="48"/>
        <v>0.9</v>
      </c>
    </row>
    <row r="252" spans="1:113">
      <c r="A252" s="27">
        <f t="shared" ca="1" si="30"/>
        <v>44197</v>
      </c>
      <c r="B252" s="17">
        <f>'Gas Curves'!C256</f>
        <v>6.3269364571055003E-2</v>
      </c>
      <c r="C252" s="17"/>
      <c r="D252" s="55">
        <v>42979</v>
      </c>
      <c r="E252" s="56">
        <v>35.729999999999997</v>
      </c>
      <c r="F252" s="56">
        <v>40.799999999999997</v>
      </c>
      <c r="G252" s="56">
        <v>44.65</v>
      </c>
      <c r="H252" s="40"/>
      <c r="I252" s="56">
        <v>28.064999618530273</v>
      </c>
      <c r="J252" s="56">
        <v>30.599999618530273</v>
      </c>
      <c r="K252" s="56">
        <v>32.189999618530273</v>
      </c>
      <c r="L252" s="23"/>
      <c r="M252" s="24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4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/>
      <c r="CP252"/>
      <c r="CQ252"/>
      <c r="CR252"/>
      <c r="CS252"/>
      <c r="CT252"/>
      <c r="CY252" s="282">
        <f t="shared" si="41"/>
        <v>43862</v>
      </c>
      <c r="CZ252" s="281">
        <f t="shared" si="42"/>
        <v>1</v>
      </c>
      <c r="DA252" s="281">
        <f t="shared" si="43"/>
        <v>1.25</v>
      </c>
      <c r="DB252" s="281">
        <f t="shared" si="44"/>
        <v>1.55</v>
      </c>
      <c r="DD252" s="101">
        <f t="shared" si="45"/>
        <v>9.1066609010736779E-2</v>
      </c>
      <c r="DE252" s="101">
        <f t="shared" si="46"/>
        <v>0.18213321802147356</v>
      </c>
      <c r="DF252" s="101">
        <f t="shared" si="47"/>
        <v>0.27319982703221035</v>
      </c>
      <c r="DH252" s="282">
        <f t="shared" si="40"/>
        <v>43862</v>
      </c>
      <c r="DI252" s="318">
        <f t="shared" si="48"/>
        <v>0.9</v>
      </c>
    </row>
    <row r="253" spans="1:113">
      <c r="A253" s="27">
        <f t="shared" ca="1" si="30"/>
        <v>44228</v>
      </c>
      <c r="B253" s="17">
        <f>'Gas Curves'!C257</f>
        <v>6.3276697538157997E-2</v>
      </c>
      <c r="C253" s="17"/>
      <c r="D253" s="55">
        <v>43009</v>
      </c>
      <c r="E253" s="56">
        <v>38.17</v>
      </c>
      <c r="F253" s="56">
        <v>40.799999999999997</v>
      </c>
      <c r="G253" s="56">
        <v>43.25</v>
      </c>
      <c r="H253" s="40"/>
      <c r="I253" s="56">
        <v>27.284999618530271</v>
      </c>
      <c r="J253" s="56">
        <v>28.599999618530273</v>
      </c>
      <c r="K253" s="56">
        <v>29.604999618530272</v>
      </c>
      <c r="L253" s="23"/>
      <c r="M253" s="24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4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/>
      <c r="CP253"/>
      <c r="CQ253"/>
      <c r="CR253"/>
      <c r="CS253"/>
      <c r="CT253"/>
      <c r="CY253" s="282">
        <f t="shared" si="41"/>
        <v>43891</v>
      </c>
      <c r="CZ253" s="281">
        <f t="shared" si="42"/>
        <v>1</v>
      </c>
      <c r="DA253" s="281">
        <f t="shared" si="43"/>
        <v>1.25</v>
      </c>
      <c r="DB253" s="281">
        <f t="shared" si="44"/>
        <v>1.55</v>
      </c>
      <c r="DD253" s="101">
        <f t="shared" si="45"/>
        <v>7.2193702379781163E-2</v>
      </c>
      <c r="DE253" s="101">
        <f t="shared" si="46"/>
        <v>0.14438740475956233</v>
      </c>
      <c r="DF253" s="101">
        <f t="shared" si="47"/>
        <v>0.21658110713934348</v>
      </c>
      <c r="DH253" s="282">
        <f t="shared" si="40"/>
        <v>43891</v>
      </c>
      <c r="DI253" s="318">
        <f t="shared" si="48"/>
        <v>0.9</v>
      </c>
    </row>
    <row r="254" spans="1:113">
      <c r="A254" s="27">
        <f t="shared" ca="1" si="30"/>
        <v>44256</v>
      </c>
      <c r="B254" s="17">
        <f>'Gas Curves'!C258</f>
        <v>6.3274789942849005E-2</v>
      </c>
      <c r="C254" s="17"/>
      <c r="D254" s="55">
        <v>43040</v>
      </c>
      <c r="E254" s="56">
        <v>40.67</v>
      </c>
      <c r="F254" s="56">
        <v>43.3</v>
      </c>
      <c r="G254" s="56">
        <v>45.75</v>
      </c>
      <c r="H254" s="40"/>
      <c r="I254" s="56">
        <v>28.034999618530271</v>
      </c>
      <c r="J254" s="56">
        <v>29.349999618530273</v>
      </c>
      <c r="K254" s="56">
        <v>30.354999618530272</v>
      </c>
      <c r="L254" s="23"/>
      <c r="M254" s="24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4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/>
      <c r="CP254"/>
      <c r="CQ254"/>
      <c r="CR254"/>
      <c r="CS254"/>
      <c r="CT254"/>
      <c r="CY254" s="282">
        <f t="shared" si="41"/>
        <v>43922</v>
      </c>
      <c r="CZ254" s="281">
        <f t="shared" si="42"/>
        <v>0</v>
      </c>
      <c r="DA254" s="281">
        <f t="shared" si="43"/>
        <v>0</v>
      </c>
      <c r="DB254" s="281">
        <f t="shared" si="44"/>
        <v>0</v>
      </c>
      <c r="DD254" s="101">
        <f t="shared" si="45"/>
        <v>0</v>
      </c>
      <c r="DE254" s="101">
        <f t="shared" si="46"/>
        <v>0</v>
      </c>
      <c r="DF254" s="101">
        <f t="shared" si="47"/>
        <v>0</v>
      </c>
      <c r="DH254" s="282">
        <f t="shared" si="40"/>
        <v>43922</v>
      </c>
      <c r="DI254" s="318">
        <f t="shared" si="48"/>
        <v>0</v>
      </c>
    </row>
    <row r="255" spans="1:113">
      <c r="A255" s="27">
        <f t="shared" ca="1" si="30"/>
        <v>44287</v>
      </c>
      <c r="B255" s="17">
        <f>'Gas Curves'!C259</f>
        <v>6.3272677962329008E-2</v>
      </c>
      <c r="C255" s="17"/>
      <c r="D255" s="55">
        <v>43070</v>
      </c>
      <c r="E255" s="56">
        <v>40.67</v>
      </c>
      <c r="F255" s="56">
        <v>43.3</v>
      </c>
      <c r="G255" s="56">
        <v>45.75</v>
      </c>
      <c r="H255" s="40"/>
      <c r="I255" s="56">
        <v>27.934999237060545</v>
      </c>
      <c r="J255" s="56">
        <v>29.249999237060546</v>
      </c>
      <c r="K255" s="56">
        <v>30.254999237060545</v>
      </c>
      <c r="L255" s="23"/>
      <c r="M255" s="24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4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/>
      <c r="CP255"/>
      <c r="CQ255"/>
      <c r="CR255"/>
      <c r="CS255"/>
      <c r="CT255"/>
      <c r="CY255" s="282">
        <f t="shared" si="41"/>
        <v>43952</v>
      </c>
      <c r="CZ255" s="281">
        <f t="shared" si="42"/>
        <v>1</v>
      </c>
      <c r="DA255" s="281">
        <f t="shared" si="43"/>
        <v>1.25</v>
      </c>
      <c r="DB255" s="281">
        <f t="shared" si="44"/>
        <v>1.55</v>
      </c>
      <c r="DD255" s="101">
        <f t="shared" si="45"/>
        <v>7.9836777060086975E-2</v>
      </c>
      <c r="DE255" s="101">
        <f t="shared" si="46"/>
        <v>0.15967355412017395</v>
      </c>
      <c r="DF255" s="101">
        <f t="shared" si="47"/>
        <v>0.23951033118026094</v>
      </c>
      <c r="DH255" s="282">
        <f t="shared" si="40"/>
        <v>43952</v>
      </c>
      <c r="DI255" s="318">
        <f t="shared" si="48"/>
        <v>0.9</v>
      </c>
    </row>
    <row r="256" spans="1:113">
      <c r="A256" s="27">
        <f t="shared" ca="1" si="30"/>
        <v>44317</v>
      </c>
      <c r="B256" s="17">
        <f>'Gas Curves'!C260</f>
        <v>6.3270634110214025E-2</v>
      </c>
      <c r="C256" s="17"/>
      <c r="D256" s="55">
        <v>43101</v>
      </c>
      <c r="E256" s="56">
        <v>56.97</v>
      </c>
      <c r="F256" s="56">
        <v>59.6</v>
      </c>
      <c r="G256" s="56">
        <v>61.64</v>
      </c>
      <c r="H256" s="40"/>
      <c r="I256" s="56">
        <v>28.935000381469724</v>
      </c>
      <c r="J256" s="56">
        <v>30.250000381469725</v>
      </c>
      <c r="K256" s="56">
        <v>31.090000381469725</v>
      </c>
      <c r="L256" s="23"/>
      <c r="M256" s="24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4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/>
      <c r="CP256"/>
      <c r="CQ256"/>
      <c r="CR256"/>
      <c r="CS256"/>
      <c r="CT256"/>
      <c r="CY256" s="282">
        <f t="shared" si="41"/>
        <v>43983</v>
      </c>
      <c r="CZ256" s="281">
        <f t="shared" si="42"/>
        <v>1</v>
      </c>
      <c r="DA256" s="281">
        <f t="shared" si="43"/>
        <v>1.25</v>
      </c>
      <c r="DB256" s="281">
        <f t="shared" si="44"/>
        <v>1.55</v>
      </c>
      <c r="DD256" s="101">
        <f t="shared" si="45"/>
        <v>8.5380172451755984E-2</v>
      </c>
      <c r="DE256" s="101">
        <f t="shared" si="46"/>
        <v>0.17076034490351197</v>
      </c>
      <c r="DF256" s="101">
        <f t="shared" si="47"/>
        <v>0.25614051735526794</v>
      </c>
      <c r="DH256" s="282">
        <f t="shared" si="40"/>
        <v>43983</v>
      </c>
      <c r="DI256" s="318">
        <f t="shared" si="48"/>
        <v>0.9</v>
      </c>
    </row>
    <row r="257" spans="1:113">
      <c r="A257" s="27">
        <f t="shared" ca="1" si="30"/>
        <v>44348</v>
      </c>
      <c r="B257" s="17">
        <f>'Gas Curves'!C261</f>
        <v>6.3268522129697025E-2</v>
      </c>
      <c r="C257" s="17"/>
      <c r="D257" s="55">
        <v>43132</v>
      </c>
      <c r="E257" s="56">
        <v>57.53</v>
      </c>
      <c r="F257" s="56">
        <v>59.6</v>
      </c>
      <c r="G257" s="56">
        <v>61.64</v>
      </c>
      <c r="H257" s="40"/>
      <c r="I257" s="56">
        <v>25.864999999999998</v>
      </c>
      <c r="J257" s="56">
        <v>26.9</v>
      </c>
      <c r="K257" s="56">
        <v>27.74</v>
      </c>
      <c r="L257" s="23"/>
      <c r="M257" s="24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4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/>
      <c r="CI257"/>
      <c r="CJ257"/>
      <c r="CK257"/>
      <c r="CP257"/>
      <c r="CQ257"/>
      <c r="CR257"/>
      <c r="CS257"/>
      <c r="CT257"/>
      <c r="CY257" s="282">
        <f t="shared" si="41"/>
        <v>44013</v>
      </c>
      <c r="CZ257" s="281">
        <f t="shared" si="42"/>
        <v>1</v>
      </c>
      <c r="DA257" s="281">
        <f t="shared" si="43"/>
        <v>1.25</v>
      </c>
      <c r="DB257" s="281">
        <f t="shared" si="44"/>
        <v>1.55</v>
      </c>
      <c r="DD257" s="101">
        <f t="shared" si="45"/>
        <v>0.101692367108662</v>
      </c>
      <c r="DE257" s="101">
        <f t="shared" si="46"/>
        <v>0.203384734217324</v>
      </c>
      <c r="DF257" s="101">
        <f t="shared" si="47"/>
        <v>0.30507710132598598</v>
      </c>
      <c r="DH257" s="282">
        <f t="shared" si="40"/>
        <v>44013</v>
      </c>
      <c r="DI257" s="318">
        <f t="shared" si="48"/>
        <v>0.9</v>
      </c>
    </row>
    <row r="258" spans="1:113">
      <c r="A258" s="27">
        <f t="shared" ca="1" si="30"/>
        <v>44378</v>
      </c>
      <c r="B258" s="17">
        <f>'Gas Curves'!C262</f>
        <v>6.3266478277585012E-2</v>
      </c>
      <c r="C258" s="17"/>
      <c r="D258" s="55">
        <v>43160</v>
      </c>
      <c r="E258" s="56">
        <v>40.53</v>
      </c>
      <c r="F258" s="56">
        <v>42.6</v>
      </c>
      <c r="G258" s="56">
        <v>44.64</v>
      </c>
      <c r="H258" s="95"/>
      <c r="I258" s="56">
        <v>26.264999618530272</v>
      </c>
      <c r="J258" s="56">
        <v>27.299999618530272</v>
      </c>
      <c r="K258" s="56">
        <v>28.139999618530272</v>
      </c>
      <c r="L258" s="23"/>
      <c r="M258" s="24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4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/>
      <c r="CI258"/>
      <c r="CJ258"/>
      <c r="CK258"/>
      <c r="CP258"/>
      <c r="CQ258"/>
      <c r="CR258"/>
      <c r="CS258"/>
      <c r="CT258"/>
      <c r="CY258" s="282">
        <f t="shared" si="41"/>
        <v>44044</v>
      </c>
      <c r="CZ258" s="281">
        <f t="shared" si="42"/>
        <v>1</v>
      </c>
      <c r="DA258" s="281">
        <f t="shared" si="43"/>
        <v>1.25</v>
      </c>
      <c r="DB258" s="281">
        <f t="shared" si="44"/>
        <v>1.55</v>
      </c>
      <c r="DD258" s="101">
        <f t="shared" si="45"/>
        <v>9.9464225848612461E-2</v>
      </c>
      <c r="DE258" s="101">
        <f t="shared" si="46"/>
        <v>0.19892845169722492</v>
      </c>
      <c r="DF258" s="101">
        <f t="shared" si="47"/>
        <v>0.29839267754583737</v>
      </c>
      <c r="DH258" s="282">
        <f t="shared" si="40"/>
        <v>44044</v>
      </c>
      <c r="DI258" s="318">
        <f t="shared" si="48"/>
        <v>0.9</v>
      </c>
    </row>
    <row r="259" spans="1:113">
      <c r="A259" s="27">
        <f t="shared" ca="1" si="30"/>
        <v>44409</v>
      </c>
      <c r="B259" s="17">
        <f>'Gas Curves'!C263</f>
        <v>6.3264366297071023E-2</v>
      </c>
      <c r="C259" s="17"/>
      <c r="D259" s="55">
        <v>43191</v>
      </c>
      <c r="E259" s="56">
        <v>36.47</v>
      </c>
      <c r="F259" s="56">
        <v>39.1</v>
      </c>
      <c r="G259" s="56">
        <v>41.14</v>
      </c>
      <c r="H259" s="95"/>
      <c r="I259" s="56">
        <v>23.734999618530271</v>
      </c>
      <c r="J259" s="56">
        <v>25.049999618530272</v>
      </c>
      <c r="K259" s="56">
        <v>25.889999618530272</v>
      </c>
      <c r="L259" s="23"/>
      <c r="M259" s="24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4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/>
      <c r="CI259"/>
      <c r="CJ259"/>
      <c r="CK259"/>
      <c r="CP259"/>
      <c r="CQ259"/>
      <c r="CR259"/>
      <c r="CS259"/>
      <c r="CT259"/>
      <c r="CY259" s="282">
        <f t="shared" si="41"/>
        <v>44075</v>
      </c>
      <c r="CZ259" s="281">
        <f t="shared" si="42"/>
        <v>1</v>
      </c>
      <c r="DA259" s="281">
        <f t="shared" si="43"/>
        <v>1.25</v>
      </c>
      <c r="DB259" s="281">
        <f t="shared" si="44"/>
        <v>1.55</v>
      </c>
      <c r="DD259" s="101">
        <f t="shared" si="45"/>
        <v>7.5360688839898535E-2</v>
      </c>
      <c r="DE259" s="101">
        <f t="shared" si="46"/>
        <v>0.15072137767979707</v>
      </c>
      <c r="DF259" s="101">
        <f t="shared" si="47"/>
        <v>0.22608206651969559</v>
      </c>
      <c r="DH259" s="282">
        <f t="shared" si="40"/>
        <v>44075</v>
      </c>
      <c r="DI259" s="318">
        <f t="shared" si="48"/>
        <v>0.9</v>
      </c>
    </row>
    <row r="260" spans="1:113">
      <c r="A260" s="27">
        <f t="shared" ca="1" si="30"/>
        <v>44440</v>
      </c>
      <c r="B260" s="17">
        <f>'Gas Curves'!C264</f>
        <v>6.326225431655802E-2</v>
      </c>
      <c r="C260" s="17"/>
      <c r="D260" s="55">
        <v>43221</v>
      </c>
      <c r="E260" s="56">
        <v>41.17</v>
      </c>
      <c r="F260" s="56">
        <v>43.8</v>
      </c>
      <c r="G260" s="56">
        <v>47.65</v>
      </c>
      <c r="H260" s="95"/>
      <c r="I260" s="56">
        <v>24.734999618530271</v>
      </c>
      <c r="J260" s="56">
        <v>26.049999618530272</v>
      </c>
      <c r="K260" s="56">
        <v>27.639999618530272</v>
      </c>
      <c r="L260" s="23"/>
      <c r="M260" s="24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4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/>
      <c r="CI260"/>
      <c r="CJ260"/>
      <c r="CK260"/>
      <c r="CP260"/>
      <c r="CQ260"/>
      <c r="CR260"/>
      <c r="CS260"/>
      <c r="CT260"/>
      <c r="CY260" s="282">
        <f t="shared" si="41"/>
        <v>44105</v>
      </c>
      <c r="CZ260" s="281">
        <f t="shared" si="42"/>
        <v>1</v>
      </c>
      <c r="DA260" s="281">
        <f t="shared" si="43"/>
        <v>1.25</v>
      </c>
      <c r="DB260" s="281">
        <f t="shared" si="44"/>
        <v>1.55</v>
      </c>
      <c r="DD260" s="101">
        <f t="shared" si="45"/>
        <v>6.5180008835647396E-2</v>
      </c>
      <c r="DE260" s="101">
        <f t="shared" si="46"/>
        <v>0.13036001767129479</v>
      </c>
      <c r="DF260" s="101">
        <f t="shared" si="47"/>
        <v>0.19554002650694219</v>
      </c>
      <c r="DH260" s="282">
        <f t="shared" si="40"/>
        <v>44105</v>
      </c>
      <c r="DI260" s="318">
        <f t="shared" si="48"/>
        <v>0.9</v>
      </c>
    </row>
    <row r="261" spans="1:113">
      <c r="A261" s="27">
        <f t="shared" ca="1" si="30"/>
        <v>44470</v>
      </c>
      <c r="B261" s="17">
        <f>'Gas Curves'!C265</f>
        <v>6.3260210464450004E-2</v>
      </c>
      <c r="C261" s="17"/>
      <c r="D261" s="55">
        <v>43252</v>
      </c>
      <c r="E261" s="56">
        <v>53.68</v>
      </c>
      <c r="F261" s="56">
        <v>58.75</v>
      </c>
      <c r="G261" s="56">
        <v>64.62</v>
      </c>
      <c r="H261" s="95"/>
      <c r="I261" s="56">
        <v>23.889999618530272</v>
      </c>
      <c r="J261" s="56">
        <v>26.424999618530272</v>
      </c>
      <c r="K261" s="56">
        <v>28.844999618530274</v>
      </c>
      <c r="L261" s="23"/>
      <c r="M261" s="24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4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/>
      <c r="CI261"/>
      <c r="CJ261"/>
      <c r="CK261"/>
      <c r="CP261"/>
      <c r="CQ261"/>
      <c r="CR261"/>
      <c r="CS261"/>
      <c r="CT261"/>
      <c r="CY261" s="282">
        <f t="shared" si="41"/>
        <v>44136</v>
      </c>
      <c r="CZ261" s="281">
        <f t="shared" si="42"/>
        <v>1</v>
      </c>
      <c r="DA261" s="281">
        <f t="shared" si="43"/>
        <v>1.25</v>
      </c>
      <c r="DB261" s="281">
        <f t="shared" si="44"/>
        <v>1.55</v>
      </c>
      <c r="DD261" s="101">
        <f t="shared" si="45"/>
        <v>6.5180008835647396E-2</v>
      </c>
      <c r="DE261" s="101">
        <f t="shared" si="46"/>
        <v>0.13036001767129479</v>
      </c>
      <c r="DF261" s="101">
        <f t="shared" si="47"/>
        <v>0.19554002650694219</v>
      </c>
      <c r="DH261" s="282">
        <f t="shared" si="40"/>
        <v>44136</v>
      </c>
      <c r="DI261" s="318">
        <f t="shared" si="48"/>
        <v>0.9</v>
      </c>
    </row>
    <row r="262" spans="1:113">
      <c r="A262" s="27">
        <f t="shared" ca="1" si="30"/>
        <v>44501</v>
      </c>
      <c r="B262" s="17">
        <f>'Gas Curves'!C266</f>
        <v>6.3258098483940012E-2</v>
      </c>
      <c r="C262" s="17"/>
      <c r="D262" s="55">
        <v>43282</v>
      </c>
      <c r="E262" s="56">
        <v>76.349999999999994</v>
      </c>
      <c r="F262" s="56">
        <v>86.25</v>
      </c>
      <c r="G262" s="56">
        <v>98.76</v>
      </c>
      <c r="H262" s="95"/>
      <c r="I262" s="56">
        <v>25.2</v>
      </c>
      <c r="J262" s="56">
        <v>30.15</v>
      </c>
      <c r="K262" s="56">
        <v>35.314999999999998</v>
      </c>
      <c r="L262" s="23"/>
      <c r="M262" s="24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4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/>
      <c r="CI262"/>
      <c r="CJ262"/>
      <c r="CK262"/>
      <c r="CP262"/>
      <c r="CQ262"/>
      <c r="CR262"/>
      <c r="CS262"/>
      <c r="CT262"/>
      <c r="CY262" s="282">
        <f t="shared" si="41"/>
        <v>44166</v>
      </c>
      <c r="CZ262" s="281">
        <f t="shared" si="42"/>
        <v>1</v>
      </c>
      <c r="DA262" s="281">
        <f t="shared" si="43"/>
        <v>1.25</v>
      </c>
      <c r="DB262" s="281">
        <f t="shared" si="44"/>
        <v>1.55</v>
      </c>
      <c r="DD262" s="101">
        <f t="shared" si="45"/>
        <v>6.3878884371445607E-2</v>
      </c>
      <c r="DE262" s="101">
        <f t="shared" si="46"/>
        <v>0.12775776874289121</v>
      </c>
      <c r="DF262" s="101">
        <f t="shared" si="47"/>
        <v>0.19163665311433681</v>
      </c>
      <c r="DH262" s="282">
        <f t="shared" si="40"/>
        <v>44166</v>
      </c>
      <c r="DI262" s="318">
        <f t="shared" si="48"/>
        <v>0.9</v>
      </c>
    </row>
    <row r="263" spans="1:113">
      <c r="A263" s="27">
        <f t="shared" ca="1" si="30"/>
        <v>44531</v>
      </c>
      <c r="B263" s="17">
        <f>'Gas Curves'!C267</f>
        <v>6.3256054631835007E-2</v>
      </c>
      <c r="C263" s="17"/>
      <c r="D263" s="55">
        <v>43313</v>
      </c>
      <c r="E263" s="56">
        <v>76.349999999999994</v>
      </c>
      <c r="F263" s="56">
        <v>86.25</v>
      </c>
      <c r="G263" s="56">
        <v>98.76</v>
      </c>
      <c r="H263" s="95"/>
      <c r="I263" s="56">
        <v>37.350001525878909</v>
      </c>
      <c r="J263" s="56">
        <v>42.300001525878912</v>
      </c>
      <c r="K263" s="56">
        <v>47.465001525878911</v>
      </c>
      <c r="L263" s="23"/>
      <c r="M263" s="24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4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/>
      <c r="CI263"/>
      <c r="CJ263"/>
      <c r="CK263"/>
      <c r="CP263"/>
      <c r="CQ263"/>
      <c r="CR263"/>
      <c r="CS263"/>
      <c r="CT263"/>
      <c r="CY263" s="282">
        <f t="shared" si="41"/>
        <v>44197</v>
      </c>
      <c r="CZ263" s="281">
        <f t="shared" si="42"/>
        <v>1</v>
      </c>
      <c r="DA263" s="281">
        <f t="shared" si="43"/>
        <v>1.25</v>
      </c>
      <c r="DB263" s="281">
        <f t="shared" si="44"/>
        <v>1.55</v>
      </c>
      <c r="DD263" s="101">
        <f t="shared" si="45"/>
        <v>9.4265229575163478E-2</v>
      </c>
      <c r="DE263" s="101">
        <f t="shared" si="46"/>
        <v>0.18853045915032696</v>
      </c>
      <c r="DF263" s="101">
        <f t="shared" si="47"/>
        <v>0.28279568872549044</v>
      </c>
      <c r="DH263" s="282">
        <f t="shared" si="40"/>
        <v>44197</v>
      </c>
      <c r="DI263" s="318">
        <f t="shared" si="48"/>
        <v>0.9</v>
      </c>
    </row>
    <row r="264" spans="1:113">
      <c r="A264" s="27">
        <f t="shared" ca="1" si="30"/>
        <v>44562</v>
      </c>
      <c r="B264" s="17">
        <f>'Gas Curves'!C268</f>
        <v>6.3253942651328013E-2</v>
      </c>
      <c r="C264" s="17"/>
      <c r="D264" s="55">
        <v>43344</v>
      </c>
      <c r="E264" s="56">
        <v>36.03</v>
      </c>
      <c r="F264" s="56">
        <v>41.1</v>
      </c>
      <c r="G264" s="56">
        <v>44.95</v>
      </c>
      <c r="H264" s="95"/>
      <c r="I264" s="56">
        <v>28.264999618530272</v>
      </c>
      <c r="J264" s="56">
        <v>30.799999618530272</v>
      </c>
      <c r="K264" s="56">
        <v>32.389999618530275</v>
      </c>
      <c r="L264" s="23"/>
      <c r="M264" s="24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4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/>
      <c r="CI264"/>
      <c r="CJ264"/>
      <c r="CK264"/>
      <c r="CP264"/>
      <c r="CQ264"/>
      <c r="CR264"/>
      <c r="CS264"/>
      <c r="CT264"/>
      <c r="CY264" s="282">
        <f t="shared" si="41"/>
        <v>44228</v>
      </c>
      <c r="CZ264" s="281">
        <f t="shared" si="42"/>
        <v>1</v>
      </c>
      <c r="DA264" s="281">
        <f t="shared" si="43"/>
        <v>1.25</v>
      </c>
      <c r="DB264" s="281">
        <f t="shared" si="44"/>
        <v>1.55</v>
      </c>
      <c r="DD264" s="101">
        <f t="shared" si="45"/>
        <v>9.1066609010736779E-2</v>
      </c>
      <c r="DE264" s="101">
        <f t="shared" si="46"/>
        <v>0.18213321802147356</v>
      </c>
      <c r="DF264" s="101">
        <f t="shared" si="47"/>
        <v>0.27319982703221035</v>
      </c>
      <c r="DH264" s="282">
        <f t="shared" si="40"/>
        <v>44228</v>
      </c>
      <c r="DI264" s="318">
        <f t="shared" si="48"/>
        <v>0.9</v>
      </c>
    </row>
    <row r="265" spans="1:113">
      <c r="A265" s="27">
        <f t="shared" ca="1" si="30"/>
        <v>44593</v>
      </c>
      <c r="B265" s="17">
        <f>'Gas Curves'!C269</f>
        <v>6.3251830670823003E-2</v>
      </c>
      <c r="C265" s="17"/>
      <c r="D265" s="55">
        <v>43374</v>
      </c>
      <c r="E265" s="56">
        <v>38.47</v>
      </c>
      <c r="F265" s="56">
        <v>41.1</v>
      </c>
      <c r="G265" s="56">
        <v>43.55</v>
      </c>
      <c r="H265" s="95"/>
      <c r="I265" s="56">
        <v>27.484999618530271</v>
      </c>
      <c r="J265" s="56">
        <v>28.799999618530272</v>
      </c>
      <c r="K265" s="56">
        <v>29.804999618530271</v>
      </c>
      <c r="L265" s="23"/>
      <c r="M265" s="24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4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/>
      <c r="CI265"/>
      <c r="CJ265"/>
      <c r="CK265"/>
      <c r="CP265"/>
      <c r="CQ265"/>
      <c r="CR265"/>
      <c r="CS265"/>
      <c r="CT265"/>
      <c r="CY265" s="282">
        <f t="shared" si="41"/>
        <v>44256</v>
      </c>
      <c r="CZ265" s="281">
        <f t="shared" si="42"/>
        <v>1</v>
      </c>
      <c r="DA265" s="281">
        <f t="shared" si="43"/>
        <v>1.25</v>
      </c>
      <c r="DB265" s="281">
        <f t="shared" si="44"/>
        <v>1.55</v>
      </c>
      <c r="DD265" s="101">
        <f t="shared" si="45"/>
        <v>7.2193702379781163E-2</v>
      </c>
      <c r="DE265" s="101">
        <f t="shared" si="46"/>
        <v>0.14438740475956233</v>
      </c>
      <c r="DF265" s="101">
        <f t="shared" si="47"/>
        <v>0.21658110713934348</v>
      </c>
      <c r="DH265" s="282">
        <f t="shared" si="40"/>
        <v>44256</v>
      </c>
      <c r="DI265" s="318">
        <f t="shared" si="48"/>
        <v>0.9</v>
      </c>
    </row>
    <row r="266" spans="1:113">
      <c r="A266" s="27">
        <f t="shared" ca="1" si="30"/>
        <v>44621</v>
      </c>
      <c r="B266" s="17">
        <f>'Gas Curves'!C270</f>
        <v>6.3249923075529013E-2</v>
      </c>
      <c r="C266" s="17"/>
      <c r="D266" s="55">
        <v>43405</v>
      </c>
      <c r="E266" s="56">
        <v>40.97</v>
      </c>
      <c r="F266" s="56">
        <v>43.6</v>
      </c>
      <c r="G266" s="56">
        <v>46.05</v>
      </c>
      <c r="H266" s="95"/>
      <c r="I266" s="56">
        <v>28.234999618530271</v>
      </c>
      <c r="J266" s="56">
        <v>29.549999618530272</v>
      </c>
      <c r="K266" s="56">
        <v>30.554999618530271</v>
      </c>
      <c r="L266" s="23"/>
      <c r="M266" s="24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4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/>
      <c r="CI266"/>
      <c r="CJ266"/>
      <c r="CK266"/>
      <c r="CP266"/>
      <c r="CQ266"/>
      <c r="CR266"/>
      <c r="CS266"/>
      <c r="CT266"/>
      <c r="CY266" s="282">
        <f t="shared" si="41"/>
        <v>44287</v>
      </c>
      <c r="CZ266" s="281">
        <f t="shared" si="42"/>
        <v>0</v>
      </c>
      <c r="DA266" s="281">
        <f t="shared" si="43"/>
        <v>0</v>
      </c>
      <c r="DB266" s="281">
        <f t="shared" si="44"/>
        <v>0</v>
      </c>
      <c r="DD266" s="101">
        <f t="shared" si="45"/>
        <v>0</v>
      </c>
      <c r="DE266" s="101">
        <f t="shared" si="46"/>
        <v>0</v>
      </c>
      <c r="DF266" s="101">
        <f t="shared" si="47"/>
        <v>0</v>
      </c>
      <c r="DH266" s="282">
        <f t="shared" si="40"/>
        <v>44287</v>
      </c>
      <c r="DI266" s="318">
        <f t="shared" si="48"/>
        <v>0</v>
      </c>
    </row>
    <row r="267" spans="1:113">
      <c r="A267" s="27">
        <f t="shared" ca="1" si="30"/>
        <v>44652</v>
      </c>
      <c r="B267" s="17">
        <f>'Gas Curves'!C271</f>
        <v>6.3247811095026016E-2</v>
      </c>
      <c r="C267" s="17"/>
      <c r="D267" s="55">
        <v>43435</v>
      </c>
      <c r="E267" s="56">
        <v>40.97</v>
      </c>
      <c r="F267" s="56">
        <v>43.6</v>
      </c>
      <c r="G267" s="56">
        <v>46.05</v>
      </c>
      <c r="H267" s="95"/>
      <c r="I267" s="56">
        <v>28.134999237060544</v>
      </c>
      <c r="J267" s="56">
        <v>29.449999237060545</v>
      </c>
      <c r="K267" s="56">
        <v>30.454999237060544</v>
      </c>
      <c r="L267" s="23"/>
      <c r="M267" s="24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4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/>
      <c r="CI267"/>
      <c r="CJ267"/>
      <c r="CK267"/>
      <c r="CP267"/>
      <c r="CQ267"/>
      <c r="CR267"/>
      <c r="CS267"/>
      <c r="CT267"/>
      <c r="CY267" s="282">
        <f t="shared" si="41"/>
        <v>44317</v>
      </c>
      <c r="CZ267" s="281">
        <f t="shared" si="42"/>
        <v>1</v>
      </c>
      <c r="DA267" s="281">
        <f t="shared" si="43"/>
        <v>1.25</v>
      </c>
      <c r="DB267" s="281">
        <f t="shared" si="44"/>
        <v>1.55</v>
      </c>
      <c r="DD267" s="101">
        <f t="shared" si="45"/>
        <v>7.9836777060086975E-2</v>
      </c>
      <c r="DE267" s="101">
        <f t="shared" si="46"/>
        <v>0.15967355412017395</v>
      </c>
      <c r="DF267" s="101">
        <f t="shared" si="47"/>
        <v>0.23951033118026094</v>
      </c>
      <c r="DH267" s="282">
        <f t="shared" si="40"/>
        <v>44317</v>
      </c>
      <c r="DI267" s="318">
        <f t="shared" si="48"/>
        <v>0.9</v>
      </c>
    </row>
    <row r="268" spans="1:113">
      <c r="A268" s="27">
        <f t="shared" ca="1" si="30"/>
        <v>44682</v>
      </c>
      <c r="B268" s="17">
        <f>'Gas Curves'!C272</f>
        <v>6.3245767242928005E-2</v>
      </c>
      <c r="C268" s="17"/>
      <c r="D268" s="55">
        <v>43466</v>
      </c>
      <c r="E268" s="56">
        <v>57.27</v>
      </c>
      <c r="F268" s="56">
        <v>59.9</v>
      </c>
      <c r="G268" s="56">
        <v>61.94</v>
      </c>
      <c r="H268" s="95"/>
      <c r="I268" s="56">
        <v>29.135000381469723</v>
      </c>
      <c r="J268" s="56">
        <v>30.450000381469724</v>
      </c>
      <c r="K268" s="56">
        <v>31.290000381469724</v>
      </c>
      <c r="L268" s="23"/>
      <c r="M268" s="24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4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/>
      <c r="CI268"/>
      <c r="CJ268"/>
      <c r="CK268"/>
      <c r="CP268"/>
      <c r="CQ268"/>
      <c r="CR268"/>
      <c r="CS268"/>
      <c r="CT268"/>
      <c r="CY268" s="282">
        <f t="shared" si="41"/>
        <v>44348</v>
      </c>
      <c r="CZ268" s="281">
        <f t="shared" si="42"/>
        <v>1</v>
      </c>
      <c r="DA268" s="281">
        <f t="shared" si="43"/>
        <v>1.25</v>
      </c>
      <c r="DB268" s="281">
        <f t="shared" si="44"/>
        <v>1.55</v>
      </c>
      <c r="DD268" s="101">
        <f t="shared" si="45"/>
        <v>8.5380172451755984E-2</v>
      </c>
      <c r="DE268" s="101">
        <f t="shared" si="46"/>
        <v>0.17076034490351197</v>
      </c>
      <c r="DF268" s="101">
        <f t="shared" si="47"/>
        <v>0.25614051735526794</v>
      </c>
      <c r="DH268" s="282">
        <f t="shared" si="40"/>
        <v>44348</v>
      </c>
      <c r="DI268" s="318">
        <f t="shared" si="48"/>
        <v>0.9</v>
      </c>
    </row>
    <row r="269" spans="1:113">
      <c r="A269" s="27">
        <f t="shared" ca="1" si="30"/>
        <v>44713</v>
      </c>
      <c r="B269" s="17">
        <f>'Gas Curves'!C273</f>
        <v>7.1107836399509003E-2</v>
      </c>
      <c r="C269" s="17"/>
      <c r="D269" s="55">
        <v>43497</v>
      </c>
      <c r="E269" s="56">
        <v>57.83</v>
      </c>
      <c r="F269" s="56">
        <v>59.9</v>
      </c>
      <c r="G269" s="56">
        <v>61.94</v>
      </c>
      <c r="H269" s="95"/>
      <c r="I269" s="56">
        <v>26.065000000000001</v>
      </c>
      <c r="J269" s="56">
        <v>27.1</v>
      </c>
      <c r="K269" s="56">
        <v>27.94</v>
      </c>
      <c r="L269" s="23"/>
      <c r="M269" s="24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4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/>
      <c r="CI269"/>
      <c r="CJ269"/>
      <c r="CK269"/>
      <c r="CP269"/>
      <c r="CQ269"/>
      <c r="CR269"/>
      <c r="CS269"/>
      <c r="CT269"/>
      <c r="CY269" s="282">
        <f t="shared" si="41"/>
        <v>44378</v>
      </c>
      <c r="CZ269" s="281">
        <f t="shared" si="42"/>
        <v>1</v>
      </c>
      <c r="DA269" s="281">
        <f t="shared" si="43"/>
        <v>1.25</v>
      </c>
      <c r="DB269" s="281">
        <f t="shared" si="44"/>
        <v>1.55</v>
      </c>
      <c r="DD269" s="101">
        <f t="shared" si="45"/>
        <v>0.101692367108662</v>
      </c>
      <c r="DE269" s="101">
        <f t="shared" si="46"/>
        <v>0.203384734217324</v>
      </c>
      <c r="DF269" s="101">
        <f t="shared" si="47"/>
        <v>0.30507710132598598</v>
      </c>
      <c r="DH269" s="282">
        <f t="shared" si="40"/>
        <v>44378</v>
      </c>
      <c r="DI269" s="318">
        <f t="shared" si="48"/>
        <v>0.9</v>
      </c>
    </row>
    <row r="270" spans="1:113">
      <c r="A270" s="27">
        <f t="shared" ref="A270:A289" ca="1" si="49">EOMONTH(A269,0)+1</f>
        <v>44743</v>
      </c>
      <c r="B270" s="17">
        <f>'Gas Curves'!C274</f>
        <v>7.1096411821189018E-2</v>
      </c>
      <c r="C270" s="17"/>
      <c r="D270" s="55">
        <v>43525</v>
      </c>
      <c r="E270" s="56">
        <v>40.83</v>
      </c>
      <c r="F270" s="56">
        <v>42.9</v>
      </c>
      <c r="G270" s="56">
        <v>44.94</v>
      </c>
      <c r="H270" s="95"/>
      <c r="I270" s="56">
        <v>26.464999618530271</v>
      </c>
      <c r="J270" s="56">
        <v>27.499999618530271</v>
      </c>
      <c r="K270" s="56">
        <v>28.339999618530271</v>
      </c>
      <c r="L270" s="23"/>
      <c r="M270" s="24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4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/>
      <c r="CI270"/>
      <c r="CJ270"/>
      <c r="CK270"/>
      <c r="CP270"/>
      <c r="CQ270"/>
      <c r="CR270"/>
      <c r="CS270"/>
      <c r="CT270"/>
      <c r="CY270" s="282">
        <f t="shared" si="41"/>
        <v>44409</v>
      </c>
      <c r="CZ270" s="281">
        <f t="shared" si="42"/>
        <v>1</v>
      </c>
      <c r="DA270" s="281">
        <f t="shared" si="43"/>
        <v>1.25</v>
      </c>
      <c r="DB270" s="281">
        <f t="shared" si="44"/>
        <v>1.55</v>
      </c>
      <c r="DD270" s="101">
        <f t="shared" si="45"/>
        <v>9.9464225848612461E-2</v>
      </c>
      <c r="DE270" s="101">
        <f t="shared" si="46"/>
        <v>0.19892845169722492</v>
      </c>
      <c r="DF270" s="101">
        <f t="shared" si="47"/>
        <v>0.29839267754583737</v>
      </c>
      <c r="DH270" s="282">
        <f t="shared" si="40"/>
        <v>44409</v>
      </c>
      <c r="DI270" s="318">
        <f t="shared" si="48"/>
        <v>0.9</v>
      </c>
    </row>
    <row r="271" spans="1:113">
      <c r="A271" s="27">
        <f t="shared" ca="1" si="49"/>
        <v>44774</v>
      </c>
      <c r="B271" s="17">
        <f>'Gas Curves'!C275</f>
        <v>7.1083763180955009E-2</v>
      </c>
      <c r="C271" s="17"/>
      <c r="D271" s="55">
        <v>43556</v>
      </c>
      <c r="E271" s="56">
        <v>36.770000000000003</v>
      </c>
      <c r="F271" s="56">
        <v>39.4</v>
      </c>
      <c r="G271" s="56">
        <v>41.44</v>
      </c>
      <c r="H271" s="95"/>
      <c r="I271" s="56">
        <v>23.93499961853027</v>
      </c>
      <c r="J271" s="56">
        <v>25.249999618530271</v>
      </c>
      <c r="K271" s="56">
        <v>26.089999618530271</v>
      </c>
      <c r="L271" s="23"/>
      <c r="M271" s="24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4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/>
      <c r="CI271"/>
      <c r="CJ271"/>
      <c r="CK271"/>
      <c r="CP271"/>
      <c r="CQ271"/>
      <c r="CR271"/>
      <c r="CS271"/>
      <c r="CT271"/>
      <c r="CY271" s="282">
        <f t="shared" si="41"/>
        <v>44440</v>
      </c>
      <c r="CZ271" s="281">
        <f t="shared" si="42"/>
        <v>1</v>
      </c>
      <c r="DA271" s="281">
        <f t="shared" si="43"/>
        <v>1.25</v>
      </c>
      <c r="DB271" s="281">
        <f t="shared" si="44"/>
        <v>1.55</v>
      </c>
      <c r="DD271" s="101">
        <f t="shared" si="45"/>
        <v>7.5360688839898535E-2</v>
      </c>
      <c r="DE271" s="101">
        <f t="shared" si="46"/>
        <v>0.15072137767979707</v>
      </c>
      <c r="DF271" s="101">
        <f t="shared" si="47"/>
        <v>0.22608206651969559</v>
      </c>
      <c r="DH271" s="282">
        <f t="shared" si="40"/>
        <v>44440</v>
      </c>
      <c r="DI271" s="318">
        <f t="shared" si="48"/>
        <v>0.9</v>
      </c>
    </row>
    <row r="272" spans="1:113">
      <c r="A272" s="27">
        <f t="shared" ca="1" si="49"/>
        <v>44805</v>
      </c>
      <c r="B272" s="17">
        <f>'Gas Curves'!C276</f>
        <v>7.107152256142403E-2</v>
      </c>
      <c r="C272" s="17"/>
      <c r="D272" s="22"/>
      <c r="E272" s="22"/>
      <c r="F272" s="22"/>
      <c r="G272" s="22"/>
      <c r="H272" s="22"/>
      <c r="I272" s="22"/>
      <c r="J272" s="22"/>
      <c r="K272" s="22"/>
      <c r="L272" s="22"/>
      <c r="M272" s="24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4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/>
      <c r="CI272"/>
      <c r="CJ272"/>
      <c r="CK272"/>
      <c r="CP272"/>
      <c r="CQ272"/>
      <c r="CR272"/>
      <c r="CS272"/>
      <c r="CT272"/>
      <c r="CY272" s="282">
        <f t="shared" si="41"/>
        <v>44470</v>
      </c>
      <c r="CZ272" s="281">
        <f t="shared" si="42"/>
        <v>1</v>
      </c>
      <c r="DA272" s="281">
        <f t="shared" si="43"/>
        <v>1.25</v>
      </c>
      <c r="DB272" s="281">
        <f t="shared" si="44"/>
        <v>1.55</v>
      </c>
      <c r="DD272" s="101">
        <f t="shared" si="45"/>
        <v>6.5180008835647396E-2</v>
      </c>
      <c r="DE272" s="101">
        <f t="shared" si="46"/>
        <v>0.13036001767129479</v>
      </c>
      <c r="DF272" s="101">
        <f t="shared" si="47"/>
        <v>0.19554002650694219</v>
      </c>
      <c r="DH272" s="282">
        <f t="shared" si="40"/>
        <v>44470</v>
      </c>
      <c r="DI272" s="318">
        <f t="shared" si="48"/>
        <v>0.9</v>
      </c>
    </row>
    <row r="273" spans="1:113">
      <c r="A273" s="27">
        <f t="shared" ca="1" si="49"/>
        <v>44835</v>
      </c>
      <c r="B273" s="17">
        <f>'Gas Curves'!C277</f>
        <v>7.1058873921295007E-2</v>
      </c>
      <c r="C273" s="17"/>
      <c r="D273" s="22"/>
      <c r="E273" s="22"/>
      <c r="F273" s="22"/>
      <c r="G273" s="22"/>
      <c r="H273" s="22"/>
      <c r="I273" s="22"/>
      <c r="J273" s="22"/>
      <c r="K273" s="22"/>
      <c r="L273" s="22"/>
      <c r="M273" s="24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4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/>
      <c r="CI273"/>
      <c r="CJ273"/>
      <c r="CK273"/>
      <c r="CP273"/>
      <c r="CQ273"/>
      <c r="CR273"/>
      <c r="CS273"/>
      <c r="CT273"/>
      <c r="CY273" s="282">
        <f t="shared" si="41"/>
        <v>44501</v>
      </c>
      <c r="CZ273" s="281">
        <f t="shared" si="42"/>
        <v>1</v>
      </c>
      <c r="DA273" s="281">
        <f t="shared" si="43"/>
        <v>1.25</v>
      </c>
      <c r="DB273" s="281">
        <f t="shared" si="44"/>
        <v>1.55</v>
      </c>
      <c r="DD273" s="101">
        <f t="shared" si="45"/>
        <v>6.5180008835647396E-2</v>
      </c>
      <c r="DE273" s="101">
        <f t="shared" si="46"/>
        <v>0.13036001767129479</v>
      </c>
      <c r="DF273" s="101">
        <f t="shared" si="47"/>
        <v>0.19554002650694219</v>
      </c>
      <c r="DH273" s="282">
        <f t="shared" si="40"/>
        <v>44501</v>
      </c>
      <c r="DI273" s="318">
        <f t="shared" si="48"/>
        <v>0.9</v>
      </c>
    </row>
    <row r="274" spans="1:113">
      <c r="A274" s="27">
        <f t="shared" ca="1" si="49"/>
        <v>44866</v>
      </c>
      <c r="B274" s="17">
        <f>'Gas Curves'!C278</f>
        <v>7.1046633301865017E-2</v>
      </c>
      <c r="C274" s="17"/>
      <c r="D274" s="22"/>
      <c r="E274" s="22"/>
      <c r="F274" s="22"/>
      <c r="G274" s="22"/>
      <c r="H274" s="22"/>
      <c r="I274" s="22"/>
      <c r="J274" s="22"/>
      <c r="K274" s="22"/>
      <c r="L274" s="22"/>
      <c r="M274" s="24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4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/>
      <c r="CI274"/>
      <c r="CJ274"/>
      <c r="CK274"/>
      <c r="CP274"/>
      <c r="CQ274"/>
      <c r="CR274"/>
      <c r="CS274"/>
      <c r="CT274"/>
      <c r="CY274" s="282">
        <f t="shared" si="41"/>
        <v>44531</v>
      </c>
      <c r="CZ274" s="281">
        <f t="shared" si="42"/>
        <v>1</v>
      </c>
      <c r="DA274" s="281">
        <f t="shared" si="43"/>
        <v>1.25</v>
      </c>
      <c r="DB274" s="281">
        <f t="shared" si="44"/>
        <v>1.55</v>
      </c>
      <c r="DD274" s="101">
        <f t="shared" si="45"/>
        <v>6.3878884371445607E-2</v>
      </c>
      <c r="DE274" s="101">
        <f t="shared" si="46"/>
        <v>0.12775776874289121</v>
      </c>
      <c r="DF274" s="101">
        <f t="shared" si="47"/>
        <v>0.19163665311433681</v>
      </c>
      <c r="DH274" s="282">
        <f t="shared" si="40"/>
        <v>44531</v>
      </c>
      <c r="DI274" s="318">
        <f t="shared" si="48"/>
        <v>0.9</v>
      </c>
    </row>
    <row r="275" spans="1:113">
      <c r="A275" s="27">
        <f t="shared" ca="1" si="49"/>
        <v>44896</v>
      </c>
      <c r="B275" s="17">
        <f>'Gas Curves'!C279</f>
        <v>7.1033984661839022E-2</v>
      </c>
      <c r="C275" s="17"/>
      <c r="D275" s="22"/>
      <c r="E275" s="22"/>
      <c r="F275" s="22"/>
      <c r="G275" s="22"/>
      <c r="H275" s="22"/>
      <c r="I275" s="22"/>
      <c r="J275" s="22"/>
      <c r="K275" s="22"/>
      <c r="L275" s="22"/>
      <c r="M275" s="24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4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/>
      <c r="CI275"/>
      <c r="CJ275"/>
      <c r="CK275"/>
      <c r="CP275"/>
      <c r="CQ275"/>
      <c r="CR275"/>
      <c r="CS275"/>
      <c r="CT275"/>
      <c r="CY275" s="282">
        <f t="shared" si="41"/>
        <v>44562</v>
      </c>
      <c r="CZ275" s="281">
        <f t="shared" si="42"/>
        <v>1</v>
      </c>
      <c r="DA275" s="281">
        <f t="shared" si="43"/>
        <v>1.25</v>
      </c>
      <c r="DB275" s="281">
        <f t="shared" si="44"/>
        <v>1.55</v>
      </c>
      <c r="DD275" s="101">
        <f t="shared" si="45"/>
        <v>9.4265229575163478E-2</v>
      </c>
      <c r="DE275" s="101">
        <f t="shared" si="46"/>
        <v>0.18853045915032696</v>
      </c>
      <c r="DF275" s="101">
        <f t="shared" si="47"/>
        <v>0.28279568872549044</v>
      </c>
      <c r="DH275" s="282">
        <f t="shared" ref="DH275:DH306" si="50">IF(BH275=0,EOMONTH(DH274,0)+1,BH275)</f>
        <v>44562</v>
      </c>
      <c r="DI275" s="318">
        <f t="shared" si="48"/>
        <v>0.9</v>
      </c>
    </row>
    <row r="276" spans="1:113">
      <c r="A276" s="27">
        <f t="shared" ca="1" si="49"/>
        <v>44927</v>
      </c>
      <c r="B276" s="17">
        <f>'Gas Curves'!C280</f>
        <v>7.1021336021866999E-2</v>
      </c>
      <c r="C276" s="17"/>
      <c r="D276" s="22"/>
      <c r="E276" s="22"/>
      <c r="F276" s="22"/>
      <c r="G276" s="22"/>
      <c r="H276" s="22"/>
      <c r="I276" s="22"/>
      <c r="J276" s="22"/>
      <c r="K276" s="22"/>
      <c r="L276" s="22"/>
      <c r="M276" s="24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4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/>
      <c r="CI276"/>
      <c r="CJ276"/>
      <c r="CK276"/>
      <c r="CP276"/>
      <c r="CQ276"/>
      <c r="CR276"/>
      <c r="CS276"/>
      <c r="CT276"/>
      <c r="CY276" s="282">
        <f t="shared" ref="CY276:CY307" si="51">EOMONTH(CY275,0)+1</f>
        <v>44593</v>
      </c>
      <c r="CZ276" s="281">
        <f t="shared" si="42"/>
        <v>1</v>
      </c>
      <c r="DA276" s="281">
        <f t="shared" si="43"/>
        <v>1.25</v>
      </c>
      <c r="DB276" s="281">
        <f t="shared" si="44"/>
        <v>1.55</v>
      </c>
      <c r="DD276" s="101">
        <f t="shared" si="45"/>
        <v>9.1066609010736779E-2</v>
      </c>
      <c r="DE276" s="101">
        <f t="shared" si="46"/>
        <v>0.18213321802147356</v>
      </c>
      <c r="DF276" s="101">
        <f t="shared" si="47"/>
        <v>0.27319982703221035</v>
      </c>
      <c r="DH276" s="282">
        <f t="shared" si="50"/>
        <v>44593</v>
      </c>
      <c r="DI276" s="318">
        <f t="shared" si="48"/>
        <v>0.9</v>
      </c>
    </row>
    <row r="277" spans="1:113">
      <c r="A277" s="27">
        <f t="shared" ca="1" si="49"/>
        <v>44958</v>
      </c>
      <c r="B277" s="17">
        <f>'Gas Curves'!C281</f>
        <v>7.1009095402589012E-2</v>
      </c>
      <c r="C277" s="17"/>
      <c r="D277" s="22"/>
      <c r="E277" s="22"/>
      <c r="F277" s="22"/>
      <c r="G277" s="22"/>
      <c r="H277" s="22"/>
      <c r="I277" s="22"/>
      <c r="J277" s="22"/>
      <c r="K277" s="22"/>
      <c r="L277" s="22"/>
      <c r="M277" s="24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4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/>
      <c r="CI277"/>
      <c r="CJ277"/>
      <c r="CK277"/>
      <c r="CP277"/>
      <c r="CQ277"/>
      <c r="CR277"/>
      <c r="CS277"/>
      <c r="CT277"/>
      <c r="CY277" s="282">
        <f t="shared" si="51"/>
        <v>44621</v>
      </c>
      <c r="CZ277" s="281">
        <f t="shared" si="42"/>
        <v>1</v>
      </c>
      <c r="DA277" s="281">
        <f t="shared" si="43"/>
        <v>1.25</v>
      </c>
      <c r="DB277" s="281">
        <f t="shared" si="44"/>
        <v>1.55</v>
      </c>
      <c r="DD277" s="101">
        <f t="shared" si="45"/>
        <v>7.2193702379781163E-2</v>
      </c>
      <c r="DE277" s="101">
        <f t="shared" si="46"/>
        <v>0.14438740475956233</v>
      </c>
      <c r="DF277" s="101">
        <f t="shared" si="47"/>
        <v>0.21658110713934348</v>
      </c>
      <c r="DH277" s="282">
        <f t="shared" si="50"/>
        <v>44621</v>
      </c>
      <c r="DI277" s="318">
        <f t="shared" si="48"/>
        <v>0.9</v>
      </c>
    </row>
    <row r="278" spans="1:113">
      <c r="A278" s="27">
        <f t="shared" ca="1" si="49"/>
        <v>44986</v>
      </c>
      <c r="B278" s="17">
        <f>'Gas Curves'!C282</f>
        <v>7.0996446762720003E-2</v>
      </c>
      <c r="C278" s="17"/>
      <c r="D278" s="22"/>
      <c r="E278" s="22"/>
      <c r="F278" s="22"/>
      <c r="G278" s="22"/>
      <c r="H278" s="22"/>
      <c r="I278" s="22"/>
      <c r="J278" s="22"/>
      <c r="K278" s="22"/>
      <c r="L278" s="22"/>
      <c r="M278" s="24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4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/>
      <c r="CI278"/>
      <c r="CJ278"/>
      <c r="CK278"/>
      <c r="CP278"/>
      <c r="CQ278"/>
      <c r="CR278"/>
      <c r="CS278"/>
      <c r="CT278"/>
      <c r="CY278" s="282">
        <f t="shared" si="51"/>
        <v>44652</v>
      </c>
      <c r="CZ278" s="281">
        <f t="shared" si="42"/>
        <v>0</v>
      </c>
      <c r="DA278" s="281">
        <f t="shared" si="43"/>
        <v>0</v>
      </c>
      <c r="DB278" s="281">
        <f t="shared" si="44"/>
        <v>0</v>
      </c>
      <c r="DD278" s="101">
        <f t="shared" si="45"/>
        <v>0</v>
      </c>
      <c r="DE278" s="101">
        <f t="shared" si="46"/>
        <v>0</v>
      </c>
      <c r="DF278" s="101">
        <f t="shared" si="47"/>
        <v>0</v>
      </c>
      <c r="DH278" s="282">
        <f t="shared" si="50"/>
        <v>44652</v>
      </c>
      <c r="DI278" s="318">
        <f t="shared" si="48"/>
        <v>0</v>
      </c>
    </row>
    <row r="279" spans="1:113">
      <c r="A279" s="27">
        <f t="shared" ca="1" si="49"/>
        <v>45017</v>
      </c>
      <c r="B279" s="17">
        <f>'Gas Curves'!C283</f>
        <v>7.0984206143543005E-2</v>
      </c>
      <c r="C279" s="17"/>
      <c r="D279" s="22"/>
      <c r="E279" s="22"/>
      <c r="F279" s="22"/>
      <c r="G279" s="22"/>
      <c r="H279" s="22"/>
      <c r="I279" s="22"/>
      <c r="J279" s="22"/>
      <c r="K279" s="22"/>
      <c r="L279" s="22"/>
      <c r="M279" s="24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4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/>
      <c r="CI279"/>
      <c r="CJ279"/>
      <c r="CK279"/>
      <c r="CP279"/>
      <c r="CQ279"/>
      <c r="CR279"/>
      <c r="CS279"/>
      <c r="CT279"/>
      <c r="CY279" s="282">
        <f t="shared" si="51"/>
        <v>44682</v>
      </c>
      <c r="CZ279" s="281">
        <f t="shared" si="42"/>
        <v>1</v>
      </c>
      <c r="DA279" s="281">
        <f t="shared" si="43"/>
        <v>1.25</v>
      </c>
      <c r="DB279" s="281">
        <f t="shared" si="44"/>
        <v>1.55</v>
      </c>
      <c r="DD279" s="101">
        <f t="shared" si="45"/>
        <v>7.9836777060086975E-2</v>
      </c>
      <c r="DE279" s="101">
        <f t="shared" si="46"/>
        <v>0.15967355412017395</v>
      </c>
      <c r="DF279" s="101">
        <f t="shared" si="47"/>
        <v>0.23951033118026094</v>
      </c>
      <c r="DH279" s="282">
        <f t="shared" si="50"/>
        <v>44682</v>
      </c>
      <c r="DI279" s="318">
        <f t="shared" si="48"/>
        <v>0.9</v>
      </c>
    </row>
    <row r="280" spans="1:113">
      <c r="A280" s="27">
        <f t="shared" ca="1" si="49"/>
        <v>45047</v>
      </c>
      <c r="B280" s="17">
        <f>'Gas Curves'!C284</f>
        <v>7.0971557503779009E-2</v>
      </c>
      <c r="C280" s="17"/>
      <c r="D280" s="22"/>
      <c r="E280" s="22"/>
      <c r="F280" s="22"/>
      <c r="G280" s="22"/>
      <c r="H280" s="22"/>
      <c r="I280" s="22"/>
      <c r="J280" s="22"/>
      <c r="K280" s="22"/>
      <c r="L280" s="22"/>
      <c r="M280" s="24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4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/>
      <c r="CI280"/>
      <c r="CJ280"/>
      <c r="CK280"/>
      <c r="CP280"/>
      <c r="CQ280"/>
      <c r="CR280"/>
      <c r="CS280"/>
      <c r="CT280"/>
      <c r="CY280" s="282">
        <f t="shared" si="51"/>
        <v>44713</v>
      </c>
      <c r="CZ280" s="281">
        <f t="shared" si="42"/>
        <v>1</v>
      </c>
      <c r="DA280" s="281">
        <f t="shared" si="43"/>
        <v>1.25</v>
      </c>
      <c r="DB280" s="281">
        <f t="shared" si="44"/>
        <v>1.55</v>
      </c>
      <c r="DD280" s="101">
        <f t="shared" si="45"/>
        <v>8.5380172451755984E-2</v>
      </c>
      <c r="DE280" s="101">
        <f t="shared" si="46"/>
        <v>0.17076034490351197</v>
      </c>
      <c r="DF280" s="101">
        <f t="shared" si="47"/>
        <v>0.25614051735526794</v>
      </c>
      <c r="DH280" s="282">
        <f t="shared" si="50"/>
        <v>44713</v>
      </c>
      <c r="DI280" s="318">
        <f t="shared" si="48"/>
        <v>0.9</v>
      </c>
    </row>
    <row r="281" spans="1:113">
      <c r="A281" s="27">
        <f t="shared" ca="1" si="49"/>
        <v>45078</v>
      </c>
      <c r="B281" s="17">
        <f>'Gas Curves'!C285</f>
        <v>7.0958908864067013E-2</v>
      </c>
      <c r="C281" s="17"/>
      <c r="D281" s="22"/>
      <c r="E281" s="22"/>
      <c r="F281" s="22"/>
      <c r="G281" s="22"/>
      <c r="H281" s="22"/>
      <c r="I281" s="22"/>
      <c r="J281" s="22"/>
      <c r="K281" s="22"/>
      <c r="L281" s="22"/>
      <c r="M281" s="24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4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/>
      <c r="CI281"/>
      <c r="CJ281"/>
      <c r="CK281"/>
      <c r="CP281"/>
      <c r="CQ281"/>
      <c r="CR281"/>
      <c r="CS281"/>
      <c r="CT281"/>
      <c r="CY281" s="282">
        <f t="shared" si="51"/>
        <v>44743</v>
      </c>
      <c r="CZ281" s="281">
        <f t="shared" si="42"/>
        <v>1</v>
      </c>
      <c r="DA281" s="281">
        <f t="shared" si="43"/>
        <v>1.25</v>
      </c>
      <c r="DB281" s="281">
        <f t="shared" si="44"/>
        <v>1.55</v>
      </c>
      <c r="DD281" s="101">
        <f t="shared" si="45"/>
        <v>0.101692367108662</v>
      </c>
      <c r="DE281" s="101">
        <f t="shared" si="46"/>
        <v>0.203384734217324</v>
      </c>
      <c r="DF281" s="101">
        <f t="shared" si="47"/>
        <v>0.30507710132598598</v>
      </c>
      <c r="DH281" s="282">
        <f t="shared" si="50"/>
        <v>44743</v>
      </c>
      <c r="DI281" s="318">
        <f t="shared" si="48"/>
        <v>0.9</v>
      </c>
    </row>
    <row r="282" spans="1:113">
      <c r="A282" s="27">
        <f t="shared" ca="1" si="49"/>
        <v>45108</v>
      </c>
      <c r="B282" s="17">
        <f>'Gas Curves'!C286</f>
        <v>7.094748428630801E-2</v>
      </c>
      <c r="C282" s="17"/>
      <c r="D282" s="22"/>
      <c r="E282" s="22"/>
      <c r="F282" s="22"/>
      <c r="G282" s="22"/>
      <c r="H282" s="22"/>
      <c r="I282" s="22"/>
      <c r="J282" s="22"/>
      <c r="K282" s="22"/>
      <c r="L282" s="22"/>
      <c r="M282" s="24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4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/>
      <c r="CI282"/>
      <c r="CJ282"/>
      <c r="CK282"/>
      <c r="CP282"/>
      <c r="CQ282"/>
      <c r="CR282"/>
      <c r="CS282"/>
      <c r="CT282"/>
      <c r="CY282" s="282">
        <f t="shared" si="51"/>
        <v>44774</v>
      </c>
      <c r="CZ282" s="281">
        <f t="shared" si="42"/>
        <v>1</v>
      </c>
      <c r="DA282" s="281">
        <f t="shared" si="43"/>
        <v>1.25</v>
      </c>
      <c r="DB282" s="281">
        <f t="shared" si="44"/>
        <v>1.55</v>
      </c>
      <c r="DD282" s="101">
        <f t="shared" si="45"/>
        <v>9.9464225848612461E-2</v>
      </c>
      <c r="DE282" s="101">
        <f t="shared" si="46"/>
        <v>0.19892845169722492</v>
      </c>
      <c r="DF282" s="101">
        <f t="shared" si="47"/>
        <v>0.29839267754583737</v>
      </c>
      <c r="DH282" s="282">
        <f t="shared" si="50"/>
        <v>44774</v>
      </c>
      <c r="DI282" s="318">
        <f t="shared" si="48"/>
        <v>0.9</v>
      </c>
    </row>
    <row r="283" spans="1:113">
      <c r="A283" s="27">
        <f t="shared" ca="1" si="49"/>
        <v>45139</v>
      </c>
      <c r="B283" s="17">
        <f>'Gas Curves'!C287</f>
        <v>7.0934835646697017E-2</v>
      </c>
      <c r="C283" s="17"/>
      <c r="D283" s="22"/>
      <c r="E283" s="22"/>
      <c r="F283" s="22"/>
      <c r="G283" s="22"/>
      <c r="H283" s="22"/>
      <c r="I283" s="22"/>
      <c r="J283" s="22"/>
      <c r="K283" s="22"/>
      <c r="L283" s="22"/>
      <c r="M283" s="24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4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/>
      <c r="CI283"/>
      <c r="CJ283"/>
      <c r="CK283"/>
      <c r="CP283"/>
      <c r="CQ283"/>
      <c r="CR283"/>
      <c r="CS283"/>
      <c r="CT283"/>
      <c r="CY283" s="282">
        <f t="shared" si="51"/>
        <v>44805</v>
      </c>
      <c r="CZ283" s="281">
        <f t="shared" si="42"/>
        <v>1</v>
      </c>
      <c r="DA283" s="281">
        <f t="shared" si="43"/>
        <v>1.25</v>
      </c>
      <c r="DB283" s="281">
        <f t="shared" si="44"/>
        <v>1.55</v>
      </c>
      <c r="DD283" s="101">
        <f t="shared" si="45"/>
        <v>7.5360688839898535E-2</v>
      </c>
      <c r="DE283" s="101">
        <f t="shared" si="46"/>
        <v>0.15072137767979707</v>
      </c>
      <c r="DF283" s="101">
        <f t="shared" si="47"/>
        <v>0.22608206651969559</v>
      </c>
      <c r="DH283" s="282">
        <f t="shared" si="50"/>
        <v>44805</v>
      </c>
      <c r="DI283" s="318">
        <f t="shared" si="48"/>
        <v>0.9</v>
      </c>
    </row>
    <row r="284" spans="1:113">
      <c r="A284" s="27">
        <f t="shared" ca="1" si="49"/>
        <v>45170</v>
      </c>
      <c r="B284" s="17">
        <f>'Gas Curves'!C288</f>
        <v>7.0922595027770027E-2</v>
      </c>
      <c r="C284" s="17"/>
      <c r="D284" s="22"/>
      <c r="E284" s="22"/>
      <c r="F284" s="22"/>
      <c r="G284" s="22"/>
      <c r="H284" s="22"/>
      <c r="I284" s="22"/>
      <c r="J284" s="22"/>
      <c r="K284" s="22"/>
      <c r="L284" s="22"/>
      <c r="M284" s="24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4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/>
      <c r="CI284"/>
      <c r="CJ284"/>
      <c r="CK284"/>
      <c r="CP284"/>
      <c r="CQ284"/>
      <c r="CR284"/>
      <c r="CS284"/>
      <c r="CT284"/>
      <c r="CY284" s="282">
        <f t="shared" si="51"/>
        <v>44835</v>
      </c>
      <c r="CZ284" s="281">
        <f t="shared" si="42"/>
        <v>1</v>
      </c>
      <c r="DA284" s="281">
        <f t="shared" si="43"/>
        <v>1.25</v>
      </c>
      <c r="DB284" s="281">
        <f t="shared" si="44"/>
        <v>1.55</v>
      </c>
      <c r="DD284" s="101">
        <f t="shared" si="45"/>
        <v>6.5180008835647396E-2</v>
      </c>
      <c r="DE284" s="101">
        <f t="shared" si="46"/>
        <v>0.13036001767129479</v>
      </c>
      <c r="DF284" s="101">
        <f t="shared" si="47"/>
        <v>0.19554002650694219</v>
      </c>
      <c r="DH284" s="282">
        <f t="shared" si="50"/>
        <v>44835</v>
      </c>
      <c r="DI284" s="318">
        <f t="shared" si="48"/>
        <v>0.9</v>
      </c>
    </row>
    <row r="285" spans="1:113">
      <c r="A285" s="27">
        <f t="shared" ca="1" si="49"/>
        <v>45200</v>
      </c>
      <c r="B285" s="17">
        <f>'Gas Curves'!C289</f>
        <v>7.0909946388262007E-2</v>
      </c>
      <c r="C285" s="17"/>
      <c r="D285" s="22"/>
      <c r="E285" s="22"/>
      <c r="F285" s="22"/>
      <c r="G285" s="22"/>
      <c r="H285" s="22"/>
      <c r="I285" s="22"/>
      <c r="J285" s="22"/>
      <c r="K285" s="22"/>
      <c r="L285" s="22"/>
      <c r="M285" s="24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4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/>
      <c r="CI285"/>
      <c r="CJ285"/>
      <c r="CK285"/>
      <c r="CP285"/>
      <c r="CQ285"/>
      <c r="CR285"/>
      <c r="CS285"/>
      <c r="CT285"/>
      <c r="CY285" s="282">
        <f t="shared" si="51"/>
        <v>44866</v>
      </c>
      <c r="CZ285" s="281">
        <f t="shared" si="42"/>
        <v>1</v>
      </c>
      <c r="DA285" s="281">
        <f t="shared" si="43"/>
        <v>1.25</v>
      </c>
      <c r="DB285" s="281">
        <f t="shared" si="44"/>
        <v>1.55</v>
      </c>
      <c r="DD285" s="101">
        <f t="shared" si="45"/>
        <v>6.5180008835647396E-2</v>
      </c>
      <c r="DE285" s="101">
        <f t="shared" si="46"/>
        <v>0.13036001767129479</v>
      </c>
      <c r="DF285" s="101">
        <f t="shared" si="47"/>
        <v>0.19554002650694219</v>
      </c>
      <c r="DH285" s="282">
        <f t="shared" si="50"/>
        <v>44866</v>
      </c>
      <c r="DI285" s="318">
        <f t="shared" si="48"/>
        <v>0.9</v>
      </c>
    </row>
    <row r="286" spans="1:113">
      <c r="A286" s="27">
        <f t="shared" ca="1" si="49"/>
        <v>45231</v>
      </c>
      <c r="B286" s="17">
        <f>'Gas Curves'!C290</f>
        <v>7.0897705769435007E-2</v>
      </c>
      <c r="C286" s="17"/>
      <c r="D286" s="22"/>
      <c r="E286" s="22"/>
      <c r="F286" s="22"/>
      <c r="G286" s="22"/>
      <c r="H286" s="22"/>
      <c r="I286" s="22"/>
      <c r="J286" s="22"/>
      <c r="K286" s="22"/>
      <c r="L286" s="22"/>
      <c r="M286" s="24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4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/>
      <c r="CI286"/>
      <c r="CJ286"/>
      <c r="CK286"/>
      <c r="CP286"/>
      <c r="CQ286"/>
      <c r="CR286"/>
      <c r="CS286"/>
      <c r="CT286"/>
      <c r="CY286" s="282">
        <f t="shared" si="51"/>
        <v>44896</v>
      </c>
      <c r="CZ286" s="281">
        <f t="shared" ref="CZ286:CZ349" si="52">IF(AI286=0,CZ274,AH286+AI286)</f>
        <v>1</v>
      </c>
      <c r="DA286" s="281">
        <f t="shared" ref="DA286:DA349" si="53">IF(AI286=0,DA274,AI286)</f>
        <v>1.25</v>
      </c>
      <c r="DB286" s="281">
        <f t="shared" ref="DB286:DB349" si="54">IF(AI286=0,DB274,AI286+AJ286)</f>
        <v>1.55</v>
      </c>
      <c r="DD286" s="101">
        <f t="shared" ref="DD286:DD349" si="55">IF(Z286=0,DD274,Z286)</f>
        <v>6.3878884371445607E-2</v>
      </c>
      <c r="DE286" s="101">
        <f t="shared" ref="DE286:DE349" si="56">IF(AA286=0,DE274,AA286)</f>
        <v>0.12775776874289121</v>
      </c>
      <c r="DF286" s="101">
        <f t="shared" ref="DF286:DF349" si="57">IF(AB286=0,DF274,AB286)</f>
        <v>0.19163665311433681</v>
      </c>
      <c r="DH286" s="282">
        <f t="shared" si="50"/>
        <v>44896</v>
      </c>
      <c r="DI286" s="318">
        <f t="shared" ref="DI286:DI349" si="58">IF(BI286=0,DI274,BI286)</f>
        <v>0.9</v>
      </c>
    </row>
    <row r="287" spans="1:113">
      <c r="A287" s="27">
        <f t="shared" ca="1" si="49"/>
        <v>45261</v>
      </c>
      <c r="B287" s="17">
        <f>'Gas Curves'!C291</f>
        <v>7.0885057130032E-2</v>
      </c>
      <c r="C287" s="17"/>
      <c r="D287" s="22"/>
      <c r="E287" s="22"/>
      <c r="F287" s="22"/>
      <c r="G287" s="22"/>
      <c r="H287" s="22"/>
      <c r="I287" s="22"/>
      <c r="J287" s="22"/>
      <c r="K287" s="22"/>
      <c r="L287" s="22"/>
      <c r="M287" s="24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4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/>
      <c r="CI287"/>
      <c r="CJ287"/>
      <c r="CK287"/>
      <c r="CP287"/>
      <c r="CQ287"/>
      <c r="CR287"/>
      <c r="CS287"/>
      <c r="CT287"/>
      <c r="CY287" s="282">
        <f t="shared" si="51"/>
        <v>44927</v>
      </c>
      <c r="CZ287" s="281">
        <f t="shared" si="52"/>
        <v>1</v>
      </c>
      <c r="DA287" s="281">
        <f t="shared" si="53"/>
        <v>1.25</v>
      </c>
      <c r="DB287" s="281">
        <f t="shared" si="54"/>
        <v>1.55</v>
      </c>
      <c r="DD287" s="101">
        <f t="shared" si="55"/>
        <v>9.4265229575163478E-2</v>
      </c>
      <c r="DE287" s="101">
        <f t="shared" si="56"/>
        <v>0.18853045915032696</v>
      </c>
      <c r="DF287" s="101">
        <f t="shared" si="57"/>
        <v>0.28279568872549044</v>
      </c>
      <c r="DH287" s="282">
        <f t="shared" si="50"/>
        <v>44927</v>
      </c>
      <c r="DI287" s="318">
        <f t="shared" si="58"/>
        <v>0.9</v>
      </c>
    </row>
    <row r="288" spans="1:113">
      <c r="A288" s="27">
        <f t="shared" ca="1" si="49"/>
        <v>45292</v>
      </c>
      <c r="B288" s="17">
        <f>'Gas Curves'!C292</f>
        <v>7.0872408490682007E-2</v>
      </c>
      <c r="C288" s="17"/>
      <c r="D288" s="22"/>
      <c r="E288" s="22"/>
      <c r="F288" s="22"/>
      <c r="G288" s="22"/>
      <c r="H288" s="22"/>
      <c r="I288" s="22"/>
      <c r="J288" s="22"/>
      <c r="K288" s="22"/>
      <c r="L288" s="22"/>
      <c r="M288" s="24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4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/>
      <c r="CI288"/>
      <c r="CJ288"/>
      <c r="CK288"/>
      <c r="CP288"/>
      <c r="CQ288"/>
      <c r="CR288"/>
      <c r="CS288"/>
      <c r="CT288"/>
      <c r="CY288" s="282">
        <f t="shared" si="51"/>
        <v>44958</v>
      </c>
      <c r="CZ288" s="281">
        <f t="shared" si="52"/>
        <v>1</v>
      </c>
      <c r="DA288" s="281">
        <f t="shared" si="53"/>
        <v>1.25</v>
      </c>
      <c r="DB288" s="281">
        <f t="shared" si="54"/>
        <v>1.55</v>
      </c>
      <c r="DD288" s="101">
        <f t="shared" si="55"/>
        <v>9.1066609010736779E-2</v>
      </c>
      <c r="DE288" s="101">
        <f t="shared" si="56"/>
        <v>0.18213321802147356</v>
      </c>
      <c r="DF288" s="101">
        <f t="shared" si="57"/>
        <v>0.27319982703221035</v>
      </c>
      <c r="DH288" s="282">
        <f t="shared" si="50"/>
        <v>44958</v>
      </c>
      <c r="DI288" s="318">
        <f t="shared" si="58"/>
        <v>0.9</v>
      </c>
    </row>
    <row r="289" spans="1:113">
      <c r="A289" s="27">
        <f t="shared" ca="1" si="49"/>
        <v>45323</v>
      </c>
      <c r="B289" s="17">
        <f>'Gas Curves'!C293</f>
        <v>7.0860167872006996E-2</v>
      </c>
      <c r="C289" s="17"/>
      <c r="D289" s="22"/>
      <c r="E289" s="22"/>
      <c r="F289" s="22"/>
      <c r="G289" s="22"/>
      <c r="H289" s="22"/>
      <c r="I289" s="22"/>
      <c r="J289" s="22"/>
      <c r="K289" s="22"/>
      <c r="L289" s="22"/>
      <c r="M289" s="24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4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/>
      <c r="CI289"/>
      <c r="CJ289"/>
      <c r="CK289"/>
      <c r="CP289"/>
      <c r="CQ289"/>
      <c r="CR289"/>
      <c r="CS289"/>
      <c r="CT289"/>
      <c r="CY289" s="282">
        <f t="shared" si="51"/>
        <v>44986</v>
      </c>
      <c r="CZ289" s="281">
        <f t="shared" si="52"/>
        <v>1</v>
      </c>
      <c r="DA289" s="281">
        <f t="shared" si="53"/>
        <v>1.25</v>
      </c>
      <c r="DB289" s="281">
        <f t="shared" si="54"/>
        <v>1.55</v>
      </c>
      <c r="DD289" s="101">
        <f t="shared" si="55"/>
        <v>7.2193702379781163E-2</v>
      </c>
      <c r="DE289" s="101">
        <f t="shared" si="56"/>
        <v>0.14438740475956233</v>
      </c>
      <c r="DF289" s="101">
        <f t="shared" si="57"/>
        <v>0.21658110713934348</v>
      </c>
      <c r="DH289" s="282">
        <f t="shared" si="50"/>
        <v>44986</v>
      </c>
      <c r="DI289" s="318">
        <f t="shared" si="58"/>
        <v>0.9</v>
      </c>
    </row>
    <row r="290" spans="1:113" ht="13.8">
      <c r="A290" s="96">
        <f t="shared" ref="A290:A321" ca="1" si="59">EDATE(A289,1)</f>
        <v>45352</v>
      </c>
      <c r="B290" s="17">
        <f>'Gas Curves'!C294</f>
        <v>7.0847519232761003E-2</v>
      </c>
      <c r="C290" s="17"/>
      <c r="D290" s="22"/>
      <c r="E290" s="22"/>
      <c r="F290" s="22"/>
      <c r="G290" s="22"/>
      <c r="H290" s="22"/>
      <c r="I290" s="22"/>
      <c r="J290" s="22"/>
      <c r="K290" s="22"/>
      <c r="L290" s="22"/>
      <c r="M290" s="24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4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/>
      <c r="CI290"/>
      <c r="CJ290"/>
      <c r="CK290"/>
      <c r="CP290"/>
      <c r="CQ290"/>
      <c r="CR290"/>
      <c r="CS290"/>
      <c r="CT290"/>
      <c r="CY290" s="282">
        <f t="shared" si="51"/>
        <v>45017</v>
      </c>
      <c r="CZ290" s="281">
        <f t="shared" si="52"/>
        <v>0</v>
      </c>
      <c r="DA290" s="281">
        <f t="shared" si="53"/>
        <v>0</v>
      </c>
      <c r="DB290" s="281">
        <f t="shared" si="54"/>
        <v>0</v>
      </c>
      <c r="DD290" s="101">
        <f t="shared" si="55"/>
        <v>0</v>
      </c>
      <c r="DE290" s="101">
        <f t="shared" si="56"/>
        <v>0</v>
      </c>
      <c r="DF290" s="101">
        <f t="shared" si="57"/>
        <v>0</v>
      </c>
      <c r="DH290" s="282">
        <f t="shared" si="50"/>
        <v>45017</v>
      </c>
      <c r="DI290" s="318">
        <f t="shared" si="58"/>
        <v>0</v>
      </c>
    </row>
    <row r="291" spans="1:113" ht="13.8">
      <c r="A291" s="96">
        <f t="shared" ca="1" si="59"/>
        <v>45383</v>
      </c>
      <c r="B291" s="17">
        <f>'Gas Curves'!C295</f>
        <v>7.0835278614185995E-2</v>
      </c>
      <c r="C291" s="17"/>
      <c r="D291" s="22"/>
      <c r="E291" s="22"/>
      <c r="F291" s="22"/>
      <c r="G291" s="22"/>
      <c r="H291" s="22"/>
      <c r="I291" s="22"/>
      <c r="J291" s="22"/>
      <c r="K291" s="22"/>
      <c r="L291" s="22"/>
      <c r="M291" s="24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4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/>
      <c r="CI291"/>
      <c r="CJ291"/>
      <c r="CK291"/>
      <c r="CP291"/>
      <c r="CQ291"/>
      <c r="CR291"/>
      <c r="CS291"/>
      <c r="CT291"/>
      <c r="CY291" s="282">
        <f t="shared" si="51"/>
        <v>45047</v>
      </c>
      <c r="CZ291" s="281">
        <f t="shared" si="52"/>
        <v>1</v>
      </c>
      <c r="DA291" s="281">
        <f t="shared" si="53"/>
        <v>1.25</v>
      </c>
      <c r="DB291" s="281">
        <f t="shared" si="54"/>
        <v>1.55</v>
      </c>
      <c r="DD291" s="101">
        <f t="shared" si="55"/>
        <v>7.9836777060086975E-2</v>
      </c>
      <c r="DE291" s="101">
        <f t="shared" si="56"/>
        <v>0.15967355412017395</v>
      </c>
      <c r="DF291" s="101">
        <f t="shared" si="57"/>
        <v>0.23951033118026094</v>
      </c>
      <c r="DH291" s="282">
        <f t="shared" si="50"/>
        <v>45047</v>
      </c>
      <c r="DI291" s="318">
        <f t="shared" si="58"/>
        <v>0.9</v>
      </c>
    </row>
    <row r="292" spans="1:113" ht="13.8">
      <c r="A292" s="96">
        <f t="shared" ca="1" si="59"/>
        <v>45413</v>
      </c>
      <c r="B292" s="17">
        <f>'Gas Curves'!C296</f>
        <v>7.0822629975044016E-2</v>
      </c>
      <c r="C292" s="17"/>
      <c r="D292" s="22"/>
      <c r="E292" s="22"/>
      <c r="F292" s="22"/>
      <c r="G292" s="22"/>
      <c r="H292" s="22"/>
      <c r="I292" s="22"/>
      <c r="J292" s="22"/>
      <c r="K292" s="22"/>
      <c r="L292" s="22"/>
      <c r="M292" s="24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4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/>
      <c r="CI292"/>
      <c r="CJ292"/>
      <c r="CK292"/>
      <c r="CP292"/>
      <c r="CQ292"/>
      <c r="CR292"/>
      <c r="CS292"/>
      <c r="CT292"/>
      <c r="CY292" s="282">
        <f t="shared" si="51"/>
        <v>45078</v>
      </c>
      <c r="CZ292" s="281">
        <f t="shared" si="52"/>
        <v>1</v>
      </c>
      <c r="DA292" s="281">
        <f t="shared" si="53"/>
        <v>1.25</v>
      </c>
      <c r="DB292" s="281">
        <f t="shared" si="54"/>
        <v>1.55</v>
      </c>
      <c r="DD292" s="101">
        <f t="shared" si="55"/>
        <v>8.5380172451755984E-2</v>
      </c>
      <c r="DE292" s="101">
        <f t="shared" si="56"/>
        <v>0.17076034490351197</v>
      </c>
      <c r="DF292" s="101">
        <f t="shared" si="57"/>
        <v>0.25614051735526794</v>
      </c>
      <c r="DH292" s="282">
        <f t="shared" si="50"/>
        <v>45078</v>
      </c>
      <c r="DI292" s="318">
        <f t="shared" si="58"/>
        <v>0.9</v>
      </c>
    </row>
    <row r="293" spans="1:113" ht="13.8">
      <c r="A293" s="96">
        <f t="shared" ca="1" si="59"/>
        <v>45444</v>
      </c>
      <c r="B293" s="17">
        <f>'Gas Curves'!C297</f>
        <v>7.0809981335955008E-2</v>
      </c>
      <c r="C293" s="17"/>
      <c r="D293" s="22"/>
      <c r="E293" s="22"/>
      <c r="F293" s="22"/>
      <c r="G293" s="22"/>
      <c r="H293" s="22"/>
      <c r="I293" s="22"/>
      <c r="J293" s="22"/>
      <c r="K293" s="22"/>
      <c r="L293" s="22"/>
      <c r="M293" s="24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4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/>
      <c r="CI293"/>
      <c r="CJ293"/>
      <c r="CK293"/>
      <c r="CP293"/>
      <c r="CQ293"/>
      <c r="CR293"/>
      <c r="CS293"/>
      <c r="CT293"/>
      <c r="CY293" s="282">
        <f t="shared" si="51"/>
        <v>45108</v>
      </c>
      <c r="CZ293" s="281">
        <f t="shared" si="52"/>
        <v>1</v>
      </c>
      <c r="DA293" s="281">
        <f t="shared" si="53"/>
        <v>1.25</v>
      </c>
      <c r="DB293" s="281">
        <f t="shared" si="54"/>
        <v>1.55</v>
      </c>
      <c r="DD293" s="101">
        <f t="shared" si="55"/>
        <v>0.101692367108662</v>
      </c>
      <c r="DE293" s="101">
        <f t="shared" si="56"/>
        <v>0.203384734217324</v>
      </c>
      <c r="DF293" s="101">
        <f t="shared" si="57"/>
        <v>0.30507710132598598</v>
      </c>
      <c r="DH293" s="282">
        <f t="shared" si="50"/>
        <v>45108</v>
      </c>
      <c r="DI293" s="318">
        <f t="shared" si="58"/>
        <v>0.9</v>
      </c>
    </row>
    <row r="294" spans="1:113" ht="13.8">
      <c r="A294" s="96">
        <f t="shared" ca="1" si="59"/>
        <v>45474</v>
      </c>
      <c r="B294" s="17">
        <f>'Gas Curves'!C298</f>
        <v>7.0798148738146008E-2</v>
      </c>
      <c r="C294" s="17"/>
      <c r="D294" s="22"/>
      <c r="E294" s="22"/>
      <c r="F294" s="22"/>
      <c r="G294" s="22"/>
      <c r="H294" s="22"/>
      <c r="I294" s="22"/>
      <c r="J294" s="22"/>
      <c r="K294" s="22"/>
      <c r="L294" s="22"/>
      <c r="M294" s="24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4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/>
      <c r="CI294"/>
      <c r="CJ294"/>
      <c r="CK294"/>
      <c r="CP294"/>
      <c r="CQ294"/>
      <c r="CR294"/>
      <c r="CS294"/>
      <c r="CT294"/>
      <c r="CY294" s="282">
        <f t="shared" si="51"/>
        <v>45139</v>
      </c>
      <c r="CZ294" s="281">
        <f t="shared" si="52"/>
        <v>1</v>
      </c>
      <c r="DA294" s="281">
        <f t="shared" si="53"/>
        <v>1.25</v>
      </c>
      <c r="DB294" s="281">
        <f t="shared" si="54"/>
        <v>1.55</v>
      </c>
      <c r="DD294" s="101">
        <f t="shared" si="55"/>
        <v>9.9464225848612461E-2</v>
      </c>
      <c r="DE294" s="101">
        <f t="shared" si="56"/>
        <v>0.19892845169722492</v>
      </c>
      <c r="DF294" s="101">
        <f t="shared" si="57"/>
        <v>0.29839267754583737</v>
      </c>
      <c r="DH294" s="282">
        <f t="shared" si="50"/>
        <v>45139</v>
      </c>
      <c r="DI294" s="318">
        <f t="shared" si="58"/>
        <v>0.9</v>
      </c>
    </row>
    <row r="295" spans="1:113" ht="13.8">
      <c r="A295" s="96">
        <f t="shared" ca="1" si="59"/>
        <v>45505</v>
      </c>
      <c r="B295" s="17">
        <f>'Gas Curves'!C299</f>
        <v>7.0785500099159029E-2</v>
      </c>
      <c r="C295" s="17"/>
      <c r="D295" s="22"/>
      <c r="E295" s="22"/>
      <c r="F295" s="22"/>
      <c r="G295" s="22"/>
      <c r="H295" s="22"/>
      <c r="I295" s="22"/>
      <c r="J295" s="22"/>
      <c r="K295" s="22"/>
      <c r="L295" s="22"/>
      <c r="M295" s="24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4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/>
      <c r="CI295"/>
      <c r="CJ295"/>
      <c r="CK295"/>
      <c r="CP295"/>
      <c r="CQ295"/>
      <c r="CR295"/>
      <c r="CS295"/>
      <c r="CT295"/>
      <c r="CY295" s="282">
        <f t="shared" si="51"/>
        <v>45170</v>
      </c>
      <c r="CZ295" s="281">
        <f t="shared" si="52"/>
        <v>1</v>
      </c>
      <c r="DA295" s="281">
        <f t="shared" si="53"/>
        <v>1.25</v>
      </c>
      <c r="DB295" s="281">
        <f t="shared" si="54"/>
        <v>1.55</v>
      </c>
      <c r="DD295" s="101">
        <f t="shared" si="55"/>
        <v>7.5360688839898535E-2</v>
      </c>
      <c r="DE295" s="101">
        <f t="shared" si="56"/>
        <v>0.15072137767979707</v>
      </c>
      <c r="DF295" s="101">
        <f t="shared" si="57"/>
        <v>0.22608206651969559</v>
      </c>
      <c r="DH295" s="282">
        <f t="shared" si="50"/>
        <v>45170</v>
      </c>
      <c r="DI295" s="318">
        <f t="shared" si="58"/>
        <v>0.9</v>
      </c>
    </row>
    <row r="296" spans="1:113" ht="13.8">
      <c r="A296" s="96">
        <f t="shared" ca="1" si="59"/>
        <v>45536</v>
      </c>
      <c r="B296" s="17">
        <f>'Gas Curves'!C300</f>
        <v>7.0773259480835002E-2</v>
      </c>
      <c r="C296" s="17"/>
      <c r="D296" s="22"/>
      <c r="E296" s="22"/>
      <c r="F296" s="22"/>
      <c r="G296" s="22"/>
      <c r="H296" s="22"/>
      <c r="I296" s="22"/>
      <c r="J296" s="22"/>
      <c r="K296" s="22"/>
      <c r="L296" s="22"/>
      <c r="M296" s="24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4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/>
      <c r="CI296"/>
      <c r="CJ296"/>
      <c r="CK296"/>
      <c r="CP296"/>
      <c r="CQ296"/>
      <c r="CR296"/>
      <c r="CS296"/>
      <c r="CT296"/>
      <c r="CY296" s="282">
        <f t="shared" si="51"/>
        <v>45200</v>
      </c>
      <c r="CZ296" s="281">
        <f t="shared" si="52"/>
        <v>1</v>
      </c>
      <c r="DA296" s="281">
        <f t="shared" si="53"/>
        <v>1.25</v>
      </c>
      <c r="DB296" s="281">
        <f t="shared" si="54"/>
        <v>1.55</v>
      </c>
      <c r="DD296" s="101">
        <f t="shared" si="55"/>
        <v>6.5180008835647396E-2</v>
      </c>
      <c r="DE296" s="101">
        <f t="shared" si="56"/>
        <v>0.13036001767129479</v>
      </c>
      <c r="DF296" s="101">
        <f t="shared" si="57"/>
        <v>0.19554002650694219</v>
      </c>
      <c r="DH296" s="282">
        <f t="shared" si="50"/>
        <v>45200</v>
      </c>
      <c r="DI296" s="318">
        <f t="shared" si="58"/>
        <v>0.9</v>
      </c>
    </row>
    <row r="297" spans="1:113" ht="13.8">
      <c r="A297" s="96">
        <f t="shared" ca="1" si="59"/>
        <v>45566</v>
      </c>
      <c r="B297" s="17">
        <f>'Gas Curves'!C301</f>
        <v>7.076061084195201E-2</v>
      </c>
      <c r="C297" s="17"/>
      <c r="D297" s="22"/>
      <c r="E297" s="22"/>
      <c r="F297" s="22"/>
      <c r="G297" s="22"/>
      <c r="H297" s="22"/>
      <c r="I297" s="22"/>
      <c r="J297" s="22"/>
      <c r="K297" s="22"/>
      <c r="L297" s="22"/>
      <c r="M297" s="24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4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/>
      <c r="CI297"/>
      <c r="CJ297"/>
      <c r="CK297"/>
      <c r="CP297"/>
      <c r="CQ297"/>
      <c r="CR297"/>
      <c r="CS297"/>
      <c r="CT297"/>
      <c r="CY297" s="282">
        <f t="shared" si="51"/>
        <v>45231</v>
      </c>
      <c r="CZ297" s="281">
        <f t="shared" si="52"/>
        <v>1</v>
      </c>
      <c r="DA297" s="281">
        <f t="shared" si="53"/>
        <v>1.25</v>
      </c>
      <c r="DB297" s="281">
        <f t="shared" si="54"/>
        <v>1.55</v>
      </c>
      <c r="DD297" s="101">
        <f t="shared" si="55"/>
        <v>6.5180008835647396E-2</v>
      </c>
      <c r="DE297" s="101">
        <f t="shared" si="56"/>
        <v>0.13036001767129479</v>
      </c>
      <c r="DF297" s="101">
        <f t="shared" si="57"/>
        <v>0.19554002650694219</v>
      </c>
      <c r="DH297" s="282">
        <f t="shared" si="50"/>
        <v>45231</v>
      </c>
      <c r="DI297" s="318">
        <f t="shared" si="58"/>
        <v>0.9</v>
      </c>
    </row>
    <row r="298" spans="1:113" ht="13.8">
      <c r="A298" s="96">
        <f t="shared" ca="1" si="59"/>
        <v>45597</v>
      </c>
      <c r="B298" s="17">
        <f>'Gas Curves'!C302</f>
        <v>7.0748370223729012E-2</v>
      </c>
      <c r="C298" s="17"/>
      <c r="D298" s="22"/>
      <c r="E298" s="22"/>
      <c r="F298" s="22"/>
      <c r="G298" s="22"/>
      <c r="H298" s="22"/>
      <c r="I298" s="22"/>
      <c r="J298" s="22"/>
      <c r="K298" s="22"/>
      <c r="L298" s="22"/>
      <c r="M298" s="24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4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/>
      <c r="CI298"/>
      <c r="CJ298"/>
      <c r="CK298"/>
      <c r="CP298"/>
      <c r="CQ298"/>
      <c r="CR298"/>
      <c r="CS298"/>
      <c r="CT298"/>
      <c r="CY298" s="282">
        <f t="shared" si="51"/>
        <v>45261</v>
      </c>
      <c r="CZ298" s="281">
        <f t="shared" si="52"/>
        <v>1</v>
      </c>
      <c r="DA298" s="281">
        <f t="shared" si="53"/>
        <v>1.25</v>
      </c>
      <c r="DB298" s="281">
        <f t="shared" si="54"/>
        <v>1.55</v>
      </c>
      <c r="DD298" s="101">
        <f t="shared" si="55"/>
        <v>6.3878884371445607E-2</v>
      </c>
      <c r="DE298" s="101">
        <f t="shared" si="56"/>
        <v>0.12775776874289121</v>
      </c>
      <c r="DF298" s="101">
        <f t="shared" si="57"/>
        <v>0.19163665311433681</v>
      </c>
      <c r="DH298" s="282">
        <f t="shared" si="50"/>
        <v>45261</v>
      </c>
      <c r="DI298" s="318">
        <f t="shared" si="58"/>
        <v>0.9</v>
      </c>
    </row>
    <row r="299" spans="1:113" ht="13.8">
      <c r="A299" s="96">
        <f t="shared" ca="1" si="59"/>
        <v>45627</v>
      </c>
      <c r="B299" s="17">
        <f>'Gas Curves'!C303</f>
        <v>7.0735721584951006E-2</v>
      </c>
      <c r="C299" s="17"/>
      <c r="D299" s="22"/>
      <c r="E299" s="22"/>
      <c r="F299" s="22"/>
      <c r="G299" s="22"/>
      <c r="H299" s="22"/>
      <c r="I299" s="22"/>
      <c r="J299" s="22"/>
      <c r="K299" s="22"/>
      <c r="L299" s="22"/>
      <c r="M299" s="24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4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/>
      <c r="CI299"/>
      <c r="CJ299"/>
      <c r="CK299"/>
      <c r="CP299"/>
      <c r="CQ299"/>
      <c r="CR299"/>
      <c r="CS299"/>
      <c r="CT299"/>
      <c r="CY299" s="282">
        <f t="shared" si="51"/>
        <v>45292</v>
      </c>
      <c r="CZ299" s="281">
        <f t="shared" si="52"/>
        <v>1</v>
      </c>
      <c r="DA299" s="281">
        <f t="shared" si="53"/>
        <v>1.25</v>
      </c>
      <c r="DB299" s="281">
        <f t="shared" si="54"/>
        <v>1.55</v>
      </c>
      <c r="DD299" s="101">
        <f t="shared" si="55"/>
        <v>9.4265229575163478E-2</v>
      </c>
      <c r="DE299" s="101">
        <f t="shared" si="56"/>
        <v>0.18853045915032696</v>
      </c>
      <c r="DF299" s="101">
        <f t="shared" si="57"/>
        <v>0.28279568872549044</v>
      </c>
      <c r="DH299" s="282">
        <f t="shared" si="50"/>
        <v>45292</v>
      </c>
      <c r="DI299" s="318">
        <f t="shared" si="58"/>
        <v>0.9</v>
      </c>
    </row>
    <row r="300" spans="1:113" ht="13.8">
      <c r="A300" s="96">
        <f t="shared" ca="1" si="59"/>
        <v>45658</v>
      </c>
      <c r="B300" s="17">
        <f>'Gas Curves'!C304</f>
        <v>7.0723072946225027E-2</v>
      </c>
      <c r="C300" s="17"/>
      <c r="D300" s="22"/>
      <c r="E300" s="22"/>
      <c r="F300" s="22"/>
      <c r="G300" s="22"/>
      <c r="H300" s="22"/>
      <c r="I300" s="22"/>
      <c r="J300" s="22"/>
      <c r="K300" s="22"/>
      <c r="L300" s="22"/>
      <c r="M300" s="24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4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/>
      <c r="CI300"/>
      <c r="CJ300"/>
      <c r="CK300"/>
      <c r="CP300"/>
      <c r="CQ300"/>
      <c r="CR300"/>
      <c r="CS300"/>
      <c r="CT300"/>
      <c r="CU300"/>
      <c r="CV300" s="27"/>
      <c r="CW300" s="41"/>
      <c r="CX300" s="41"/>
      <c r="CY300" s="282">
        <f t="shared" si="51"/>
        <v>45323</v>
      </c>
      <c r="CZ300" s="281">
        <f t="shared" si="52"/>
        <v>1</v>
      </c>
      <c r="DA300" s="281">
        <f t="shared" si="53"/>
        <v>1.25</v>
      </c>
      <c r="DB300" s="281">
        <f t="shared" si="54"/>
        <v>1.55</v>
      </c>
      <c r="DD300" s="101">
        <f t="shared" si="55"/>
        <v>9.1066609010736779E-2</v>
      </c>
      <c r="DE300" s="101">
        <f t="shared" si="56"/>
        <v>0.18213321802147356</v>
      </c>
      <c r="DF300" s="101">
        <f t="shared" si="57"/>
        <v>0.27319982703221035</v>
      </c>
      <c r="DG300" s="97"/>
      <c r="DH300" s="282">
        <f t="shared" si="50"/>
        <v>45323</v>
      </c>
      <c r="DI300" s="318">
        <f t="shared" si="58"/>
        <v>0.9</v>
      </c>
    </row>
    <row r="301" spans="1:113" ht="13.8">
      <c r="A301" s="96">
        <f t="shared" ca="1" si="59"/>
        <v>45689</v>
      </c>
      <c r="B301" s="17">
        <f>'Gas Curves'!C305</f>
        <v>7.0710832328154005E-2</v>
      </c>
      <c r="C301" s="17"/>
      <c r="D301" s="22"/>
      <c r="E301" s="22"/>
      <c r="F301" s="22"/>
      <c r="G301" s="22"/>
      <c r="H301" s="22"/>
      <c r="I301" s="22"/>
      <c r="J301" s="22"/>
      <c r="K301" s="22"/>
      <c r="L301" s="22"/>
      <c r="M301" s="24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4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/>
      <c r="CI301"/>
      <c r="CJ301"/>
      <c r="CK301"/>
      <c r="CP301"/>
      <c r="CQ301"/>
      <c r="CR301"/>
      <c r="CS301"/>
      <c r="CT301"/>
      <c r="CU301"/>
      <c r="CV301" s="27"/>
      <c r="CW301" s="41"/>
      <c r="CX301" s="41"/>
      <c r="CY301" s="282">
        <f t="shared" si="51"/>
        <v>45352</v>
      </c>
      <c r="CZ301" s="281">
        <f t="shared" si="52"/>
        <v>1</v>
      </c>
      <c r="DA301" s="281">
        <f t="shared" si="53"/>
        <v>1.25</v>
      </c>
      <c r="DB301" s="281">
        <f t="shared" si="54"/>
        <v>1.55</v>
      </c>
      <c r="DD301" s="101">
        <f t="shared" si="55"/>
        <v>7.2193702379781163E-2</v>
      </c>
      <c r="DE301" s="101">
        <f t="shared" si="56"/>
        <v>0.14438740475956233</v>
      </c>
      <c r="DF301" s="101">
        <f t="shared" si="57"/>
        <v>0.21658110713934348</v>
      </c>
      <c r="DG301" s="97"/>
      <c r="DH301" s="282">
        <f t="shared" si="50"/>
        <v>45352</v>
      </c>
      <c r="DI301" s="318">
        <f t="shared" si="58"/>
        <v>0.9</v>
      </c>
    </row>
    <row r="302" spans="1:113" ht="13.8">
      <c r="A302" s="96">
        <f t="shared" ca="1" si="59"/>
        <v>45717</v>
      </c>
      <c r="B302" s="17">
        <f>'Gas Curves'!C306</f>
        <v>7.0698183689531999E-2</v>
      </c>
      <c r="C302" s="17"/>
      <c r="D302" s="22"/>
      <c r="E302" s="22"/>
      <c r="F302" s="22"/>
      <c r="G302" s="22"/>
      <c r="H302" s="22"/>
      <c r="I302" s="22"/>
      <c r="J302" s="22"/>
      <c r="K302" s="22"/>
      <c r="L302" s="22"/>
      <c r="M302" s="24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4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/>
      <c r="CI302"/>
      <c r="CJ302"/>
      <c r="CK302"/>
      <c r="CP302"/>
      <c r="CQ302"/>
      <c r="CR302"/>
      <c r="CS302"/>
      <c r="CT302"/>
      <c r="CU302"/>
      <c r="CV302" s="27"/>
      <c r="CW302" s="41"/>
      <c r="CX302" s="41"/>
      <c r="CY302" s="282">
        <f t="shared" si="51"/>
        <v>45383</v>
      </c>
      <c r="CZ302" s="281">
        <f t="shared" si="52"/>
        <v>0</v>
      </c>
      <c r="DA302" s="281">
        <f t="shared" si="53"/>
        <v>0</v>
      </c>
      <c r="DB302" s="281">
        <f t="shared" si="54"/>
        <v>0</v>
      </c>
      <c r="DD302" s="101">
        <f t="shared" si="55"/>
        <v>0</v>
      </c>
      <c r="DE302" s="101">
        <f t="shared" si="56"/>
        <v>0</v>
      </c>
      <c r="DF302" s="101">
        <f t="shared" si="57"/>
        <v>0</v>
      </c>
      <c r="DG302" s="97"/>
      <c r="DH302" s="282">
        <f t="shared" si="50"/>
        <v>45383</v>
      </c>
      <c r="DI302" s="318">
        <f t="shared" si="58"/>
        <v>0</v>
      </c>
    </row>
    <row r="303" spans="1:113" ht="13.8">
      <c r="A303" s="96">
        <f t="shared" ca="1" si="59"/>
        <v>45748</v>
      </c>
      <c r="B303" s="17">
        <f>'Gas Curves'!C307</f>
        <v>7.0685943071562007E-2</v>
      </c>
      <c r="C303" s="17"/>
      <c r="D303" s="22"/>
      <c r="E303" s="22"/>
      <c r="F303" s="22"/>
      <c r="G303" s="22"/>
      <c r="H303" s="22"/>
      <c r="I303" s="22"/>
      <c r="J303" s="22"/>
      <c r="K303" s="22"/>
      <c r="L303" s="22"/>
      <c r="M303" s="24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4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/>
      <c r="CI303"/>
      <c r="CJ303"/>
      <c r="CK303"/>
      <c r="CP303"/>
      <c r="CQ303"/>
      <c r="CR303"/>
      <c r="CS303"/>
      <c r="CT303"/>
      <c r="CU303"/>
      <c r="CV303" s="27"/>
      <c r="CW303" s="41"/>
      <c r="CX303" s="41"/>
      <c r="CY303" s="282">
        <f t="shared" si="51"/>
        <v>45413</v>
      </c>
      <c r="CZ303" s="281">
        <f t="shared" si="52"/>
        <v>1</v>
      </c>
      <c r="DA303" s="281">
        <f t="shared" si="53"/>
        <v>1.25</v>
      </c>
      <c r="DB303" s="281">
        <f t="shared" si="54"/>
        <v>1.55</v>
      </c>
      <c r="DD303" s="101">
        <f t="shared" si="55"/>
        <v>7.9836777060086975E-2</v>
      </c>
      <c r="DE303" s="101">
        <f t="shared" si="56"/>
        <v>0.15967355412017395</v>
      </c>
      <c r="DF303" s="101">
        <f t="shared" si="57"/>
        <v>0.23951033118026094</v>
      </c>
      <c r="DG303" s="97"/>
      <c r="DH303" s="282">
        <f t="shared" si="50"/>
        <v>45413</v>
      </c>
      <c r="DI303" s="318">
        <f t="shared" si="58"/>
        <v>0.9</v>
      </c>
    </row>
    <row r="304" spans="1:113" ht="13.8">
      <c r="A304" s="96">
        <f t="shared" ca="1" si="59"/>
        <v>45778</v>
      </c>
      <c r="B304" s="17">
        <f>'Gas Curves'!C308</f>
        <v>7.0673294433044015E-2</v>
      </c>
      <c r="C304" s="17"/>
      <c r="D304" s="22"/>
      <c r="E304" s="22"/>
      <c r="F304" s="22"/>
      <c r="G304" s="22"/>
      <c r="H304" s="22"/>
      <c r="I304" s="22"/>
      <c r="J304" s="22"/>
      <c r="K304" s="22"/>
      <c r="L304" s="22"/>
      <c r="M304" s="24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4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/>
      <c r="CI304"/>
      <c r="CJ304"/>
      <c r="CK304"/>
      <c r="CP304"/>
      <c r="CQ304"/>
      <c r="CR304"/>
      <c r="CS304"/>
      <c r="CT304"/>
      <c r="CU304"/>
      <c r="CV304" s="27"/>
      <c r="CW304" s="41"/>
      <c r="CX304" s="41"/>
      <c r="CY304" s="282">
        <f t="shared" si="51"/>
        <v>45444</v>
      </c>
      <c r="CZ304" s="281">
        <f t="shared" si="52"/>
        <v>1</v>
      </c>
      <c r="DA304" s="281">
        <f t="shared" si="53"/>
        <v>1.25</v>
      </c>
      <c r="DB304" s="281">
        <f t="shared" si="54"/>
        <v>1.55</v>
      </c>
      <c r="DD304" s="101">
        <f t="shared" si="55"/>
        <v>8.5380172451755984E-2</v>
      </c>
      <c r="DE304" s="101">
        <f t="shared" si="56"/>
        <v>0.17076034490351197</v>
      </c>
      <c r="DF304" s="101">
        <f t="shared" si="57"/>
        <v>0.25614051735526794</v>
      </c>
      <c r="DG304" s="97"/>
      <c r="DH304" s="282">
        <f t="shared" si="50"/>
        <v>45444</v>
      </c>
      <c r="DI304" s="318">
        <f t="shared" si="58"/>
        <v>0.9</v>
      </c>
    </row>
    <row r="305" spans="1:113" ht="13.8">
      <c r="A305" s="96">
        <f t="shared" ca="1" si="59"/>
        <v>45809</v>
      </c>
      <c r="B305" s="17">
        <f>'Gas Curves'!C309</f>
        <v>7.0660645794580021E-2</v>
      </c>
      <c r="C305" s="17"/>
      <c r="D305" s="22"/>
      <c r="E305" s="22"/>
      <c r="F305" s="22"/>
      <c r="G305" s="22"/>
      <c r="H305" s="22"/>
      <c r="I305" s="22"/>
      <c r="J305" s="22"/>
      <c r="K305" s="22"/>
      <c r="L305" s="22"/>
      <c r="M305" s="24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4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/>
      <c r="CI305"/>
      <c r="CJ305"/>
      <c r="CK305"/>
      <c r="CP305"/>
      <c r="CQ305"/>
      <c r="CR305"/>
      <c r="CS305"/>
      <c r="CT305"/>
      <c r="CU305"/>
      <c r="CV305" s="27"/>
      <c r="CW305" s="41"/>
      <c r="CX305" s="41"/>
      <c r="CY305" s="282">
        <f t="shared" si="51"/>
        <v>45474</v>
      </c>
      <c r="CZ305" s="281">
        <f t="shared" si="52"/>
        <v>1</v>
      </c>
      <c r="DA305" s="281">
        <f t="shared" si="53"/>
        <v>1.25</v>
      </c>
      <c r="DB305" s="281">
        <f t="shared" si="54"/>
        <v>1.55</v>
      </c>
      <c r="DD305" s="101">
        <f t="shared" si="55"/>
        <v>0.101692367108662</v>
      </c>
      <c r="DE305" s="101">
        <f t="shared" si="56"/>
        <v>0.203384734217324</v>
      </c>
      <c r="DF305" s="101">
        <f t="shared" si="57"/>
        <v>0.30507710132598598</v>
      </c>
      <c r="DG305" s="97"/>
      <c r="DH305" s="282">
        <f t="shared" si="50"/>
        <v>45474</v>
      </c>
      <c r="DI305" s="318">
        <f t="shared" si="58"/>
        <v>0.9</v>
      </c>
    </row>
    <row r="306" spans="1:113" ht="13.8">
      <c r="A306" s="96">
        <f t="shared" ca="1" si="59"/>
        <v>45839</v>
      </c>
      <c r="B306" s="17">
        <f>'Gas Curves'!C310</f>
        <v>7.064922121794702E-2</v>
      </c>
      <c r="C306" s="17"/>
      <c r="D306" s="22"/>
      <c r="E306" s="22"/>
      <c r="F306" s="22"/>
      <c r="G306" s="22"/>
      <c r="H306" s="22"/>
      <c r="I306" s="22"/>
      <c r="J306" s="22"/>
      <c r="K306" s="22"/>
      <c r="L306" s="22"/>
      <c r="M306" s="24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4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/>
      <c r="CI306"/>
      <c r="CJ306"/>
      <c r="CK306"/>
      <c r="CP306"/>
      <c r="CQ306"/>
      <c r="CR306"/>
      <c r="CS306"/>
      <c r="CT306"/>
      <c r="CU306"/>
      <c r="CV306" s="27"/>
      <c r="CW306" s="41"/>
      <c r="CX306" s="41"/>
      <c r="CY306" s="282">
        <f t="shared" si="51"/>
        <v>45505</v>
      </c>
      <c r="CZ306" s="281">
        <f t="shared" si="52"/>
        <v>1</v>
      </c>
      <c r="DA306" s="281">
        <f t="shared" si="53"/>
        <v>1.25</v>
      </c>
      <c r="DB306" s="281">
        <f t="shared" si="54"/>
        <v>1.55</v>
      </c>
      <c r="DD306" s="101">
        <f t="shared" si="55"/>
        <v>9.9464225848612461E-2</v>
      </c>
      <c r="DE306" s="101">
        <f t="shared" si="56"/>
        <v>0.19892845169722492</v>
      </c>
      <c r="DF306" s="101">
        <f t="shared" si="57"/>
        <v>0.29839267754583737</v>
      </c>
      <c r="DG306" s="97"/>
      <c r="DH306" s="282">
        <f t="shared" si="50"/>
        <v>45505</v>
      </c>
      <c r="DI306" s="318">
        <f t="shared" si="58"/>
        <v>0.9</v>
      </c>
    </row>
    <row r="307" spans="1:113" ht="13.8">
      <c r="A307" s="96">
        <f t="shared" ca="1" si="59"/>
        <v>45870</v>
      </c>
      <c r="B307" s="17">
        <f>'Gas Curves'!C311</f>
        <v>7.0636572579584E-2</v>
      </c>
      <c r="C307" s="17"/>
      <c r="D307" s="22"/>
      <c r="E307" s="22"/>
      <c r="F307" s="22"/>
      <c r="G307" s="22"/>
      <c r="H307" s="22"/>
      <c r="I307" s="22"/>
      <c r="J307" s="22"/>
      <c r="K307" s="22"/>
      <c r="L307" s="22"/>
      <c r="M307" s="24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4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/>
      <c r="CI307"/>
      <c r="CJ307"/>
      <c r="CK307"/>
      <c r="CP307"/>
      <c r="CQ307"/>
      <c r="CR307"/>
      <c r="CS307"/>
      <c r="CT307"/>
      <c r="CU307"/>
      <c r="CV307" s="27"/>
      <c r="CW307" s="41"/>
      <c r="CX307" s="41"/>
      <c r="CY307" s="282">
        <f t="shared" si="51"/>
        <v>45536</v>
      </c>
      <c r="CZ307" s="281">
        <f t="shared" si="52"/>
        <v>1</v>
      </c>
      <c r="DA307" s="281">
        <f t="shared" si="53"/>
        <v>1.25</v>
      </c>
      <c r="DB307" s="281">
        <f t="shared" si="54"/>
        <v>1.55</v>
      </c>
      <c r="DD307" s="101">
        <f t="shared" si="55"/>
        <v>7.5360688839898535E-2</v>
      </c>
      <c r="DE307" s="101">
        <f t="shared" si="56"/>
        <v>0.15072137767979707</v>
      </c>
      <c r="DF307" s="101">
        <f t="shared" si="57"/>
        <v>0.22608206651969559</v>
      </c>
      <c r="DG307" s="97"/>
      <c r="DH307" s="282">
        <f t="shared" ref="DH307:DH338" si="60">IF(BH307=0,EOMONTH(DH306,0)+1,BH307)</f>
        <v>45536</v>
      </c>
      <c r="DI307" s="318">
        <f t="shared" si="58"/>
        <v>0.9</v>
      </c>
    </row>
    <row r="308" spans="1:113" ht="13.8">
      <c r="A308" s="96">
        <f t="shared" ca="1" si="59"/>
        <v>45901</v>
      </c>
      <c r="B308" s="17">
        <f>'Gas Curves'!C312</f>
        <v>7.0624331961862019E-2</v>
      </c>
      <c r="C308" s="17"/>
      <c r="D308" s="22"/>
      <c r="E308" s="22"/>
      <c r="F308" s="22"/>
      <c r="G308" s="22"/>
      <c r="H308" s="22"/>
      <c r="I308" s="22"/>
      <c r="J308" s="22"/>
      <c r="K308" s="22"/>
      <c r="L308" s="22"/>
      <c r="M308" s="24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4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/>
      <c r="CI308"/>
      <c r="CJ308"/>
      <c r="CK308"/>
      <c r="CP308"/>
      <c r="CQ308"/>
      <c r="CR308"/>
      <c r="CS308"/>
      <c r="CT308"/>
      <c r="CU308"/>
      <c r="CV308" s="27"/>
      <c r="CW308" s="41"/>
      <c r="CX308" s="41"/>
      <c r="CY308" s="282">
        <f t="shared" ref="CY308:CY339" si="61">EOMONTH(CY307,0)+1</f>
        <v>45566</v>
      </c>
      <c r="CZ308" s="281">
        <f t="shared" si="52"/>
        <v>1</v>
      </c>
      <c r="DA308" s="281">
        <f t="shared" si="53"/>
        <v>1.25</v>
      </c>
      <c r="DB308" s="281">
        <f t="shared" si="54"/>
        <v>1.55</v>
      </c>
      <c r="DD308" s="101">
        <f t="shared" si="55"/>
        <v>6.5180008835647396E-2</v>
      </c>
      <c r="DE308" s="101">
        <f t="shared" si="56"/>
        <v>0.13036001767129479</v>
      </c>
      <c r="DF308" s="101">
        <f t="shared" si="57"/>
        <v>0.19554002650694219</v>
      </c>
      <c r="DG308" s="97"/>
      <c r="DH308" s="282">
        <f t="shared" si="60"/>
        <v>45566</v>
      </c>
      <c r="DI308" s="318">
        <f t="shared" si="58"/>
        <v>0.9</v>
      </c>
    </row>
    <row r="309" spans="1:113" ht="13.8">
      <c r="A309" s="96">
        <f t="shared" ca="1" si="59"/>
        <v>45931</v>
      </c>
      <c r="B309" s="17">
        <f>'Gas Curves'!C313</f>
        <v>7.0611683323602015E-2</v>
      </c>
      <c r="C309" s="17"/>
      <c r="D309" s="22"/>
      <c r="E309" s="22"/>
      <c r="F309" s="22"/>
      <c r="G309" s="22"/>
      <c r="H309" s="22"/>
      <c r="I309" s="22"/>
      <c r="J309" s="22"/>
      <c r="K309" s="22"/>
      <c r="L309" s="22"/>
      <c r="M309" s="24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4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/>
      <c r="CI309"/>
      <c r="CJ309"/>
      <c r="CK309"/>
      <c r="CP309"/>
      <c r="CQ309"/>
      <c r="CR309"/>
      <c r="CS309"/>
      <c r="CT309"/>
      <c r="CU309"/>
      <c r="CV309" s="27"/>
      <c r="CW309" s="41"/>
      <c r="CX309" s="41"/>
      <c r="CY309" s="282">
        <f t="shared" si="61"/>
        <v>45597</v>
      </c>
      <c r="CZ309" s="281">
        <f t="shared" si="52"/>
        <v>1</v>
      </c>
      <c r="DA309" s="281">
        <f t="shared" si="53"/>
        <v>1.25</v>
      </c>
      <c r="DB309" s="281">
        <f t="shared" si="54"/>
        <v>1.55</v>
      </c>
      <c r="DD309" s="101">
        <f t="shared" si="55"/>
        <v>6.5180008835647396E-2</v>
      </c>
      <c r="DE309" s="101">
        <f t="shared" si="56"/>
        <v>0.13036001767129479</v>
      </c>
      <c r="DF309" s="101">
        <f t="shared" si="57"/>
        <v>0.19554002650694219</v>
      </c>
      <c r="DG309" s="97"/>
      <c r="DH309" s="282">
        <f t="shared" si="60"/>
        <v>45597</v>
      </c>
      <c r="DI309" s="318">
        <f t="shared" si="58"/>
        <v>0.9</v>
      </c>
    </row>
    <row r="310" spans="1:113" ht="13.8">
      <c r="A310" s="96">
        <f t="shared" ca="1" si="59"/>
        <v>45962</v>
      </c>
      <c r="B310" s="17">
        <f>'Gas Curves'!C314</f>
        <v>7.0599442705982021E-2</v>
      </c>
      <c r="C310" s="17"/>
      <c r="D310" s="22"/>
      <c r="E310" s="22"/>
      <c r="F310" s="22"/>
      <c r="G310" s="22"/>
      <c r="H310" s="22"/>
      <c r="I310" s="22"/>
      <c r="J310" s="22"/>
      <c r="K310" s="22"/>
      <c r="L310" s="22"/>
      <c r="M310" s="24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4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/>
      <c r="CI310"/>
      <c r="CJ310"/>
      <c r="CK310"/>
      <c r="CP310"/>
      <c r="CQ310"/>
      <c r="CR310"/>
      <c r="CS310"/>
      <c r="CT310"/>
      <c r="CU310"/>
      <c r="CV310" s="27"/>
      <c r="CW310" s="41"/>
      <c r="CX310" s="41"/>
      <c r="CY310" s="282">
        <f t="shared" si="61"/>
        <v>45627</v>
      </c>
      <c r="CZ310" s="281">
        <f t="shared" si="52"/>
        <v>1</v>
      </c>
      <c r="DA310" s="281">
        <f t="shared" si="53"/>
        <v>1.25</v>
      </c>
      <c r="DB310" s="281">
        <f t="shared" si="54"/>
        <v>1.55</v>
      </c>
      <c r="DD310" s="101">
        <f t="shared" si="55"/>
        <v>6.3878884371445607E-2</v>
      </c>
      <c r="DE310" s="101">
        <f t="shared" si="56"/>
        <v>0.12775776874289121</v>
      </c>
      <c r="DF310" s="101">
        <f t="shared" si="57"/>
        <v>0.19163665311433681</v>
      </c>
      <c r="DG310" s="41"/>
      <c r="DH310" s="282">
        <f t="shared" si="60"/>
        <v>45627</v>
      </c>
      <c r="DI310" s="318">
        <f t="shared" si="58"/>
        <v>0.9</v>
      </c>
    </row>
    <row r="311" spans="1:113" ht="13.8">
      <c r="A311" s="96">
        <f t="shared" ca="1" si="59"/>
        <v>45992</v>
      </c>
      <c r="B311" s="17">
        <f>'Gas Curves'!C315</f>
        <v>7.0586794067826017E-2</v>
      </c>
      <c r="C311" s="17"/>
      <c r="D311" s="22"/>
      <c r="E311" s="22"/>
      <c r="F311" s="22"/>
      <c r="G311" s="22"/>
      <c r="H311" s="22"/>
      <c r="I311" s="22"/>
      <c r="J311" s="22"/>
      <c r="K311" s="22"/>
      <c r="L311" s="22"/>
      <c r="M311" s="24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4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/>
      <c r="CI311"/>
      <c r="CJ311"/>
      <c r="CK311"/>
      <c r="CP311"/>
      <c r="CQ311"/>
      <c r="CR311"/>
      <c r="CS311"/>
      <c r="CT311"/>
      <c r="CU311"/>
      <c r="CV311" s="27"/>
      <c r="CW311" s="41"/>
      <c r="CX311" s="41"/>
      <c r="CY311" s="282">
        <f t="shared" si="61"/>
        <v>45658</v>
      </c>
      <c r="CZ311" s="281">
        <f t="shared" si="52"/>
        <v>1</v>
      </c>
      <c r="DA311" s="281">
        <f t="shared" si="53"/>
        <v>1.25</v>
      </c>
      <c r="DB311" s="281">
        <f t="shared" si="54"/>
        <v>1.55</v>
      </c>
      <c r="DD311" s="101">
        <f t="shared" si="55"/>
        <v>9.4265229575163478E-2</v>
      </c>
      <c r="DE311" s="101">
        <f t="shared" si="56"/>
        <v>0.18853045915032696</v>
      </c>
      <c r="DF311" s="101">
        <f t="shared" si="57"/>
        <v>0.28279568872549044</v>
      </c>
      <c r="DG311" s="41"/>
      <c r="DH311" s="282">
        <f t="shared" si="60"/>
        <v>45658</v>
      </c>
      <c r="DI311" s="318">
        <f t="shared" si="58"/>
        <v>0.9</v>
      </c>
    </row>
    <row r="312" spans="1:113" ht="13.8">
      <c r="A312" s="96">
        <f t="shared" ca="1" si="59"/>
        <v>46023</v>
      </c>
      <c r="B312" s="17">
        <f>'Gas Curves'!C316</f>
        <v>7.0574145429723012E-2</v>
      </c>
      <c r="C312" s="17"/>
      <c r="D312" s="22"/>
      <c r="E312" s="22"/>
      <c r="F312" s="22"/>
      <c r="G312" s="22"/>
      <c r="H312" s="22"/>
      <c r="I312" s="22"/>
      <c r="J312" s="22"/>
      <c r="K312" s="22"/>
      <c r="L312" s="22"/>
      <c r="M312" s="24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4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/>
      <c r="CI312"/>
      <c r="CJ312"/>
      <c r="CK312"/>
      <c r="CP312"/>
      <c r="CQ312"/>
      <c r="CR312"/>
      <c r="CS312"/>
      <c r="CT312"/>
      <c r="CU312"/>
      <c r="CV312" s="27"/>
      <c r="CW312" s="41"/>
      <c r="CX312" s="41"/>
      <c r="CY312" s="282">
        <f t="shared" si="61"/>
        <v>45689</v>
      </c>
      <c r="CZ312" s="281">
        <f t="shared" si="52"/>
        <v>1</v>
      </c>
      <c r="DA312" s="281">
        <f t="shared" si="53"/>
        <v>1.25</v>
      </c>
      <c r="DB312" s="281">
        <f t="shared" si="54"/>
        <v>1.55</v>
      </c>
      <c r="DD312" s="101">
        <f t="shared" si="55"/>
        <v>9.1066609010736779E-2</v>
      </c>
      <c r="DE312" s="101">
        <f t="shared" si="56"/>
        <v>0.18213321802147356</v>
      </c>
      <c r="DF312" s="101">
        <f t="shared" si="57"/>
        <v>0.27319982703221035</v>
      </c>
      <c r="DG312" s="41"/>
      <c r="DH312" s="282">
        <f t="shared" si="60"/>
        <v>45689</v>
      </c>
      <c r="DI312" s="318">
        <f t="shared" si="58"/>
        <v>0.9</v>
      </c>
    </row>
    <row r="313" spans="1:113" ht="13.8">
      <c r="A313" s="96">
        <f t="shared" ca="1" si="59"/>
        <v>46054</v>
      </c>
      <c r="B313" s="17">
        <f>'Gas Curves'!C317</f>
        <v>7.0561904812253995E-2</v>
      </c>
      <c r="C313" s="17"/>
      <c r="D313" s="22"/>
      <c r="E313" s="22"/>
      <c r="F313" s="22"/>
      <c r="G313" s="22"/>
      <c r="H313" s="22"/>
      <c r="I313" s="22"/>
      <c r="J313" s="22"/>
      <c r="K313" s="22"/>
      <c r="L313" s="22"/>
      <c r="M313" s="24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4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/>
      <c r="CI313"/>
      <c r="CJ313"/>
      <c r="CK313"/>
      <c r="CP313"/>
      <c r="CQ313"/>
      <c r="CR313"/>
      <c r="CS313"/>
      <c r="CT313"/>
      <c r="CU313"/>
      <c r="CV313" s="27"/>
      <c r="CW313" s="41"/>
      <c r="CX313" s="41"/>
      <c r="CY313" s="282">
        <f t="shared" si="61"/>
        <v>45717</v>
      </c>
      <c r="CZ313" s="281">
        <f t="shared" si="52"/>
        <v>1</v>
      </c>
      <c r="DA313" s="281">
        <f t="shared" si="53"/>
        <v>1.25</v>
      </c>
      <c r="DB313" s="281">
        <f t="shared" si="54"/>
        <v>1.55</v>
      </c>
      <c r="DD313" s="101">
        <f t="shared" si="55"/>
        <v>7.2193702379781163E-2</v>
      </c>
      <c r="DE313" s="101">
        <f t="shared" si="56"/>
        <v>0.14438740475956233</v>
      </c>
      <c r="DF313" s="101">
        <f t="shared" si="57"/>
        <v>0.21658110713934348</v>
      </c>
      <c r="DG313" s="41"/>
      <c r="DH313" s="282">
        <f t="shared" si="60"/>
        <v>45717</v>
      </c>
      <c r="DI313" s="318">
        <f t="shared" si="58"/>
        <v>0.9</v>
      </c>
    </row>
    <row r="314" spans="1:113" ht="13.8">
      <c r="A314" s="96">
        <f t="shared" ca="1" si="59"/>
        <v>46082</v>
      </c>
      <c r="B314" s="17">
        <f>'Gas Curves'!C318</f>
        <v>7.0549256174255004E-2</v>
      </c>
      <c r="C314" s="17"/>
      <c r="D314" s="22"/>
      <c r="E314" s="22"/>
      <c r="F314" s="22"/>
      <c r="G314" s="22"/>
      <c r="H314" s="22"/>
      <c r="I314" s="22"/>
      <c r="J314" s="22"/>
      <c r="K314" s="22"/>
      <c r="L314" s="22"/>
      <c r="M314" s="24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4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/>
      <c r="CI314"/>
      <c r="CJ314"/>
      <c r="CK314"/>
      <c r="CP314"/>
      <c r="CQ314"/>
      <c r="CR314"/>
      <c r="CS314"/>
      <c r="CT314"/>
      <c r="CU314" s="2"/>
      <c r="CV314" s="27"/>
      <c r="CW314" s="41"/>
      <c r="CX314" s="41"/>
      <c r="CY314" s="282">
        <f t="shared" si="61"/>
        <v>45748</v>
      </c>
      <c r="CZ314" s="281">
        <f t="shared" si="52"/>
        <v>0</v>
      </c>
      <c r="DA314" s="281">
        <f t="shared" si="53"/>
        <v>0</v>
      </c>
      <c r="DB314" s="281">
        <f t="shared" si="54"/>
        <v>0</v>
      </c>
      <c r="DD314" s="101">
        <f t="shared" si="55"/>
        <v>0</v>
      </c>
      <c r="DE314" s="101">
        <f t="shared" si="56"/>
        <v>0</v>
      </c>
      <c r="DF314" s="101">
        <f t="shared" si="57"/>
        <v>0</v>
      </c>
      <c r="DG314" s="41"/>
      <c r="DH314" s="282">
        <f t="shared" si="60"/>
        <v>45748</v>
      </c>
      <c r="DI314" s="318">
        <f t="shared" si="58"/>
        <v>0</v>
      </c>
    </row>
    <row r="315" spans="1:113" ht="13.8">
      <c r="A315" s="96">
        <f t="shared" ca="1" si="59"/>
        <v>46113</v>
      </c>
      <c r="B315" s="17">
        <f>'Gas Curves'!C319</f>
        <v>7.0537015556887017E-2</v>
      </c>
      <c r="C315" s="17"/>
      <c r="D315" s="22"/>
      <c r="E315" s="22"/>
      <c r="F315" s="22"/>
      <c r="G315" s="22"/>
      <c r="H315" s="22"/>
      <c r="I315" s="22"/>
      <c r="J315" s="22"/>
      <c r="K315" s="22"/>
      <c r="L315" s="22"/>
      <c r="M315" s="24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4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/>
      <c r="CI315"/>
      <c r="CJ315"/>
      <c r="CK315"/>
      <c r="CP315"/>
      <c r="CQ315"/>
      <c r="CR315"/>
      <c r="CS315"/>
      <c r="CT315"/>
      <c r="CU315" s="2"/>
      <c r="CV315" s="27"/>
      <c r="CW315" s="41"/>
      <c r="CX315" s="41"/>
      <c r="CY315" s="282">
        <f t="shared" si="61"/>
        <v>45778</v>
      </c>
      <c r="CZ315" s="281">
        <f t="shared" si="52"/>
        <v>1</v>
      </c>
      <c r="DA315" s="281">
        <f t="shared" si="53"/>
        <v>1.25</v>
      </c>
      <c r="DB315" s="281">
        <f t="shared" si="54"/>
        <v>1.55</v>
      </c>
      <c r="DD315" s="101">
        <f t="shared" si="55"/>
        <v>7.9836777060086975E-2</v>
      </c>
      <c r="DE315" s="101">
        <f t="shared" si="56"/>
        <v>0.15967355412017395</v>
      </c>
      <c r="DF315" s="101">
        <f t="shared" si="57"/>
        <v>0.23951033118026094</v>
      </c>
      <c r="DG315" s="41"/>
      <c r="DH315" s="282">
        <f t="shared" si="60"/>
        <v>45778</v>
      </c>
      <c r="DI315" s="318">
        <f t="shared" si="58"/>
        <v>0.9</v>
      </c>
    </row>
    <row r="316" spans="1:113" ht="13.8">
      <c r="A316" s="96">
        <f t="shared" ca="1" si="59"/>
        <v>46143</v>
      </c>
      <c r="B316" s="17">
        <f>'Gas Curves'!C320</f>
        <v>7.052436691900002E-2</v>
      </c>
      <c r="C316" s="17"/>
      <c r="D316" s="22"/>
      <c r="E316" s="22"/>
      <c r="F316" s="22"/>
      <c r="G316" s="22"/>
      <c r="H316" s="22"/>
      <c r="I316" s="22"/>
      <c r="J316" s="22"/>
      <c r="K316" s="22"/>
      <c r="L316" s="22"/>
      <c r="M316" s="24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4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/>
      <c r="CP316"/>
      <c r="CQ316"/>
      <c r="CR316"/>
      <c r="CS316"/>
      <c r="CT316"/>
      <c r="CU316" s="2"/>
      <c r="CV316" s="27"/>
      <c r="CW316" s="41"/>
      <c r="CX316" s="41"/>
      <c r="CY316" s="282">
        <f t="shared" si="61"/>
        <v>45809</v>
      </c>
      <c r="CZ316" s="281">
        <f t="shared" si="52"/>
        <v>1</v>
      </c>
      <c r="DA316" s="281">
        <f t="shared" si="53"/>
        <v>1.25</v>
      </c>
      <c r="DB316" s="281">
        <f t="shared" si="54"/>
        <v>1.55</v>
      </c>
      <c r="DD316" s="101">
        <f t="shared" si="55"/>
        <v>8.5380172451755984E-2</v>
      </c>
      <c r="DE316" s="101">
        <f t="shared" si="56"/>
        <v>0.17076034490351197</v>
      </c>
      <c r="DF316" s="101">
        <f t="shared" si="57"/>
        <v>0.25614051735526794</v>
      </c>
      <c r="DG316" s="41"/>
      <c r="DH316" s="282">
        <f t="shared" si="60"/>
        <v>45809</v>
      </c>
      <c r="DI316" s="318">
        <f t="shared" si="58"/>
        <v>0.9</v>
      </c>
    </row>
    <row r="317" spans="1:113" ht="13.8">
      <c r="A317" s="96">
        <f t="shared" ca="1" si="59"/>
        <v>46174</v>
      </c>
      <c r="B317" s="17">
        <f>'Gas Curves'!C321</f>
        <v>7.0511718281150007E-2</v>
      </c>
      <c r="C317" s="17"/>
      <c r="D317" s="22"/>
      <c r="E317" s="22"/>
      <c r="F317" s="22"/>
      <c r="G317" s="22"/>
      <c r="H317" s="22"/>
      <c r="I317" s="22"/>
      <c r="J317" s="22"/>
      <c r="K317" s="22"/>
      <c r="L317" s="22"/>
      <c r="M317" s="24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4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/>
      <c r="CP317"/>
      <c r="CQ317"/>
      <c r="CR317"/>
      <c r="CS317"/>
      <c r="CT317"/>
      <c r="CU317" s="2"/>
      <c r="CV317" s="27"/>
      <c r="CW317" s="41"/>
      <c r="CX317" s="41"/>
      <c r="CY317" s="282">
        <f t="shared" si="61"/>
        <v>45839</v>
      </c>
      <c r="CZ317" s="281">
        <f t="shared" si="52"/>
        <v>1</v>
      </c>
      <c r="DA317" s="281">
        <f t="shared" si="53"/>
        <v>1.25</v>
      </c>
      <c r="DB317" s="281">
        <f t="shared" si="54"/>
        <v>1.55</v>
      </c>
      <c r="DD317" s="101">
        <f t="shared" si="55"/>
        <v>0.101692367108662</v>
      </c>
      <c r="DE317" s="101">
        <f t="shared" si="56"/>
        <v>0.203384734217324</v>
      </c>
      <c r="DF317" s="101">
        <f t="shared" si="57"/>
        <v>0.30507710132598598</v>
      </c>
      <c r="DG317" s="41"/>
      <c r="DH317" s="282">
        <f t="shared" si="60"/>
        <v>45839</v>
      </c>
      <c r="DI317" s="318">
        <f t="shared" si="58"/>
        <v>0.9</v>
      </c>
    </row>
    <row r="318" spans="1:113" ht="13.8">
      <c r="A318" s="96">
        <f t="shared" ca="1" si="59"/>
        <v>46204</v>
      </c>
      <c r="B318" s="17">
        <f>'Gas Curves'!C322</f>
        <v>7.0500293705081027E-2</v>
      </c>
      <c r="C318" s="17"/>
      <c r="D318" s="22"/>
      <c r="E318" s="22"/>
      <c r="F318" s="22"/>
      <c r="G318" s="22"/>
      <c r="H318" s="22"/>
      <c r="I318" s="22"/>
      <c r="J318" s="22"/>
      <c r="K318" s="22"/>
      <c r="L318" s="22"/>
      <c r="M318" s="24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4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/>
      <c r="CP318"/>
      <c r="CQ318"/>
      <c r="CR318"/>
      <c r="CS318"/>
      <c r="CT318"/>
      <c r="CU318" s="2"/>
      <c r="CV318" s="27"/>
      <c r="CW318" s="41"/>
      <c r="CX318" s="41"/>
      <c r="CY318" s="282">
        <f t="shared" si="61"/>
        <v>45870</v>
      </c>
      <c r="CZ318" s="281">
        <f t="shared" si="52"/>
        <v>1</v>
      </c>
      <c r="DA318" s="281">
        <f t="shared" si="53"/>
        <v>1.25</v>
      </c>
      <c r="DB318" s="281">
        <f t="shared" si="54"/>
        <v>1.55</v>
      </c>
      <c r="DD318" s="101">
        <f t="shared" si="55"/>
        <v>9.9464225848612461E-2</v>
      </c>
      <c r="DE318" s="101">
        <f t="shared" si="56"/>
        <v>0.19892845169722492</v>
      </c>
      <c r="DF318" s="101">
        <f t="shared" si="57"/>
        <v>0.29839267754583737</v>
      </c>
      <c r="DG318" s="41"/>
      <c r="DH318" s="282">
        <f t="shared" si="60"/>
        <v>45870</v>
      </c>
      <c r="DI318" s="318">
        <f t="shared" si="58"/>
        <v>0.9</v>
      </c>
    </row>
    <row r="319" spans="1:113" ht="13.8">
      <c r="A319" s="96">
        <f t="shared" ca="1" si="59"/>
        <v>46235</v>
      </c>
      <c r="B319" s="17">
        <f>'Gas Curves'!C323</f>
        <v>7.0487645067339011E-2</v>
      </c>
      <c r="C319" s="17"/>
      <c r="D319" s="22"/>
      <c r="E319" s="22"/>
      <c r="F319" s="22"/>
      <c r="G319" s="22"/>
      <c r="H319" s="22"/>
      <c r="I319" s="22"/>
      <c r="J319" s="22"/>
      <c r="K319" s="22"/>
      <c r="L319" s="22"/>
      <c r="M319" s="24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4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/>
      <c r="CP319"/>
      <c r="CQ319"/>
      <c r="CR319"/>
      <c r="CS319"/>
      <c r="CT319"/>
      <c r="CU319" s="2"/>
      <c r="CV319" s="27"/>
      <c r="CW319" s="41"/>
      <c r="CX319" s="41"/>
      <c r="CY319" s="282">
        <f t="shared" si="61"/>
        <v>45901</v>
      </c>
      <c r="CZ319" s="281">
        <f t="shared" si="52"/>
        <v>1</v>
      </c>
      <c r="DA319" s="281">
        <f t="shared" si="53"/>
        <v>1.25</v>
      </c>
      <c r="DB319" s="281">
        <f t="shared" si="54"/>
        <v>1.55</v>
      </c>
      <c r="DD319" s="101">
        <f t="shared" si="55"/>
        <v>7.5360688839898535E-2</v>
      </c>
      <c r="DE319" s="101">
        <f t="shared" si="56"/>
        <v>0.15072137767979707</v>
      </c>
      <c r="DF319" s="101">
        <f t="shared" si="57"/>
        <v>0.22608206651969559</v>
      </c>
      <c r="DG319" s="41"/>
      <c r="DH319" s="282">
        <f t="shared" si="60"/>
        <v>45901</v>
      </c>
      <c r="DI319" s="318">
        <f t="shared" si="58"/>
        <v>0.9</v>
      </c>
    </row>
    <row r="320" spans="1:113" ht="13.8">
      <c r="A320" s="96">
        <f t="shared" ca="1" si="59"/>
        <v>46266</v>
      </c>
      <c r="B320" s="17">
        <f>'Gas Curves'!C324</f>
        <v>7.0475404450220006E-2</v>
      </c>
      <c r="C320" s="17"/>
      <c r="D320" s="22"/>
      <c r="E320" s="22"/>
      <c r="F320" s="22"/>
      <c r="G320" s="22"/>
      <c r="H320" s="22"/>
      <c r="I320" s="22"/>
      <c r="J320" s="22"/>
      <c r="K320" s="22"/>
      <c r="L320" s="22"/>
      <c r="M320" s="24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4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/>
      <c r="CP320"/>
      <c r="CQ320"/>
      <c r="CR320"/>
      <c r="CS320"/>
      <c r="CT320"/>
      <c r="CU320" s="2"/>
      <c r="CV320" s="27"/>
      <c r="CW320" s="41"/>
      <c r="CX320" s="41"/>
      <c r="CY320" s="282">
        <f t="shared" si="61"/>
        <v>45931</v>
      </c>
      <c r="CZ320" s="281">
        <f t="shared" si="52"/>
        <v>1</v>
      </c>
      <c r="DA320" s="281">
        <f t="shared" si="53"/>
        <v>1.25</v>
      </c>
      <c r="DB320" s="281">
        <f t="shared" si="54"/>
        <v>1.55</v>
      </c>
      <c r="DD320" s="101">
        <f t="shared" si="55"/>
        <v>6.5180008835647396E-2</v>
      </c>
      <c r="DE320" s="101">
        <f t="shared" si="56"/>
        <v>0.13036001767129479</v>
      </c>
      <c r="DF320" s="101">
        <f t="shared" si="57"/>
        <v>0.19554002650694219</v>
      </c>
      <c r="DG320" s="41"/>
      <c r="DH320" s="282">
        <f t="shared" si="60"/>
        <v>45931</v>
      </c>
      <c r="DI320" s="318">
        <f t="shared" si="58"/>
        <v>0.9</v>
      </c>
    </row>
    <row r="321" spans="1:113" ht="13.8">
      <c r="A321" s="96">
        <f t="shared" ca="1" si="59"/>
        <v>46296</v>
      </c>
      <c r="B321" s="17">
        <f>'Gas Curves'!C325</f>
        <v>7.0462755812584016E-2</v>
      </c>
      <c r="C321" s="17"/>
      <c r="D321" s="22"/>
      <c r="E321" s="22"/>
      <c r="F321" s="22"/>
      <c r="G321" s="22"/>
      <c r="H321" s="22"/>
      <c r="I321" s="22"/>
      <c r="J321" s="22"/>
      <c r="K321" s="22"/>
      <c r="L321" s="22"/>
      <c r="M321" s="24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4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/>
      <c r="CP321"/>
      <c r="CQ321"/>
      <c r="CR321"/>
      <c r="CS321"/>
      <c r="CT321"/>
      <c r="CU321" s="2"/>
      <c r="CV321" s="27"/>
      <c r="CW321" s="41"/>
      <c r="CX321" s="41"/>
      <c r="CY321" s="282">
        <f t="shared" si="61"/>
        <v>45962</v>
      </c>
      <c r="CZ321" s="281">
        <f t="shared" si="52"/>
        <v>1</v>
      </c>
      <c r="DA321" s="281">
        <f t="shared" si="53"/>
        <v>1.25</v>
      </c>
      <c r="DB321" s="281">
        <f t="shared" si="54"/>
        <v>1.55</v>
      </c>
      <c r="DD321" s="101">
        <f t="shared" si="55"/>
        <v>6.5180008835647396E-2</v>
      </c>
      <c r="DE321" s="101">
        <f t="shared" si="56"/>
        <v>0.13036001767129479</v>
      </c>
      <c r="DF321" s="101">
        <f t="shared" si="57"/>
        <v>0.19554002650694219</v>
      </c>
      <c r="DG321" s="41"/>
      <c r="DH321" s="282">
        <f t="shared" si="60"/>
        <v>45962</v>
      </c>
      <c r="DI321" s="318">
        <f t="shared" si="58"/>
        <v>0.9</v>
      </c>
    </row>
    <row r="322" spans="1:113" ht="13.8">
      <c r="A322" s="96">
        <f t="shared" ref="A322:A353" ca="1" si="62">EDATE(A321,1)</f>
        <v>46327</v>
      </c>
      <c r="B322" s="17">
        <f>'Gas Curves'!C326</f>
        <v>7.0450515195565014E-2</v>
      </c>
      <c r="C322" s="17"/>
      <c r="D322" s="22"/>
      <c r="E322" s="22"/>
      <c r="F322" s="22"/>
      <c r="G322" s="22"/>
      <c r="H322" s="22"/>
      <c r="I322" s="22"/>
      <c r="J322" s="22"/>
      <c r="K322" s="22"/>
      <c r="L322" s="22"/>
      <c r="M322" s="24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4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/>
      <c r="CP322"/>
      <c r="CQ322"/>
      <c r="CR322"/>
      <c r="CS322"/>
      <c r="CT322"/>
      <c r="CU322" s="2"/>
      <c r="CV322" s="27"/>
      <c r="CW322" s="41"/>
      <c r="CX322" s="41"/>
      <c r="CY322" s="282">
        <f t="shared" si="61"/>
        <v>45992</v>
      </c>
      <c r="CZ322" s="281">
        <f t="shared" si="52"/>
        <v>1</v>
      </c>
      <c r="DA322" s="281">
        <f t="shared" si="53"/>
        <v>1.25</v>
      </c>
      <c r="DB322" s="281">
        <f t="shared" si="54"/>
        <v>1.55</v>
      </c>
      <c r="DD322" s="101">
        <f t="shared" si="55"/>
        <v>6.3878884371445607E-2</v>
      </c>
      <c r="DE322" s="101">
        <f t="shared" si="56"/>
        <v>0.12775776874289121</v>
      </c>
      <c r="DF322" s="101">
        <f t="shared" si="57"/>
        <v>0.19163665311433681</v>
      </c>
      <c r="DG322" s="41"/>
      <c r="DH322" s="282">
        <f t="shared" si="60"/>
        <v>45992</v>
      </c>
      <c r="DI322" s="318">
        <f t="shared" si="58"/>
        <v>0.9</v>
      </c>
    </row>
    <row r="323" spans="1:113" ht="13.8">
      <c r="A323" s="96">
        <f t="shared" ca="1" si="62"/>
        <v>46357</v>
      </c>
      <c r="B323" s="17">
        <f>'Gas Curves'!C327</f>
        <v>7.0437866558031997E-2</v>
      </c>
      <c r="C323" s="17"/>
      <c r="D323" s="22"/>
      <c r="E323" s="22"/>
      <c r="F323" s="22"/>
      <c r="G323" s="22"/>
      <c r="H323" s="22"/>
      <c r="I323" s="22"/>
      <c r="J323" s="22"/>
      <c r="K323" s="22"/>
      <c r="L323" s="22"/>
      <c r="M323" s="24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4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/>
      <c r="CP323"/>
      <c r="CQ323"/>
      <c r="CR323"/>
      <c r="CS323"/>
      <c r="CT323"/>
      <c r="CU323" s="2"/>
      <c r="CV323" s="27"/>
      <c r="CW323" s="41"/>
      <c r="CX323" s="41"/>
      <c r="CY323" s="282">
        <f t="shared" si="61"/>
        <v>46023</v>
      </c>
      <c r="CZ323" s="281">
        <f t="shared" si="52"/>
        <v>1</v>
      </c>
      <c r="DA323" s="281">
        <f t="shared" si="53"/>
        <v>1.25</v>
      </c>
      <c r="DB323" s="281">
        <f t="shared" si="54"/>
        <v>1.55</v>
      </c>
      <c r="DD323" s="101">
        <f t="shared" si="55"/>
        <v>9.4265229575163478E-2</v>
      </c>
      <c r="DE323" s="101">
        <f t="shared" si="56"/>
        <v>0.18853045915032696</v>
      </c>
      <c r="DF323" s="101">
        <f t="shared" si="57"/>
        <v>0.28279568872549044</v>
      </c>
      <c r="DG323" s="41"/>
      <c r="DH323" s="282">
        <f t="shared" si="60"/>
        <v>46023</v>
      </c>
      <c r="DI323" s="318">
        <f t="shared" si="58"/>
        <v>0.9</v>
      </c>
    </row>
    <row r="324" spans="1:113" ht="13.8">
      <c r="A324" s="96">
        <f t="shared" ca="1" si="62"/>
        <v>46388</v>
      </c>
      <c r="B324" s="17">
        <f>'Gas Curves'!C328</f>
        <v>7.0425217920552008E-2</v>
      </c>
      <c r="C324" s="17"/>
      <c r="D324" s="22"/>
      <c r="E324" s="22"/>
      <c r="F324" s="22"/>
      <c r="G324" s="22"/>
      <c r="H324" s="22"/>
      <c r="I324" s="22"/>
      <c r="J324" s="22"/>
      <c r="K324" s="22"/>
      <c r="L324" s="22"/>
      <c r="M324" s="24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4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/>
      <c r="CP324"/>
      <c r="CQ324"/>
      <c r="CR324"/>
      <c r="CS324"/>
      <c r="CT324"/>
      <c r="CU324" s="2"/>
      <c r="CV324" s="27"/>
      <c r="CW324" s="41"/>
      <c r="CX324" s="41"/>
      <c r="CY324" s="282">
        <f t="shared" si="61"/>
        <v>46054</v>
      </c>
      <c r="CZ324" s="281">
        <f t="shared" si="52"/>
        <v>1</v>
      </c>
      <c r="DA324" s="281">
        <f t="shared" si="53"/>
        <v>1.25</v>
      </c>
      <c r="DB324" s="281">
        <f t="shared" si="54"/>
        <v>1.55</v>
      </c>
      <c r="DD324" s="101">
        <f t="shared" si="55"/>
        <v>9.1066609010736779E-2</v>
      </c>
      <c r="DE324" s="101">
        <f t="shared" si="56"/>
        <v>0.18213321802147356</v>
      </c>
      <c r="DF324" s="101">
        <f t="shared" si="57"/>
        <v>0.27319982703221035</v>
      </c>
      <c r="DG324" s="41"/>
      <c r="DH324" s="282">
        <f t="shared" si="60"/>
        <v>46054</v>
      </c>
      <c r="DI324" s="318">
        <f t="shared" si="58"/>
        <v>0.9</v>
      </c>
    </row>
    <row r="325" spans="1:113" ht="13.8">
      <c r="A325" s="96">
        <f t="shared" ca="1" si="62"/>
        <v>46419</v>
      </c>
      <c r="B325" s="17">
        <f>'Gas Curves'!C329</f>
        <v>7.0412977303686008E-2</v>
      </c>
      <c r="C325" s="17"/>
      <c r="D325" s="22"/>
      <c r="E325" s="22"/>
      <c r="F325" s="22"/>
      <c r="G325" s="22"/>
      <c r="H325" s="22"/>
      <c r="I325" s="22"/>
      <c r="J325" s="22"/>
      <c r="K325" s="22"/>
      <c r="L325" s="22"/>
      <c r="M325" s="24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4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/>
      <c r="CP325"/>
      <c r="CQ325"/>
      <c r="CR325"/>
      <c r="CS325"/>
      <c r="CT325"/>
      <c r="CU325" s="2"/>
      <c r="CV325" s="27"/>
      <c r="CW325" s="41"/>
      <c r="CX325" s="41"/>
      <c r="CY325" s="282">
        <f t="shared" si="61"/>
        <v>46082</v>
      </c>
      <c r="CZ325" s="281">
        <f t="shared" si="52"/>
        <v>1</v>
      </c>
      <c r="DA325" s="281">
        <f t="shared" si="53"/>
        <v>1.25</v>
      </c>
      <c r="DB325" s="281">
        <f t="shared" si="54"/>
        <v>1.55</v>
      </c>
      <c r="DD325" s="101">
        <f t="shared" si="55"/>
        <v>7.2193702379781163E-2</v>
      </c>
      <c r="DE325" s="101">
        <f t="shared" si="56"/>
        <v>0.14438740475956233</v>
      </c>
      <c r="DF325" s="101">
        <f t="shared" si="57"/>
        <v>0.21658110713934348</v>
      </c>
      <c r="DG325" s="41"/>
      <c r="DH325" s="282">
        <f t="shared" si="60"/>
        <v>46082</v>
      </c>
      <c r="DI325" s="318">
        <f t="shared" si="58"/>
        <v>0.9</v>
      </c>
    </row>
    <row r="326" spans="1:113" ht="13.8">
      <c r="A326" s="96">
        <f t="shared" ca="1" si="62"/>
        <v>46447</v>
      </c>
      <c r="B326" s="17">
        <f>'Gas Curves'!C330</f>
        <v>7.0400328666310005E-2</v>
      </c>
      <c r="C326" s="17"/>
      <c r="D326" s="22"/>
      <c r="E326" s="22"/>
      <c r="F326" s="22"/>
      <c r="G326" s="22"/>
      <c r="H326" s="22"/>
      <c r="I326" s="22"/>
      <c r="J326" s="22"/>
      <c r="K326" s="22"/>
      <c r="L326" s="22"/>
      <c r="M326" s="24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4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/>
      <c r="CP326"/>
      <c r="CQ326"/>
      <c r="CR326"/>
      <c r="CS326"/>
      <c r="CT326"/>
      <c r="CU326" s="2"/>
      <c r="CV326" s="27"/>
      <c r="CW326" s="41"/>
      <c r="CX326" s="41"/>
      <c r="CY326" s="282">
        <f t="shared" si="61"/>
        <v>46113</v>
      </c>
      <c r="CZ326" s="281">
        <f t="shared" si="52"/>
        <v>0</v>
      </c>
      <c r="DA326" s="281">
        <f t="shared" si="53"/>
        <v>0</v>
      </c>
      <c r="DB326" s="281">
        <f t="shared" si="54"/>
        <v>0</v>
      </c>
      <c r="DD326" s="101">
        <f t="shared" si="55"/>
        <v>0</v>
      </c>
      <c r="DE326" s="101">
        <f t="shared" si="56"/>
        <v>0</v>
      </c>
      <c r="DF326" s="101">
        <f t="shared" si="57"/>
        <v>0</v>
      </c>
      <c r="DG326" s="41"/>
      <c r="DH326" s="282">
        <f t="shared" si="60"/>
        <v>46113</v>
      </c>
      <c r="DI326" s="318">
        <f t="shared" si="58"/>
        <v>0</v>
      </c>
    </row>
    <row r="327" spans="1:113" ht="13.8">
      <c r="A327" s="96">
        <f t="shared" ca="1" si="62"/>
        <v>46478</v>
      </c>
      <c r="B327" s="17">
        <f>'Gas Curves'!C331</f>
        <v>7.0388088049544009E-2</v>
      </c>
      <c r="C327" s="17"/>
      <c r="D327" s="22"/>
      <c r="E327" s="22"/>
      <c r="F327" s="22"/>
      <c r="G327" s="22"/>
      <c r="H327" s="22"/>
      <c r="I327" s="22"/>
      <c r="J327" s="22"/>
      <c r="K327" s="22"/>
      <c r="L327" s="22"/>
      <c r="M327" s="24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4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/>
      <c r="CP327"/>
      <c r="CQ327"/>
      <c r="CR327"/>
      <c r="CS327"/>
      <c r="CT327"/>
      <c r="CU327" s="2"/>
      <c r="CV327" s="27"/>
      <c r="CW327" s="41"/>
      <c r="CX327" s="41"/>
      <c r="CY327" s="282">
        <f t="shared" si="61"/>
        <v>46143</v>
      </c>
      <c r="CZ327" s="281">
        <f t="shared" si="52"/>
        <v>1</v>
      </c>
      <c r="DA327" s="281">
        <f t="shared" si="53"/>
        <v>1.25</v>
      </c>
      <c r="DB327" s="281">
        <f t="shared" si="54"/>
        <v>1.55</v>
      </c>
      <c r="DD327" s="101">
        <f t="shared" si="55"/>
        <v>7.9836777060086975E-2</v>
      </c>
      <c r="DE327" s="101">
        <f t="shared" si="56"/>
        <v>0.15967355412017395</v>
      </c>
      <c r="DF327" s="101">
        <f t="shared" si="57"/>
        <v>0.23951033118026094</v>
      </c>
      <c r="DG327" s="41"/>
      <c r="DH327" s="282">
        <f t="shared" si="60"/>
        <v>46143</v>
      </c>
      <c r="DI327" s="318">
        <f t="shared" si="58"/>
        <v>0.9</v>
      </c>
    </row>
    <row r="328" spans="1:113" ht="13.8">
      <c r="A328" s="96">
        <f t="shared" ca="1" si="62"/>
        <v>46508</v>
      </c>
      <c r="B328" s="17">
        <f>'Gas Curves'!C332</f>
        <v>7.0375439412273005E-2</v>
      </c>
      <c r="C328" s="17"/>
      <c r="D328" s="22"/>
      <c r="E328" s="22"/>
      <c r="F328" s="22"/>
      <c r="G328" s="22"/>
      <c r="H328" s="22"/>
      <c r="I328" s="22"/>
      <c r="J328" s="22"/>
      <c r="K328" s="22"/>
      <c r="L328" s="22"/>
      <c r="M328" s="24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4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/>
      <c r="CP328"/>
      <c r="CQ328"/>
      <c r="CR328"/>
      <c r="CS328"/>
      <c r="CT328"/>
      <c r="CU328" s="2"/>
      <c r="CV328" s="27"/>
      <c r="CW328" s="41"/>
      <c r="CX328" s="41"/>
      <c r="CY328" s="282">
        <f t="shared" si="61"/>
        <v>46174</v>
      </c>
      <c r="CZ328" s="281">
        <f t="shared" si="52"/>
        <v>1</v>
      </c>
      <c r="DA328" s="281">
        <f t="shared" si="53"/>
        <v>1.25</v>
      </c>
      <c r="DB328" s="281">
        <f t="shared" si="54"/>
        <v>1.55</v>
      </c>
      <c r="DD328" s="101">
        <f t="shared" si="55"/>
        <v>8.5380172451755984E-2</v>
      </c>
      <c r="DE328" s="101">
        <f t="shared" si="56"/>
        <v>0.17076034490351197</v>
      </c>
      <c r="DF328" s="101">
        <f t="shared" si="57"/>
        <v>0.25614051735526794</v>
      </c>
      <c r="DG328" s="41"/>
      <c r="DH328" s="282">
        <f t="shared" si="60"/>
        <v>46174</v>
      </c>
      <c r="DI328" s="318">
        <f t="shared" si="58"/>
        <v>0.9</v>
      </c>
    </row>
    <row r="329" spans="1:113" ht="13.8">
      <c r="A329" s="96">
        <f t="shared" ca="1" si="62"/>
        <v>46539</v>
      </c>
      <c r="B329" s="17">
        <f>'Gas Curves'!C333</f>
        <v>7.0362790775054015E-2</v>
      </c>
      <c r="C329" s="17"/>
      <c r="D329" s="22"/>
      <c r="E329" s="22"/>
      <c r="F329" s="22"/>
      <c r="G329" s="22"/>
      <c r="H329" s="22"/>
      <c r="I329" s="22"/>
      <c r="J329" s="22"/>
      <c r="K329" s="22"/>
      <c r="L329" s="22"/>
      <c r="M329" s="24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4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/>
      <c r="CP329"/>
      <c r="CQ329"/>
      <c r="CR329"/>
      <c r="CS329"/>
      <c r="CT329"/>
      <c r="CU329" s="2"/>
      <c r="CV329" s="27"/>
      <c r="CW329" s="41"/>
      <c r="CX329" s="41"/>
      <c r="CY329" s="282">
        <f t="shared" si="61"/>
        <v>46204</v>
      </c>
      <c r="CZ329" s="281">
        <f t="shared" si="52"/>
        <v>1</v>
      </c>
      <c r="DA329" s="281">
        <f t="shared" si="53"/>
        <v>1.25</v>
      </c>
      <c r="DB329" s="281">
        <f t="shared" si="54"/>
        <v>1.55</v>
      </c>
      <c r="DD329" s="101">
        <f t="shared" si="55"/>
        <v>0.101692367108662</v>
      </c>
      <c r="DE329" s="101">
        <f t="shared" si="56"/>
        <v>0.203384734217324</v>
      </c>
      <c r="DF329" s="101">
        <f t="shared" si="57"/>
        <v>0.30507710132598598</v>
      </c>
      <c r="DG329" s="41"/>
      <c r="DH329" s="282">
        <f t="shared" si="60"/>
        <v>46204</v>
      </c>
      <c r="DI329" s="318">
        <f t="shared" si="58"/>
        <v>0.9</v>
      </c>
    </row>
    <row r="330" spans="1:113" ht="13.8">
      <c r="A330" s="96">
        <f t="shared" ca="1" si="62"/>
        <v>46569</v>
      </c>
      <c r="B330" s="17">
        <f>'Gas Curves'!C334</f>
        <v>7.0351366199546017E-2</v>
      </c>
      <c r="C330" s="17"/>
      <c r="D330" s="22"/>
      <c r="E330" s="22"/>
      <c r="F330" s="22"/>
      <c r="G330" s="22"/>
      <c r="H330" s="22"/>
      <c r="I330" s="22"/>
      <c r="J330" s="22"/>
      <c r="K330" s="22"/>
      <c r="L330" s="22"/>
      <c r="M330" s="24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4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/>
      <c r="CP330"/>
      <c r="CQ330"/>
      <c r="CR330"/>
      <c r="CS330"/>
      <c r="CT330"/>
      <c r="CU330" s="2"/>
      <c r="CV330" s="27"/>
      <c r="CW330" s="41"/>
      <c r="CX330" s="41"/>
      <c r="CY330" s="282">
        <f t="shared" si="61"/>
        <v>46235</v>
      </c>
      <c r="CZ330" s="281">
        <f t="shared" si="52"/>
        <v>1</v>
      </c>
      <c r="DA330" s="281">
        <f t="shared" si="53"/>
        <v>1.25</v>
      </c>
      <c r="DB330" s="281">
        <f t="shared" si="54"/>
        <v>1.55</v>
      </c>
      <c r="DD330" s="101">
        <f t="shared" si="55"/>
        <v>9.9464225848612461E-2</v>
      </c>
      <c r="DE330" s="101">
        <f t="shared" si="56"/>
        <v>0.19892845169722492</v>
      </c>
      <c r="DF330" s="101">
        <f t="shared" si="57"/>
        <v>0.29839267754583737</v>
      </c>
      <c r="DG330" s="41"/>
      <c r="DH330" s="282">
        <f t="shared" si="60"/>
        <v>46235</v>
      </c>
      <c r="DI330" s="318">
        <f t="shared" si="58"/>
        <v>0.9</v>
      </c>
    </row>
    <row r="331" spans="1:113" ht="13.8">
      <c r="A331" s="96">
        <f t="shared" ca="1" si="62"/>
        <v>46600</v>
      </c>
      <c r="B331" s="17">
        <f>'Gas Curves'!C335</f>
        <v>7.0338717562428002E-2</v>
      </c>
      <c r="C331" s="17"/>
      <c r="D331" s="22"/>
      <c r="E331" s="22"/>
      <c r="F331" s="22"/>
      <c r="G331" s="22"/>
      <c r="H331" s="22"/>
      <c r="I331" s="22"/>
      <c r="J331" s="22"/>
      <c r="K331" s="22"/>
      <c r="L331" s="22"/>
      <c r="M331" s="24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4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/>
      <c r="CP331"/>
      <c r="CQ331"/>
      <c r="CR331"/>
      <c r="CS331"/>
      <c r="CT331"/>
      <c r="CU331" s="2"/>
      <c r="CV331" s="27"/>
      <c r="CW331" s="41"/>
      <c r="CX331" s="41"/>
      <c r="CY331" s="282">
        <f t="shared" si="61"/>
        <v>46266</v>
      </c>
      <c r="CZ331" s="281">
        <f t="shared" si="52"/>
        <v>1</v>
      </c>
      <c r="DA331" s="281">
        <f t="shared" si="53"/>
        <v>1.25</v>
      </c>
      <c r="DB331" s="281">
        <f t="shared" si="54"/>
        <v>1.55</v>
      </c>
      <c r="DD331" s="101">
        <f t="shared" si="55"/>
        <v>7.5360688839898535E-2</v>
      </c>
      <c r="DE331" s="101">
        <f t="shared" si="56"/>
        <v>0.15072137767979707</v>
      </c>
      <c r="DF331" s="101">
        <f t="shared" si="57"/>
        <v>0.22608206651969559</v>
      </c>
      <c r="DG331" s="41"/>
      <c r="DH331" s="282">
        <f t="shared" si="60"/>
        <v>46266</v>
      </c>
      <c r="DI331" s="318">
        <f t="shared" si="58"/>
        <v>0.9</v>
      </c>
    </row>
    <row r="332" spans="1:113" ht="13.8">
      <c r="A332" s="96">
        <f t="shared" ca="1" si="62"/>
        <v>46631</v>
      </c>
      <c r="B332" s="17">
        <f>'Gas Curves'!C336</f>
        <v>7.0326476945911015E-2</v>
      </c>
      <c r="C332" s="17"/>
      <c r="D332" s="22"/>
      <c r="E332" s="22"/>
      <c r="F332" s="22"/>
      <c r="G332" s="22"/>
      <c r="H332" s="22"/>
      <c r="I332" s="22"/>
      <c r="J332" s="22"/>
      <c r="K332" s="22"/>
      <c r="L332" s="22"/>
      <c r="M332" s="24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4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/>
      <c r="CP332"/>
      <c r="CQ332"/>
      <c r="CR332"/>
      <c r="CS332"/>
      <c r="CT332"/>
      <c r="CU332" s="2"/>
      <c r="CV332" s="27"/>
      <c r="CW332" s="41"/>
      <c r="CX332" s="41"/>
      <c r="CY332" s="282">
        <f t="shared" si="61"/>
        <v>46296</v>
      </c>
      <c r="CZ332" s="281">
        <f t="shared" si="52"/>
        <v>1</v>
      </c>
      <c r="DA332" s="281">
        <f t="shared" si="53"/>
        <v>1.25</v>
      </c>
      <c r="DB332" s="281">
        <f t="shared" si="54"/>
        <v>1.55</v>
      </c>
      <c r="DD332" s="101">
        <f t="shared" si="55"/>
        <v>6.5180008835647396E-2</v>
      </c>
      <c r="DE332" s="101">
        <f t="shared" si="56"/>
        <v>0.13036001767129479</v>
      </c>
      <c r="DF332" s="101">
        <f t="shared" si="57"/>
        <v>0.19554002650694219</v>
      </c>
      <c r="DG332" s="41"/>
      <c r="DH332" s="282">
        <f t="shared" si="60"/>
        <v>46296</v>
      </c>
      <c r="DI332" s="318">
        <f t="shared" si="58"/>
        <v>0.9</v>
      </c>
    </row>
    <row r="333" spans="1:113" ht="13.8">
      <c r="A333" s="96">
        <f t="shared" ca="1" si="62"/>
        <v>46661</v>
      </c>
      <c r="B333" s="17">
        <f>'Gas Curves'!C337</f>
        <v>7.0313828308897014E-2</v>
      </c>
      <c r="C333" s="17"/>
      <c r="D333" s="22"/>
      <c r="E333" s="22"/>
      <c r="F333" s="22"/>
      <c r="G333" s="22"/>
      <c r="H333" s="22"/>
      <c r="I333" s="22"/>
      <c r="J333" s="22"/>
      <c r="K333" s="22"/>
      <c r="L333" s="22"/>
      <c r="M333" s="24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4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/>
      <c r="CP333"/>
      <c r="CQ333"/>
      <c r="CR333"/>
      <c r="CS333"/>
      <c r="CT333"/>
      <c r="CU333" s="2"/>
      <c r="CV333" s="27"/>
      <c r="CW333" s="41"/>
      <c r="CX333" s="41"/>
      <c r="CY333" s="282">
        <f t="shared" si="61"/>
        <v>46327</v>
      </c>
      <c r="CZ333" s="281">
        <f t="shared" si="52"/>
        <v>1</v>
      </c>
      <c r="DA333" s="281">
        <f t="shared" si="53"/>
        <v>1.25</v>
      </c>
      <c r="DB333" s="281">
        <f t="shared" si="54"/>
        <v>1.55</v>
      </c>
      <c r="DD333" s="101">
        <f t="shared" si="55"/>
        <v>6.5180008835647396E-2</v>
      </c>
      <c r="DE333" s="101">
        <f t="shared" si="56"/>
        <v>0.13036001767129479</v>
      </c>
      <c r="DF333" s="101">
        <f t="shared" si="57"/>
        <v>0.19554002650694219</v>
      </c>
      <c r="DG333" s="41"/>
      <c r="DH333" s="282">
        <f t="shared" si="60"/>
        <v>46327</v>
      </c>
      <c r="DI333" s="318">
        <f t="shared" si="58"/>
        <v>0.9</v>
      </c>
    </row>
    <row r="334" spans="1:113" ht="13.8">
      <c r="A334" s="96">
        <f t="shared" ca="1" si="62"/>
        <v>46692</v>
      </c>
      <c r="B334" s="17">
        <f>'Gas Curves'!C338</f>
        <v>7.0301587692482015E-2</v>
      </c>
      <c r="C334" s="17"/>
      <c r="D334" s="22"/>
      <c r="E334" s="22"/>
      <c r="F334" s="22"/>
      <c r="G334" s="22"/>
      <c r="H334" s="22"/>
      <c r="I334" s="22"/>
      <c r="J334" s="22"/>
      <c r="K334" s="22"/>
      <c r="L334" s="22"/>
      <c r="M334" s="24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4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/>
      <c r="CP334"/>
      <c r="CQ334"/>
      <c r="CR334"/>
      <c r="CS334"/>
      <c r="CT334"/>
      <c r="CU334" s="2"/>
      <c r="CV334" s="27"/>
      <c r="CW334" s="41"/>
      <c r="CX334" s="41"/>
      <c r="CY334" s="282">
        <f t="shared" si="61"/>
        <v>46357</v>
      </c>
      <c r="CZ334" s="281">
        <f t="shared" si="52"/>
        <v>1</v>
      </c>
      <c r="DA334" s="281">
        <f t="shared" si="53"/>
        <v>1.25</v>
      </c>
      <c r="DB334" s="281">
        <f t="shared" si="54"/>
        <v>1.55</v>
      </c>
      <c r="DD334" s="101">
        <f t="shared" si="55"/>
        <v>6.3878884371445607E-2</v>
      </c>
      <c r="DE334" s="101">
        <f t="shared" si="56"/>
        <v>0.12775776874289121</v>
      </c>
      <c r="DF334" s="101">
        <f t="shared" si="57"/>
        <v>0.19163665311433681</v>
      </c>
      <c r="DG334" s="41"/>
      <c r="DH334" s="282">
        <f t="shared" si="60"/>
        <v>46357</v>
      </c>
      <c r="DI334" s="318">
        <f t="shared" si="58"/>
        <v>0.9</v>
      </c>
    </row>
    <row r="335" spans="1:113" ht="13.8">
      <c r="A335" s="96">
        <f t="shared" ca="1" si="62"/>
        <v>46722</v>
      </c>
      <c r="B335" s="17">
        <f>'Gas Curves'!C339</f>
        <v>7.0288939055571029E-2</v>
      </c>
      <c r="C335" s="17"/>
      <c r="D335" s="22"/>
      <c r="E335" s="22"/>
      <c r="F335" s="22"/>
      <c r="G335" s="22"/>
      <c r="H335" s="22"/>
      <c r="I335" s="22"/>
      <c r="J335" s="22"/>
      <c r="K335" s="22"/>
      <c r="L335" s="22"/>
      <c r="M335" s="24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4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/>
      <c r="CP335"/>
      <c r="CQ335"/>
      <c r="CR335"/>
      <c r="CS335"/>
      <c r="CT335"/>
      <c r="CU335" s="2"/>
      <c r="CV335" s="27"/>
      <c r="CW335" s="41"/>
      <c r="CX335" s="41"/>
      <c r="CY335" s="282">
        <f t="shared" si="61"/>
        <v>46388</v>
      </c>
      <c r="CZ335" s="281">
        <f t="shared" si="52"/>
        <v>1</v>
      </c>
      <c r="DA335" s="281">
        <f t="shared" si="53"/>
        <v>1.25</v>
      </c>
      <c r="DB335" s="281">
        <f t="shared" si="54"/>
        <v>1.55</v>
      </c>
      <c r="DD335" s="101">
        <f t="shared" si="55"/>
        <v>9.4265229575163478E-2</v>
      </c>
      <c r="DE335" s="101">
        <f t="shared" si="56"/>
        <v>0.18853045915032696</v>
      </c>
      <c r="DF335" s="101">
        <f t="shared" si="57"/>
        <v>0.28279568872549044</v>
      </c>
      <c r="DG335" s="41"/>
      <c r="DH335" s="282">
        <f t="shared" si="60"/>
        <v>46388</v>
      </c>
      <c r="DI335" s="318">
        <f t="shared" si="58"/>
        <v>0.9</v>
      </c>
    </row>
    <row r="336" spans="1:113" ht="13.8">
      <c r="A336" s="96">
        <f t="shared" ca="1" si="62"/>
        <v>46753</v>
      </c>
      <c r="B336" s="17">
        <f>'Gas Curves'!C340</f>
        <v>7.0276290418714041E-2</v>
      </c>
      <c r="C336" s="17"/>
      <c r="D336" s="22"/>
      <c r="E336" s="22"/>
      <c r="F336" s="22"/>
      <c r="G336" s="22"/>
      <c r="H336" s="22"/>
      <c r="I336" s="22"/>
      <c r="J336" s="22"/>
      <c r="K336" s="22"/>
      <c r="L336" s="22"/>
      <c r="M336" s="24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4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/>
      <c r="CP336"/>
      <c r="CQ336"/>
      <c r="CR336"/>
      <c r="CS336"/>
      <c r="CT336"/>
      <c r="CU336" s="2"/>
      <c r="CV336" s="27"/>
      <c r="CW336" s="41"/>
      <c r="CX336" s="41"/>
      <c r="CY336" s="282">
        <f t="shared" si="61"/>
        <v>46419</v>
      </c>
      <c r="CZ336" s="281">
        <f t="shared" si="52"/>
        <v>1</v>
      </c>
      <c r="DA336" s="281">
        <f t="shared" si="53"/>
        <v>1.25</v>
      </c>
      <c r="DB336" s="281">
        <f t="shared" si="54"/>
        <v>1.55</v>
      </c>
      <c r="DD336" s="101">
        <f t="shared" si="55"/>
        <v>9.1066609010736779E-2</v>
      </c>
      <c r="DE336" s="101">
        <f t="shared" si="56"/>
        <v>0.18213321802147356</v>
      </c>
      <c r="DF336" s="101">
        <f t="shared" si="57"/>
        <v>0.27319982703221035</v>
      </c>
      <c r="DG336" s="41"/>
      <c r="DH336" s="282">
        <f t="shared" si="60"/>
        <v>46419</v>
      </c>
      <c r="DI336" s="318">
        <f t="shared" si="58"/>
        <v>0.9</v>
      </c>
    </row>
    <row r="337" spans="1:113" ht="13.8">
      <c r="A337" s="96">
        <f t="shared" ca="1" si="62"/>
        <v>46784</v>
      </c>
      <c r="B337" s="17">
        <f>'Gas Curves'!C341</f>
        <v>7.0264049802450018E-2</v>
      </c>
      <c r="C337" s="17"/>
      <c r="D337" s="22"/>
      <c r="E337" s="22"/>
      <c r="F337" s="22"/>
      <c r="G337" s="22"/>
      <c r="H337" s="22"/>
      <c r="I337" s="22"/>
      <c r="J337" s="22"/>
      <c r="K337" s="22"/>
      <c r="L337" s="22"/>
      <c r="M337" s="24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4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/>
      <c r="CP337"/>
      <c r="CQ337"/>
      <c r="CR337"/>
      <c r="CS337"/>
      <c r="CT337"/>
      <c r="CU337" s="2"/>
      <c r="CV337" s="27"/>
      <c r="CW337" s="41"/>
      <c r="CX337" s="41"/>
      <c r="CY337" s="282">
        <f t="shared" si="61"/>
        <v>46447</v>
      </c>
      <c r="CZ337" s="281">
        <f t="shared" si="52"/>
        <v>1</v>
      </c>
      <c r="DA337" s="281">
        <f t="shared" si="53"/>
        <v>1.25</v>
      </c>
      <c r="DB337" s="281">
        <f t="shared" si="54"/>
        <v>1.55</v>
      </c>
      <c r="DD337" s="101">
        <f t="shared" si="55"/>
        <v>7.2193702379781163E-2</v>
      </c>
      <c r="DE337" s="101">
        <f t="shared" si="56"/>
        <v>0.14438740475956233</v>
      </c>
      <c r="DF337" s="101">
        <f t="shared" si="57"/>
        <v>0.21658110713934348</v>
      </c>
      <c r="DG337" s="41"/>
      <c r="DH337" s="282">
        <f t="shared" si="60"/>
        <v>46447</v>
      </c>
      <c r="DI337" s="318">
        <f t="shared" si="58"/>
        <v>0.9</v>
      </c>
    </row>
    <row r="338" spans="1:113" ht="13.8">
      <c r="A338" s="96">
        <f t="shared" ca="1" si="62"/>
        <v>46813</v>
      </c>
      <c r="B338" s="17">
        <f>'Gas Curves'!C342</f>
        <v>7.0251401165697017E-2</v>
      </c>
      <c r="C338" s="17"/>
      <c r="D338" s="22"/>
      <c r="E338" s="22"/>
      <c r="F338" s="22"/>
      <c r="G338" s="22"/>
      <c r="H338" s="22"/>
      <c r="I338" s="22"/>
      <c r="J338" s="22"/>
      <c r="K338" s="22"/>
      <c r="L338" s="22"/>
      <c r="M338" s="24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4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/>
      <c r="CP338"/>
      <c r="CQ338"/>
      <c r="CR338"/>
      <c r="CS338"/>
      <c r="CT338"/>
      <c r="CU338" s="2"/>
      <c r="CV338" s="27"/>
      <c r="CW338" s="41"/>
      <c r="CX338" s="41"/>
      <c r="CY338" s="282">
        <f t="shared" si="61"/>
        <v>46478</v>
      </c>
      <c r="CZ338" s="281">
        <f t="shared" si="52"/>
        <v>0</v>
      </c>
      <c r="DA338" s="281">
        <f t="shared" si="53"/>
        <v>0</v>
      </c>
      <c r="DB338" s="281">
        <f t="shared" si="54"/>
        <v>0</v>
      </c>
      <c r="DD338" s="101">
        <f t="shared" si="55"/>
        <v>0</v>
      </c>
      <c r="DE338" s="101">
        <f t="shared" si="56"/>
        <v>0</v>
      </c>
      <c r="DF338" s="101">
        <f t="shared" si="57"/>
        <v>0</v>
      </c>
      <c r="DG338" s="41"/>
      <c r="DH338" s="282">
        <f t="shared" si="60"/>
        <v>46478</v>
      </c>
      <c r="DI338" s="318">
        <f t="shared" si="58"/>
        <v>0</v>
      </c>
    </row>
    <row r="339" spans="1:113" ht="13.8">
      <c r="A339" s="96">
        <f t="shared" ca="1" si="62"/>
        <v>46844</v>
      </c>
      <c r="B339" s="17">
        <f>'Gas Curves'!C343</f>
        <v>7.023916054953401E-2</v>
      </c>
      <c r="C339" s="17"/>
      <c r="D339" s="22"/>
      <c r="E339" s="22"/>
      <c r="F339" s="22"/>
      <c r="G339" s="22"/>
      <c r="H339" s="22"/>
      <c r="I339" s="22"/>
      <c r="J339" s="22"/>
      <c r="K339" s="22"/>
      <c r="L339" s="22"/>
      <c r="M339" s="24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4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/>
      <c r="CP339"/>
      <c r="CQ339"/>
      <c r="CR339"/>
      <c r="CS339"/>
      <c r="CT339"/>
      <c r="CU339" s="2"/>
      <c r="CV339" s="27"/>
      <c r="CW339" s="41"/>
      <c r="CX339" s="41"/>
      <c r="CY339" s="282">
        <f t="shared" si="61"/>
        <v>46508</v>
      </c>
      <c r="CZ339" s="281">
        <f t="shared" si="52"/>
        <v>1</v>
      </c>
      <c r="DA339" s="281">
        <f t="shared" si="53"/>
        <v>1.25</v>
      </c>
      <c r="DB339" s="281">
        <f t="shared" si="54"/>
        <v>1.55</v>
      </c>
      <c r="DD339" s="101">
        <f t="shared" si="55"/>
        <v>7.9836777060086975E-2</v>
      </c>
      <c r="DE339" s="101">
        <f t="shared" si="56"/>
        <v>0.15967355412017395</v>
      </c>
      <c r="DF339" s="101">
        <f t="shared" si="57"/>
        <v>0.23951033118026094</v>
      </c>
      <c r="DG339" s="41"/>
      <c r="DH339" s="282">
        <f t="shared" ref="DH339:DH370" si="63">IF(BH339=0,EOMONTH(DH338,0)+1,BH339)</f>
        <v>46508</v>
      </c>
      <c r="DI339" s="318">
        <f t="shared" si="58"/>
        <v>0.9</v>
      </c>
    </row>
    <row r="340" spans="1:113" ht="13.8">
      <c r="A340" s="96">
        <f t="shared" ca="1" si="62"/>
        <v>46874</v>
      </c>
      <c r="B340" s="17">
        <f>'Gas Curves'!C344</f>
        <v>7.0226511912885009E-2</v>
      </c>
      <c r="C340" s="17"/>
      <c r="D340" s="22"/>
      <c r="E340" s="22"/>
      <c r="F340" s="22"/>
      <c r="G340" s="22"/>
      <c r="H340" s="22"/>
      <c r="I340" s="22"/>
      <c r="J340" s="22"/>
      <c r="K340" s="22"/>
      <c r="L340" s="22"/>
      <c r="M340" s="24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4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/>
      <c r="CP340"/>
      <c r="CQ340"/>
      <c r="CR340"/>
      <c r="CS340"/>
      <c r="CT340"/>
      <c r="CU340" s="2"/>
      <c r="CV340" s="27"/>
      <c r="CW340" s="41"/>
      <c r="CX340" s="41"/>
      <c r="CY340" s="282">
        <f t="shared" ref="CY340:CY371" si="64">EOMONTH(CY339,0)+1</f>
        <v>46539</v>
      </c>
      <c r="CZ340" s="281">
        <f t="shared" si="52"/>
        <v>1</v>
      </c>
      <c r="DA340" s="281">
        <f t="shared" si="53"/>
        <v>1.25</v>
      </c>
      <c r="DB340" s="281">
        <f t="shared" si="54"/>
        <v>1.55</v>
      </c>
      <c r="DD340" s="101">
        <f t="shared" si="55"/>
        <v>8.5380172451755984E-2</v>
      </c>
      <c r="DE340" s="101">
        <f t="shared" si="56"/>
        <v>0.17076034490351197</v>
      </c>
      <c r="DF340" s="101">
        <f t="shared" si="57"/>
        <v>0.25614051735526794</v>
      </c>
      <c r="DG340" s="41"/>
      <c r="DH340" s="282">
        <f t="shared" si="63"/>
        <v>46539</v>
      </c>
      <c r="DI340" s="318">
        <f t="shared" si="58"/>
        <v>0.9</v>
      </c>
    </row>
    <row r="341" spans="1:113" ht="13.8">
      <c r="A341" s="96">
        <f t="shared" ca="1" si="62"/>
        <v>46905</v>
      </c>
      <c r="B341" s="17">
        <f>'Gas Curves'!C345</f>
        <v>7.0213863276289021E-2</v>
      </c>
      <c r="C341" s="17"/>
      <c r="D341" s="22"/>
      <c r="E341" s="22"/>
      <c r="F341" s="22"/>
      <c r="G341" s="22"/>
      <c r="H341" s="22"/>
      <c r="I341" s="22"/>
      <c r="J341" s="22"/>
      <c r="K341" s="22"/>
      <c r="L341" s="22"/>
      <c r="M341" s="24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4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/>
      <c r="CP341"/>
      <c r="CQ341"/>
      <c r="CR341"/>
      <c r="CS341"/>
      <c r="CT341"/>
      <c r="CU341" s="2"/>
      <c r="CV341" s="27"/>
      <c r="CW341" s="41"/>
      <c r="CX341" s="41"/>
      <c r="CY341" s="282">
        <f t="shared" si="64"/>
        <v>46569</v>
      </c>
      <c r="CZ341" s="281">
        <f t="shared" si="52"/>
        <v>1</v>
      </c>
      <c r="DA341" s="281">
        <f t="shared" si="53"/>
        <v>1.25</v>
      </c>
      <c r="DB341" s="281">
        <f t="shared" si="54"/>
        <v>1.55</v>
      </c>
      <c r="DD341" s="101">
        <f t="shared" si="55"/>
        <v>0.101692367108662</v>
      </c>
      <c r="DE341" s="101">
        <f t="shared" si="56"/>
        <v>0.203384734217324</v>
      </c>
      <c r="DF341" s="101">
        <f t="shared" si="57"/>
        <v>0.30507710132598598</v>
      </c>
      <c r="DG341" s="41"/>
      <c r="DH341" s="282">
        <f t="shared" si="63"/>
        <v>46569</v>
      </c>
      <c r="DI341" s="318">
        <f t="shared" si="58"/>
        <v>0.9</v>
      </c>
    </row>
    <row r="342" spans="1:113" ht="13.8">
      <c r="A342" s="96">
        <f t="shared" ca="1" si="62"/>
        <v>46935</v>
      </c>
      <c r="B342" s="17">
        <f>'Gas Curves'!C346</f>
        <v>7.0202030680811017E-2</v>
      </c>
      <c r="C342" s="17"/>
      <c r="D342" s="22"/>
      <c r="E342" s="22"/>
      <c r="F342" s="22"/>
      <c r="G342" s="22"/>
      <c r="H342" s="22"/>
      <c r="I342" s="22"/>
      <c r="J342" s="22"/>
      <c r="K342" s="22"/>
      <c r="L342" s="22"/>
      <c r="M342" s="24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4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/>
      <c r="CP342"/>
      <c r="CQ342"/>
      <c r="CR342"/>
      <c r="CS342"/>
      <c r="CT342"/>
      <c r="CU342" s="2"/>
      <c r="CV342" s="27"/>
      <c r="CW342" s="41"/>
      <c r="CX342" s="41"/>
      <c r="CY342" s="282">
        <f t="shared" si="64"/>
        <v>46600</v>
      </c>
      <c r="CZ342" s="281">
        <f t="shared" si="52"/>
        <v>1</v>
      </c>
      <c r="DA342" s="281">
        <f t="shared" si="53"/>
        <v>1.25</v>
      </c>
      <c r="DB342" s="281">
        <f t="shared" si="54"/>
        <v>1.55</v>
      </c>
      <c r="DD342" s="101">
        <f t="shared" si="55"/>
        <v>9.9464225848612461E-2</v>
      </c>
      <c r="DE342" s="101">
        <f t="shared" si="56"/>
        <v>0.19892845169722492</v>
      </c>
      <c r="DF342" s="101">
        <f t="shared" si="57"/>
        <v>0.29839267754583737</v>
      </c>
      <c r="DG342" s="41"/>
      <c r="DH342" s="282">
        <f t="shared" si="63"/>
        <v>46600</v>
      </c>
      <c r="DI342" s="318">
        <f t="shared" si="58"/>
        <v>0.9</v>
      </c>
    </row>
    <row r="343" spans="1:113" ht="13.8">
      <c r="A343" s="96">
        <f t="shared" ca="1" si="62"/>
        <v>46966</v>
      </c>
      <c r="B343" s="17">
        <f>'Gas Curves'!C347</f>
        <v>7.0189382044317017E-2</v>
      </c>
      <c r="C343" s="17"/>
      <c r="D343" s="22"/>
      <c r="E343" s="22"/>
      <c r="F343" s="22"/>
      <c r="G343" s="22"/>
      <c r="H343" s="22"/>
      <c r="I343" s="22"/>
      <c r="J343" s="22"/>
      <c r="K343" s="22"/>
      <c r="L343" s="22"/>
      <c r="M343" s="24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4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/>
      <c r="CP343"/>
      <c r="CQ343"/>
      <c r="CR343"/>
      <c r="CS343"/>
      <c r="CT343"/>
      <c r="CU343" s="2"/>
      <c r="CV343" s="27"/>
      <c r="CW343" s="41"/>
      <c r="CX343" s="41"/>
      <c r="CY343" s="282">
        <f t="shared" si="64"/>
        <v>46631</v>
      </c>
      <c r="CZ343" s="281">
        <f t="shared" si="52"/>
        <v>1</v>
      </c>
      <c r="DA343" s="281">
        <f t="shared" si="53"/>
        <v>1.25</v>
      </c>
      <c r="DB343" s="281">
        <f t="shared" si="54"/>
        <v>1.55</v>
      </c>
      <c r="DD343" s="101">
        <f t="shared" si="55"/>
        <v>7.5360688839898535E-2</v>
      </c>
      <c r="DE343" s="101">
        <f t="shared" si="56"/>
        <v>0.15072137767979707</v>
      </c>
      <c r="DF343" s="101">
        <f t="shared" si="57"/>
        <v>0.22608206651969559</v>
      </c>
      <c r="DG343" s="41"/>
      <c r="DH343" s="282">
        <f t="shared" si="63"/>
        <v>46631</v>
      </c>
      <c r="DI343" s="318">
        <f t="shared" si="58"/>
        <v>0.9</v>
      </c>
    </row>
    <row r="344" spans="1:113" ht="13.8">
      <c r="A344" s="96">
        <f t="shared" ca="1" si="62"/>
        <v>46997</v>
      </c>
      <c r="B344" s="17">
        <f>'Gas Curves'!C348</f>
        <v>7.0177141428405004E-2</v>
      </c>
      <c r="C344" s="17"/>
      <c r="D344" s="22"/>
      <c r="E344" s="22"/>
      <c r="F344" s="22"/>
      <c r="G344" s="22"/>
      <c r="H344" s="22"/>
      <c r="I344" s="22"/>
      <c r="J344" s="22"/>
      <c r="K344" s="22"/>
      <c r="L344" s="22"/>
      <c r="M344" s="24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4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/>
      <c r="CP344"/>
      <c r="CQ344"/>
      <c r="CR344"/>
      <c r="CS344"/>
      <c r="CT344"/>
      <c r="CU344" s="2"/>
      <c r="CV344" s="27"/>
      <c r="CW344" s="41"/>
      <c r="CX344" s="41"/>
      <c r="CY344" s="282">
        <f t="shared" si="64"/>
        <v>46661</v>
      </c>
      <c r="CZ344" s="281">
        <f t="shared" si="52"/>
        <v>1</v>
      </c>
      <c r="DA344" s="281">
        <f t="shared" si="53"/>
        <v>1.25</v>
      </c>
      <c r="DB344" s="281">
        <f t="shared" si="54"/>
        <v>1.55</v>
      </c>
      <c r="DD344" s="101">
        <f t="shared" si="55"/>
        <v>6.5180008835647396E-2</v>
      </c>
      <c r="DE344" s="101">
        <f t="shared" si="56"/>
        <v>0.13036001767129479</v>
      </c>
      <c r="DF344" s="101">
        <f t="shared" si="57"/>
        <v>0.19554002650694219</v>
      </c>
      <c r="DG344" s="41"/>
      <c r="DH344" s="282">
        <f t="shared" si="63"/>
        <v>46661</v>
      </c>
      <c r="DI344" s="318">
        <f t="shared" si="58"/>
        <v>0.9</v>
      </c>
    </row>
    <row r="345" spans="1:113" ht="13.8">
      <c r="A345" s="96">
        <f t="shared" ca="1" si="62"/>
        <v>47027</v>
      </c>
      <c r="B345" s="17">
        <f>'Gas Curves'!C349</f>
        <v>7.0164492792015004E-2</v>
      </c>
      <c r="C345" s="17"/>
      <c r="D345" s="22"/>
      <c r="E345" s="22"/>
      <c r="F345" s="22"/>
      <c r="G345" s="22"/>
      <c r="H345" s="22"/>
      <c r="I345" s="22"/>
      <c r="J345" s="22"/>
      <c r="K345" s="22"/>
      <c r="L345" s="22"/>
      <c r="M345" s="24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4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/>
      <c r="CP345"/>
      <c r="CQ345"/>
      <c r="CR345"/>
      <c r="CS345"/>
      <c r="CT345"/>
      <c r="CU345" s="2"/>
      <c r="CV345" s="27"/>
      <c r="CW345" s="41"/>
      <c r="CX345" s="41"/>
      <c r="CY345" s="282">
        <f t="shared" si="64"/>
        <v>46692</v>
      </c>
      <c r="CZ345" s="281">
        <f t="shared" si="52"/>
        <v>1</v>
      </c>
      <c r="DA345" s="281">
        <f t="shared" si="53"/>
        <v>1.25</v>
      </c>
      <c r="DB345" s="281">
        <f t="shared" si="54"/>
        <v>1.55</v>
      </c>
      <c r="DD345" s="101">
        <f t="shared" si="55"/>
        <v>6.5180008835647396E-2</v>
      </c>
      <c r="DE345" s="101">
        <f t="shared" si="56"/>
        <v>0.13036001767129479</v>
      </c>
      <c r="DF345" s="101">
        <f t="shared" si="57"/>
        <v>0.19554002650694219</v>
      </c>
      <c r="DG345" s="41"/>
      <c r="DH345" s="282">
        <f t="shared" si="63"/>
        <v>46692</v>
      </c>
      <c r="DI345" s="318">
        <f t="shared" si="58"/>
        <v>0.9</v>
      </c>
    </row>
    <row r="346" spans="1:113" ht="13.8">
      <c r="A346" s="96">
        <f t="shared" ca="1" si="62"/>
        <v>47058</v>
      </c>
      <c r="B346" s="17">
        <f>'Gas Curves'!C350</f>
        <v>7.0152252176204022E-2</v>
      </c>
      <c r="C346" s="17"/>
      <c r="D346" s="22"/>
      <c r="E346" s="22"/>
      <c r="F346" s="22"/>
      <c r="G346" s="22"/>
      <c r="H346" s="22"/>
      <c r="I346" s="22"/>
      <c r="J346" s="22"/>
      <c r="K346" s="22"/>
      <c r="L346" s="22"/>
      <c r="M346" s="24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4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/>
      <c r="CP346"/>
      <c r="CQ346"/>
      <c r="CR346"/>
      <c r="CS346"/>
      <c r="CT346"/>
      <c r="CU346" s="2"/>
      <c r="CV346" s="27"/>
      <c r="CW346" s="41"/>
      <c r="CX346" s="41"/>
      <c r="CY346" s="282">
        <f t="shared" si="64"/>
        <v>46722</v>
      </c>
      <c r="CZ346" s="281">
        <f t="shared" si="52"/>
        <v>1</v>
      </c>
      <c r="DA346" s="281">
        <f t="shared" si="53"/>
        <v>1.25</v>
      </c>
      <c r="DB346" s="281">
        <f t="shared" si="54"/>
        <v>1.55</v>
      </c>
      <c r="DD346" s="101">
        <f t="shared" si="55"/>
        <v>6.3878884371445607E-2</v>
      </c>
      <c r="DE346" s="101">
        <f t="shared" si="56"/>
        <v>0.12775776874289121</v>
      </c>
      <c r="DF346" s="101">
        <f t="shared" si="57"/>
        <v>0.19163665311433681</v>
      </c>
      <c r="DG346" s="41"/>
      <c r="DH346" s="282">
        <f t="shared" si="63"/>
        <v>46722</v>
      </c>
      <c r="DI346" s="318">
        <f t="shared" si="58"/>
        <v>0.9</v>
      </c>
    </row>
    <row r="347" spans="1:113" ht="13.8">
      <c r="A347" s="96">
        <f t="shared" ca="1" si="62"/>
        <v>47088</v>
      </c>
      <c r="B347" s="17">
        <f>'Gas Curves'!C351</f>
        <v>7.0139603539918022E-2</v>
      </c>
      <c r="C347" s="17"/>
      <c r="D347" s="22"/>
      <c r="E347" s="22"/>
      <c r="F347" s="22"/>
      <c r="G347" s="22"/>
      <c r="H347" s="22"/>
      <c r="I347" s="22"/>
      <c r="J347" s="22"/>
      <c r="K347" s="22"/>
      <c r="L347" s="22"/>
      <c r="M347" s="24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4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/>
      <c r="CP347"/>
      <c r="CQ347"/>
      <c r="CR347"/>
      <c r="CS347"/>
      <c r="CT347"/>
      <c r="CU347" s="2"/>
      <c r="CV347" s="27"/>
      <c r="CW347" s="41"/>
      <c r="CX347" s="41"/>
      <c r="CY347" s="282">
        <f t="shared" si="64"/>
        <v>46753</v>
      </c>
      <c r="CZ347" s="281">
        <f t="shared" si="52"/>
        <v>1</v>
      </c>
      <c r="DA347" s="281">
        <f t="shared" si="53"/>
        <v>1.25</v>
      </c>
      <c r="DB347" s="281">
        <f t="shared" si="54"/>
        <v>1.55</v>
      </c>
      <c r="DD347" s="101">
        <f t="shared" si="55"/>
        <v>9.4265229575163478E-2</v>
      </c>
      <c r="DE347" s="101">
        <f t="shared" si="56"/>
        <v>0.18853045915032696</v>
      </c>
      <c r="DF347" s="101">
        <f t="shared" si="57"/>
        <v>0.28279568872549044</v>
      </c>
      <c r="DG347" s="41"/>
      <c r="DH347" s="282">
        <f t="shared" si="63"/>
        <v>46753</v>
      </c>
      <c r="DI347" s="318">
        <f t="shared" si="58"/>
        <v>0.9</v>
      </c>
    </row>
    <row r="348" spans="1:113" ht="13.8">
      <c r="A348" s="96">
        <f t="shared" ca="1" si="62"/>
        <v>47119</v>
      </c>
      <c r="B348" s="17">
        <f>'Gas Curves'!C352</f>
        <v>7.0126954903686006E-2</v>
      </c>
      <c r="C348" s="17"/>
      <c r="D348" s="22"/>
      <c r="E348" s="22"/>
      <c r="F348" s="22"/>
      <c r="G348" s="22"/>
      <c r="H348" s="22"/>
      <c r="I348" s="22"/>
      <c r="J348" s="22"/>
      <c r="K348" s="22"/>
      <c r="L348" s="22"/>
      <c r="M348" s="24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4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/>
      <c r="CP348"/>
      <c r="CQ348"/>
      <c r="CR348"/>
      <c r="CS348"/>
      <c r="CT348"/>
      <c r="CU348" s="2"/>
      <c r="CV348" s="27"/>
      <c r="CW348" s="41"/>
      <c r="CX348" s="41"/>
      <c r="CY348" s="282">
        <f t="shared" si="64"/>
        <v>46784</v>
      </c>
      <c r="CZ348" s="281">
        <f t="shared" si="52"/>
        <v>1</v>
      </c>
      <c r="DA348" s="281">
        <f t="shared" si="53"/>
        <v>1.25</v>
      </c>
      <c r="DB348" s="281">
        <f t="shared" si="54"/>
        <v>1.55</v>
      </c>
      <c r="DD348" s="101">
        <f t="shared" si="55"/>
        <v>9.1066609010736779E-2</v>
      </c>
      <c r="DE348" s="101">
        <f t="shared" si="56"/>
        <v>0.18213321802147356</v>
      </c>
      <c r="DF348" s="101">
        <f t="shared" si="57"/>
        <v>0.27319982703221035</v>
      </c>
      <c r="DG348" s="41"/>
      <c r="DH348" s="282">
        <f t="shared" si="63"/>
        <v>46784</v>
      </c>
      <c r="DI348" s="318">
        <f t="shared" si="58"/>
        <v>0.9</v>
      </c>
    </row>
    <row r="349" spans="1:113" ht="13.8">
      <c r="A349" s="96">
        <f t="shared" ca="1" si="62"/>
        <v>47150</v>
      </c>
      <c r="B349" s="17">
        <f>'Gas Curves'!C353</f>
        <v>7.0114714288026014E-2</v>
      </c>
      <c r="C349" s="17"/>
      <c r="D349" s="22"/>
      <c r="E349" s="22"/>
      <c r="F349" s="22"/>
      <c r="G349" s="22"/>
      <c r="H349" s="22"/>
      <c r="I349" s="22"/>
      <c r="J349" s="22"/>
      <c r="K349" s="22"/>
      <c r="L349" s="22"/>
      <c r="M349" s="24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4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/>
      <c r="CP349"/>
      <c r="CQ349"/>
      <c r="CR349"/>
      <c r="CS349"/>
      <c r="CT349"/>
      <c r="CU349" s="2"/>
      <c r="CV349" s="27"/>
      <c r="CW349" s="41"/>
      <c r="CX349" s="41"/>
      <c r="CY349" s="282">
        <f t="shared" si="64"/>
        <v>46813</v>
      </c>
      <c r="CZ349" s="281">
        <f t="shared" si="52"/>
        <v>1</v>
      </c>
      <c r="DA349" s="281">
        <f t="shared" si="53"/>
        <v>1.25</v>
      </c>
      <c r="DB349" s="281">
        <f t="shared" si="54"/>
        <v>1.55</v>
      </c>
      <c r="DD349" s="101">
        <f t="shared" si="55"/>
        <v>7.2193702379781163E-2</v>
      </c>
      <c r="DE349" s="101">
        <f t="shared" si="56"/>
        <v>0.14438740475956233</v>
      </c>
      <c r="DF349" s="101">
        <f t="shared" si="57"/>
        <v>0.21658110713934348</v>
      </c>
      <c r="DG349" s="41"/>
      <c r="DH349" s="282">
        <f t="shared" si="63"/>
        <v>46813</v>
      </c>
      <c r="DI349" s="318">
        <f t="shared" si="58"/>
        <v>0.9</v>
      </c>
    </row>
    <row r="350" spans="1:113" ht="13.8">
      <c r="A350" s="96">
        <f t="shared" ca="1" si="62"/>
        <v>47178</v>
      </c>
      <c r="B350" s="17">
        <f>'Gas Curves'!C354</f>
        <v>7.0102065651897014E-2</v>
      </c>
      <c r="C350" s="17"/>
      <c r="D350" s="22"/>
      <c r="E350" s="22"/>
      <c r="F350" s="22"/>
      <c r="G350" s="22"/>
      <c r="H350" s="22"/>
      <c r="I350" s="22"/>
      <c r="J350" s="22"/>
      <c r="K350" s="22"/>
      <c r="L350" s="22"/>
      <c r="M350" s="24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4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/>
      <c r="CP350"/>
      <c r="CQ350"/>
      <c r="CR350"/>
      <c r="CS350"/>
      <c r="CT350"/>
      <c r="CU350" s="2"/>
      <c r="CV350" s="27"/>
      <c r="CW350" s="41"/>
      <c r="CX350" s="41"/>
      <c r="CY350" s="282">
        <f t="shared" si="64"/>
        <v>46844</v>
      </c>
      <c r="CZ350" s="281">
        <f t="shared" ref="CZ350:CZ402" si="65">IF(AI350=0,CZ338,AH350+AI350)</f>
        <v>0</v>
      </c>
      <c r="DA350" s="281">
        <f t="shared" ref="DA350:DA402" si="66">IF(AI350=0,DA338,AI350)</f>
        <v>0</v>
      </c>
      <c r="DB350" s="281">
        <f t="shared" ref="DB350:DB402" si="67">IF(AI350=0,DB338,AI350+AJ350)</f>
        <v>0</v>
      </c>
      <c r="DD350" s="101">
        <f t="shared" ref="DD350:DD402" si="68">IF(Z350=0,DD338,Z350)</f>
        <v>0</v>
      </c>
      <c r="DE350" s="101">
        <f t="shared" ref="DE350:DE402" si="69">IF(AA350=0,DE338,AA350)</f>
        <v>0</v>
      </c>
      <c r="DF350" s="101">
        <f t="shared" ref="DF350:DF402" si="70">IF(AB350=0,DF338,AB350)</f>
        <v>0</v>
      </c>
      <c r="DG350" s="41"/>
      <c r="DH350" s="282">
        <f t="shared" si="63"/>
        <v>46844</v>
      </c>
      <c r="DI350" s="318">
        <f t="shared" ref="DI350:DI402" si="71">IF(BI350=0,DI338,BI350)</f>
        <v>0</v>
      </c>
    </row>
    <row r="351" spans="1:113" ht="13.8">
      <c r="A351" s="96">
        <f t="shared" ca="1" si="62"/>
        <v>47209</v>
      </c>
      <c r="B351" s="17">
        <f>'Gas Curves'!C355</f>
        <v>7.0089825036339024E-2</v>
      </c>
      <c r="C351" s="17"/>
      <c r="D351" s="22"/>
      <c r="E351" s="22"/>
      <c r="F351" s="22"/>
      <c r="G351" s="22"/>
      <c r="H351" s="22"/>
      <c r="I351" s="22"/>
      <c r="J351" s="22"/>
      <c r="K351" s="22"/>
      <c r="L351" s="22"/>
      <c r="M351" s="24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4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/>
      <c r="CP351"/>
      <c r="CQ351"/>
      <c r="CR351"/>
      <c r="CS351"/>
      <c r="CT351"/>
      <c r="CU351" s="2"/>
      <c r="CV351" s="27"/>
      <c r="CW351" s="41"/>
      <c r="CX351" s="41"/>
      <c r="CY351" s="282">
        <f t="shared" si="64"/>
        <v>46874</v>
      </c>
      <c r="CZ351" s="281">
        <f t="shared" si="65"/>
        <v>1</v>
      </c>
      <c r="DA351" s="281">
        <f t="shared" si="66"/>
        <v>1.25</v>
      </c>
      <c r="DB351" s="281">
        <f t="shared" si="67"/>
        <v>1.55</v>
      </c>
      <c r="DD351" s="101">
        <f t="shared" si="68"/>
        <v>7.9836777060086975E-2</v>
      </c>
      <c r="DE351" s="101">
        <f t="shared" si="69"/>
        <v>0.15967355412017395</v>
      </c>
      <c r="DF351" s="101">
        <f t="shared" si="70"/>
        <v>0.23951033118026094</v>
      </c>
      <c r="DG351" s="41"/>
      <c r="DH351" s="282">
        <f t="shared" si="63"/>
        <v>46874</v>
      </c>
      <c r="DI351" s="318">
        <f t="shared" si="71"/>
        <v>0.9</v>
      </c>
    </row>
    <row r="352" spans="1:113" ht="13.8">
      <c r="A352" s="96">
        <f t="shared" ca="1" si="62"/>
        <v>47239</v>
      </c>
      <c r="B352" s="17">
        <f>'Gas Curves'!C356</f>
        <v>7.0077176400314023E-2</v>
      </c>
      <c r="C352" s="17"/>
      <c r="D352" s="22"/>
      <c r="E352" s="22"/>
      <c r="F352" s="22"/>
      <c r="G352" s="22"/>
      <c r="H352" s="22"/>
      <c r="I352" s="22"/>
      <c r="J352" s="22"/>
      <c r="K352" s="22"/>
      <c r="L352" s="22"/>
      <c r="M352" s="24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4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/>
      <c r="CP352"/>
      <c r="CQ352"/>
      <c r="CR352"/>
      <c r="CS352"/>
      <c r="CT352"/>
      <c r="CU352" s="2"/>
      <c r="CV352" s="27"/>
      <c r="CW352" s="41"/>
      <c r="CX352" s="41"/>
      <c r="CY352" s="282">
        <f t="shared" si="64"/>
        <v>46905</v>
      </c>
      <c r="CZ352" s="281">
        <f t="shared" si="65"/>
        <v>1</v>
      </c>
      <c r="DA352" s="281">
        <f t="shared" si="66"/>
        <v>1.25</v>
      </c>
      <c r="DB352" s="281">
        <f t="shared" si="67"/>
        <v>1.55</v>
      </c>
      <c r="DD352" s="101">
        <f t="shared" si="68"/>
        <v>8.5380172451755984E-2</v>
      </c>
      <c r="DE352" s="101">
        <f t="shared" si="69"/>
        <v>0.17076034490351197</v>
      </c>
      <c r="DF352" s="101">
        <f t="shared" si="70"/>
        <v>0.25614051735526794</v>
      </c>
      <c r="DG352" s="41"/>
      <c r="DH352" s="282">
        <f t="shared" si="63"/>
        <v>46905</v>
      </c>
      <c r="DI352" s="318">
        <f t="shared" si="71"/>
        <v>0.9</v>
      </c>
    </row>
    <row r="353" spans="1:113" ht="13.8">
      <c r="A353" s="96">
        <f t="shared" ca="1" si="62"/>
        <v>47270</v>
      </c>
      <c r="B353" s="17">
        <f>'Gas Curves'!C357</f>
        <v>7.0064527764343007E-2</v>
      </c>
      <c r="C353" s="17"/>
      <c r="D353" s="22"/>
      <c r="E353" s="22"/>
      <c r="F353" s="22"/>
      <c r="G353" s="22"/>
      <c r="H353" s="22"/>
      <c r="I353" s="22"/>
      <c r="J353" s="22"/>
      <c r="K353" s="22"/>
      <c r="L353" s="22"/>
      <c r="M353" s="24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4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/>
      <c r="CP353"/>
      <c r="CQ353"/>
      <c r="CR353"/>
      <c r="CS353"/>
      <c r="CT353"/>
      <c r="CU353" s="2"/>
      <c r="CV353" s="27"/>
      <c r="CW353" s="41"/>
      <c r="CX353" s="41"/>
      <c r="CY353" s="282">
        <f t="shared" si="64"/>
        <v>46935</v>
      </c>
      <c r="CZ353" s="281">
        <f t="shared" si="65"/>
        <v>1</v>
      </c>
      <c r="DA353" s="281">
        <f t="shared" si="66"/>
        <v>1.25</v>
      </c>
      <c r="DB353" s="281">
        <f t="shared" si="67"/>
        <v>1.55</v>
      </c>
      <c r="DD353" s="101">
        <f t="shared" si="68"/>
        <v>0.101692367108662</v>
      </c>
      <c r="DE353" s="101">
        <f t="shared" si="69"/>
        <v>0.203384734217324</v>
      </c>
      <c r="DF353" s="101">
        <f t="shared" si="70"/>
        <v>0.30507710132598598</v>
      </c>
      <c r="DG353" s="41"/>
      <c r="DH353" s="282">
        <f t="shared" si="63"/>
        <v>46935</v>
      </c>
      <c r="DI353" s="318">
        <f t="shared" si="71"/>
        <v>0.9</v>
      </c>
    </row>
    <row r="354" spans="1:113" ht="13.8">
      <c r="A354" s="96">
        <f t="shared" ref="A354:A372" ca="1" si="72">EDATE(A353,1)</f>
        <v>47300</v>
      </c>
      <c r="B354" s="17">
        <f>'Gas Curves'!C358</f>
        <v>7.0053103189961996E-2</v>
      </c>
      <c r="C354" s="17"/>
      <c r="D354" s="22"/>
      <c r="E354" s="22"/>
      <c r="F354" s="22"/>
      <c r="G354" s="22"/>
      <c r="H354" s="22"/>
      <c r="I354" s="22"/>
      <c r="J354" s="22"/>
      <c r="K354" s="22"/>
      <c r="L354" s="22"/>
      <c r="M354" s="24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4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/>
      <c r="CP354"/>
      <c r="CQ354"/>
      <c r="CR354"/>
      <c r="CS354"/>
      <c r="CT354"/>
      <c r="CU354" s="2"/>
      <c r="CV354" s="27"/>
      <c r="CW354" s="41"/>
      <c r="CX354" s="41"/>
      <c r="CY354" s="282">
        <f t="shared" si="64"/>
        <v>46966</v>
      </c>
      <c r="CZ354" s="281">
        <f t="shared" si="65"/>
        <v>1</v>
      </c>
      <c r="DA354" s="281">
        <f t="shared" si="66"/>
        <v>1.25</v>
      </c>
      <c r="DB354" s="281">
        <f t="shared" si="67"/>
        <v>1.55</v>
      </c>
      <c r="DD354" s="101">
        <f t="shared" si="68"/>
        <v>9.9464225848612461E-2</v>
      </c>
      <c r="DE354" s="101">
        <f t="shared" si="69"/>
        <v>0.19892845169722492</v>
      </c>
      <c r="DF354" s="101">
        <f t="shared" si="70"/>
        <v>0.29839267754583737</v>
      </c>
      <c r="DG354" s="41"/>
      <c r="DH354" s="282">
        <f t="shared" si="63"/>
        <v>46966</v>
      </c>
      <c r="DI354" s="318">
        <f t="shared" si="71"/>
        <v>0.9</v>
      </c>
    </row>
    <row r="355" spans="1:113" ht="13.8">
      <c r="A355" s="96">
        <f t="shared" ca="1" si="72"/>
        <v>47331</v>
      </c>
      <c r="B355" s="17">
        <f>'Gas Curves'!C359</f>
        <v>7.0040454554089998E-2</v>
      </c>
      <c r="C355" s="17"/>
      <c r="D355" s="22"/>
      <c r="E355" s="22"/>
      <c r="F355" s="22"/>
      <c r="G355" s="22"/>
      <c r="H355" s="22"/>
      <c r="I355" s="22"/>
      <c r="J355" s="22"/>
      <c r="K355" s="22"/>
      <c r="L355" s="22"/>
      <c r="M355" s="24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4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/>
      <c r="CP355"/>
      <c r="CQ355"/>
      <c r="CR355"/>
      <c r="CS355"/>
      <c r="CT355"/>
      <c r="CU355" s="2"/>
      <c r="CV355" s="27"/>
      <c r="CW355" s="41"/>
      <c r="CX355" s="41"/>
      <c r="CY355" s="282">
        <f t="shared" si="64"/>
        <v>46997</v>
      </c>
      <c r="CZ355" s="281">
        <f t="shared" si="65"/>
        <v>1</v>
      </c>
      <c r="DA355" s="281">
        <f t="shared" si="66"/>
        <v>1.25</v>
      </c>
      <c r="DB355" s="281">
        <f t="shared" si="67"/>
        <v>1.55</v>
      </c>
      <c r="DD355" s="101">
        <f t="shared" si="68"/>
        <v>7.5360688839898535E-2</v>
      </c>
      <c r="DE355" s="101">
        <f t="shared" si="69"/>
        <v>0.15072137767979707</v>
      </c>
      <c r="DF355" s="101">
        <f t="shared" si="70"/>
        <v>0.22608206651969559</v>
      </c>
      <c r="DG355" s="41"/>
      <c r="DH355" s="282">
        <f t="shared" si="63"/>
        <v>46997</v>
      </c>
      <c r="DI355" s="318">
        <f t="shared" si="71"/>
        <v>0.9</v>
      </c>
    </row>
    <row r="356" spans="1:113" ht="13.8">
      <c r="A356" s="96">
        <f t="shared" ca="1" si="72"/>
        <v>47362</v>
      </c>
      <c r="B356" s="17">
        <f>'Gas Curves'!C360</f>
        <v>7.0028213938782002E-2</v>
      </c>
      <c r="C356" s="17"/>
      <c r="D356" s="22"/>
      <c r="E356" s="22"/>
      <c r="F356" s="22"/>
      <c r="G356" s="22"/>
      <c r="H356" s="22"/>
      <c r="I356" s="22"/>
      <c r="J356" s="22"/>
      <c r="K356" s="22"/>
      <c r="L356" s="22"/>
      <c r="M356" s="24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4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/>
      <c r="CP356"/>
      <c r="CQ356"/>
      <c r="CR356"/>
      <c r="CS356"/>
      <c r="CT356"/>
      <c r="CU356" s="2"/>
      <c r="CV356" s="27"/>
      <c r="CW356" s="41"/>
      <c r="CX356" s="41"/>
      <c r="CY356" s="282">
        <f t="shared" si="64"/>
        <v>47027</v>
      </c>
      <c r="CZ356" s="281">
        <f t="shared" si="65"/>
        <v>1</v>
      </c>
      <c r="DA356" s="281">
        <f t="shared" si="66"/>
        <v>1.25</v>
      </c>
      <c r="DB356" s="281">
        <f t="shared" si="67"/>
        <v>1.55</v>
      </c>
      <c r="DD356" s="101">
        <f t="shared" si="68"/>
        <v>6.5180008835647396E-2</v>
      </c>
      <c r="DE356" s="101">
        <f t="shared" si="69"/>
        <v>0.13036001767129479</v>
      </c>
      <c r="DF356" s="101">
        <f t="shared" si="70"/>
        <v>0.19554002650694219</v>
      </c>
      <c r="DG356" s="41"/>
      <c r="DH356" s="282">
        <f t="shared" si="63"/>
        <v>47027</v>
      </c>
      <c r="DI356" s="318">
        <f t="shared" si="71"/>
        <v>0.9</v>
      </c>
    </row>
    <row r="357" spans="1:113" ht="13.8">
      <c r="A357" s="96">
        <f t="shared" ca="1" si="72"/>
        <v>47392</v>
      </c>
      <c r="B357" s="17">
        <f>'Gas Curves'!C361</f>
        <v>7.0015565303015018E-2</v>
      </c>
      <c r="C357" s="17"/>
      <c r="D357" s="22"/>
      <c r="E357" s="22"/>
      <c r="F357" s="22"/>
      <c r="G357" s="22"/>
      <c r="H357" s="22"/>
      <c r="I357" s="22"/>
      <c r="J357" s="22"/>
      <c r="K357" s="22"/>
      <c r="L357" s="22"/>
      <c r="M357" s="24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4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/>
      <c r="CP357"/>
      <c r="CQ357"/>
      <c r="CR357"/>
      <c r="CS357"/>
      <c r="CT357"/>
      <c r="CU357" s="2"/>
      <c r="CV357" s="27"/>
      <c r="CW357" s="41"/>
      <c r="CX357" s="41"/>
      <c r="CY357" s="282">
        <f t="shared" si="64"/>
        <v>47058</v>
      </c>
      <c r="CZ357" s="281">
        <f t="shared" si="65"/>
        <v>1</v>
      </c>
      <c r="DA357" s="281">
        <f t="shared" si="66"/>
        <v>1.25</v>
      </c>
      <c r="DB357" s="281">
        <f t="shared" si="67"/>
        <v>1.55</v>
      </c>
      <c r="DD357" s="101">
        <f t="shared" si="68"/>
        <v>6.5180008835647396E-2</v>
      </c>
      <c r="DE357" s="101">
        <f t="shared" si="69"/>
        <v>0.13036001767129479</v>
      </c>
      <c r="DF357" s="101">
        <f t="shared" si="70"/>
        <v>0.19554002650694219</v>
      </c>
      <c r="DG357" s="41"/>
      <c r="DH357" s="282">
        <f t="shared" si="63"/>
        <v>47058</v>
      </c>
      <c r="DI357" s="318">
        <f t="shared" si="71"/>
        <v>0.9</v>
      </c>
    </row>
    <row r="358" spans="1:113" ht="13.8">
      <c r="A358" s="96">
        <f t="shared" ca="1" si="72"/>
        <v>47423</v>
      </c>
      <c r="B358" s="17">
        <f>'Gas Curves'!C362</f>
        <v>7.0003324687807011E-2</v>
      </c>
      <c r="C358" s="17"/>
      <c r="D358" s="22"/>
      <c r="E358" s="22"/>
      <c r="F358" s="22"/>
      <c r="G358" s="22"/>
      <c r="H358" s="22"/>
      <c r="I358" s="22"/>
      <c r="J358" s="22"/>
      <c r="K358" s="22"/>
      <c r="L358" s="22"/>
      <c r="M358" s="24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4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/>
      <c r="CP358"/>
      <c r="CQ358"/>
      <c r="CR358"/>
      <c r="CS358"/>
      <c r="CT358"/>
      <c r="CU358" s="2"/>
      <c r="CV358" s="27"/>
      <c r="CW358" s="41"/>
      <c r="CX358" s="41"/>
      <c r="CY358" s="282">
        <f t="shared" si="64"/>
        <v>47088</v>
      </c>
      <c r="CZ358" s="281">
        <f t="shared" si="65"/>
        <v>1</v>
      </c>
      <c r="DA358" s="281">
        <f t="shared" si="66"/>
        <v>1.25</v>
      </c>
      <c r="DB358" s="281">
        <f t="shared" si="67"/>
        <v>1.55</v>
      </c>
      <c r="DD358" s="101">
        <f t="shared" si="68"/>
        <v>6.3878884371445607E-2</v>
      </c>
      <c r="DE358" s="101">
        <f t="shared" si="69"/>
        <v>0.12775776874289121</v>
      </c>
      <c r="DF358" s="101">
        <f t="shared" si="70"/>
        <v>0.19163665311433681</v>
      </c>
      <c r="DG358" s="41"/>
      <c r="DH358" s="282">
        <f t="shared" si="63"/>
        <v>47088</v>
      </c>
      <c r="DI358" s="318">
        <f t="shared" si="71"/>
        <v>0.9</v>
      </c>
    </row>
    <row r="359" spans="1:113" ht="13.8">
      <c r="A359" s="96">
        <f t="shared" ca="1" si="72"/>
        <v>47453</v>
      </c>
      <c r="B359" s="17">
        <f>'Gas Curves'!C363</f>
        <v>6.9990676052143014E-2</v>
      </c>
      <c r="C359" s="17"/>
      <c r="D359" s="22"/>
      <c r="E359" s="22"/>
      <c r="F359" s="22"/>
      <c r="G359" s="22"/>
      <c r="H359" s="22"/>
      <c r="I359" s="22"/>
      <c r="J359" s="22"/>
      <c r="K359" s="22"/>
      <c r="L359" s="22"/>
      <c r="M359" s="24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4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/>
      <c r="CP359"/>
      <c r="CQ359"/>
      <c r="CR359"/>
      <c r="CS359"/>
      <c r="CT359"/>
      <c r="CU359" s="2"/>
      <c r="CV359" s="27"/>
      <c r="CW359" s="41"/>
      <c r="CX359" s="41"/>
      <c r="CY359" s="282">
        <f t="shared" si="64"/>
        <v>47119</v>
      </c>
      <c r="CZ359" s="281">
        <f t="shared" si="65"/>
        <v>1</v>
      </c>
      <c r="DA359" s="281">
        <f t="shared" si="66"/>
        <v>1.25</v>
      </c>
      <c r="DB359" s="281">
        <f t="shared" si="67"/>
        <v>1.55</v>
      </c>
      <c r="DD359" s="101">
        <f t="shared" si="68"/>
        <v>9.4265229575163478E-2</v>
      </c>
      <c r="DE359" s="101">
        <f t="shared" si="69"/>
        <v>0.18853045915032696</v>
      </c>
      <c r="DF359" s="101">
        <f t="shared" si="70"/>
        <v>0.28279568872549044</v>
      </c>
      <c r="DG359" s="41"/>
      <c r="DH359" s="282">
        <f t="shared" si="63"/>
        <v>47119</v>
      </c>
      <c r="DI359" s="318">
        <f t="shared" si="71"/>
        <v>0.9</v>
      </c>
    </row>
    <row r="360" spans="1:113" ht="13.8">
      <c r="A360" s="96">
        <f t="shared" ca="1" si="72"/>
        <v>47484</v>
      </c>
      <c r="B360" s="17">
        <f>'Gas Curves'!C364</f>
        <v>6.9978027416533015E-2</v>
      </c>
      <c r="C360" s="17"/>
      <c r="D360" s="22"/>
      <c r="E360" s="22"/>
      <c r="F360" s="22"/>
      <c r="G360" s="22"/>
      <c r="H360" s="22"/>
      <c r="I360" s="22"/>
      <c r="J360" s="22"/>
      <c r="K360" s="22"/>
      <c r="L360" s="22"/>
      <c r="M360" s="24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4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/>
      <c r="CP360"/>
      <c r="CQ360"/>
      <c r="CR360"/>
      <c r="CS360"/>
      <c r="CT360"/>
      <c r="CU360" s="2"/>
      <c r="CV360" s="27"/>
      <c r="CW360" s="41"/>
      <c r="CX360" s="41"/>
      <c r="CY360" s="282">
        <f t="shared" si="64"/>
        <v>47150</v>
      </c>
      <c r="CZ360" s="281">
        <f t="shared" si="65"/>
        <v>1</v>
      </c>
      <c r="DA360" s="281">
        <f t="shared" si="66"/>
        <v>1.25</v>
      </c>
      <c r="DB360" s="281">
        <f t="shared" si="67"/>
        <v>1.55</v>
      </c>
      <c r="DD360" s="101">
        <f t="shared" si="68"/>
        <v>9.1066609010736779E-2</v>
      </c>
      <c r="DE360" s="101">
        <f t="shared" si="69"/>
        <v>0.18213321802147356</v>
      </c>
      <c r="DF360" s="101">
        <f t="shared" si="70"/>
        <v>0.27319982703221035</v>
      </c>
      <c r="DG360" s="41"/>
      <c r="DH360" s="282">
        <f t="shared" si="63"/>
        <v>47150</v>
      </c>
      <c r="DI360" s="318">
        <f t="shared" si="71"/>
        <v>0.9</v>
      </c>
    </row>
    <row r="361" spans="1:113" ht="13.8">
      <c r="A361" s="96">
        <f t="shared" ca="1" si="72"/>
        <v>47515</v>
      </c>
      <c r="B361" s="17">
        <f>'Gas Curves'!C365</f>
        <v>6.9965786801477012E-2</v>
      </c>
      <c r="C361" s="17"/>
      <c r="D361" s="22"/>
      <c r="E361" s="22"/>
      <c r="F361" s="22"/>
      <c r="G361" s="22"/>
      <c r="H361" s="22"/>
      <c r="I361" s="22"/>
      <c r="J361" s="22"/>
      <c r="K361" s="22"/>
      <c r="L361" s="22"/>
      <c r="M361" s="24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4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/>
      <c r="CP361"/>
      <c r="CQ361"/>
      <c r="CR361"/>
      <c r="CS361"/>
      <c r="CT361"/>
      <c r="CU361" s="2"/>
      <c r="CV361" s="27"/>
      <c r="CW361" s="41"/>
      <c r="CX361" s="41"/>
      <c r="CY361" s="282">
        <f t="shared" si="64"/>
        <v>47178</v>
      </c>
      <c r="CZ361" s="281">
        <f t="shared" si="65"/>
        <v>1</v>
      </c>
      <c r="DA361" s="281">
        <f t="shared" si="66"/>
        <v>1.25</v>
      </c>
      <c r="DB361" s="281">
        <f t="shared" si="67"/>
        <v>1.55</v>
      </c>
      <c r="DD361" s="101">
        <f t="shared" si="68"/>
        <v>7.2193702379781163E-2</v>
      </c>
      <c r="DE361" s="101">
        <f t="shared" si="69"/>
        <v>0.14438740475956233</v>
      </c>
      <c r="DF361" s="101">
        <f t="shared" si="70"/>
        <v>0.21658110713934348</v>
      </c>
      <c r="DG361" s="41"/>
      <c r="DH361" s="282">
        <f t="shared" si="63"/>
        <v>47178</v>
      </c>
      <c r="DI361" s="318">
        <f t="shared" si="71"/>
        <v>0.9</v>
      </c>
    </row>
    <row r="362" spans="1:113" ht="13.8">
      <c r="A362" s="96">
        <f t="shared" ca="1" si="72"/>
        <v>47543</v>
      </c>
      <c r="B362" s="17">
        <f>'Gas Curves'!C366</f>
        <v>6.9953138165971013E-2</v>
      </c>
      <c r="C362" s="17"/>
      <c r="D362" s="22"/>
      <c r="E362" s="22"/>
      <c r="F362" s="22"/>
      <c r="G362" s="22"/>
      <c r="H362" s="22"/>
      <c r="I362" s="22"/>
      <c r="J362" s="22"/>
      <c r="K362" s="22"/>
      <c r="L362" s="22"/>
      <c r="M362" s="24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4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/>
      <c r="CP362"/>
      <c r="CQ362"/>
      <c r="CR362"/>
      <c r="CS362"/>
      <c r="CT362"/>
      <c r="CU362" s="2"/>
      <c r="CV362" s="27"/>
      <c r="CW362" s="41"/>
      <c r="CX362" s="41"/>
      <c r="CY362" s="282">
        <f t="shared" si="64"/>
        <v>47209</v>
      </c>
      <c r="CZ362" s="281">
        <f t="shared" si="65"/>
        <v>0</v>
      </c>
      <c r="DA362" s="281">
        <f t="shared" si="66"/>
        <v>0</v>
      </c>
      <c r="DB362" s="281">
        <f t="shared" si="67"/>
        <v>0</v>
      </c>
      <c r="DD362" s="101">
        <f t="shared" si="68"/>
        <v>0</v>
      </c>
      <c r="DE362" s="101">
        <f t="shared" si="69"/>
        <v>0</v>
      </c>
      <c r="DF362" s="101">
        <f t="shared" si="70"/>
        <v>0</v>
      </c>
      <c r="DG362" s="41"/>
      <c r="DH362" s="282">
        <f t="shared" si="63"/>
        <v>47209</v>
      </c>
      <c r="DI362" s="318">
        <f t="shared" si="71"/>
        <v>0</v>
      </c>
    </row>
    <row r="363" spans="1:113" ht="13.8">
      <c r="A363" s="96">
        <f t="shared" ca="1" si="72"/>
        <v>47574</v>
      </c>
      <c r="B363" s="17">
        <f>'Gas Curves'!C367</f>
        <v>6.9940897551016012E-2</v>
      </c>
      <c r="C363" s="17"/>
      <c r="D363" s="22"/>
      <c r="E363" s="22"/>
      <c r="F363" s="22"/>
      <c r="G363" s="22"/>
      <c r="H363" s="22"/>
      <c r="I363" s="22"/>
      <c r="J363" s="22"/>
      <c r="K363" s="22"/>
      <c r="L363" s="22"/>
      <c r="M363" s="24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4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/>
      <c r="CP363"/>
      <c r="CQ363"/>
      <c r="CR363"/>
      <c r="CS363"/>
      <c r="CT363"/>
      <c r="CU363" s="2"/>
      <c r="CV363" s="27"/>
      <c r="CW363" s="41"/>
      <c r="CX363" s="41"/>
      <c r="CY363" s="282">
        <f t="shared" si="64"/>
        <v>47239</v>
      </c>
      <c r="CZ363" s="281">
        <f t="shared" si="65"/>
        <v>1</v>
      </c>
      <c r="DA363" s="281">
        <f t="shared" si="66"/>
        <v>1.25</v>
      </c>
      <c r="DB363" s="281">
        <f t="shared" si="67"/>
        <v>1.55</v>
      </c>
      <c r="DD363" s="101">
        <f t="shared" si="68"/>
        <v>7.9836777060086975E-2</v>
      </c>
      <c r="DE363" s="101">
        <f t="shared" si="69"/>
        <v>0.15967355412017395</v>
      </c>
      <c r="DF363" s="101">
        <f t="shared" si="70"/>
        <v>0.23951033118026094</v>
      </c>
      <c r="DG363" s="41"/>
      <c r="DH363" s="282">
        <f t="shared" si="63"/>
        <v>47239</v>
      </c>
      <c r="DI363" s="318">
        <f t="shared" si="71"/>
        <v>0.9</v>
      </c>
    </row>
    <row r="364" spans="1:113" ht="13.8">
      <c r="A364" s="96">
        <f t="shared" ca="1" si="72"/>
        <v>47604</v>
      </c>
      <c r="B364" s="17">
        <f>'Gas Curves'!C368</f>
        <v>6.9928248915614E-2</v>
      </c>
      <c r="C364" s="17"/>
      <c r="D364" s="22"/>
      <c r="E364" s="22"/>
      <c r="F364" s="22"/>
      <c r="G364" s="22"/>
      <c r="H364" s="22"/>
      <c r="I364" s="22"/>
      <c r="J364" s="22"/>
      <c r="K364" s="22"/>
      <c r="L364" s="22"/>
      <c r="M364" s="24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4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/>
      <c r="CP364"/>
      <c r="CQ364"/>
      <c r="CR364"/>
      <c r="CS364"/>
      <c r="CT364"/>
      <c r="CU364" s="2"/>
      <c r="CV364" s="27"/>
      <c r="CW364" s="41"/>
      <c r="CX364" s="41"/>
      <c r="CY364" s="282">
        <f t="shared" si="64"/>
        <v>47270</v>
      </c>
      <c r="CZ364" s="281">
        <f t="shared" si="65"/>
        <v>1</v>
      </c>
      <c r="DA364" s="281">
        <f t="shared" si="66"/>
        <v>1.25</v>
      </c>
      <c r="DB364" s="281">
        <f t="shared" si="67"/>
        <v>1.55</v>
      </c>
      <c r="DD364" s="101">
        <f t="shared" si="68"/>
        <v>8.5380172451755984E-2</v>
      </c>
      <c r="DE364" s="101">
        <f t="shared" si="69"/>
        <v>0.17076034490351197</v>
      </c>
      <c r="DF364" s="101">
        <f t="shared" si="70"/>
        <v>0.25614051735526794</v>
      </c>
      <c r="DG364" s="41"/>
      <c r="DH364" s="282">
        <f t="shared" si="63"/>
        <v>47270</v>
      </c>
      <c r="DI364" s="318">
        <f t="shared" si="71"/>
        <v>0.9</v>
      </c>
    </row>
    <row r="365" spans="1:113" ht="13.8">
      <c r="A365" s="96">
        <f t="shared" ca="1" si="72"/>
        <v>47635</v>
      </c>
      <c r="B365" s="17">
        <f>'Gas Curves'!C369</f>
        <v>6.9915600280264015E-2</v>
      </c>
      <c r="C365" s="17"/>
      <c r="D365" s="22"/>
      <c r="E365" s="22"/>
      <c r="F365" s="22"/>
      <c r="G365" s="22"/>
      <c r="H365" s="22"/>
      <c r="I365" s="22"/>
      <c r="J365" s="22"/>
      <c r="K365" s="22"/>
      <c r="L365" s="22"/>
      <c r="M365" s="24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4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/>
      <c r="CP365"/>
      <c r="CQ365"/>
      <c r="CR365"/>
      <c r="CS365"/>
      <c r="CT365"/>
      <c r="CU365" s="2"/>
      <c r="CV365" s="27"/>
      <c r="CW365" s="41"/>
      <c r="CX365" s="41"/>
      <c r="CY365" s="282">
        <f t="shared" si="64"/>
        <v>47300</v>
      </c>
      <c r="CZ365" s="281">
        <f t="shared" si="65"/>
        <v>1</v>
      </c>
      <c r="DA365" s="281">
        <f t="shared" si="66"/>
        <v>1.25</v>
      </c>
      <c r="DB365" s="281">
        <f t="shared" si="67"/>
        <v>1.55</v>
      </c>
      <c r="DD365" s="101">
        <f t="shared" si="68"/>
        <v>0.101692367108662</v>
      </c>
      <c r="DE365" s="101">
        <f t="shared" si="69"/>
        <v>0.203384734217324</v>
      </c>
      <c r="DF365" s="101">
        <f t="shared" si="70"/>
        <v>0.30507710132598598</v>
      </c>
      <c r="DG365" s="41"/>
      <c r="DH365" s="282">
        <f t="shared" si="63"/>
        <v>47300</v>
      </c>
      <c r="DI365" s="318">
        <f t="shared" si="71"/>
        <v>0.9</v>
      </c>
    </row>
    <row r="366" spans="1:113" ht="13.8">
      <c r="A366" s="96">
        <f t="shared" ca="1" si="72"/>
        <v>47665</v>
      </c>
      <c r="B366" s="17">
        <f>'Gas Curves'!C370</f>
        <v>6.9904175706446026E-2</v>
      </c>
      <c r="C366" s="17"/>
      <c r="D366" s="22"/>
      <c r="E366" s="22"/>
      <c r="F366" s="22"/>
      <c r="G366" s="22"/>
      <c r="H366" s="22"/>
      <c r="I366" s="22"/>
      <c r="J366" s="22"/>
      <c r="K366" s="22"/>
      <c r="L366" s="22"/>
      <c r="M366" s="24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4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/>
      <c r="CP366"/>
      <c r="CQ366"/>
      <c r="CR366"/>
      <c r="CS366"/>
      <c r="CT366"/>
      <c r="CU366" s="2"/>
      <c r="CV366" s="27"/>
      <c r="CW366" s="41"/>
      <c r="CX366" s="41"/>
      <c r="CY366" s="282">
        <f t="shared" si="64"/>
        <v>47331</v>
      </c>
      <c r="CZ366" s="281">
        <f t="shared" si="65"/>
        <v>1</v>
      </c>
      <c r="DA366" s="281">
        <f t="shared" si="66"/>
        <v>1.25</v>
      </c>
      <c r="DB366" s="281">
        <f t="shared" si="67"/>
        <v>1.55</v>
      </c>
      <c r="DD366" s="101">
        <f t="shared" si="68"/>
        <v>9.9464225848612461E-2</v>
      </c>
      <c r="DE366" s="101">
        <f t="shared" si="69"/>
        <v>0.19892845169722492</v>
      </c>
      <c r="DF366" s="101">
        <f t="shared" si="70"/>
        <v>0.29839267754583737</v>
      </c>
      <c r="DG366" s="41"/>
      <c r="DH366" s="282">
        <f t="shared" si="63"/>
        <v>47331</v>
      </c>
      <c r="DI366" s="318">
        <f t="shared" si="71"/>
        <v>0.9</v>
      </c>
    </row>
    <row r="367" spans="1:113" ht="13.8">
      <c r="A367" s="96">
        <f t="shared" ca="1" si="72"/>
        <v>47696</v>
      </c>
      <c r="B367" s="17">
        <f>'Gas Curves'!C371</f>
        <v>6.9891527071198015E-2</v>
      </c>
      <c r="C367" s="17"/>
      <c r="D367" s="22"/>
      <c r="E367" s="22"/>
      <c r="F367" s="22"/>
      <c r="G367" s="22"/>
      <c r="H367" s="22"/>
      <c r="I367" s="22"/>
      <c r="J367" s="22"/>
      <c r="K367" s="22"/>
      <c r="L367" s="22"/>
      <c r="M367" s="24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4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/>
      <c r="CP367"/>
      <c r="CQ367"/>
      <c r="CR367"/>
      <c r="CS367"/>
      <c r="CT367"/>
      <c r="CU367" s="2"/>
      <c r="CV367" s="27"/>
      <c r="CW367" s="41"/>
      <c r="CX367" s="41"/>
      <c r="CY367" s="282">
        <f t="shared" si="64"/>
        <v>47362</v>
      </c>
      <c r="CZ367" s="281">
        <f t="shared" si="65"/>
        <v>1</v>
      </c>
      <c r="DA367" s="281">
        <f t="shared" si="66"/>
        <v>1.25</v>
      </c>
      <c r="DB367" s="281">
        <f t="shared" si="67"/>
        <v>1.55</v>
      </c>
      <c r="DD367" s="101">
        <f t="shared" si="68"/>
        <v>7.5360688839898535E-2</v>
      </c>
      <c r="DE367" s="101">
        <f t="shared" si="69"/>
        <v>0.15072137767979707</v>
      </c>
      <c r="DF367" s="101">
        <f t="shared" si="70"/>
        <v>0.22608206651969559</v>
      </c>
      <c r="DG367" s="41"/>
      <c r="DH367" s="282">
        <f t="shared" si="63"/>
        <v>47362</v>
      </c>
      <c r="DI367" s="318">
        <f t="shared" si="71"/>
        <v>0.9</v>
      </c>
    </row>
    <row r="368" spans="1:113" ht="13.8">
      <c r="A368" s="96">
        <f t="shared" ca="1" si="72"/>
        <v>47727</v>
      </c>
      <c r="B368" s="17">
        <f>'Gas Curves'!C372</f>
        <v>6.9879286456492024E-2</v>
      </c>
      <c r="C368" s="17"/>
      <c r="D368" s="22"/>
      <c r="E368" s="22"/>
      <c r="F368" s="22"/>
      <c r="G368" s="22"/>
      <c r="H368" s="22"/>
      <c r="I368" s="22"/>
      <c r="J368" s="22"/>
      <c r="K368" s="22"/>
      <c r="L368" s="22"/>
      <c r="M368" s="24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4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/>
      <c r="CP368"/>
      <c r="CQ368"/>
      <c r="CR368"/>
      <c r="CS368"/>
      <c r="CT368"/>
      <c r="CU368" s="2"/>
      <c r="CV368" s="27"/>
      <c r="CW368" s="41"/>
      <c r="CX368" s="41"/>
      <c r="CY368" s="282">
        <f t="shared" si="64"/>
        <v>47392</v>
      </c>
      <c r="CZ368" s="281">
        <f t="shared" si="65"/>
        <v>1</v>
      </c>
      <c r="DA368" s="281">
        <f t="shared" si="66"/>
        <v>1.25</v>
      </c>
      <c r="DB368" s="281">
        <f t="shared" si="67"/>
        <v>1.55</v>
      </c>
      <c r="DD368" s="101">
        <f t="shared" si="68"/>
        <v>6.5180008835647396E-2</v>
      </c>
      <c r="DE368" s="101">
        <f t="shared" si="69"/>
        <v>0.13036001767129479</v>
      </c>
      <c r="DF368" s="101">
        <f t="shared" si="70"/>
        <v>0.19554002650694219</v>
      </c>
      <c r="DG368" s="41"/>
      <c r="DH368" s="282">
        <f t="shared" si="63"/>
        <v>47392</v>
      </c>
      <c r="DI368" s="318">
        <f t="shared" si="71"/>
        <v>0.9</v>
      </c>
    </row>
    <row r="369" spans="1:113" ht="13.8">
      <c r="A369" s="96">
        <f t="shared" ca="1" si="72"/>
        <v>47757</v>
      </c>
      <c r="B369" s="17">
        <f>'Gas Curves'!C373</f>
        <v>6.9866637821347E-2</v>
      </c>
      <c r="C369" s="17"/>
      <c r="D369" s="22"/>
      <c r="E369" s="22"/>
      <c r="F369" s="22"/>
      <c r="G369" s="22"/>
      <c r="H369" s="22"/>
      <c r="I369" s="22"/>
      <c r="J369" s="22"/>
      <c r="K369" s="22"/>
      <c r="L369" s="22"/>
      <c r="M369" s="24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4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/>
      <c r="CP369"/>
      <c r="CQ369"/>
      <c r="CR369"/>
      <c r="CS369"/>
      <c r="CT369"/>
      <c r="CU369" s="2"/>
      <c r="CV369" s="27"/>
      <c r="CW369" s="41"/>
      <c r="CX369" s="41"/>
      <c r="CY369" s="282">
        <f t="shared" si="64"/>
        <v>47423</v>
      </c>
      <c r="CZ369" s="281">
        <f t="shared" si="65"/>
        <v>1</v>
      </c>
      <c r="DA369" s="281">
        <f t="shared" si="66"/>
        <v>1.25</v>
      </c>
      <c r="DB369" s="281">
        <f t="shared" si="67"/>
        <v>1.55</v>
      </c>
      <c r="DD369" s="101">
        <f t="shared" si="68"/>
        <v>6.5180008835647396E-2</v>
      </c>
      <c r="DE369" s="101">
        <f t="shared" si="69"/>
        <v>0.13036001767129479</v>
      </c>
      <c r="DF369" s="101">
        <f t="shared" si="70"/>
        <v>0.19554002650694219</v>
      </c>
      <c r="DG369" s="41"/>
      <c r="DH369" s="282">
        <f t="shared" si="63"/>
        <v>47423</v>
      </c>
      <c r="DI369" s="318">
        <f t="shared" si="71"/>
        <v>0.9</v>
      </c>
    </row>
    <row r="370" spans="1:113" ht="13.8">
      <c r="A370" s="96">
        <f t="shared" ca="1" si="72"/>
        <v>47788</v>
      </c>
      <c r="B370" s="17">
        <f>'Gas Curves'!C374</f>
        <v>6.9854397206741997E-2</v>
      </c>
      <c r="C370" s="17"/>
      <c r="D370" s="22"/>
      <c r="E370" s="22"/>
      <c r="F370" s="22"/>
      <c r="G370" s="22"/>
      <c r="H370" s="22"/>
      <c r="I370" s="22"/>
      <c r="J370" s="22"/>
      <c r="K370" s="22"/>
      <c r="L370" s="22"/>
      <c r="M370" s="24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4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/>
      <c r="CP370"/>
      <c r="CQ370"/>
      <c r="CR370"/>
      <c r="CS370"/>
      <c r="CT370"/>
      <c r="CU370" s="2"/>
      <c r="CV370" s="27"/>
      <c r="CW370" s="41"/>
      <c r="CX370" s="41"/>
      <c r="CY370" s="282">
        <f t="shared" si="64"/>
        <v>47453</v>
      </c>
      <c r="CZ370" s="281">
        <f t="shared" si="65"/>
        <v>1</v>
      </c>
      <c r="DA370" s="281">
        <f t="shared" si="66"/>
        <v>1.25</v>
      </c>
      <c r="DB370" s="281">
        <f t="shared" si="67"/>
        <v>1.55</v>
      </c>
      <c r="DD370" s="101">
        <f t="shared" si="68"/>
        <v>6.3878884371445607E-2</v>
      </c>
      <c r="DE370" s="101">
        <f t="shared" si="69"/>
        <v>0.12775776874289121</v>
      </c>
      <c r="DF370" s="101">
        <f t="shared" si="70"/>
        <v>0.19163665311433681</v>
      </c>
      <c r="DG370" s="41"/>
      <c r="DH370" s="282">
        <f t="shared" si="63"/>
        <v>47453</v>
      </c>
      <c r="DI370" s="318">
        <f t="shared" si="71"/>
        <v>0.9</v>
      </c>
    </row>
    <row r="371" spans="1:113" ht="13.8">
      <c r="A371" s="96">
        <f t="shared" ca="1" si="72"/>
        <v>47818</v>
      </c>
      <c r="B371" s="17">
        <f>'Gas Curves'!C375</f>
        <v>6.9841748571701986E-2</v>
      </c>
      <c r="C371" s="17"/>
      <c r="D371" s="22"/>
      <c r="E371" s="22"/>
      <c r="F371" s="22"/>
      <c r="G371" s="22"/>
      <c r="H371" s="22"/>
      <c r="I371" s="22"/>
      <c r="J371" s="22"/>
      <c r="K371" s="22"/>
      <c r="L371" s="22"/>
      <c r="M371" s="24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4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/>
      <c r="CP371"/>
      <c r="CQ371"/>
      <c r="CR371"/>
      <c r="CS371"/>
      <c r="CT371"/>
      <c r="CU371" s="2"/>
      <c r="CV371" s="27"/>
      <c r="CW371" s="41"/>
      <c r="CX371" s="41"/>
      <c r="CY371" s="282">
        <f t="shared" si="64"/>
        <v>47484</v>
      </c>
      <c r="CZ371" s="281">
        <f t="shared" si="65"/>
        <v>1</v>
      </c>
      <c r="DA371" s="281">
        <f t="shared" si="66"/>
        <v>1.25</v>
      </c>
      <c r="DB371" s="281">
        <f t="shared" si="67"/>
        <v>1.55</v>
      </c>
      <c r="DD371" s="101">
        <f t="shared" si="68"/>
        <v>9.4265229575163478E-2</v>
      </c>
      <c r="DE371" s="101">
        <f t="shared" si="69"/>
        <v>0.18853045915032696</v>
      </c>
      <c r="DF371" s="101">
        <f t="shared" si="70"/>
        <v>0.28279568872549044</v>
      </c>
      <c r="DG371" s="41"/>
      <c r="DH371" s="282">
        <f t="shared" ref="DH371:DH402" si="73">IF(BH371=0,EOMONTH(DH370,0)+1,BH371)</f>
        <v>47484</v>
      </c>
      <c r="DI371" s="318">
        <f t="shared" si="71"/>
        <v>0.9</v>
      </c>
    </row>
    <row r="372" spans="1:113" ht="13.8">
      <c r="A372" s="96">
        <f t="shared" ca="1" si="72"/>
        <v>47849</v>
      </c>
      <c r="B372" s="17">
        <f>'Gas Curves'!C376</f>
        <v>6.9829099936715003E-2</v>
      </c>
      <c r="C372" s="17"/>
      <c r="D372" s="22"/>
      <c r="E372" s="22"/>
      <c r="F372" s="22"/>
      <c r="G372" s="22"/>
      <c r="H372" s="22"/>
      <c r="I372" s="22"/>
      <c r="J372" s="22"/>
      <c r="K372" s="22"/>
      <c r="L372" s="22"/>
      <c r="M372" s="24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4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/>
      <c r="CP372"/>
      <c r="CQ372"/>
      <c r="CR372"/>
      <c r="CS372"/>
      <c r="CT372"/>
      <c r="CU372" s="2"/>
      <c r="CV372" s="27"/>
      <c r="CW372" s="41"/>
      <c r="CX372" s="41"/>
      <c r="CY372" s="282">
        <f t="shared" ref="CY372:CY402" si="74">EOMONTH(CY371,0)+1</f>
        <v>47515</v>
      </c>
      <c r="CZ372" s="281">
        <f t="shared" si="65"/>
        <v>1</v>
      </c>
      <c r="DA372" s="281">
        <f t="shared" si="66"/>
        <v>1.25</v>
      </c>
      <c r="DB372" s="281">
        <f t="shared" si="67"/>
        <v>1.55</v>
      </c>
      <c r="DD372" s="101">
        <f t="shared" si="68"/>
        <v>9.1066609010736779E-2</v>
      </c>
      <c r="DE372" s="101">
        <f t="shared" si="69"/>
        <v>0.18213321802147356</v>
      </c>
      <c r="DF372" s="101">
        <f t="shared" si="70"/>
        <v>0.27319982703221035</v>
      </c>
      <c r="DG372" s="41"/>
      <c r="DH372" s="282">
        <f t="shared" si="73"/>
        <v>47515</v>
      </c>
      <c r="DI372" s="318">
        <f t="shared" si="71"/>
        <v>0.9</v>
      </c>
    </row>
    <row r="373" spans="1:113" ht="13.8">
      <c r="B373" s="17"/>
      <c r="C373" s="13"/>
      <c r="D373" s="22"/>
      <c r="E373" s="22"/>
      <c r="F373" s="22"/>
      <c r="G373" s="22"/>
      <c r="H373" s="22"/>
      <c r="I373" s="22"/>
      <c r="J373" s="22"/>
      <c r="K373" s="22"/>
      <c r="L373" s="22"/>
      <c r="M373" s="24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4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/>
      <c r="CP373"/>
      <c r="CQ373"/>
      <c r="CR373"/>
      <c r="CS373"/>
      <c r="CT373"/>
      <c r="CU373" s="2"/>
      <c r="CV373" s="27"/>
      <c r="CW373" s="41"/>
      <c r="CX373" s="41"/>
      <c r="CY373" s="282">
        <f t="shared" si="74"/>
        <v>47543</v>
      </c>
      <c r="CZ373" s="281">
        <f t="shared" si="65"/>
        <v>1</v>
      </c>
      <c r="DA373" s="281">
        <f t="shared" si="66"/>
        <v>1.25</v>
      </c>
      <c r="DB373" s="281">
        <f t="shared" si="67"/>
        <v>1.55</v>
      </c>
      <c r="DD373" s="101">
        <f t="shared" si="68"/>
        <v>7.2193702379781163E-2</v>
      </c>
      <c r="DE373" s="101">
        <f t="shared" si="69"/>
        <v>0.14438740475956233</v>
      </c>
      <c r="DF373" s="101">
        <f t="shared" si="70"/>
        <v>0.21658110713934348</v>
      </c>
      <c r="DG373" s="41"/>
      <c r="DH373" s="282">
        <f t="shared" si="73"/>
        <v>47543</v>
      </c>
      <c r="DI373" s="318">
        <f t="shared" si="71"/>
        <v>0.9</v>
      </c>
    </row>
    <row r="374" spans="1:113" ht="13.8">
      <c r="B374" s="17"/>
      <c r="C374" s="13"/>
      <c r="D374" s="22"/>
      <c r="E374" s="22"/>
      <c r="F374" s="22"/>
      <c r="G374" s="22"/>
      <c r="H374" s="22"/>
      <c r="I374" s="22"/>
      <c r="J374" s="22"/>
      <c r="K374" s="22"/>
      <c r="L374" s="22"/>
      <c r="M374" s="24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4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/>
      <c r="CP374"/>
      <c r="CQ374"/>
      <c r="CR374"/>
      <c r="CS374"/>
      <c r="CT374"/>
      <c r="CU374" s="2"/>
      <c r="CV374" s="27"/>
      <c r="CW374" s="41"/>
      <c r="CX374" s="41"/>
      <c r="CY374" s="282">
        <f t="shared" si="74"/>
        <v>47574</v>
      </c>
      <c r="CZ374" s="281">
        <f t="shared" si="65"/>
        <v>0</v>
      </c>
      <c r="DA374" s="281">
        <f t="shared" si="66"/>
        <v>0</v>
      </c>
      <c r="DB374" s="281">
        <f t="shared" si="67"/>
        <v>0</v>
      </c>
      <c r="DD374" s="101">
        <f t="shared" si="68"/>
        <v>0</v>
      </c>
      <c r="DE374" s="101">
        <f t="shared" si="69"/>
        <v>0</v>
      </c>
      <c r="DF374" s="101">
        <f t="shared" si="70"/>
        <v>0</v>
      </c>
      <c r="DG374" s="41"/>
      <c r="DH374" s="282">
        <f t="shared" si="73"/>
        <v>47574</v>
      </c>
      <c r="DI374" s="318">
        <f t="shared" si="71"/>
        <v>0</v>
      </c>
    </row>
    <row r="375" spans="1:113" ht="13.8">
      <c r="B375" s="17"/>
      <c r="C375" s="13"/>
      <c r="D375" s="22"/>
      <c r="E375" s="22"/>
      <c r="F375" s="22"/>
      <c r="G375" s="22"/>
      <c r="H375" s="22"/>
      <c r="I375" s="22"/>
      <c r="J375" s="22"/>
      <c r="K375" s="22"/>
      <c r="L375" s="22"/>
      <c r="M375" s="24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4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/>
      <c r="CP375"/>
      <c r="CQ375"/>
      <c r="CR375"/>
      <c r="CS375"/>
      <c r="CT375"/>
      <c r="CU375" s="2"/>
      <c r="CV375" s="27"/>
      <c r="CW375" s="41"/>
      <c r="CX375" s="41"/>
      <c r="CY375" s="282">
        <f t="shared" si="74"/>
        <v>47604</v>
      </c>
      <c r="CZ375" s="281">
        <f t="shared" si="65"/>
        <v>1</v>
      </c>
      <c r="DA375" s="281">
        <f t="shared" si="66"/>
        <v>1.25</v>
      </c>
      <c r="DB375" s="281">
        <f t="shared" si="67"/>
        <v>1.55</v>
      </c>
      <c r="DD375" s="101">
        <f t="shared" si="68"/>
        <v>7.9836777060086975E-2</v>
      </c>
      <c r="DE375" s="101">
        <f t="shared" si="69"/>
        <v>0.15967355412017395</v>
      </c>
      <c r="DF375" s="101">
        <f t="shared" si="70"/>
        <v>0.23951033118026094</v>
      </c>
      <c r="DG375" s="41"/>
      <c r="DH375" s="282">
        <f t="shared" si="73"/>
        <v>47604</v>
      </c>
      <c r="DI375" s="318">
        <f t="shared" si="71"/>
        <v>0.9</v>
      </c>
    </row>
    <row r="376" spans="1:113" ht="13.8">
      <c r="B376" s="17"/>
      <c r="C376" s="13"/>
      <c r="D376" s="22"/>
      <c r="E376" s="22"/>
      <c r="F376" s="22"/>
      <c r="G376" s="22"/>
      <c r="H376" s="22"/>
      <c r="I376" s="22"/>
      <c r="J376" s="22"/>
      <c r="K376" s="22"/>
      <c r="L376" s="22"/>
      <c r="M376" s="24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4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/>
      <c r="CP376"/>
      <c r="CQ376"/>
      <c r="CR376"/>
      <c r="CS376"/>
      <c r="CT376"/>
      <c r="CU376" s="2"/>
      <c r="CV376" s="27"/>
      <c r="CW376" s="41"/>
      <c r="CX376" s="41"/>
      <c r="CY376" s="282">
        <f t="shared" si="74"/>
        <v>47635</v>
      </c>
      <c r="CZ376" s="281">
        <f t="shared" si="65"/>
        <v>1</v>
      </c>
      <c r="DA376" s="281">
        <f t="shared" si="66"/>
        <v>1.25</v>
      </c>
      <c r="DB376" s="281">
        <f t="shared" si="67"/>
        <v>1.55</v>
      </c>
      <c r="DD376" s="101">
        <f t="shared" si="68"/>
        <v>8.5380172451755984E-2</v>
      </c>
      <c r="DE376" s="101">
        <f t="shared" si="69"/>
        <v>0.17076034490351197</v>
      </c>
      <c r="DF376" s="101">
        <f t="shared" si="70"/>
        <v>0.25614051735526794</v>
      </c>
      <c r="DG376" s="41"/>
      <c r="DH376" s="282">
        <f t="shared" si="73"/>
        <v>47635</v>
      </c>
      <c r="DI376" s="318">
        <f t="shared" si="71"/>
        <v>0.9</v>
      </c>
    </row>
    <row r="377" spans="1:113" ht="13.8">
      <c r="B377" s="17"/>
      <c r="C377" s="13"/>
      <c r="D377" s="22"/>
      <c r="E377" s="22"/>
      <c r="F377" s="22"/>
      <c r="G377" s="22"/>
      <c r="H377" s="22"/>
      <c r="I377" s="22"/>
      <c r="J377" s="22"/>
      <c r="K377" s="22"/>
      <c r="L377" s="22"/>
      <c r="M377" s="24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4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/>
      <c r="CP377"/>
      <c r="CQ377"/>
      <c r="CR377"/>
      <c r="CS377"/>
      <c r="CT377"/>
      <c r="CU377" s="2"/>
      <c r="CV377" s="27"/>
      <c r="CW377" s="41"/>
      <c r="CX377" s="41"/>
      <c r="CY377" s="282">
        <f t="shared" si="74"/>
        <v>47665</v>
      </c>
      <c r="CZ377" s="281">
        <f t="shared" si="65"/>
        <v>1</v>
      </c>
      <c r="DA377" s="281">
        <f t="shared" si="66"/>
        <v>1.25</v>
      </c>
      <c r="DB377" s="281">
        <f t="shared" si="67"/>
        <v>1.55</v>
      </c>
      <c r="DD377" s="101">
        <f t="shared" si="68"/>
        <v>0.101692367108662</v>
      </c>
      <c r="DE377" s="101">
        <f t="shared" si="69"/>
        <v>0.203384734217324</v>
      </c>
      <c r="DF377" s="101">
        <f t="shared" si="70"/>
        <v>0.30507710132598598</v>
      </c>
      <c r="DG377" s="41"/>
      <c r="DH377" s="282">
        <f t="shared" si="73"/>
        <v>47665</v>
      </c>
      <c r="DI377" s="318">
        <f t="shared" si="71"/>
        <v>0.9</v>
      </c>
    </row>
    <row r="378" spans="1:113" ht="13.8">
      <c r="B378" s="17"/>
      <c r="C378" s="13"/>
      <c r="D378" s="22"/>
      <c r="E378" s="22"/>
      <c r="F378" s="22"/>
      <c r="G378" s="22"/>
      <c r="H378" s="22"/>
      <c r="I378" s="22"/>
      <c r="J378" s="22"/>
      <c r="K378" s="22"/>
      <c r="L378" s="22"/>
      <c r="M378" s="24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4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/>
      <c r="CP378"/>
      <c r="CQ378"/>
      <c r="CR378"/>
      <c r="CS378"/>
      <c r="CT378"/>
      <c r="CU378" s="2"/>
      <c r="CV378" s="27"/>
      <c r="CW378" s="41"/>
      <c r="CX378" s="41"/>
      <c r="CY378" s="282">
        <f t="shared" si="74"/>
        <v>47696</v>
      </c>
      <c r="CZ378" s="281">
        <f t="shared" si="65"/>
        <v>1</v>
      </c>
      <c r="DA378" s="281">
        <f t="shared" si="66"/>
        <v>1.25</v>
      </c>
      <c r="DB378" s="281">
        <f t="shared" si="67"/>
        <v>1.55</v>
      </c>
      <c r="DD378" s="101">
        <f t="shared" si="68"/>
        <v>9.9464225848612461E-2</v>
      </c>
      <c r="DE378" s="101">
        <f t="shared" si="69"/>
        <v>0.19892845169722492</v>
      </c>
      <c r="DF378" s="101">
        <f t="shared" si="70"/>
        <v>0.29839267754583737</v>
      </c>
      <c r="DG378" s="41"/>
      <c r="DH378" s="282">
        <f t="shared" si="73"/>
        <v>47696</v>
      </c>
      <c r="DI378" s="318">
        <f t="shared" si="71"/>
        <v>0.9</v>
      </c>
    </row>
    <row r="379" spans="1:113" ht="13.8">
      <c r="B379" s="17"/>
      <c r="C379" s="13"/>
      <c r="D379" s="22"/>
      <c r="E379" s="22"/>
      <c r="F379" s="22"/>
      <c r="G379" s="22"/>
      <c r="H379" s="22"/>
      <c r="I379" s="22"/>
      <c r="J379" s="22"/>
      <c r="K379" s="22"/>
      <c r="L379" s="22"/>
      <c r="M379" s="24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4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/>
      <c r="CP379"/>
      <c r="CQ379"/>
      <c r="CR379"/>
      <c r="CS379"/>
      <c r="CT379"/>
      <c r="CU379" s="2"/>
      <c r="CV379" s="27"/>
      <c r="CW379" s="41"/>
      <c r="CX379" s="41"/>
      <c r="CY379" s="282">
        <f t="shared" si="74"/>
        <v>47727</v>
      </c>
      <c r="CZ379" s="281">
        <f t="shared" si="65"/>
        <v>1</v>
      </c>
      <c r="DA379" s="281">
        <f t="shared" si="66"/>
        <v>1.25</v>
      </c>
      <c r="DB379" s="281">
        <f t="shared" si="67"/>
        <v>1.55</v>
      </c>
      <c r="DD379" s="101">
        <f t="shared" si="68"/>
        <v>7.5360688839898535E-2</v>
      </c>
      <c r="DE379" s="101">
        <f t="shared" si="69"/>
        <v>0.15072137767979707</v>
      </c>
      <c r="DF379" s="101">
        <f t="shared" si="70"/>
        <v>0.22608206651969559</v>
      </c>
      <c r="DG379" s="41"/>
      <c r="DH379" s="282">
        <f t="shared" si="73"/>
        <v>47727</v>
      </c>
      <c r="DI379" s="318">
        <f t="shared" si="71"/>
        <v>0.9</v>
      </c>
    </row>
    <row r="380" spans="1:113" ht="13.8">
      <c r="B380" s="17"/>
      <c r="C380" s="13"/>
      <c r="D380" s="22"/>
      <c r="E380" s="22"/>
      <c r="F380" s="22"/>
      <c r="G380" s="22"/>
      <c r="H380" s="22"/>
      <c r="I380" s="22"/>
      <c r="J380" s="22"/>
      <c r="K380" s="22"/>
      <c r="L380" s="22"/>
      <c r="M380" s="24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4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/>
      <c r="CP380"/>
      <c r="CQ380"/>
      <c r="CR380"/>
      <c r="CS380"/>
      <c r="CT380"/>
      <c r="CU380" s="2"/>
      <c r="CV380" s="27"/>
      <c r="CW380" s="41"/>
      <c r="CX380" s="41"/>
      <c r="CY380" s="282">
        <f t="shared" si="74"/>
        <v>47757</v>
      </c>
      <c r="CZ380" s="281">
        <f t="shared" si="65"/>
        <v>1</v>
      </c>
      <c r="DA380" s="281">
        <f t="shared" si="66"/>
        <v>1.25</v>
      </c>
      <c r="DB380" s="281">
        <f t="shared" si="67"/>
        <v>1.55</v>
      </c>
      <c r="DD380" s="101">
        <f t="shared" si="68"/>
        <v>6.5180008835647396E-2</v>
      </c>
      <c r="DE380" s="101">
        <f t="shared" si="69"/>
        <v>0.13036001767129479</v>
      </c>
      <c r="DF380" s="101">
        <f t="shared" si="70"/>
        <v>0.19554002650694219</v>
      </c>
      <c r="DG380" s="41"/>
      <c r="DH380" s="282">
        <f t="shared" si="73"/>
        <v>47757</v>
      </c>
      <c r="DI380" s="318">
        <f t="shared" si="71"/>
        <v>0.9</v>
      </c>
    </row>
    <row r="381" spans="1:113" ht="13.8">
      <c r="B381" s="17"/>
      <c r="C381" s="13"/>
      <c r="D381" s="22"/>
      <c r="E381" s="22"/>
      <c r="F381" s="22"/>
      <c r="G381" s="22"/>
      <c r="H381" s="22"/>
      <c r="I381" s="22"/>
      <c r="J381" s="22"/>
      <c r="K381" s="22"/>
      <c r="L381" s="22"/>
      <c r="M381" s="24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4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/>
      <c r="CP381"/>
      <c r="CQ381"/>
      <c r="CR381"/>
      <c r="CS381"/>
      <c r="CT381"/>
      <c r="CU381" s="2"/>
      <c r="CV381" s="27"/>
      <c r="CW381" s="41"/>
      <c r="CX381" s="41"/>
      <c r="CY381" s="282">
        <f t="shared" si="74"/>
        <v>47788</v>
      </c>
      <c r="CZ381" s="281">
        <f t="shared" si="65"/>
        <v>1</v>
      </c>
      <c r="DA381" s="281">
        <f t="shared" si="66"/>
        <v>1.25</v>
      </c>
      <c r="DB381" s="281">
        <f t="shared" si="67"/>
        <v>1.55</v>
      </c>
      <c r="DD381" s="101">
        <f t="shared" si="68"/>
        <v>6.5180008835647396E-2</v>
      </c>
      <c r="DE381" s="101">
        <f t="shared" si="69"/>
        <v>0.13036001767129479</v>
      </c>
      <c r="DF381" s="101">
        <f t="shared" si="70"/>
        <v>0.19554002650694219</v>
      </c>
      <c r="DG381" s="41"/>
      <c r="DH381" s="282">
        <f t="shared" si="73"/>
        <v>47788</v>
      </c>
      <c r="DI381" s="318">
        <f t="shared" si="71"/>
        <v>0.9</v>
      </c>
    </row>
    <row r="382" spans="1:113" ht="13.8">
      <c r="B382" s="17"/>
      <c r="C382" s="13"/>
      <c r="D382" s="22"/>
      <c r="E382" s="22"/>
      <c r="F382" s="22"/>
      <c r="G382" s="22"/>
      <c r="H382" s="22"/>
      <c r="I382" s="22"/>
      <c r="J382" s="22"/>
      <c r="K382" s="22"/>
      <c r="L382" s="22"/>
      <c r="M382" s="24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4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/>
      <c r="CP382"/>
      <c r="CQ382"/>
      <c r="CR382"/>
      <c r="CS382"/>
      <c r="CT382"/>
      <c r="CU382" s="2"/>
      <c r="CV382" s="27"/>
      <c r="CW382" s="41"/>
      <c r="CX382" s="41"/>
      <c r="CY382" s="282">
        <f t="shared" si="74"/>
        <v>47818</v>
      </c>
      <c r="CZ382" s="281">
        <f t="shared" si="65"/>
        <v>1</v>
      </c>
      <c r="DA382" s="281">
        <f t="shared" si="66"/>
        <v>1.25</v>
      </c>
      <c r="DB382" s="281">
        <f t="shared" si="67"/>
        <v>1.55</v>
      </c>
      <c r="DD382" s="101">
        <f t="shared" si="68"/>
        <v>6.3878884371445607E-2</v>
      </c>
      <c r="DE382" s="101">
        <f t="shared" si="69"/>
        <v>0.12775776874289121</v>
      </c>
      <c r="DF382" s="101">
        <f t="shared" si="70"/>
        <v>0.19163665311433681</v>
      </c>
      <c r="DG382" s="41"/>
      <c r="DH382" s="282">
        <f t="shared" si="73"/>
        <v>47818</v>
      </c>
      <c r="DI382" s="318">
        <f t="shared" si="71"/>
        <v>0.9</v>
      </c>
    </row>
    <row r="383" spans="1:113" ht="13.8">
      <c r="B383" s="17"/>
      <c r="C383" s="13"/>
      <c r="D383" s="22"/>
      <c r="E383" s="22"/>
      <c r="F383" s="22"/>
      <c r="G383" s="22"/>
      <c r="H383" s="22"/>
      <c r="I383" s="22"/>
      <c r="J383" s="22"/>
      <c r="K383" s="22"/>
      <c r="L383" s="22"/>
      <c r="M383" s="24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4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/>
      <c r="CP383"/>
      <c r="CQ383"/>
      <c r="CR383"/>
      <c r="CS383"/>
      <c r="CT383"/>
      <c r="CU383" s="2"/>
      <c r="CV383" s="27"/>
      <c r="CW383" s="41"/>
      <c r="CX383" s="41"/>
      <c r="CY383" s="282">
        <f t="shared" si="74"/>
        <v>47849</v>
      </c>
      <c r="CZ383" s="281">
        <f t="shared" si="65"/>
        <v>1</v>
      </c>
      <c r="DA383" s="281">
        <f t="shared" si="66"/>
        <v>1.25</v>
      </c>
      <c r="DB383" s="281">
        <f t="shared" si="67"/>
        <v>1.55</v>
      </c>
      <c r="DD383" s="101">
        <f t="shared" si="68"/>
        <v>9.4265229575163478E-2</v>
      </c>
      <c r="DE383" s="101">
        <f t="shared" si="69"/>
        <v>0.18853045915032696</v>
      </c>
      <c r="DF383" s="101">
        <f t="shared" si="70"/>
        <v>0.28279568872549044</v>
      </c>
      <c r="DG383" s="41"/>
      <c r="DH383" s="282">
        <f t="shared" si="73"/>
        <v>47849</v>
      </c>
      <c r="DI383" s="318">
        <f t="shared" si="71"/>
        <v>0.9</v>
      </c>
    </row>
    <row r="384" spans="1:113" ht="13.8">
      <c r="B384" s="17"/>
      <c r="C384" s="13"/>
      <c r="D384" s="22"/>
      <c r="E384" s="22"/>
      <c r="F384" s="22"/>
      <c r="G384" s="22"/>
      <c r="H384" s="22"/>
      <c r="I384" s="22"/>
      <c r="J384" s="22"/>
      <c r="K384" s="22"/>
      <c r="L384" s="22"/>
      <c r="M384" s="24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4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/>
      <c r="CP384"/>
      <c r="CQ384"/>
      <c r="CR384"/>
      <c r="CS384"/>
      <c r="CT384"/>
      <c r="CU384" s="2"/>
      <c r="CV384" s="27"/>
      <c r="CW384" s="41"/>
      <c r="CX384" s="41"/>
      <c r="CY384" s="282">
        <f t="shared" si="74"/>
        <v>47880</v>
      </c>
      <c r="CZ384" s="281">
        <f t="shared" si="65"/>
        <v>1</v>
      </c>
      <c r="DA384" s="281">
        <f t="shared" si="66"/>
        <v>1.25</v>
      </c>
      <c r="DB384" s="281">
        <f t="shared" si="67"/>
        <v>1.55</v>
      </c>
      <c r="DD384" s="101">
        <f t="shared" si="68"/>
        <v>9.1066609010736779E-2</v>
      </c>
      <c r="DE384" s="101">
        <f t="shared" si="69"/>
        <v>0.18213321802147356</v>
      </c>
      <c r="DF384" s="101">
        <f t="shared" si="70"/>
        <v>0.27319982703221035</v>
      </c>
      <c r="DG384" s="41"/>
      <c r="DH384" s="282">
        <f t="shared" si="73"/>
        <v>47880</v>
      </c>
      <c r="DI384" s="318">
        <f t="shared" si="71"/>
        <v>0.9</v>
      </c>
    </row>
    <row r="385" spans="2:113" ht="13.8">
      <c r="B385" s="17"/>
      <c r="C385" s="13"/>
      <c r="D385" s="22"/>
      <c r="E385" s="22"/>
      <c r="F385" s="22"/>
      <c r="G385" s="22"/>
      <c r="H385" s="22"/>
      <c r="I385" s="22"/>
      <c r="J385" s="22"/>
      <c r="K385" s="22"/>
      <c r="L385" s="22"/>
      <c r="M385" s="24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4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/>
      <c r="CP385"/>
      <c r="CQ385"/>
      <c r="CR385"/>
      <c r="CS385"/>
      <c r="CT385"/>
      <c r="CU385" s="2"/>
      <c r="CV385" s="27"/>
      <c r="CW385" s="41"/>
      <c r="CX385" s="41"/>
      <c r="CY385" s="282">
        <f t="shared" si="74"/>
        <v>47908</v>
      </c>
      <c r="CZ385" s="281">
        <f t="shared" si="65"/>
        <v>1</v>
      </c>
      <c r="DA385" s="281">
        <f t="shared" si="66"/>
        <v>1.25</v>
      </c>
      <c r="DB385" s="281">
        <f t="shared" si="67"/>
        <v>1.55</v>
      </c>
      <c r="DD385" s="101">
        <f t="shared" si="68"/>
        <v>7.2193702379781163E-2</v>
      </c>
      <c r="DE385" s="101">
        <f t="shared" si="69"/>
        <v>0.14438740475956233</v>
      </c>
      <c r="DF385" s="101">
        <f t="shared" si="70"/>
        <v>0.21658110713934348</v>
      </c>
      <c r="DG385" s="41"/>
      <c r="DH385" s="282">
        <f t="shared" si="73"/>
        <v>47908</v>
      </c>
      <c r="DI385" s="318">
        <f t="shared" si="71"/>
        <v>0.9</v>
      </c>
    </row>
    <row r="386" spans="2:113" ht="13.8">
      <c r="B386" s="17"/>
      <c r="C386" s="13"/>
      <c r="D386" s="22"/>
      <c r="E386" s="22"/>
      <c r="F386" s="22"/>
      <c r="G386" s="22"/>
      <c r="H386" s="22"/>
      <c r="I386" s="22"/>
      <c r="J386" s="22"/>
      <c r="K386" s="22"/>
      <c r="L386" s="22"/>
      <c r="M386" s="24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4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/>
      <c r="CP386"/>
      <c r="CQ386"/>
      <c r="CR386"/>
      <c r="CS386"/>
      <c r="CT386"/>
      <c r="CU386" s="2"/>
      <c r="CV386" s="27"/>
      <c r="CW386" s="41"/>
      <c r="CX386" s="41"/>
      <c r="CY386" s="282">
        <f t="shared" si="74"/>
        <v>47939</v>
      </c>
      <c r="CZ386" s="281">
        <f t="shared" si="65"/>
        <v>0</v>
      </c>
      <c r="DA386" s="281">
        <f t="shared" si="66"/>
        <v>0</v>
      </c>
      <c r="DB386" s="281">
        <f t="shared" si="67"/>
        <v>0</v>
      </c>
      <c r="DD386" s="101">
        <f t="shared" si="68"/>
        <v>0</v>
      </c>
      <c r="DE386" s="101">
        <f t="shared" si="69"/>
        <v>0</v>
      </c>
      <c r="DF386" s="101">
        <f t="shared" si="70"/>
        <v>0</v>
      </c>
      <c r="DG386" s="41"/>
      <c r="DH386" s="282">
        <f t="shared" si="73"/>
        <v>47939</v>
      </c>
      <c r="DI386" s="318">
        <f t="shared" si="71"/>
        <v>0</v>
      </c>
    </row>
    <row r="387" spans="2:113" ht="13.8">
      <c r="B387" s="17"/>
      <c r="C387" s="13"/>
      <c r="D387" s="22"/>
      <c r="E387" s="22"/>
      <c r="F387" s="22"/>
      <c r="G387" s="22"/>
      <c r="H387" s="22"/>
      <c r="I387" s="22"/>
      <c r="J387" s="22"/>
      <c r="K387" s="22"/>
      <c r="L387" s="22"/>
      <c r="M387" s="24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4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/>
      <c r="CP387"/>
      <c r="CQ387"/>
      <c r="CR387"/>
      <c r="CS387"/>
      <c r="CT387"/>
      <c r="CU387" s="2"/>
      <c r="CV387" s="27"/>
      <c r="CW387" s="41"/>
      <c r="CX387" s="41"/>
      <c r="CY387" s="282">
        <f t="shared" si="74"/>
        <v>47969</v>
      </c>
      <c r="CZ387" s="281">
        <f t="shared" si="65"/>
        <v>1</v>
      </c>
      <c r="DA387" s="281">
        <f t="shared" si="66"/>
        <v>1.25</v>
      </c>
      <c r="DB387" s="281">
        <f t="shared" si="67"/>
        <v>1.55</v>
      </c>
      <c r="DD387" s="101">
        <f t="shared" si="68"/>
        <v>7.9836777060086975E-2</v>
      </c>
      <c r="DE387" s="101">
        <f t="shared" si="69"/>
        <v>0.15967355412017395</v>
      </c>
      <c r="DF387" s="101">
        <f t="shared" si="70"/>
        <v>0.23951033118026094</v>
      </c>
      <c r="DG387" s="41"/>
      <c r="DH387" s="282">
        <f t="shared" si="73"/>
        <v>47969</v>
      </c>
      <c r="DI387" s="318">
        <f t="shared" si="71"/>
        <v>0.9</v>
      </c>
    </row>
    <row r="388" spans="2:113" ht="13.8">
      <c r="B388" s="17"/>
      <c r="C388" s="13"/>
      <c r="D388" s="22"/>
      <c r="E388" s="22"/>
      <c r="F388" s="22"/>
      <c r="G388" s="22"/>
      <c r="H388" s="22"/>
      <c r="I388" s="22"/>
      <c r="J388" s="22"/>
      <c r="K388" s="22"/>
      <c r="L388" s="22"/>
      <c r="M388" s="24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4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/>
      <c r="CP388"/>
      <c r="CQ388"/>
      <c r="CR388"/>
      <c r="CS388"/>
      <c r="CT388"/>
      <c r="CU388" s="2"/>
      <c r="CV388" s="27"/>
      <c r="CW388" s="41"/>
      <c r="CX388" s="41"/>
      <c r="CY388" s="282">
        <f t="shared" si="74"/>
        <v>48000</v>
      </c>
      <c r="CZ388" s="281">
        <f t="shared" si="65"/>
        <v>1</v>
      </c>
      <c r="DA388" s="281">
        <f t="shared" si="66"/>
        <v>1.25</v>
      </c>
      <c r="DB388" s="281">
        <f t="shared" si="67"/>
        <v>1.55</v>
      </c>
      <c r="DD388" s="101">
        <f t="shared" si="68"/>
        <v>8.5380172451755984E-2</v>
      </c>
      <c r="DE388" s="101">
        <f t="shared" si="69"/>
        <v>0.17076034490351197</v>
      </c>
      <c r="DF388" s="101">
        <f t="shared" si="70"/>
        <v>0.25614051735526794</v>
      </c>
      <c r="DG388" s="41"/>
      <c r="DH388" s="282">
        <f t="shared" si="73"/>
        <v>48000</v>
      </c>
      <c r="DI388" s="318">
        <f t="shared" si="71"/>
        <v>0.9</v>
      </c>
    </row>
    <row r="389" spans="2:113" ht="13.8">
      <c r="B389" s="17"/>
      <c r="C389" s="13"/>
      <c r="D389" s="22"/>
      <c r="E389" s="22"/>
      <c r="F389" s="22"/>
      <c r="G389" s="22"/>
      <c r="H389" s="22"/>
      <c r="I389" s="22"/>
      <c r="J389" s="22"/>
      <c r="K389" s="22"/>
      <c r="L389" s="22"/>
      <c r="M389" s="24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4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/>
      <c r="CP389"/>
      <c r="CQ389"/>
      <c r="CR389"/>
      <c r="CS389"/>
      <c r="CT389"/>
      <c r="CU389" s="2"/>
      <c r="CV389" s="27"/>
      <c r="CW389" s="41"/>
      <c r="CX389" s="41"/>
      <c r="CY389" s="282">
        <f t="shared" si="74"/>
        <v>48030</v>
      </c>
      <c r="CZ389" s="281">
        <f t="shared" si="65"/>
        <v>1</v>
      </c>
      <c r="DA389" s="281">
        <f t="shared" si="66"/>
        <v>1.25</v>
      </c>
      <c r="DB389" s="281">
        <f t="shared" si="67"/>
        <v>1.55</v>
      </c>
      <c r="DD389" s="101">
        <f t="shared" si="68"/>
        <v>0.101692367108662</v>
      </c>
      <c r="DE389" s="101">
        <f t="shared" si="69"/>
        <v>0.203384734217324</v>
      </c>
      <c r="DF389" s="101">
        <f t="shared" si="70"/>
        <v>0.30507710132598598</v>
      </c>
      <c r="DG389" s="41"/>
      <c r="DH389" s="282">
        <f t="shared" si="73"/>
        <v>48030</v>
      </c>
      <c r="DI389" s="318">
        <f t="shared" si="71"/>
        <v>0.9</v>
      </c>
    </row>
    <row r="390" spans="2:113" ht="13.8">
      <c r="B390" s="17"/>
      <c r="C390" s="13"/>
      <c r="D390" s="22"/>
      <c r="E390" s="22"/>
      <c r="F390" s="22"/>
      <c r="G390" s="22"/>
      <c r="H390" s="22"/>
      <c r="I390" s="22"/>
      <c r="J390" s="22"/>
      <c r="K390" s="22"/>
      <c r="L390" s="22"/>
      <c r="M390" s="24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4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/>
      <c r="CP390"/>
      <c r="CQ390"/>
      <c r="CR390"/>
      <c r="CS390"/>
      <c r="CT390"/>
      <c r="CU390" s="2"/>
      <c r="CV390" s="27"/>
      <c r="CW390" s="41"/>
      <c r="CX390" s="41"/>
      <c r="CY390" s="282">
        <f t="shared" si="74"/>
        <v>48061</v>
      </c>
      <c r="CZ390" s="281">
        <f t="shared" si="65"/>
        <v>1</v>
      </c>
      <c r="DA390" s="281">
        <f t="shared" si="66"/>
        <v>1.25</v>
      </c>
      <c r="DB390" s="281">
        <f t="shared" si="67"/>
        <v>1.55</v>
      </c>
      <c r="DD390" s="101">
        <f t="shared" si="68"/>
        <v>9.9464225848612461E-2</v>
      </c>
      <c r="DE390" s="101">
        <f t="shared" si="69"/>
        <v>0.19892845169722492</v>
      </c>
      <c r="DF390" s="101">
        <f t="shared" si="70"/>
        <v>0.29839267754583737</v>
      </c>
      <c r="DG390" s="41"/>
      <c r="DH390" s="282">
        <f t="shared" si="73"/>
        <v>48061</v>
      </c>
      <c r="DI390" s="318">
        <f t="shared" si="71"/>
        <v>0.9</v>
      </c>
    </row>
    <row r="391" spans="2:113" ht="13.8">
      <c r="B391" s="17"/>
      <c r="C391" s="13"/>
      <c r="D391" s="22"/>
      <c r="E391" s="22"/>
      <c r="F391" s="22"/>
      <c r="G391" s="22"/>
      <c r="H391" s="22"/>
      <c r="I391" s="22"/>
      <c r="J391" s="22"/>
      <c r="K391" s="22"/>
      <c r="L391" s="22"/>
      <c r="M391" s="24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4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/>
      <c r="CP391"/>
      <c r="CQ391"/>
      <c r="CR391"/>
      <c r="CS391"/>
      <c r="CT391"/>
      <c r="CU391" s="2"/>
      <c r="CV391" s="27"/>
      <c r="CW391" s="41"/>
      <c r="CX391" s="41"/>
      <c r="CY391" s="282">
        <f t="shared" si="74"/>
        <v>48092</v>
      </c>
      <c r="CZ391" s="281">
        <f t="shared" si="65"/>
        <v>1</v>
      </c>
      <c r="DA391" s="281">
        <f t="shared" si="66"/>
        <v>1.25</v>
      </c>
      <c r="DB391" s="281">
        <f t="shared" si="67"/>
        <v>1.55</v>
      </c>
      <c r="DD391" s="101">
        <f t="shared" si="68"/>
        <v>7.5360688839898535E-2</v>
      </c>
      <c r="DE391" s="101">
        <f t="shared" si="69"/>
        <v>0.15072137767979707</v>
      </c>
      <c r="DF391" s="101">
        <f t="shared" si="70"/>
        <v>0.22608206651969559</v>
      </c>
      <c r="DG391" s="41"/>
      <c r="DH391" s="282">
        <f t="shared" si="73"/>
        <v>48092</v>
      </c>
      <c r="DI391" s="318">
        <f t="shared" si="71"/>
        <v>0.9</v>
      </c>
    </row>
    <row r="392" spans="2:113" ht="13.8">
      <c r="B392" s="17"/>
      <c r="C392" s="13"/>
      <c r="D392" s="22"/>
      <c r="E392" s="22"/>
      <c r="F392" s="22"/>
      <c r="G392" s="22"/>
      <c r="H392" s="22"/>
      <c r="I392" s="22"/>
      <c r="J392" s="22"/>
      <c r="K392" s="22"/>
      <c r="L392" s="22"/>
      <c r="M392" s="24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4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/>
      <c r="CP392"/>
      <c r="CQ392"/>
      <c r="CR392"/>
      <c r="CS392"/>
      <c r="CT392"/>
      <c r="CU392" s="2"/>
      <c r="CV392" s="27"/>
      <c r="CW392" s="41"/>
      <c r="CX392" s="41"/>
      <c r="CY392" s="282">
        <f t="shared" si="74"/>
        <v>48122</v>
      </c>
      <c r="CZ392" s="281">
        <f t="shared" si="65"/>
        <v>1</v>
      </c>
      <c r="DA392" s="281">
        <f t="shared" si="66"/>
        <v>1.25</v>
      </c>
      <c r="DB392" s="281">
        <f t="shared" si="67"/>
        <v>1.55</v>
      </c>
      <c r="DD392" s="101">
        <f t="shared" si="68"/>
        <v>6.5180008835647396E-2</v>
      </c>
      <c r="DE392" s="101">
        <f t="shared" si="69"/>
        <v>0.13036001767129479</v>
      </c>
      <c r="DF392" s="101">
        <f t="shared" si="70"/>
        <v>0.19554002650694219</v>
      </c>
      <c r="DG392" s="41"/>
      <c r="DH392" s="282">
        <f t="shared" si="73"/>
        <v>48122</v>
      </c>
      <c r="DI392" s="318">
        <f t="shared" si="71"/>
        <v>0.9</v>
      </c>
    </row>
    <row r="393" spans="2:113" ht="13.8">
      <c r="B393" s="17"/>
      <c r="C393" s="13"/>
      <c r="D393" s="22"/>
      <c r="E393" s="22"/>
      <c r="F393" s="22"/>
      <c r="G393" s="22"/>
      <c r="H393" s="22"/>
      <c r="I393" s="22"/>
      <c r="J393" s="22"/>
      <c r="K393" s="22"/>
      <c r="L393" s="22"/>
      <c r="M393" s="24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4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/>
      <c r="CP393"/>
      <c r="CQ393"/>
      <c r="CR393"/>
      <c r="CS393"/>
      <c r="CT393"/>
      <c r="CU393" s="2"/>
      <c r="CV393" s="27"/>
      <c r="CW393" s="41"/>
      <c r="CX393" s="41"/>
      <c r="CY393" s="282">
        <f t="shared" si="74"/>
        <v>48153</v>
      </c>
      <c r="CZ393" s="281">
        <f t="shared" si="65"/>
        <v>1</v>
      </c>
      <c r="DA393" s="281">
        <f t="shared" si="66"/>
        <v>1.25</v>
      </c>
      <c r="DB393" s="281">
        <f t="shared" si="67"/>
        <v>1.55</v>
      </c>
      <c r="DD393" s="101">
        <f t="shared" si="68"/>
        <v>6.5180008835647396E-2</v>
      </c>
      <c r="DE393" s="101">
        <f t="shared" si="69"/>
        <v>0.13036001767129479</v>
      </c>
      <c r="DF393" s="101">
        <f t="shared" si="70"/>
        <v>0.19554002650694219</v>
      </c>
      <c r="DG393" s="41"/>
      <c r="DH393" s="282">
        <f t="shared" si="73"/>
        <v>48153</v>
      </c>
      <c r="DI393" s="318">
        <f t="shared" si="71"/>
        <v>0.9</v>
      </c>
    </row>
    <row r="394" spans="2:113" ht="13.8">
      <c r="B394" s="17"/>
      <c r="C394" s="13"/>
      <c r="D394" s="22"/>
      <c r="E394" s="22"/>
      <c r="F394" s="22"/>
      <c r="G394" s="22"/>
      <c r="H394" s="22"/>
      <c r="I394" s="22"/>
      <c r="J394" s="22"/>
      <c r="K394" s="22"/>
      <c r="L394" s="22"/>
      <c r="M394" s="24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4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/>
      <c r="CP394"/>
      <c r="CQ394"/>
      <c r="CR394"/>
      <c r="CS394"/>
      <c r="CT394"/>
      <c r="CU394" s="2"/>
      <c r="CV394" s="27"/>
      <c r="CW394" s="41"/>
      <c r="CX394" s="41"/>
      <c r="CY394" s="282">
        <f t="shared" si="74"/>
        <v>48183</v>
      </c>
      <c r="CZ394" s="281">
        <f t="shared" si="65"/>
        <v>1</v>
      </c>
      <c r="DA394" s="281">
        <f t="shared" si="66"/>
        <v>1.25</v>
      </c>
      <c r="DB394" s="281">
        <f t="shared" si="67"/>
        <v>1.55</v>
      </c>
      <c r="DD394" s="101">
        <f t="shared" si="68"/>
        <v>6.3878884371445607E-2</v>
      </c>
      <c r="DE394" s="101">
        <f t="shared" si="69"/>
        <v>0.12775776874289121</v>
      </c>
      <c r="DF394" s="101">
        <f t="shared" si="70"/>
        <v>0.19163665311433681</v>
      </c>
      <c r="DG394" s="41"/>
      <c r="DH394" s="282">
        <f t="shared" si="73"/>
        <v>48183</v>
      </c>
      <c r="DI394" s="318">
        <f t="shared" si="71"/>
        <v>0.9</v>
      </c>
    </row>
    <row r="395" spans="2:113" ht="13.8">
      <c r="B395" s="17"/>
      <c r="C395" s="13"/>
      <c r="D395" s="22"/>
      <c r="E395" s="22"/>
      <c r="F395" s="22"/>
      <c r="G395" s="22"/>
      <c r="H395" s="22"/>
      <c r="I395" s="22"/>
      <c r="J395" s="22"/>
      <c r="K395" s="22"/>
      <c r="L395" s="22"/>
      <c r="M395" s="24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4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/>
      <c r="CP395"/>
      <c r="CQ395"/>
      <c r="CR395"/>
      <c r="CS395"/>
      <c r="CT395"/>
      <c r="CU395" s="2"/>
      <c r="CV395" s="27"/>
      <c r="CW395" s="41"/>
      <c r="CX395" s="41"/>
      <c r="CY395" s="282">
        <f t="shared" si="74"/>
        <v>48214</v>
      </c>
      <c r="CZ395" s="281">
        <f t="shared" si="65"/>
        <v>1</v>
      </c>
      <c r="DA395" s="281">
        <f t="shared" si="66"/>
        <v>1.25</v>
      </c>
      <c r="DB395" s="281">
        <f t="shared" si="67"/>
        <v>1.55</v>
      </c>
      <c r="DD395" s="101">
        <f t="shared" si="68"/>
        <v>9.4265229575163478E-2</v>
      </c>
      <c r="DE395" s="101">
        <f t="shared" si="69"/>
        <v>0.18853045915032696</v>
      </c>
      <c r="DF395" s="101">
        <f t="shared" si="70"/>
        <v>0.28279568872549044</v>
      </c>
      <c r="DG395" s="41"/>
      <c r="DH395" s="282">
        <f t="shared" si="73"/>
        <v>48214</v>
      </c>
      <c r="DI395" s="318">
        <f t="shared" si="71"/>
        <v>0.9</v>
      </c>
    </row>
    <row r="396" spans="2:113" ht="13.8">
      <c r="B396" s="17"/>
      <c r="C396" s="13"/>
      <c r="D396" s="22"/>
      <c r="E396" s="22"/>
      <c r="F396" s="22"/>
      <c r="G396" s="22"/>
      <c r="H396" s="22"/>
      <c r="I396" s="22"/>
      <c r="J396" s="22"/>
      <c r="K396" s="22"/>
      <c r="L396" s="22"/>
      <c r="M396" s="24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4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/>
      <c r="CP396"/>
      <c r="CQ396"/>
      <c r="CR396"/>
      <c r="CS396"/>
      <c r="CT396"/>
      <c r="CU396" s="2"/>
      <c r="CV396" s="27"/>
      <c r="CW396" s="41"/>
      <c r="CX396" s="41"/>
      <c r="CY396" s="282">
        <f t="shared" si="74"/>
        <v>48245</v>
      </c>
      <c r="CZ396" s="281">
        <f t="shared" si="65"/>
        <v>1</v>
      </c>
      <c r="DA396" s="281">
        <f t="shared" si="66"/>
        <v>1.25</v>
      </c>
      <c r="DB396" s="281">
        <f t="shared" si="67"/>
        <v>1.55</v>
      </c>
      <c r="DD396" s="101">
        <f t="shared" si="68"/>
        <v>9.1066609010736779E-2</v>
      </c>
      <c r="DE396" s="101">
        <f t="shared" si="69"/>
        <v>0.18213321802147356</v>
      </c>
      <c r="DF396" s="101">
        <f t="shared" si="70"/>
        <v>0.27319982703221035</v>
      </c>
      <c r="DG396" s="41"/>
      <c r="DH396" s="282">
        <f t="shared" si="73"/>
        <v>48245</v>
      </c>
      <c r="DI396" s="318">
        <f t="shared" si="71"/>
        <v>0.9</v>
      </c>
    </row>
    <row r="397" spans="2:113" ht="13.8">
      <c r="B397" s="17"/>
      <c r="C397" s="13"/>
      <c r="D397" s="22"/>
      <c r="E397" s="22"/>
      <c r="F397" s="22"/>
      <c r="G397" s="22"/>
      <c r="H397" s="22"/>
      <c r="I397" s="22"/>
      <c r="J397" s="22"/>
      <c r="K397" s="22"/>
      <c r="L397" s="22"/>
      <c r="M397" s="24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4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/>
      <c r="CP397"/>
      <c r="CQ397"/>
      <c r="CR397"/>
      <c r="CS397"/>
      <c r="CT397"/>
      <c r="CU397" s="2"/>
      <c r="CV397" s="27"/>
      <c r="CW397" s="41"/>
      <c r="CX397" s="41"/>
      <c r="CY397" s="282">
        <f t="shared" si="74"/>
        <v>48274</v>
      </c>
      <c r="CZ397" s="281">
        <f t="shared" si="65"/>
        <v>1</v>
      </c>
      <c r="DA397" s="281">
        <f t="shared" si="66"/>
        <v>1.25</v>
      </c>
      <c r="DB397" s="281">
        <f t="shared" si="67"/>
        <v>1.55</v>
      </c>
      <c r="DD397" s="101">
        <f t="shared" si="68"/>
        <v>7.2193702379781163E-2</v>
      </c>
      <c r="DE397" s="101">
        <f t="shared" si="69"/>
        <v>0.14438740475956233</v>
      </c>
      <c r="DF397" s="101">
        <f t="shared" si="70"/>
        <v>0.21658110713934348</v>
      </c>
      <c r="DG397" s="41"/>
      <c r="DH397" s="282">
        <f t="shared" si="73"/>
        <v>48274</v>
      </c>
      <c r="DI397" s="318">
        <f t="shared" si="71"/>
        <v>0.9</v>
      </c>
    </row>
    <row r="398" spans="2:113" ht="13.8">
      <c r="B398" s="17"/>
      <c r="C398" s="13"/>
      <c r="D398" s="22"/>
      <c r="E398" s="22"/>
      <c r="F398" s="22"/>
      <c r="G398" s="22"/>
      <c r="H398" s="22"/>
      <c r="I398" s="22"/>
      <c r="J398" s="22"/>
      <c r="K398" s="22"/>
      <c r="L398" s="22"/>
      <c r="M398" s="24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4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/>
      <c r="CP398"/>
      <c r="CQ398"/>
      <c r="CR398"/>
      <c r="CS398"/>
      <c r="CT398"/>
      <c r="CU398" s="2"/>
      <c r="CV398" s="27"/>
      <c r="CW398" s="41"/>
      <c r="CX398" s="41"/>
      <c r="CY398" s="282">
        <f t="shared" si="74"/>
        <v>48305</v>
      </c>
      <c r="CZ398" s="281">
        <f t="shared" si="65"/>
        <v>0</v>
      </c>
      <c r="DA398" s="281">
        <f t="shared" si="66"/>
        <v>0</v>
      </c>
      <c r="DB398" s="281">
        <f t="shared" si="67"/>
        <v>0</v>
      </c>
      <c r="DD398" s="101">
        <f t="shared" si="68"/>
        <v>0</v>
      </c>
      <c r="DE398" s="101">
        <f t="shared" si="69"/>
        <v>0</v>
      </c>
      <c r="DF398" s="101">
        <f t="shared" si="70"/>
        <v>0</v>
      </c>
      <c r="DG398" s="41"/>
      <c r="DH398" s="282">
        <f t="shared" si="73"/>
        <v>48305</v>
      </c>
      <c r="DI398" s="318">
        <f t="shared" si="71"/>
        <v>0</v>
      </c>
    </row>
    <row r="399" spans="2:113" ht="13.8">
      <c r="B399" s="17"/>
      <c r="C399" s="13"/>
      <c r="D399" s="22"/>
      <c r="E399" s="22"/>
      <c r="F399" s="22"/>
      <c r="G399" s="22"/>
      <c r="H399" s="22"/>
      <c r="I399" s="22"/>
      <c r="J399" s="22"/>
      <c r="K399" s="22"/>
      <c r="L399" s="22"/>
      <c r="M399" s="24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4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/>
      <c r="CP399"/>
      <c r="CQ399"/>
      <c r="CR399"/>
      <c r="CS399"/>
      <c r="CT399"/>
      <c r="CU399" s="2"/>
      <c r="CV399" s="27"/>
      <c r="CW399" s="41"/>
      <c r="CX399" s="41"/>
      <c r="CY399" s="282">
        <f t="shared" si="74"/>
        <v>48335</v>
      </c>
      <c r="CZ399" s="281">
        <f t="shared" si="65"/>
        <v>1</v>
      </c>
      <c r="DA399" s="281">
        <f t="shared" si="66"/>
        <v>1.25</v>
      </c>
      <c r="DB399" s="281">
        <f t="shared" si="67"/>
        <v>1.55</v>
      </c>
      <c r="DD399" s="101">
        <f t="shared" si="68"/>
        <v>7.9836777060086975E-2</v>
      </c>
      <c r="DE399" s="101">
        <f t="shared" si="69"/>
        <v>0.15967355412017395</v>
      </c>
      <c r="DF399" s="101">
        <f t="shared" si="70"/>
        <v>0.23951033118026094</v>
      </c>
      <c r="DG399" s="41"/>
      <c r="DH399" s="282">
        <f t="shared" si="73"/>
        <v>48335</v>
      </c>
      <c r="DI399" s="318">
        <f t="shared" si="71"/>
        <v>0.9</v>
      </c>
    </row>
    <row r="400" spans="2:113" ht="13.8">
      <c r="B400" s="17"/>
      <c r="C400" s="13"/>
      <c r="D400" s="22"/>
      <c r="E400" s="22"/>
      <c r="F400" s="22"/>
      <c r="G400" s="22"/>
      <c r="H400" s="22"/>
      <c r="I400" s="22"/>
      <c r="J400" s="22"/>
      <c r="K400" s="22"/>
      <c r="L400" s="22"/>
      <c r="M400" s="24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4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/>
      <c r="CP400"/>
      <c r="CQ400"/>
      <c r="CR400"/>
      <c r="CS400"/>
      <c r="CT400"/>
      <c r="CU400" s="2"/>
      <c r="CV400" s="27"/>
      <c r="CW400" s="41"/>
      <c r="CX400" s="41"/>
      <c r="CY400" s="282">
        <f t="shared" si="74"/>
        <v>48366</v>
      </c>
      <c r="CZ400" s="281">
        <f t="shared" si="65"/>
        <v>1</v>
      </c>
      <c r="DA400" s="281">
        <f t="shared" si="66"/>
        <v>1.25</v>
      </c>
      <c r="DB400" s="281">
        <f t="shared" si="67"/>
        <v>1.55</v>
      </c>
      <c r="DD400" s="101">
        <f t="shared" si="68"/>
        <v>8.5380172451755984E-2</v>
      </c>
      <c r="DE400" s="101">
        <f t="shared" si="69"/>
        <v>0.17076034490351197</v>
      </c>
      <c r="DF400" s="101">
        <f t="shared" si="70"/>
        <v>0.25614051735526794</v>
      </c>
      <c r="DG400" s="41"/>
      <c r="DH400" s="282">
        <f t="shared" si="73"/>
        <v>48366</v>
      </c>
      <c r="DI400" s="318">
        <f t="shared" si="71"/>
        <v>0.9</v>
      </c>
    </row>
    <row r="401" spans="2:113" ht="13.8">
      <c r="B401" s="17"/>
      <c r="C401" s="13"/>
      <c r="D401" s="22"/>
      <c r="E401" s="22"/>
      <c r="F401" s="22"/>
      <c r="G401" s="22"/>
      <c r="H401" s="22"/>
      <c r="I401" s="22"/>
      <c r="J401" s="22"/>
      <c r="K401" s="22"/>
      <c r="L401" s="22"/>
      <c r="M401" s="24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4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/>
      <c r="CP401"/>
      <c r="CQ401"/>
      <c r="CR401"/>
      <c r="CS401"/>
      <c r="CT401"/>
      <c r="CU401" s="2"/>
      <c r="CV401" s="27"/>
      <c r="CW401" s="41"/>
      <c r="CX401" s="41"/>
      <c r="CY401" s="282">
        <f t="shared" si="74"/>
        <v>48396</v>
      </c>
      <c r="CZ401" s="281">
        <f t="shared" si="65"/>
        <v>1</v>
      </c>
      <c r="DA401" s="281">
        <f t="shared" si="66"/>
        <v>1.25</v>
      </c>
      <c r="DB401" s="281">
        <f t="shared" si="67"/>
        <v>1.55</v>
      </c>
      <c r="DD401" s="101">
        <f t="shared" si="68"/>
        <v>0.101692367108662</v>
      </c>
      <c r="DE401" s="101">
        <f t="shared" si="69"/>
        <v>0.203384734217324</v>
      </c>
      <c r="DF401" s="101">
        <f t="shared" si="70"/>
        <v>0.30507710132598598</v>
      </c>
      <c r="DG401" s="41"/>
      <c r="DH401" s="282">
        <f t="shared" si="73"/>
        <v>48396</v>
      </c>
      <c r="DI401" s="318">
        <f t="shared" si="71"/>
        <v>0.9</v>
      </c>
    </row>
    <row r="402" spans="2:113" ht="13.8">
      <c r="B402" s="17"/>
      <c r="C402" s="13"/>
      <c r="D402" s="22"/>
      <c r="E402" s="22"/>
      <c r="F402" s="22"/>
      <c r="G402" s="22"/>
      <c r="H402" s="22"/>
      <c r="I402" s="22"/>
      <c r="J402" s="22"/>
      <c r="K402" s="22"/>
      <c r="L402" s="22"/>
      <c r="M402" s="24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4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/>
      <c r="CP402"/>
      <c r="CQ402"/>
      <c r="CR402"/>
      <c r="CS402"/>
      <c r="CT402"/>
      <c r="CU402" s="2"/>
      <c r="CV402" s="27"/>
      <c r="CW402" s="41"/>
      <c r="CX402" s="41"/>
      <c r="CY402" s="282">
        <f t="shared" si="74"/>
        <v>48427</v>
      </c>
      <c r="CZ402" s="281">
        <f t="shared" si="65"/>
        <v>1</v>
      </c>
      <c r="DA402" s="281">
        <f t="shared" si="66"/>
        <v>1.25</v>
      </c>
      <c r="DB402" s="281">
        <f t="shared" si="67"/>
        <v>1.55</v>
      </c>
      <c r="DD402" s="101">
        <f t="shared" si="68"/>
        <v>9.9464225848612461E-2</v>
      </c>
      <c r="DE402" s="101">
        <f t="shared" si="69"/>
        <v>0.19892845169722492</v>
      </c>
      <c r="DF402" s="101">
        <f t="shared" si="70"/>
        <v>0.29839267754583737</v>
      </c>
      <c r="DG402" s="41"/>
      <c r="DH402" s="282">
        <f t="shared" si="73"/>
        <v>48427</v>
      </c>
      <c r="DI402" s="318">
        <f t="shared" si="71"/>
        <v>0.9</v>
      </c>
    </row>
    <row r="403" spans="2:113" ht="13.8">
      <c r="B403" s="17"/>
      <c r="C403" s="13"/>
      <c r="D403" s="22"/>
      <c r="E403" s="22"/>
      <c r="F403" s="22"/>
      <c r="G403" s="22"/>
      <c r="H403" s="22"/>
      <c r="I403" s="22"/>
      <c r="J403" s="22"/>
      <c r="K403" s="22"/>
      <c r="L403" s="22"/>
      <c r="M403" s="24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4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/>
      <c r="CP403"/>
      <c r="CQ403"/>
      <c r="CR403"/>
      <c r="CS403"/>
      <c r="CT403"/>
      <c r="CU403" s="2"/>
      <c r="CV403" s="27"/>
      <c r="CW403" s="41"/>
      <c r="CX403" s="41"/>
      <c r="CY403" s="41"/>
      <c r="CZ403" s="17"/>
      <c r="DA403" s="17"/>
      <c r="DB403" s="17"/>
      <c r="DD403" s="17"/>
      <c r="DF403" s="94"/>
      <c r="DG403" s="41"/>
      <c r="DH403" s="42"/>
      <c r="DI403" s="43"/>
    </row>
    <row r="404" spans="2:113" ht="13.8">
      <c r="B404" s="17"/>
      <c r="C404" s="13"/>
      <c r="D404" s="22"/>
      <c r="E404" s="22"/>
      <c r="F404" s="22"/>
      <c r="G404" s="22"/>
      <c r="H404" s="22"/>
      <c r="I404" s="22"/>
      <c r="J404" s="22"/>
      <c r="K404" s="22"/>
      <c r="L404" s="22"/>
      <c r="M404" s="24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4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/>
      <c r="CP404"/>
      <c r="CQ404"/>
      <c r="CR404"/>
      <c r="CS404"/>
      <c r="CT404"/>
      <c r="CU404" s="2"/>
      <c r="CV404" s="27"/>
      <c r="CW404" s="41"/>
      <c r="CX404" s="41"/>
      <c r="CY404" s="41"/>
      <c r="CZ404" s="17"/>
      <c r="DA404" s="17"/>
      <c r="DB404" s="17"/>
      <c r="DD404" s="17"/>
      <c r="DF404" s="94"/>
      <c r="DG404" s="41"/>
      <c r="DH404" s="42"/>
      <c r="DI404" s="43"/>
    </row>
    <row r="405" spans="2:113" ht="13.8">
      <c r="B405" s="17"/>
      <c r="C405" s="13"/>
      <c r="D405" s="22"/>
      <c r="E405" s="22"/>
      <c r="F405" s="22"/>
      <c r="G405" s="22"/>
      <c r="H405" s="22"/>
      <c r="I405" s="22"/>
      <c r="J405" s="22"/>
      <c r="K405" s="22"/>
      <c r="L405" s="22"/>
      <c r="M405" s="24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4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/>
      <c r="CP405"/>
      <c r="CQ405"/>
      <c r="CR405"/>
      <c r="CS405"/>
      <c r="CT405"/>
      <c r="CU405" s="2"/>
      <c r="CV405" s="27"/>
      <c r="CW405" s="41"/>
      <c r="CX405" s="41"/>
      <c r="CY405" s="41"/>
      <c r="CZ405" s="17"/>
      <c r="DA405" s="17"/>
      <c r="DB405" s="17"/>
      <c r="DD405" s="17"/>
      <c r="DF405" s="94"/>
      <c r="DG405" s="41"/>
      <c r="DH405" s="42"/>
      <c r="DI405" s="43"/>
    </row>
    <row r="406" spans="2:113" ht="13.8">
      <c r="B406" s="17"/>
      <c r="C406" s="13"/>
      <c r="D406" s="22"/>
      <c r="E406" s="22"/>
      <c r="F406" s="22"/>
      <c r="G406" s="22"/>
      <c r="H406" s="22"/>
      <c r="I406" s="22"/>
      <c r="J406" s="22"/>
      <c r="K406" s="22"/>
      <c r="L406" s="22"/>
      <c r="M406" s="24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4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/>
      <c r="CP406"/>
      <c r="CQ406"/>
      <c r="CR406"/>
      <c r="CS406"/>
      <c r="CT406"/>
      <c r="CU406" s="2"/>
      <c r="CV406" s="27"/>
      <c r="CW406" s="41"/>
      <c r="CX406" s="41"/>
      <c r="CY406" s="41"/>
      <c r="CZ406" s="17"/>
      <c r="DA406" s="17"/>
      <c r="DB406" s="17"/>
      <c r="DD406" s="17"/>
      <c r="DF406" s="94"/>
      <c r="DG406" s="41"/>
      <c r="DH406" s="42"/>
      <c r="DI406" s="43"/>
    </row>
    <row r="407" spans="2:113" ht="13.8">
      <c r="B407" s="17"/>
      <c r="C407" s="13"/>
      <c r="D407" s="22"/>
      <c r="E407" s="22"/>
      <c r="F407" s="22"/>
      <c r="G407" s="22"/>
      <c r="H407" s="22"/>
      <c r="I407" s="22"/>
      <c r="J407" s="22"/>
      <c r="K407" s="22"/>
      <c r="L407" s="22"/>
      <c r="M407" s="24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4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/>
      <c r="CP407"/>
      <c r="CQ407"/>
      <c r="CR407"/>
      <c r="CS407"/>
      <c r="CT407"/>
      <c r="CU407" s="2"/>
      <c r="CV407" s="27"/>
      <c r="CW407" s="41"/>
      <c r="CX407" s="41"/>
      <c r="CY407" s="41"/>
      <c r="CZ407" s="17"/>
      <c r="DA407" s="17"/>
      <c r="DB407" s="17"/>
      <c r="DD407" s="17"/>
      <c r="DF407" s="94"/>
      <c r="DG407" s="41"/>
      <c r="DH407" s="42"/>
      <c r="DI407" s="43"/>
    </row>
    <row r="408" spans="2:113" ht="13.8">
      <c r="B408" s="17"/>
      <c r="C408" s="13"/>
      <c r="D408" s="22"/>
      <c r="E408" s="22"/>
      <c r="F408" s="22"/>
      <c r="G408" s="22"/>
      <c r="H408" s="22"/>
      <c r="I408" s="22"/>
      <c r="J408" s="22"/>
      <c r="K408" s="22"/>
      <c r="L408" s="22"/>
      <c r="M408" s="24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4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/>
      <c r="CP408"/>
      <c r="CQ408"/>
      <c r="CR408"/>
      <c r="CS408"/>
      <c r="CT408"/>
      <c r="CU408" s="2"/>
      <c r="CV408" s="27"/>
      <c r="CW408" s="41"/>
      <c r="CX408" s="41"/>
      <c r="CY408" s="41"/>
      <c r="CZ408" s="17"/>
      <c r="DA408" s="17"/>
      <c r="DB408" s="17"/>
      <c r="DD408" s="17"/>
      <c r="DF408" s="94"/>
      <c r="DG408" s="41"/>
      <c r="DH408" s="42"/>
      <c r="DI408" s="43"/>
    </row>
    <row r="409" spans="2:113" ht="13.8">
      <c r="B409" s="17"/>
      <c r="C409" s="13"/>
      <c r="D409" s="22"/>
      <c r="E409" s="22"/>
      <c r="F409" s="22"/>
      <c r="G409" s="22"/>
      <c r="H409" s="22"/>
      <c r="I409" s="22"/>
      <c r="J409" s="22"/>
      <c r="K409" s="22"/>
      <c r="L409" s="22"/>
      <c r="M409" s="24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4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/>
      <c r="CP409"/>
      <c r="CQ409"/>
      <c r="CR409"/>
      <c r="CS409"/>
      <c r="CT409"/>
      <c r="CU409" s="2"/>
      <c r="CV409" s="27"/>
      <c r="CW409" s="41"/>
      <c r="CX409" s="41"/>
      <c r="CY409" s="41"/>
      <c r="CZ409" s="17"/>
      <c r="DA409" s="17"/>
      <c r="DB409" s="17"/>
      <c r="DD409" s="17"/>
      <c r="DF409" s="94"/>
      <c r="DG409" s="41"/>
      <c r="DH409" s="42"/>
      <c r="DI409" s="43"/>
    </row>
    <row r="410" spans="2:113" ht="13.8">
      <c r="B410" s="17"/>
      <c r="C410" s="13"/>
      <c r="D410" s="22"/>
      <c r="E410" s="22"/>
      <c r="F410" s="22"/>
      <c r="G410" s="22"/>
      <c r="H410" s="22"/>
      <c r="I410" s="22"/>
      <c r="J410" s="22"/>
      <c r="K410" s="22"/>
      <c r="L410" s="22"/>
      <c r="M410" s="24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4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/>
      <c r="CP410"/>
      <c r="CQ410"/>
      <c r="CR410"/>
      <c r="CS410"/>
      <c r="CT410"/>
      <c r="CU410" s="2"/>
      <c r="CV410" s="27"/>
      <c r="CW410" s="41"/>
      <c r="CX410" s="41"/>
      <c r="CY410" s="41"/>
      <c r="CZ410" s="17"/>
      <c r="DA410" s="17"/>
      <c r="DB410" s="17"/>
      <c r="DD410" s="17"/>
      <c r="DF410" s="94"/>
      <c r="DG410" s="41"/>
      <c r="DH410" s="42"/>
      <c r="DI410" s="43"/>
    </row>
    <row r="411" spans="2:113">
      <c r="B411" s="17"/>
      <c r="D411" s="22"/>
      <c r="E411" s="22"/>
      <c r="F411" s="22"/>
      <c r="G411" s="22"/>
      <c r="H411" s="22"/>
      <c r="I411" s="22"/>
      <c r="J411" s="22"/>
      <c r="K411" s="22"/>
      <c r="L411" s="22"/>
      <c r="M411" s="24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4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/>
      <c r="CP411"/>
      <c r="CQ411"/>
      <c r="CR411"/>
      <c r="CS411"/>
      <c r="CT411"/>
      <c r="CU411" s="2"/>
      <c r="CV411" s="27"/>
      <c r="CW411" s="41"/>
      <c r="CX411" s="41"/>
      <c r="CY411" s="41"/>
      <c r="CZ411" s="17"/>
      <c r="DA411" s="17"/>
      <c r="DB411" s="17"/>
      <c r="DD411" s="17"/>
      <c r="DF411" s="94"/>
      <c r="DG411" s="41"/>
      <c r="DH411" s="42"/>
      <c r="DI411" s="43"/>
    </row>
    <row r="412" spans="2:113">
      <c r="B412" s="17"/>
      <c r="D412" s="22"/>
      <c r="E412" s="22"/>
      <c r="F412" s="22"/>
      <c r="G412" s="22"/>
      <c r="H412" s="22"/>
      <c r="I412" s="22"/>
      <c r="J412" s="22"/>
      <c r="K412" s="22"/>
      <c r="L412" s="22"/>
      <c r="M412" s="24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4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/>
      <c r="CP412"/>
      <c r="CQ412"/>
      <c r="CR412"/>
      <c r="CS412"/>
      <c r="CT412"/>
      <c r="CU412" s="2"/>
      <c r="CV412" s="27"/>
      <c r="CW412" s="41"/>
      <c r="CX412" s="41"/>
      <c r="CY412" s="41"/>
      <c r="CZ412" s="17"/>
      <c r="DA412" s="17"/>
      <c r="DB412" s="17"/>
      <c r="DD412" s="17"/>
      <c r="DF412" s="94"/>
      <c r="DG412" s="41"/>
      <c r="DH412" s="42"/>
      <c r="DI412" s="43"/>
    </row>
    <row r="413" spans="2:113">
      <c r="B413" s="17"/>
      <c r="CP413"/>
      <c r="CQ413"/>
      <c r="CR413"/>
      <c r="CS413"/>
      <c r="CT413"/>
      <c r="CU413" s="2"/>
      <c r="CV413" s="27"/>
      <c r="CW413" s="41"/>
      <c r="CX413" s="41"/>
      <c r="CY413" s="41"/>
      <c r="CZ413" s="17"/>
      <c r="DA413" s="17"/>
      <c r="DB413" s="17"/>
      <c r="DD413" s="17"/>
      <c r="DF413" s="94"/>
      <c r="DG413" s="41"/>
      <c r="DH413" s="42"/>
      <c r="DI413" s="43"/>
    </row>
    <row r="414" spans="2:113">
      <c r="B414" s="17"/>
      <c r="CP414" s="2"/>
      <c r="CQ414" s="2"/>
      <c r="CR414" s="2"/>
      <c r="CS414" s="2"/>
      <c r="CT414" s="2"/>
      <c r="CU414" s="2"/>
      <c r="CV414" s="27"/>
      <c r="CW414" s="41"/>
      <c r="CX414" s="41"/>
      <c r="CY414" s="41"/>
      <c r="CZ414" s="17"/>
      <c r="DA414" s="17"/>
      <c r="DB414" s="17"/>
      <c r="DD414" s="17"/>
      <c r="DF414" s="94"/>
      <c r="DG414" s="41"/>
      <c r="DH414" s="42"/>
      <c r="DI414" s="43"/>
    </row>
    <row r="415" spans="2:113">
      <c r="B415" s="17"/>
      <c r="CP415" s="2"/>
      <c r="CQ415" s="2"/>
      <c r="CR415" s="2"/>
      <c r="CS415" s="2"/>
      <c r="CT415" s="2"/>
      <c r="CU415" s="2"/>
      <c r="CV415" s="27"/>
      <c r="CW415" s="41"/>
      <c r="CX415" s="41"/>
      <c r="CY415" s="41"/>
      <c r="CZ415" s="17"/>
      <c r="DA415" s="17"/>
      <c r="DB415" s="17"/>
      <c r="DD415" s="17"/>
      <c r="DF415" s="94"/>
      <c r="DG415" s="41"/>
      <c r="DH415" s="42"/>
      <c r="DI415" s="43"/>
    </row>
    <row r="416" spans="2:113">
      <c r="B416" s="17"/>
      <c r="CP416" s="2"/>
      <c r="CQ416" s="2"/>
      <c r="CR416" s="2"/>
      <c r="CS416" s="2"/>
      <c r="CT416" s="2"/>
      <c r="CU416" s="2"/>
      <c r="CV416" s="27"/>
      <c r="CW416" s="41"/>
      <c r="CX416" s="41"/>
      <c r="CY416" s="41"/>
      <c r="CZ416" s="17"/>
      <c r="DA416" s="17"/>
      <c r="DB416" s="17"/>
      <c r="DD416" s="17"/>
      <c r="DF416" s="94"/>
      <c r="DG416" s="41"/>
      <c r="DH416" s="42"/>
      <c r="DI416" s="43"/>
    </row>
    <row r="417" spans="1:113">
      <c r="B417" s="17"/>
      <c r="CP417" s="2"/>
      <c r="CQ417" s="2"/>
      <c r="CR417" s="2"/>
      <c r="CS417" s="2"/>
      <c r="CT417" s="2"/>
      <c r="CU417" s="2"/>
      <c r="CV417" s="27"/>
      <c r="CW417" s="41"/>
      <c r="CX417" s="41"/>
      <c r="CY417" s="41"/>
      <c r="CZ417" s="17"/>
      <c r="DA417" s="17"/>
      <c r="DB417" s="17"/>
      <c r="DD417" s="17"/>
      <c r="DF417" s="94"/>
      <c r="DG417" s="41"/>
      <c r="DH417" s="42"/>
      <c r="DI417" s="43"/>
    </row>
    <row r="418" spans="1:113">
      <c r="B418" s="17"/>
      <c r="CP418" s="2"/>
      <c r="CQ418" s="2"/>
      <c r="CR418" s="2"/>
      <c r="CS418" s="2"/>
      <c r="CT418" s="2"/>
      <c r="CU418" s="2"/>
      <c r="CV418" s="27"/>
      <c r="CW418" s="41"/>
      <c r="CX418" s="41"/>
      <c r="CY418" s="41"/>
      <c r="CZ418" s="17"/>
      <c r="DA418" s="17"/>
      <c r="DB418" s="17"/>
      <c r="DD418" s="17"/>
      <c r="DF418" s="94"/>
      <c r="DG418" s="41"/>
      <c r="DH418" s="42"/>
      <c r="DI418" s="43"/>
    </row>
    <row r="419" spans="1:113">
      <c r="A419"/>
      <c r="B419" s="17"/>
      <c r="CP419" s="2"/>
      <c r="CQ419" s="2"/>
      <c r="CR419" s="2"/>
      <c r="CS419" s="2"/>
      <c r="CT419" s="2"/>
      <c r="CU419" s="2"/>
      <c r="CV419" s="27"/>
      <c r="CW419" s="41"/>
      <c r="CX419" s="41"/>
      <c r="CY419" s="41"/>
      <c r="CZ419" s="17"/>
      <c r="DA419" s="17"/>
      <c r="DB419" s="17"/>
      <c r="DD419" s="17"/>
      <c r="DF419" s="94"/>
      <c r="DG419" s="41"/>
      <c r="DH419" s="42"/>
      <c r="DI419" s="43"/>
    </row>
    <row r="420" spans="1:113">
      <c r="A420"/>
      <c r="B420" s="17"/>
      <c r="CP420" s="2"/>
      <c r="CQ420" s="2"/>
      <c r="CR420" s="2"/>
      <c r="CS420" s="2"/>
      <c r="CT420" s="2"/>
      <c r="CU420" s="2"/>
      <c r="CV420" s="27"/>
      <c r="CW420" s="41"/>
      <c r="CX420" s="41"/>
      <c r="CY420" s="41"/>
      <c r="CZ420" s="17"/>
      <c r="DA420" s="17"/>
      <c r="DB420" s="17"/>
      <c r="DD420" s="17"/>
      <c r="DF420" s="94"/>
      <c r="DG420" s="41"/>
      <c r="DH420" s="42"/>
      <c r="DI420" s="43"/>
    </row>
    <row r="421" spans="1:113">
      <c r="A421"/>
      <c r="B421" s="17"/>
      <c r="CP421" s="2"/>
      <c r="CQ421" s="2"/>
      <c r="CR421" s="2"/>
      <c r="CS421" s="2"/>
      <c r="CT421" s="2"/>
      <c r="CU421" s="2"/>
      <c r="CV421" s="27"/>
      <c r="CW421" s="41"/>
      <c r="CX421" s="41"/>
      <c r="CY421" s="41"/>
      <c r="CZ421" s="17"/>
      <c r="DA421" s="17"/>
      <c r="DB421" s="17"/>
      <c r="DD421" s="17"/>
      <c r="DF421" s="94"/>
      <c r="DG421" s="41"/>
      <c r="DH421" s="42"/>
      <c r="DI421" s="43"/>
    </row>
    <row r="422" spans="1:113">
      <c r="A422"/>
      <c r="B422" s="17"/>
      <c r="CP422" s="2"/>
      <c r="CQ422" s="2"/>
      <c r="CR422" s="2"/>
      <c r="CS422" s="2"/>
      <c r="CT422" s="2"/>
      <c r="CU422" s="2"/>
      <c r="CV422" s="27"/>
      <c r="CW422" s="41"/>
      <c r="CX422" s="41"/>
      <c r="CY422" s="41"/>
      <c r="CZ422" s="17"/>
      <c r="DA422" s="17"/>
      <c r="DB422" s="17"/>
      <c r="DD422" s="17"/>
      <c r="DF422" s="94"/>
      <c r="DG422" s="41"/>
      <c r="DH422" s="42"/>
      <c r="DI422" s="43"/>
    </row>
    <row r="423" spans="1:113">
      <c r="A423"/>
      <c r="B423" s="17"/>
      <c r="CP423" s="2"/>
      <c r="CQ423" s="2"/>
      <c r="CR423" s="2"/>
      <c r="CS423" s="2"/>
      <c r="CT423" s="2"/>
      <c r="CU423" s="2"/>
      <c r="CV423" s="27"/>
      <c r="CW423" s="41"/>
      <c r="CX423" s="41"/>
      <c r="CY423" s="41"/>
      <c r="CZ423" s="17"/>
      <c r="DA423" s="17"/>
      <c r="DB423" s="17"/>
      <c r="DD423" s="17"/>
      <c r="DF423" s="94"/>
      <c r="DG423" s="41"/>
      <c r="DH423" s="42"/>
      <c r="DI423" s="43"/>
    </row>
    <row r="424" spans="1:113">
      <c r="A424"/>
      <c r="B424" s="17"/>
      <c r="CP424" s="2"/>
      <c r="CQ424" s="2"/>
      <c r="CR424" s="2"/>
      <c r="CS424" s="2"/>
      <c r="CT424" s="2"/>
      <c r="CU424" s="2"/>
      <c r="CV424" s="27"/>
      <c r="CW424" s="41"/>
      <c r="CX424" s="41"/>
      <c r="CY424" s="41"/>
      <c r="CZ424" s="17"/>
      <c r="DA424" s="17"/>
      <c r="DB424" s="17"/>
      <c r="DD424" s="17"/>
      <c r="DF424" s="94"/>
      <c r="DG424" s="41"/>
      <c r="DH424" s="42"/>
      <c r="DI424" s="43"/>
    </row>
    <row r="425" spans="1:113">
      <c r="A425"/>
      <c r="B425" s="17"/>
      <c r="CP425" s="2"/>
      <c r="CQ425" s="2"/>
      <c r="CR425" s="2"/>
      <c r="CS425" s="2"/>
      <c r="CT425" s="2"/>
      <c r="CU425" s="2"/>
      <c r="CV425" s="27"/>
      <c r="CW425" s="41"/>
      <c r="CX425" s="41"/>
      <c r="CY425" s="41"/>
      <c r="CZ425" s="17"/>
      <c r="DA425" s="17"/>
      <c r="DB425" s="17"/>
      <c r="DD425" s="17"/>
      <c r="DF425" s="94"/>
      <c r="DG425" s="41"/>
      <c r="DH425" s="42"/>
      <c r="DI425" s="43"/>
    </row>
    <row r="426" spans="1:113">
      <c r="B426" s="17"/>
      <c r="CP426" s="2"/>
      <c r="CQ426" s="2"/>
      <c r="CR426" s="2"/>
      <c r="CS426" s="2"/>
      <c r="CT426" s="2"/>
      <c r="CU426" s="2"/>
      <c r="CV426" s="27"/>
      <c r="CW426" s="41"/>
      <c r="CX426" s="41"/>
      <c r="CY426" s="41"/>
      <c r="CZ426" s="17"/>
      <c r="DA426" s="17"/>
      <c r="DB426" s="17"/>
      <c r="DD426" s="17"/>
      <c r="DF426" s="94"/>
      <c r="DG426" s="41"/>
      <c r="DH426" s="42"/>
      <c r="DI426" s="43"/>
    </row>
    <row r="427" spans="1:113">
      <c r="B427" s="17"/>
      <c r="CP427" s="2"/>
      <c r="CQ427" s="2"/>
      <c r="CR427" s="2"/>
      <c r="CS427" s="2"/>
      <c r="CT427" s="2"/>
      <c r="CU427" s="2"/>
      <c r="CV427" s="27"/>
      <c r="CW427" s="41"/>
      <c r="CX427" s="41"/>
      <c r="CY427" s="41"/>
      <c r="CZ427" s="17"/>
      <c r="DA427" s="17"/>
      <c r="DB427" s="17"/>
      <c r="DD427" s="17"/>
      <c r="DF427" s="94"/>
      <c r="DG427" s="41"/>
      <c r="DH427" s="42"/>
      <c r="DI427" s="43"/>
    </row>
    <row r="428" spans="1:113">
      <c r="B428" s="17"/>
      <c r="CP428" s="2"/>
      <c r="CQ428" s="2"/>
      <c r="CR428" s="2"/>
      <c r="CS428" s="2"/>
      <c r="CT428" s="2"/>
      <c r="CU428" s="2"/>
      <c r="CV428" s="27"/>
      <c r="CW428" s="41"/>
      <c r="CX428" s="41"/>
      <c r="CY428" s="41"/>
      <c r="CZ428" s="17"/>
      <c r="DA428" s="17"/>
      <c r="DB428" s="17"/>
      <c r="DD428" s="17"/>
      <c r="DF428" s="94"/>
      <c r="DG428" s="41"/>
      <c r="DH428" s="42"/>
      <c r="DI428" s="43"/>
    </row>
    <row r="429" spans="1:113">
      <c r="B429" s="17"/>
      <c r="CP429" s="2"/>
      <c r="CQ429" s="2"/>
      <c r="CR429" s="2"/>
      <c r="CS429" s="2"/>
      <c r="CT429" s="2"/>
      <c r="CU429" s="2"/>
      <c r="CV429" s="27"/>
      <c r="CW429" s="41"/>
      <c r="CX429" s="41"/>
      <c r="CY429" s="41"/>
      <c r="CZ429" s="17"/>
      <c r="DA429" s="17"/>
      <c r="DB429" s="17"/>
      <c r="DD429" s="17"/>
      <c r="DF429" s="94"/>
      <c r="DG429" s="41"/>
      <c r="DH429" s="42"/>
      <c r="DI429" s="43"/>
    </row>
    <row r="430" spans="1:113">
      <c r="B430" s="17"/>
      <c r="CP430" s="2"/>
      <c r="CQ430" s="2"/>
      <c r="CR430" s="2"/>
      <c r="CS430" s="2"/>
      <c r="CT430" s="2"/>
      <c r="CU430" s="2"/>
      <c r="CV430" s="27"/>
      <c r="CW430" s="41"/>
      <c r="CX430" s="41"/>
      <c r="CY430" s="41"/>
      <c r="CZ430" s="17"/>
      <c r="DA430" s="17"/>
      <c r="DB430" s="17"/>
      <c r="DD430" s="17"/>
      <c r="DF430" s="94"/>
      <c r="DG430" s="41"/>
      <c r="DH430" s="42"/>
      <c r="DI430" s="43"/>
    </row>
    <row r="431" spans="1:113">
      <c r="B431" s="17"/>
      <c r="CP431" s="2"/>
      <c r="CQ431" s="2"/>
      <c r="CR431" s="2"/>
      <c r="CS431" s="2"/>
      <c r="CT431" s="2"/>
      <c r="CU431" s="2"/>
      <c r="CV431" s="27"/>
      <c r="CW431" s="41"/>
      <c r="CX431" s="41"/>
      <c r="CY431" s="41"/>
      <c r="CZ431" s="17"/>
      <c r="DA431" s="17"/>
      <c r="DB431" s="17"/>
      <c r="DD431" s="17"/>
      <c r="DF431" s="94"/>
      <c r="DG431" s="41"/>
      <c r="DH431" s="42"/>
      <c r="DI431" s="43"/>
    </row>
    <row r="432" spans="1:113">
      <c r="B432" s="17"/>
      <c r="CP432" s="2"/>
      <c r="CQ432" s="2"/>
      <c r="CR432" s="2"/>
      <c r="CS432" s="2"/>
      <c r="CT432" s="2"/>
      <c r="CU432" s="2"/>
      <c r="CV432" s="27"/>
      <c r="CW432" s="41"/>
      <c r="CX432" s="41"/>
      <c r="CY432" s="41"/>
      <c r="CZ432" s="17"/>
      <c r="DA432" s="17"/>
      <c r="DB432" s="17"/>
      <c r="DD432" s="17"/>
      <c r="DF432" s="94"/>
      <c r="DG432" s="41"/>
      <c r="DH432" s="42"/>
      <c r="DI432" s="43"/>
    </row>
    <row r="433" spans="2:113">
      <c r="B433" s="17"/>
      <c r="CP433" s="2"/>
      <c r="CQ433" s="2"/>
      <c r="CR433" s="2"/>
      <c r="CS433" s="2"/>
      <c r="CT433" s="2"/>
      <c r="CU433" s="2"/>
      <c r="CV433" s="27"/>
      <c r="CW433" s="41"/>
      <c r="CX433" s="41"/>
      <c r="CY433" s="41"/>
      <c r="CZ433" s="17"/>
      <c r="DA433" s="17"/>
      <c r="DB433" s="17"/>
      <c r="DD433" s="17"/>
      <c r="DF433" s="94"/>
      <c r="DG433" s="41"/>
      <c r="DH433" s="42"/>
      <c r="DI433" s="43"/>
    </row>
    <row r="434" spans="2:113">
      <c r="B434" s="17"/>
      <c r="CP434" s="2"/>
      <c r="CQ434" s="2"/>
      <c r="CR434" s="2"/>
      <c r="CS434" s="2"/>
      <c r="CT434" s="2"/>
      <c r="CU434" s="2"/>
      <c r="CV434" s="27"/>
      <c r="CW434" s="41"/>
      <c r="CX434" s="41"/>
      <c r="CY434" s="41"/>
      <c r="CZ434" s="17"/>
      <c r="DA434" s="17"/>
      <c r="DB434" s="17"/>
      <c r="DD434" s="17"/>
      <c r="DF434" s="94"/>
      <c r="DG434" s="41"/>
      <c r="DH434" s="42"/>
      <c r="DI434" s="43"/>
    </row>
    <row r="435" spans="2:113">
      <c r="B435" s="17"/>
      <c r="CP435" s="2"/>
      <c r="CQ435" s="2"/>
      <c r="CR435" s="2"/>
      <c r="CS435" s="2"/>
      <c r="CT435" s="2"/>
      <c r="CU435" s="2"/>
      <c r="CV435" s="27"/>
      <c r="CW435" s="41"/>
      <c r="CX435" s="41"/>
      <c r="CY435" s="41"/>
      <c r="CZ435" s="17"/>
      <c r="DA435" s="17"/>
      <c r="DB435" s="17"/>
      <c r="DD435" s="17"/>
      <c r="DF435" s="94"/>
      <c r="DG435" s="41"/>
      <c r="DH435" s="42"/>
      <c r="DI435" s="43"/>
    </row>
    <row r="436" spans="2:113">
      <c r="B436" s="17"/>
      <c r="CP436" s="2"/>
      <c r="CQ436" s="2"/>
      <c r="CR436" s="2"/>
      <c r="CS436" s="2"/>
      <c r="CT436" s="2"/>
      <c r="CU436" s="2"/>
      <c r="CV436" s="27"/>
      <c r="CW436" s="41"/>
      <c r="CX436" s="41"/>
      <c r="CY436" s="41"/>
      <c r="CZ436" s="17"/>
      <c r="DA436" s="17"/>
      <c r="DB436" s="17"/>
      <c r="DD436" s="17"/>
      <c r="DF436" s="94"/>
      <c r="DG436" s="41"/>
      <c r="DH436" s="42"/>
      <c r="DI436" s="43"/>
    </row>
    <row r="437" spans="2:113">
      <c r="B437" s="17"/>
      <c r="CP437" s="2"/>
      <c r="CQ437" s="2"/>
      <c r="CR437" s="2"/>
      <c r="CS437" s="2"/>
      <c r="CT437" s="2"/>
      <c r="CU437" s="2"/>
      <c r="CV437" s="27"/>
      <c r="CW437" s="41"/>
      <c r="CX437" s="41"/>
      <c r="CY437" s="41"/>
      <c r="CZ437" s="17"/>
      <c r="DA437" s="17"/>
      <c r="DB437" s="17"/>
      <c r="DD437" s="17"/>
      <c r="DF437" s="94"/>
      <c r="DG437" s="41"/>
      <c r="DH437" s="42"/>
      <c r="DI437" s="43"/>
    </row>
    <row r="438" spans="2:113">
      <c r="B438" s="17"/>
      <c r="CP438" s="2"/>
      <c r="CQ438" s="2"/>
      <c r="CR438" s="2"/>
      <c r="CS438" s="2"/>
      <c r="CT438" s="2"/>
      <c r="CU438" s="2"/>
      <c r="CV438" s="27"/>
      <c r="CW438" s="41"/>
      <c r="CX438" s="41"/>
      <c r="CY438" s="41"/>
      <c r="CZ438" s="17"/>
      <c r="DA438" s="17"/>
      <c r="DB438" s="17"/>
      <c r="DD438" s="17"/>
      <c r="DF438" s="94"/>
      <c r="DG438" s="41"/>
      <c r="DH438" s="42"/>
      <c r="DI438" s="43"/>
    </row>
    <row r="439" spans="2:113">
      <c r="B439" s="17"/>
      <c r="CP439" s="2"/>
      <c r="CQ439" s="2"/>
      <c r="CR439" s="2"/>
      <c r="CS439" s="2"/>
      <c r="CT439" s="2"/>
      <c r="CU439" s="2"/>
      <c r="CV439" s="27"/>
      <c r="CW439" s="41"/>
      <c r="CX439" s="41"/>
      <c r="CY439" s="41"/>
      <c r="CZ439" s="17"/>
      <c r="DA439" s="17"/>
      <c r="DB439" s="17"/>
      <c r="DD439" s="17"/>
      <c r="DF439" s="94"/>
      <c r="DG439" s="41"/>
      <c r="DH439" s="42"/>
      <c r="DI439" s="43"/>
    </row>
    <row r="440" spans="2:113">
      <c r="B440" s="17"/>
      <c r="CP440" s="2"/>
      <c r="CQ440" s="2"/>
      <c r="CR440" s="2"/>
      <c r="CS440" s="2"/>
      <c r="CT440" s="2"/>
      <c r="CU440" s="2"/>
      <c r="CV440" s="27"/>
      <c r="CW440" s="41"/>
      <c r="CX440" s="41"/>
      <c r="CY440" s="41"/>
      <c r="CZ440" s="17"/>
      <c r="DA440" s="17"/>
      <c r="DB440" s="17"/>
      <c r="DD440" s="17"/>
      <c r="DF440" s="94"/>
      <c r="DG440" s="41"/>
      <c r="DH440" s="42"/>
      <c r="DI440" s="43"/>
    </row>
    <row r="441" spans="2:113">
      <c r="B441" s="17"/>
      <c r="CP441" s="2"/>
      <c r="CQ441" s="2"/>
      <c r="CR441" s="2"/>
      <c r="CS441" s="2"/>
      <c r="CT441" s="2"/>
      <c r="CU441" s="2"/>
      <c r="CV441" s="27"/>
      <c r="CW441" s="41"/>
      <c r="CX441" s="41"/>
      <c r="CY441" s="41"/>
      <c r="CZ441" s="17"/>
      <c r="DA441" s="17"/>
      <c r="DB441" s="17"/>
      <c r="DD441" s="17"/>
      <c r="DF441" s="94"/>
      <c r="DG441" s="41"/>
      <c r="DH441" s="42"/>
      <c r="DI441" s="43"/>
    </row>
    <row r="442" spans="2:113">
      <c r="B442" s="17"/>
      <c r="CP442" s="2"/>
      <c r="CQ442" s="2"/>
      <c r="CR442" s="2"/>
      <c r="CS442" s="2"/>
      <c r="CT442" s="2"/>
      <c r="CU442" s="2"/>
      <c r="CV442" s="27"/>
      <c r="CW442" s="41"/>
      <c r="CX442" s="41"/>
      <c r="CY442" s="41"/>
      <c r="CZ442" s="17"/>
      <c r="DA442" s="17"/>
      <c r="DB442" s="17"/>
      <c r="DD442" s="17"/>
      <c r="DF442" s="94"/>
      <c r="DG442" s="41"/>
      <c r="DH442" s="42"/>
      <c r="DI442" s="43"/>
    </row>
    <row r="443" spans="2:113">
      <c r="B443" s="17"/>
      <c r="CP443" s="2"/>
      <c r="CQ443" s="2"/>
      <c r="CR443" s="2"/>
      <c r="CS443" s="2"/>
      <c r="CT443" s="2"/>
      <c r="CU443" s="2"/>
      <c r="CV443" s="27"/>
      <c r="CW443" s="41"/>
      <c r="CX443" s="41"/>
      <c r="CY443" s="41"/>
      <c r="CZ443" s="17"/>
      <c r="DA443" s="17"/>
      <c r="DB443" s="17"/>
      <c r="DD443" s="17"/>
      <c r="DF443" s="94"/>
      <c r="DG443" s="41"/>
      <c r="DH443" s="42"/>
      <c r="DI443" s="43"/>
    </row>
    <row r="444" spans="2:113">
      <c r="B444" s="17"/>
      <c r="CP444" s="2"/>
      <c r="CQ444" s="2"/>
      <c r="CR444" s="2"/>
      <c r="CS444" s="2"/>
      <c r="CT444" s="2"/>
      <c r="CU444" s="2"/>
      <c r="CV444" s="27"/>
      <c r="CW444" s="41"/>
      <c r="CX444" s="41"/>
      <c r="CY444" s="41"/>
      <c r="CZ444" s="17"/>
      <c r="DA444" s="17"/>
      <c r="DB444" s="17"/>
      <c r="DD444" s="17"/>
      <c r="DF444" s="94"/>
      <c r="DG444" s="41"/>
      <c r="DH444" s="42"/>
      <c r="DI444" s="43"/>
    </row>
    <row r="445" spans="2:113">
      <c r="B445" s="17"/>
      <c r="CP445" s="2"/>
      <c r="CQ445" s="2"/>
      <c r="CR445" s="2"/>
      <c r="CS445" s="2"/>
      <c r="CT445" s="2"/>
      <c r="CU445" s="2"/>
      <c r="CV445" s="27"/>
      <c r="CW445" s="41"/>
      <c r="CX445" s="41"/>
      <c r="CY445" s="41"/>
      <c r="CZ445" s="17"/>
      <c r="DA445" s="17"/>
      <c r="DB445" s="17"/>
      <c r="DD445" s="17"/>
      <c r="DF445" s="94"/>
      <c r="DG445" s="41"/>
      <c r="DH445" s="42"/>
      <c r="DI445" s="43"/>
    </row>
    <row r="446" spans="2:113">
      <c r="B446" s="17"/>
      <c r="CP446" s="2"/>
      <c r="CQ446" s="2"/>
      <c r="CR446" s="2"/>
      <c r="CS446" s="2"/>
      <c r="CT446" s="2"/>
      <c r="CU446" s="2"/>
      <c r="CV446" s="27"/>
      <c r="CW446" s="41"/>
      <c r="CX446" s="41"/>
      <c r="CY446" s="41"/>
      <c r="CZ446" s="17"/>
      <c r="DA446" s="17"/>
      <c r="DB446" s="17"/>
      <c r="DD446" s="17"/>
      <c r="DF446" s="94"/>
      <c r="DG446" s="41"/>
      <c r="DH446" s="42"/>
      <c r="DI446" s="43"/>
    </row>
    <row r="447" spans="2:113">
      <c r="B447" s="17"/>
      <c r="CP447" s="2"/>
      <c r="CQ447" s="2"/>
      <c r="CR447" s="2"/>
      <c r="CS447" s="2"/>
      <c r="CT447" s="2"/>
      <c r="CU447" s="2"/>
      <c r="CV447" s="27"/>
      <c r="CW447" s="41"/>
      <c r="CX447" s="41"/>
      <c r="CY447" s="41"/>
      <c r="CZ447" s="17"/>
      <c r="DA447" s="17"/>
      <c r="DB447" s="17"/>
      <c r="DD447" s="17"/>
      <c r="DF447" s="94"/>
      <c r="DG447" s="41"/>
      <c r="DH447" s="42"/>
      <c r="DI447" s="43"/>
    </row>
    <row r="448" spans="2:113">
      <c r="B448" s="17"/>
      <c r="CP448" s="2"/>
      <c r="CQ448" s="2"/>
      <c r="CR448" s="2"/>
      <c r="CS448" s="2"/>
      <c r="CT448" s="2"/>
      <c r="CU448" s="2"/>
      <c r="CV448" s="27"/>
      <c r="CW448" s="41"/>
      <c r="CX448" s="41"/>
      <c r="CY448" s="41"/>
      <c r="CZ448" s="17"/>
      <c r="DA448" s="17"/>
      <c r="DB448" s="17"/>
      <c r="DD448" s="17"/>
      <c r="DF448" s="94"/>
      <c r="DG448" s="41"/>
      <c r="DH448" s="42"/>
      <c r="DI448" s="43"/>
    </row>
    <row r="449" spans="2:113">
      <c r="B449" s="17"/>
      <c r="CP449" s="2"/>
      <c r="CQ449" s="2"/>
      <c r="CR449" s="2"/>
      <c r="CS449" s="2"/>
      <c r="CT449" s="2"/>
      <c r="CU449" s="2"/>
      <c r="CV449" s="27"/>
      <c r="CW449" s="41"/>
      <c r="CX449" s="41"/>
      <c r="CY449" s="41"/>
      <c r="CZ449" s="17"/>
      <c r="DA449" s="17"/>
      <c r="DB449" s="17"/>
      <c r="DD449" s="17"/>
      <c r="DF449" s="94"/>
      <c r="DG449" s="41"/>
      <c r="DH449" s="42"/>
      <c r="DI449" s="43"/>
    </row>
    <row r="450" spans="2:113">
      <c r="B450" s="17"/>
      <c r="CP450" s="2"/>
      <c r="CQ450" s="2"/>
      <c r="CR450" s="2"/>
      <c r="CS450" s="2"/>
      <c r="CT450" s="2"/>
      <c r="CU450" s="2"/>
      <c r="CV450" s="27"/>
      <c r="CW450" s="41"/>
      <c r="CX450" s="41"/>
      <c r="CY450" s="41"/>
      <c r="CZ450" s="17"/>
      <c r="DA450" s="17"/>
      <c r="DB450" s="17"/>
      <c r="DD450" s="17"/>
      <c r="DF450" s="94"/>
      <c r="DG450" s="41"/>
      <c r="DH450" s="42"/>
      <c r="DI450" s="43"/>
    </row>
    <row r="451" spans="2:113">
      <c r="B451" s="17"/>
      <c r="CP451" s="2"/>
      <c r="CQ451" s="2"/>
      <c r="CR451" s="2"/>
      <c r="CS451" s="2"/>
      <c r="CT451" s="2"/>
      <c r="CU451" s="2"/>
      <c r="CV451" s="27"/>
      <c r="CW451" s="41"/>
      <c r="CX451" s="41"/>
      <c r="CY451" s="41"/>
      <c r="CZ451" s="17"/>
      <c r="DA451" s="17"/>
      <c r="DB451" s="17"/>
      <c r="DD451" s="17"/>
      <c r="DF451" s="94"/>
      <c r="DG451" s="41"/>
      <c r="DH451" s="42"/>
      <c r="DI451" s="43"/>
    </row>
    <row r="452" spans="2:113">
      <c r="B452" s="17"/>
      <c r="CP452" s="2"/>
      <c r="CQ452" s="2"/>
      <c r="CR452" s="2"/>
      <c r="CS452" s="2"/>
      <c r="CT452" s="2"/>
      <c r="CU452" s="2"/>
      <c r="CV452" s="27"/>
      <c r="CW452" s="41"/>
      <c r="CX452" s="41"/>
      <c r="CY452" s="41"/>
      <c r="CZ452" s="17"/>
      <c r="DA452" s="17"/>
      <c r="DB452" s="17"/>
      <c r="DD452" s="17"/>
      <c r="DF452" s="94"/>
      <c r="DG452" s="41"/>
      <c r="DH452" s="42"/>
      <c r="DI452" s="43"/>
    </row>
    <row r="453" spans="2:113">
      <c r="B453" s="17"/>
      <c r="CP453" s="2"/>
      <c r="CQ453" s="2"/>
      <c r="CR453" s="2"/>
      <c r="CS453" s="2"/>
      <c r="CT453" s="2"/>
      <c r="CU453" s="2"/>
      <c r="CV453" s="27"/>
      <c r="CW453" s="41"/>
      <c r="CX453" s="41"/>
      <c r="CY453" s="41"/>
      <c r="CZ453" s="17"/>
      <c r="DA453" s="17"/>
      <c r="DB453" s="17"/>
      <c r="DD453" s="17"/>
      <c r="DF453" s="94"/>
      <c r="DG453" s="41"/>
      <c r="DH453" s="42"/>
      <c r="DI453" s="43"/>
    </row>
    <row r="454" spans="2:113">
      <c r="B454" s="17"/>
      <c r="CP454" s="2"/>
      <c r="CQ454" s="2"/>
      <c r="CR454" s="2"/>
      <c r="CS454" s="2"/>
      <c r="CT454" s="2"/>
      <c r="CU454" s="2"/>
      <c r="CV454" s="27"/>
      <c r="CW454" s="41"/>
      <c r="CX454" s="41"/>
      <c r="CY454" s="41"/>
      <c r="CZ454" s="17"/>
      <c r="DA454" s="17"/>
      <c r="DB454" s="17"/>
      <c r="DD454" s="17"/>
      <c r="DF454" s="94"/>
      <c r="DG454" s="41"/>
      <c r="DH454" s="42"/>
      <c r="DI454" s="43"/>
    </row>
    <row r="455" spans="2:113">
      <c r="B455" s="17"/>
      <c r="CP455" s="2"/>
      <c r="CQ455" s="2"/>
      <c r="CR455" s="2"/>
      <c r="CS455" s="2"/>
      <c r="CT455" s="2"/>
      <c r="CU455" s="2"/>
      <c r="CV455" s="27"/>
      <c r="CW455" s="41"/>
      <c r="CX455" s="41"/>
      <c r="CY455" s="41"/>
      <c r="CZ455" s="17"/>
      <c r="DA455" s="17"/>
      <c r="DB455" s="17"/>
      <c r="DD455" s="17"/>
      <c r="DF455" s="94"/>
      <c r="DG455" s="41"/>
      <c r="DH455" s="42"/>
      <c r="DI455" s="43"/>
    </row>
    <row r="456" spans="2:113">
      <c r="B456" s="17"/>
      <c r="CP456" s="2"/>
      <c r="CQ456" s="2"/>
      <c r="CR456" s="2"/>
      <c r="CS456" s="2"/>
      <c r="CT456" s="2"/>
      <c r="CU456" s="2"/>
      <c r="CV456" s="27"/>
      <c r="CW456" s="41"/>
      <c r="CX456" s="41"/>
      <c r="CY456" s="41"/>
      <c r="CZ456" s="17"/>
      <c r="DA456" s="17"/>
      <c r="DB456" s="17"/>
      <c r="DD456" s="17"/>
      <c r="DF456" s="94"/>
      <c r="DG456" s="41"/>
      <c r="DH456" s="42"/>
      <c r="DI456" s="43"/>
    </row>
    <row r="457" spans="2:113">
      <c r="B457" s="17"/>
      <c r="CP457" s="2"/>
      <c r="CQ457" s="2"/>
      <c r="CR457" s="2"/>
      <c r="CS457" s="2"/>
      <c r="CT457" s="2"/>
      <c r="CU457" s="2"/>
      <c r="CV457" s="27"/>
      <c r="CW457" s="41"/>
      <c r="CX457" s="41"/>
      <c r="CY457" s="41"/>
      <c r="CZ457" s="17"/>
      <c r="DA457" s="17"/>
      <c r="DB457" s="17"/>
      <c r="DD457" s="17"/>
      <c r="DF457" s="94"/>
      <c r="DG457" s="41"/>
      <c r="DH457" s="42"/>
      <c r="DI457" s="43"/>
    </row>
    <row r="458" spans="2:113">
      <c r="B458" s="17"/>
      <c r="CP458" s="2"/>
      <c r="CQ458" s="2"/>
      <c r="CR458" s="2"/>
      <c r="CS458" s="2"/>
      <c r="CT458" s="2"/>
      <c r="CU458" s="2"/>
      <c r="CV458" s="27"/>
      <c r="CW458" s="41"/>
      <c r="CX458" s="41"/>
      <c r="CY458" s="41"/>
      <c r="CZ458" s="17"/>
      <c r="DA458" s="17"/>
      <c r="DB458" s="17"/>
      <c r="DD458" s="17"/>
      <c r="DF458" s="94"/>
      <c r="DG458" s="41"/>
      <c r="DH458" s="42"/>
      <c r="DI458" s="43"/>
    </row>
    <row r="459" spans="2:113">
      <c r="B459" s="17"/>
      <c r="CP459" s="2"/>
      <c r="CQ459" s="2"/>
      <c r="CR459" s="2"/>
      <c r="CS459" s="2"/>
      <c r="CT459" s="2"/>
      <c r="CU459" s="2"/>
      <c r="CV459" s="27"/>
      <c r="CW459" s="41"/>
      <c r="CX459" s="41"/>
      <c r="CY459" s="41"/>
      <c r="CZ459" s="17"/>
      <c r="DA459" s="17"/>
      <c r="DB459" s="17"/>
      <c r="DD459" s="17"/>
      <c r="DF459" s="94"/>
      <c r="DG459" s="41"/>
      <c r="DH459" s="42"/>
      <c r="DI459" s="43"/>
    </row>
    <row r="460" spans="2:113">
      <c r="B460" s="17"/>
      <c r="CP460" s="2"/>
      <c r="CQ460" s="2"/>
      <c r="CR460" s="2"/>
      <c r="CS460" s="2"/>
      <c r="CT460" s="2"/>
      <c r="CU460" s="2"/>
      <c r="CV460" s="27"/>
      <c r="CW460" s="41"/>
      <c r="CX460" s="41"/>
      <c r="CY460" s="41"/>
      <c r="CZ460" s="17"/>
      <c r="DA460" s="17"/>
      <c r="DB460" s="17"/>
      <c r="DD460" s="17"/>
      <c r="DF460" s="94"/>
      <c r="DG460" s="41"/>
      <c r="DH460" s="42"/>
      <c r="DI460" s="43"/>
    </row>
    <row r="461" spans="2:113">
      <c r="B461" s="17"/>
      <c r="CP461" s="2"/>
      <c r="CQ461" s="2"/>
      <c r="CR461" s="2"/>
      <c r="CS461" s="2"/>
      <c r="CT461" s="2"/>
      <c r="CU461" s="2"/>
      <c r="CV461" s="27"/>
      <c r="CW461" s="41"/>
      <c r="CX461" s="41"/>
      <c r="CY461" s="41"/>
      <c r="CZ461" s="17"/>
      <c r="DA461" s="17"/>
      <c r="DB461" s="17"/>
      <c r="DD461" s="17"/>
      <c r="DF461" s="94"/>
      <c r="DG461" s="41"/>
      <c r="DH461" s="42"/>
      <c r="DI461" s="43"/>
    </row>
    <row r="462" spans="2:113">
      <c r="B462" s="17"/>
      <c r="CP462" s="2"/>
      <c r="CQ462" s="2"/>
      <c r="CR462" s="2"/>
      <c r="CS462" s="2"/>
      <c r="CT462" s="2"/>
      <c r="CU462" s="2"/>
      <c r="CV462" s="27"/>
      <c r="CW462" s="41"/>
      <c r="CX462" s="41"/>
      <c r="CY462" s="41"/>
      <c r="CZ462" s="17"/>
      <c r="DA462" s="17"/>
      <c r="DB462" s="17"/>
      <c r="DD462" s="17"/>
      <c r="DF462" s="94"/>
      <c r="DG462" s="41"/>
      <c r="DH462" s="42"/>
      <c r="DI462" s="43"/>
    </row>
    <row r="463" spans="2:113">
      <c r="B463" s="17"/>
      <c r="CP463" s="2"/>
      <c r="CQ463" s="2"/>
      <c r="CR463" s="2"/>
      <c r="CS463" s="2"/>
      <c r="CT463" s="2"/>
      <c r="CU463" s="2"/>
      <c r="CV463" s="27"/>
      <c r="CW463" s="41"/>
      <c r="CX463" s="41"/>
      <c r="CY463" s="41"/>
      <c r="CZ463" s="17"/>
      <c r="DA463" s="17"/>
      <c r="DB463" s="17"/>
      <c r="DD463" s="17"/>
      <c r="DF463" s="94"/>
      <c r="DG463" s="41"/>
      <c r="DH463" s="42"/>
      <c r="DI463" s="43"/>
    </row>
    <row r="464" spans="2:113">
      <c r="B464" s="17"/>
      <c r="CP464" s="2"/>
      <c r="CQ464" s="2"/>
      <c r="CR464" s="2"/>
      <c r="CS464" s="2"/>
      <c r="CT464" s="2"/>
      <c r="CU464" s="2"/>
      <c r="CV464" s="27"/>
      <c r="CW464" s="41"/>
      <c r="CX464" s="41"/>
      <c r="CY464" s="41"/>
      <c r="CZ464" s="17"/>
      <c r="DA464" s="17"/>
      <c r="DB464" s="17"/>
      <c r="DD464" s="17"/>
      <c r="DF464" s="94"/>
      <c r="DG464" s="41"/>
      <c r="DH464" s="42"/>
      <c r="DI464" s="43"/>
    </row>
    <row r="465" spans="2:113">
      <c r="B465" s="17"/>
      <c r="CP465" s="2"/>
      <c r="CQ465" s="2"/>
      <c r="CR465" s="2"/>
      <c r="CS465" s="2"/>
      <c r="CT465" s="2"/>
      <c r="CU465" s="2"/>
      <c r="CV465" s="27"/>
      <c r="CW465" s="41"/>
      <c r="CX465" s="41"/>
      <c r="CY465" s="41"/>
      <c r="CZ465" s="17"/>
      <c r="DA465" s="17"/>
      <c r="DB465" s="17"/>
      <c r="DD465" s="17"/>
      <c r="DF465" s="94"/>
      <c r="DG465" s="41"/>
      <c r="DH465" s="42"/>
      <c r="DI465" s="43"/>
    </row>
    <row r="466" spans="2:113">
      <c r="B466" s="17"/>
      <c r="CP466" s="2"/>
      <c r="CQ466" s="2"/>
      <c r="CR466" s="2"/>
      <c r="CS466" s="2"/>
      <c r="CT466" s="2"/>
      <c r="CU466" s="2"/>
      <c r="CV466" s="27"/>
      <c r="CW466" s="41"/>
      <c r="CX466" s="41"/>
      <c r="CY466" s="41"/>
      <c r="CZ466" s="17"/>
      <c r="DA466" s="17"/>
      <c r="DB466" s="17"/>
      <c r="DD466" s="17"/>
      <c r="DF466" s="94"/>
      <c r="DG466" s="41"/>
      <c r="DH466" s="42"/>
      <c r="DI466" s="43"/>
    </row>
    <row r="467" spans="2:113">
      <c r="B467" s="17"/>
      <c r="CP467" s="2"/>
      <c r="CQ467" s="2"/>
      <c r="CR467" s="2"/>
      <c r="CS467" s="2"/>
      <c r="CT467" s="2"/>
      <c r="CU467" s="2"/>
      <c r="CV467" s="27"/>
      <c r="CW467" s="41"/>
      <c r="CX467" s="41"/>
      <c r="CY467" s="41"/>
      <c r="CZ467" s="17"/>
      <c r="DA467" s="17"/>
      <c r="DB467" s="17"/>
      <c r="DD467" s="17"/>
      <c r="DF467" s="94"/>
      <c r="DG467" s="41"/>
      <c r="DH467" s="42"/>
      <c r="DI467" s="43"/>
    </row>
    <row r="468" spans="2:113">
      <c r="B468" s="17"/>
      <c r="CP468" s="2"/>
      <c r="CQ468" s="2"/>
      <c r="CR468" s="2"/>
      <c r="CS468" s="2"/>
      <c r="CT468" s="2"/>
      <c r="CU468" s="2"/>
      <c r="CV468" s="27"/>
      <c r="CW468" s="41"/>
      <c r="CX468" s="41"/>
      <c r="CY468" s="41"/>
      <c r="CZ468" s="17"/>
      <c r="DA468" s="17"/>
      <c r="DB468" s="17"/>
      <c r="DD468" s="17"/>
      <c r="DF468" s="94"/>
      <c r="DG468" s="41"/>
      <c r="DH468" s="42"/>
      <c r="DI468" s="43"/>
    </row>
    <row r="469" spans="2:113">
      <c r="B469" s="17"/>
      <c r="CP469" s="2"/>
      <c r="CQ469" s="2"/>
      <c r="CR469" s="2"/>
      <c r="CS469" s="2"/>
      <c r="CT469" s="2"/>
      <c r="CU469" s="2"/>
      <c r="CV469" s="27"/>
      <c r="CW469" s="41"/>
      <c r="CX469" s="41"/>
      <c r="CY469" s="41"/>
      <c r="CZ469" s="17"/>
      <c r="DA469" s="17"/>
      <c r="DB469" s="17"/>
      <c r="DD469" s="17"/>
      <c r="DF469" s="94"/>
      <c r="DG469" s="41"/>
      <c r="DH469" s="42"/>
      <c r="DI469" s="43"/>
    </row>
    <row r="470" spans="2:113">
      <c r="B470" s="17"/>
      <c r="CP470" s="2"/>
      <c r="CQ470" s="2"/>
      <c r="CR470" s="2"/>
      <c r="CS470" s="2"/>
      <c r="CT470" s="2"/>
      <c r="CU470" s="2"/>
      <c r="CV470" s="27"/>
      <c r="CW470" s="41"/>
      <c r="CX470" s="41"/>
      <c r="CY470" s="41"/>
      <c r="CZ470" s="17"/>
      <c r="DA470" s="17"/>
      <c r="DB470" s="17"/>
      <c r="DD470" s="17"/>
      <c r="DF470" s="94"/>
      <c r="DG470" s="41"/>
      <c r="DH470" s="42"/>
      <c r="DI470" s="43"/>
    </row>
    <row r="471" spans="2:113">
      <c r="B471" s="17"/>
      <c r="CP471" s="2"/>
      <c r="CQ471" s="2"/>
      <c r="CR471" s="2"/>
      <c r="CS471" s="2"/>
      <c r="CT471" s="2"/>
      <c r="CU471" s="2"/>
      <c r="CV471" s="27"/>
      <c r="CW471" s="41"/>
      <c r="CX471" s="41"/>
      <c r="CY471" s="41"/>
      <c r="CZ471" s="17"/>
      <c r="DA471" s="17"/>
      <c r="DB471" s="17"/>
      <c r="DD471" s="17"/>
      <c r="DF471" s="94"/>
      <c r="DG471" s="41"/>
      <c r="DH471" s="42"/>
      <c r="DI471" s="43"/>
    </row>
    <row r="472" spans="2:113">
      <c r="B472" s="17"/>
      <c r="CP472" s="2"/>
      <c r="CQ472" s="2"/>
      <c r="CR472" s="2"/>
      <c r="CS472" s="2"/>
      <c r="CT472" s="2"/>
      <c r="CU472" s="2"/>
      <c r="CV472" s="27"/>
      <c r="CW472" s="41"/>
      <c r="CX472" s="41"/>
      <c r="CY472" s="41"/>
      <c r="CZ472" s="17"/>
      <c r="DA472" s="17"/>
      <c r="DB472" s="17"/>
      <c r="DD472" s="17"/>
      <c r="DF472" s="94"/>
      <c r="DG472" s="41"/>
      <c r="DH472" s="42"/>
      <c r="DI472" s="43"/>
    </row>
    <row r="473" spans="2:113">
      <c r="B473" s="17"/>
      <c r="CP473" s="2"/>
      <c r="CQ473" s="2"/>
      <c r="CR473" s="2"/>
      <c r="CS473" s="2"/>
      <c r="CT473" s="2"/>
      <c r="CU473" s="2"/>
      <c r="CV473" s="27"/>
      <c r="CW473" s="41"/>
      <c r="CX473" s="41"/>
      <c r="CY473" s="41"/>
      <c r="CZ473" s="17"/>
      <c r="DA473" s="17"/>
      <c r="DB473" s="17"/>
      <c r="DD473" s="17"/>
      <c r="DF473" s="94"/>
      <c r="DG473" s="41"/>
      <c r="DH473" s="42"/>
      <c r="DI473" s="43"/>
    </row>
    <row r="474" spans="2:113">
      <c r="B474" s="17"/>
      <c r="CP474" s="2"/>
      <c r="CQ474" s="2"/>
      <c r="CR474" s="2"/>
      <c r="CS474" s="2"/>
      <c r="CT474" s="2"/>
      <c r="CU474" s="2"/>
      <c r="CV474" s="27"/>
      <c r="CW474" s="41"/>
      <c r="CX474" s="41"/>
      <c r="CY474" s="41"/>
      <c r="CZ474" s="17"/>
      <c r="DA474" s="17"/>
      <c r="DB474" s="17"/>
      <c r="DD474" s="17"/>
      <c r="DF474" s="94"/>
      <c r="DG474" s="41"/>
      <c r="DH474" s="42"/>
      <c r="DI474" s="43"/>
    </row>
    <row r="475" spans="2:113">
      <c r="B475" s="17"/>
      <c r="CP475" s="2"/>
      <c r="CQ475" s="2"/>
      <c r="CR475" s="2"/>
      <c r="CS475" s="2"/>
      <c r="CT475" s="2"/>
      <c r="CU475" s="2"/>
      <c r="CV475" s="27"/>
      <c r="CW475" s="41"/>
      <c r="CX475" s="41"/>
      <c r="CY475" s="41"/>
      <c r="CZ475" s="17"/>
      <c r="DA475" s="17"/>
      <c r="DB475" s="17"/>
      <c r="DD475" s="17"/>
      <c r="DF475" s="94"/>
      <c r="DG475" s="41"/>
      <c r="DH475" s="42"/>
      <c r="DI475" s="43"/>
    </row>
    <row r="476" spans="2:113">
      <c r="B476" s="17"/>
      <c r="CP476" s="2"/>
      <c r="CQ476" s="2"/>
      <c r="CR476" s="2"/>
      <c r="CS476" s="2"/>
      <c r="CT476" s="2"/>
      <c r="CU476" s="2"/>
      <c r="CV476" s="27"/>
      <c r="CW476" s="41"/>
      <c r="CX476" s="41"/>
      <c r="CY476" s="41"/>
      <c r="CZ476" s="17"/>
      <c r="DA476" s="17"/>
      <c r="DB476" s="17"/>
      <c r="DD476" s="17"/>
      <c r="DF476" s="94"/>
      <c r="DG476" s="41"/>
      <c r="DH476" s="42"/>
      <c r="DI476" s="43"/>
    </row>
    <row r="477" spans="2:113">
      <c r="B477" s="17"/>
      <c r="CP477" s="2"/>
      <c r="CQ477" s="2"/>
      <c r="CR477" s="2"/>
      <c r="CS477" s="2"/>
      <c r="CT477" s="2"/>
      <c r="CU477" s="2"/>
      <c r="CV477" s="27"/>
      <c r="CW477" s="41"/>
      <c r="CX477" s="41"/>
      <c r="CY477" s="41"/>
      <c r="CZ477" s="17"/>
      <c r="DA477" s="17"/>
      <c r="DB477" s="17"/>
      <c r="DD477" s="17"/>
      <c r="DF477" s="94"/>
      <c r="DG477" s="41"/>
      <c r="DH477" s="42"/>
      <c r="DI477" s="43"/>
    </row>
    <row r="478" spans="2:113">
      <c r="B478" s="17"/>
      <c r="CP478" s="2"/>
      <c r="CQ478" s="2"/>
      <c r="CR478" s="2"/>
      <c r="CS478" s="2"/>
      <c r="CT478" s="2"/>
      <c r="CU478" s="2"/>
      <c r="CV478" s="27"/>
      <c r="CW478" s="41"/>
      <c r="CX478" s="41"/>
      <c r="CY478" s="41"/>
      <c r="CZ478" s="17"/>
      <c r="DA478" s="17"/>
      <c r="DB478" s="17"/>
      <c r="DD478" s="17"/>
      <c r="DF478" s="94"/>
      <c r="DG478" s="41"/>
      <c r="DH478" s="42"/>
      <c r="DI478" s="43"/>
    </row>
    <row r="479" spans="2:113">
      <c r="B479" s="17"/>
      <c r="CP479" s="2"/>
      <c r="CQ479" s="2"/>
      <c r="CR479" s="2"/>
      <c r="CS479" s="2"/>
      <c r="CT479" s="2"/>
      <c r="CU479" s="2"/>
      <c r="CV479" s="27"/>
      <c r="CW479" s="41"/>
      <c r="CX479" s="41"/>
      <c r="CY479" s="41"/>
      <c r="CZ479" s="17"/>
      <c r="DA479" s="17"/>
      <c r="DB479" s="17"/>
      <c r="DD479" s="17"/>
      <c r="DF479" s="94"/>
      <c r="DG479" s="41"/>
      <c r="DH479" s="42"/>
      <c r="DI479" s="43"/>
    </row>
    <row r="480" spans="2:113">
      <c r="B480" s="17"/>
      <c r="CP480" s="2"/>
      <c r="CQ480" s="2"/>
      <c r="CR480" s="2"/>
      <c r="CS480" s="2"/>
      <c r="CT480" s="2"/>
      <c r="CU480" s="2"/>
      <c r="CV480" s="27"/>
      <c r="CW480" s="41"/>
      <c r="CX480" s="41"/>
      <c r="CY480" s="41"/>
      <c r="CZ480" s="17"/>
      <c r="DA480" s="17"/>
      <c r="DB480" s="17"/>
      <c r="DD480" s="17"/>
      <c r="DF480" s="94"/>
      <c r="DG480" s="41"/>
      <c r="DH480" s="42"/>
      <c r="DI480" s="43"/>
    </row>
    <row r="481" spans="2:113">
      <c r="B481" s="17"/>
      <c r="CP481" s="2"/>
      <c r="CQ481" s="2"/>
      <c r="CR481" s="2"/>
      <c r="CS481" s="2"/>
      <c r="CT481" s="2"/>
      <c r="CU481" s="2"/>
      <c r="CV481" s="27"/>
      <c r="CW481" s="41"/>
      <c r="CX481" s="41"/>
      <c r="CY481" s="41"/>
      <c r="CZ481" s="17"/>
      <c r="DA481" s="17"/>
      <c r="DB481" s="17"/>
      <c r="DD481" s="17"/>
      <c r="DF481" s="94"/>
      <c r="DG481" s="41"/>
      <c r="DH481" s="42"/>
      <c r="DI481" s="43"/>
    </row>
    <row r="482" spans="2:113">
      <c r="B482" s="17"/>
      <c r="CP482" s="2"/>
      <c r="CQ482" s="2"/>
      <c r="CR482" s="2"/>
      <c r="CS482" s="2"/>
      <c r="CT482" s="2"/>
      <c r="CU482" s="2"/>
      <c r="CV482" s="27"/>
      <c r="CW482" s="41"/>
      <c r="CX482" s="41"/>
      <c r="CY482" s="41"/>
      <c r="CZ482" s="17"/>
      <c r="DA482" s="17"/>
      <c r="DB482" s="17"/>
      <c r="DD482" s="17"/>
      <c r="DF482" s="94"/>
      <c r="DG482" s="41"/>
      <c r="DH482" s="42"/>
      <c r="DI482" s="43"/>
    </row>
    <row r="483" spans="2:113">
      <c r="B483" s="17"/>
      <c r="CP483" s="2"/>
      <c r="CQ483" s="2"/>
      <c r="CR483" s="2"/>
      <c r="CS483" s="2"/>
      <c r="CT483" s="2"/>
      <c r="CU483" s="2"/>
      <c r="CV483" s="27"/>
      <c r="CW483" s="41"/>
      <c r="CX483" s="41"/>
      <c r="CY483" s="41"/>
      <c r="CZ483" s="17"/>
      <c r="DA483" s="17"/>
      <c r="DB483" s="17"/>
      <c r="DD483" s="17"/>
      <c r="DF483" s="94"/>
      <c r="DG483" s="41"/>
      <c r="DH483" s="42"/>
      <c r="DI483" s="43"/>
    </row>
    <row r="484" spans="2:113">
      <c r="B484" s="17"/>
      <c r="CP484" s="2"/>
      <c r="CQ484" s="2"/>
      <c r="CR484" s="2"/>
      <c r="CS484" s="2"/>
      <c r="CT484" s="2"/>
      <c r="CU484" s="2"/>
      <c r="CV484" s="27"/>
      <c r="CW484" s="41"/>
      <c r="CX484" s="41"/>
      <c r="CY484" s="41"/>
      <c r="CZ484" s="17"/>
      <c r="DA484" s="17"/>
      <c r="DB484" s="17"/>
      <c r="DD484" s="17"/>
      <c r="DF484" s="94"/>
      <c r="DG484" s="41"/>
      <c r="DH484" s="42"/>
      <c r="DI484" s="43"/>
    </row>
    <row r="485" spans="2:113">
      <c r="B485" s="17"/>
      <c r="CP485" s="2"/>
      <c r="CQ485" s="2"/>
      <c r="CR485" s="2"/>
      <c r="CS485" s="2"/>
      <c r="CT485" s="2"/>
      <c r="CU485" s="2"/>
      <c r="CV485" s="27"/>
      <c r="CW485" s="41"/>
      <c r="CX485" s="41"/>
      <c r="CY485" s="41"/>
      <c r="CZ485" s="17"/>
      <c r="DA485" s="17"/>
      <c r="DB485" s="17"/>
      <c r="DD485" s="17"/>
      <c r="DF485" s="94"/>
      <c r="DG485" s="41"/>
      <c r="DH485" s="42"/>
      <c r="DI485" s="43"/>
    </row>
    <row r="486" spans="2:113">
      <c r="B486" s="17"/>
      <c r="CP486" s="2"/>
      <c r="CQ486" s="2"/>
      <c r="CR486" s="2"/>
      <c r="CS486" s="2"/>
      <c r="CT486" s="2"/>
      <c r="CU486" s="2"/>
      <c r="CV486" s="27"/>
      <c r="CW486" s="41"/>
      <c r="CX486" s="41"/>
      <c r="CY486" s="41"/>
      <c r="CZ486" s="17"/>
      <c r="DA486" s="17"/>
      <c r="DB486" s="17"/>
      <c r="DD486" s="17"/>
      <c r="DF486" s="94"/>
      <c r="DG486" s="41"/>
      <c r="DH486" s="42"/>
      <c r="DI486" s="43"/>
    </row>
    <row r="487" spans="2:113">
      <c r="B487" s="17"/>
      <c r="CP487" s="2"/>
      <c r="CQ487" s="2"/>
      <c r="CR487" s="2"/>
      <c r="CS487" s="2"/>
      <c r="CT487" s="2"/>
      <c r="CU487" s="2"/>
      <c r="CV487" s="27"/>
      <c r="CW487" s="41"/>
      <c r="CX487" s="41"/>
      <c r="CY487" s="41"/>
      <c r="CZ487" s="17"/>
      <c r="DA487" s="17"/>
      <c r="DB487" s="17"/>
      <c r="DD487" s="17"/>
      <c r="DF487" s="94"/>
      <c r="DG487" s="41"/>
      <c r="DH487" s="42"/>
      <c r="DI487" s="43"/>
    </row>
    <row r="488" spans="2:113">
      <c r="B488" s="17"/>
      <c r="CP488" s="2"/>
      <c r="CQ488" s="2"/>
      <c r="CR488" s="2"/>
      <c r="CS488" s="2"/>
      <c r="CT488" s="2"/>
      <c r="CU488" s="2"/>
      <c r="CV488" s="27"/>
      <c r="CW488" s="41"/>
      <c r="CX488" s="41"/>
      <c r="CY488" s="41"/>
      <c r="CZ488" s="17"/>
      <c r="DA488" s="17"/>
      <c r="DB488" s="17"/>
      <c r="DD488" s="17"/>
      <c r="DF488" s="94"/>
      <c r="DG488" s="41"/>
      <c r="DH488" s="42"/>
      <c r="DI488" s="43"/>
    </row>
    <row r="489" spans="2:113">
      <c r="B489" s="17"/>
      <c r="CP489" s="2"/>
      <c r="CQ489" s="2"/>
      <c r="CR489" s="2"/>
      <c r="CS489" s="2"/>
      <c r="CT489" s="2"/>
      <c r="CU489" s="2"/>
      <c r="CV489" s="27"/>
      <c r="CW489" s="41"/>
      <c r="CX489" s="41"/>
      <c r="CY489" s="41"/>
      <c r="CZ489" s="17"/>
      <c r="DA489" s="17"/>
      <c r="DB489" s="17"/>
      <c r="DD489" s="17"/>
      <c r="DF489" s="94"/>
      <c r="DG489" s="41"/>
      <c r="DH489" s="42"/>
      <c r="DI489" s="43"/>
    </row>
    <row r="490" spans="2:113">
      <c r="B490" s="17"/>
      <c r="CP490" s="2"/>
      <c r="CQ490" s="2"/>
      <c r="CR490" s="2"/>
      <c r="CS490" s="2"/>
      <c r="CT490" s="2"/>
      <c r="CU490" s="2"/>
      <c r="CV490" s="27"/>
      <c r="CW490" s="41"/>
      <c r="CX490" s="41"/>
      <c r="CY490" s="41"/>
      <c r="CZ490" s="17"/>
      <c r="DA490" s="17"/>
      <c r="DB490" s="17"/>
      <c r="DD490" s="17"/>
      <c r="DF490" s="94"/>
      <c r="DG490" s="41"/>
      <c r="DH490" s="42"/>
      <c r="DI490" s="43"/>
    </row>
    <row r="491" spans="2:113">
      <c r="B491" s="17"/>
      <c r="CP491" s="2"/>
      <c r="CQ491" s="2"/>
      <c r="CR491" s="2"/>
      <c r="CS491" s="2"/>
      <c r="CT491" s="2"/>
      <c r="CU491" s="2"/>
      <c r="CV491" s="27"/>
      <c r="CW491" s="41"/>
      <c r="CX491" s="41"/>
      <c r="CY491" s="41"/>
      <c r="CZ491" s="17"/>
      <c r="DA491" s="17"/>
      <c r="DB491" s="17"/>
      <c r="DD491" s="17"/>
      <c r="DF491" s="94"/>
      <c r="DG491" s="41"/>
      <c r="DH491" s="42"/>
      <c r="DI491" s="43"/>
    </row>
    <row r="492" spans="2:113">
      <c r="B492" s="17"/>
      <c r="CP492" s="2"/>
      <c r="CQ492" s="2"/>
      <c r="CR492" s="2"/>
      <c r="CS492" s="2"/>
      <c r="CT492" s="2"/>
      <c r="CU492" s="2"/>
      <c r="CV492" s="27"/>
      <c r="CW492" s="41"/>
      <c r="CX492" s="41"/>
      <c r="CY492" s="41"/>
      <c r="CZ492" s="17"/>
      <c r="DA492" s="17"/>
      <c r="DB492" s="17"/>
      <c r="DD492" s="17"/>
      <c r="DF492" s="94"/>
      <c r="DG492" s="41"/>
      <c r="DH492" s="42"/>
      <c r="DI492" s="43"/>
    </row>
    <row r="493" spans="2:113">
      <c r="B493" s="17"/>
      <c r="CP493" s="2"/>
      <c r="CQ493" s="2"/>
      <c r="CR493" s="2"/>
      <c r="CS493" s="2"/>
      <c r="CT493" s="2"/>
      <c r="CU493" s="2"/>
      <c r="CV493" s="27"/>
      <c r="CW493" s="41"/>
      <c r="CX493" s="41"/>
      <c r="CY493" s="41"/>
      <c r="CZ493" s="17"/>
      <c r="DA493" s="17"/>
      <c r="DB493" s="17"/>
      <c r="DD493" s="17"/>
      <c r="DF493" s="94"/>
      <c r="DG493" s="41"/>
      <c r="DH493" s="42"/>
      <c r="DI493" s="43"/>
    </row>
    <row r="494" spans="2:113">
      <c r="B494" s="17"/>
      <c r="CP494" s="2"/>
      <c r="CQ494" s="2"/>
      <c r="CR494" s="2"/>
      <c r="CS494" s="2"/>
      <c r="CT494" s="2"/>
      <c r="CU494" s="2"/>
      <c r="CV494" s="27"/>
      <c r="CW494" s="41"/>
      <c r="CX494" s="41"/>
      <c r="CY494" s="41"/>
      <c r="CZ494" s="17"/>
      <c r="DA494" s="17"/>
      <c r="DB494" s="17"/>
      <c r="DD494" s="17"/>
      <c r="DF494" s="94"/>
      <c r="DG494" s="41"/>
      <c r="DH494" s="42"/>
      <c r="DI494" s="43"/>
    </row>
    <row r="495" spans="2:113">
      <c r="B495" s="17"/>
      <c r="CP495" s="2"/>
      <c r="CQ495" s="2"/>
      <c r="CR495" s="2"/>
      <c r="CS495" s="2"/>
      <c r="CT495" s="2"/>
      <c r="CU495" s="2"/>
      <c r="CV495" s="27"/>
      <c r="CW495" s="41"/>
      <c r="CX495" s="41"/>
      <c r="CY495" s="41"/>
      <c r="CZ495" s="17"/>
      <c r="DA495" s="17"/>
      <c r="DB495" s="17"/>
      <c r="DD495" s="17"/>
      <c r="DF495" s="94"/>
      <c r="DG495" s="41"/>
      <c r="DH495" s="42"/>
      <c r="DI495" s="43"/>
    </row>
    <row r="496" spans="2:113">
      <c r="B496" s="17"/>
      <c r="CP496" s="2"/>
      <c r="CQ496" s="2"/>
      <c r="CR496" s="2"/>
      <c r="CS496" s="2"/>
      <c r="CT496" s="2"/>
      <c r="CU496" s="2"/>
      <c r="CV496" s="27"/>
      <c r="CW496" s="41"/>
      <c r="CX496" s="41"/>
      <c r="CY496" s="41"/>
      <c r="CZ496" s="17"/>
      <c r="DA496" s="17"/>
      <c r="DB496" s="17"/>
      <c r="DD496" s="17"/>
      <c r="DF496" s="94"/>
      <c r="DG496" s="41"/>
      <c r="DH496" s="42"/>
      <c r="DI496" s="43"/>
    </row>
    <row r="497" spans="2:113">
      <c r="B497" s="17"/>
      <c r="CP497" s="2"/>
      <c r="CQ497" s="2"/>
      <c r="CR497" s="2"/>
      <c r="CS497" s="2"/>
      <c r="CT497" s="2"/>
      <c r="CU497" s="2"/>
      <c r="CV497" s="27"/>
      <c r="CW497" s="41"/>
      <c r="CX497" s="41"/>
      <c r="CY497" s="41"/>
      <c r="CZ497" s="17"/>
      <c r="DA497" s="17"/>
      <c r="DB497" s="17"/>
      <c r="DD497" s="17"/>
      <c r="DF497" s="94"/>
      <c r="DG497" s="41"/>
      <c r="DH497" s="42"/>
      <c r="DI497" s="43"/>
    </row>
    <row r="498" spans="2:113">
      <c r="B498" s="17"/>
      <c r="CP498" s="2"/>
      <c r="CQ498" s="2"/>
      <c r="CR498" s="2"/>
      <c r="CS498" s="2"/>
      <c r="CT498" s="2"/>
      <c r="CU498" s="2"/>
      <c r="CV498" s="27"/>
      <c r="CW498" s="41"/>
      <c r="CX498" s="41"/>
      <c r="CY498" s="41"/>
      <c r="CZ498" s="17"/>
      <c r="DA498" s="17"/>
      <c r="DB498" s="17"/>
      <c r="DD498" s="17"/>
      <c r="DF498" s="94"/>
      <c r="DG498" s="41"/>
      <c r="DH498" s="42"/>
      <c r="DI498" s="43"/>
    </row>
    <row r="499" spans="2:113">
      <c r="B499" s="17"/>
      <c r="CP499" s="2"/>
      <c r="CQ499" s="2"/>
      <c r="CR499" s="2"/>
      <c r="CS499" s="2"/>
      <c r="CT499" s="2"/>
      <c r="CU499" s="2"/>
      <c r="CV499" s="27"/>
      <c r="CW499" s="41"/>
      <c r="CX499" s="41"/>
      <c r="CY499" s="41"/>
      <c r="CZ499" s="17"/>
      <c r="DA499" s="17"/>
      <c r="DB499" s="17"/>
      <c r="DD499" s="17"/>
      <c r="DF499" s="94"/>
      <c r="DG499" s="41"/>
      <c r="DH499" s="42"/>
      <c r="DI499" s="43"/>
    </row>
    <row r="500" spans="2:113">
      <c r="B500" s="17"/>
      <c r="CP500" s="2"/>
      <c r="CQ500" s="2"/>
      <c r="CR500" s="2"/>
      <c r="CS500" s="2"/>
      <c r="CT500" s="2"/>
      <c r="CU500" s="2"/>
      <c r="CV500" s="27"/>
      <c r="CW500" s="41"/>
      <c r="CX500" s="41"/>
      <c r="CY500" s="41"/>
      <c r="CZ500" s="17"/>
      <c r="DA500" s="17"/>
      <c r="DB500" s="17"/>
      <c r="DD500" s="17"/>
      <c r="DF500" s="94"/>
      <c r="DG500" s="41"/>
      <c r="DH500" s="42"/>
      <c r="DI500" s="43"/>
    </row>
    <row r="501" spans="2:113">
      <c r="B501" s="17"/>
      <c r="CP501" s="2"/>
      <c r="CQ501" s="2"/>
      <c r="CR501" s="2"/>
      <c r="CS501" s="2"/>
      <c r="CT501" s="2"/>
      <c r="CU501" s="2"/>
      <c r="CV501" s="27"/>
      <c r="CW501" s="41"/>
      <c r="CX501" s="41"/>
      <c r="CY501" s="41"/>
      <c r="CZ501" s="17"/>
      <c r="DA501" s="17"/>
      <c r="DB501" s="17"/>
      <c r="DD501" s="17"/>
      <c r="DF501" s="94"/>
      <c r="DG501" s="41"/>
      <c r="DH501" s="42"/>
      <c r="DI501" s="43"/>
    </row>
    <row r="502" spans="2:113">
      <c r="B502" s="17"/>
      <c r="CP502" s="2"/>
      <c r="CQ502" s="2"/>
      <c r="CR502" s="2"/>
      <c r="CS502" s="2"/>
      <c r="CT502" s="2"/>
      <c r="CU502" s="2"/>
      <c r="CV502" s="27"/>
      <c r="CW502" s="41"/>
      <c r="CX502" s="41"/>
      <c r="CY502" s="41"/>
      <c r="CZ502" s="17"/>
      <c r="DA502" s="17"/>
      <c r="DB502" s="17"/>
      <c r="DD502" s="17"/>
      <c r="DF502" s="94"/>
      <c r="DG502" s="41"/>
      <c r="DH502" s="42"/>
      <c r="DI502" s="43"/>
    </row>
    <row r="503" spans="2:113">
      <c r="B503" s="17"/>
      <c r="CP503" s="2"/>
      <c r="CQ503" s="2"/>
      <c r="CR503" s="2"/>
      <c r="CS503" s="2"/>
      <c r="CT503" s="2"/>
      <c r="CU503" s="2"/>
      <c r="CV503" s="27"/>
      <c r="CW503" s="41"/>
      <c r="CX503" s="41"/>
      <c r="CY503" s="41"/>
      <c r="CZ503" s="17"/>
      <c r="DA503" s="17"/>
      <c r="DB503" s="17"/>
      <c r="DD503" s="17"/>
      <c r="DF503" s="94"/>
      <c r="DG503" s="41"/>
      <c r="DH503" s="42"/>
      <c r="DI503" s="43"/>
    </row>
    <row r="504" spans="2:113">
      <c r="B504" s="17"/>
      <c r="CP504" s="2"/>
      <c r="CQ504" s="2"/>
      <c r="CR504" s="2"/>
      <c r="CS504" s="2"/>
      <c r="CT504" s="2"/>
      <c r="CU504" s="2"/>
      <c r="CV504" s="27"/>
      <c r="CW504" s="41"/>
      <c r="CX504" s="41"/>
      <c r="CY504" s="41"/>
      <c r="CZ504" s="17"/>
      <c r="DA504" s="17"/>
      <c r="DB504" s="17"/>
      <c r="DD504" s="17"/>
      <c r="DF504" s="94"/>
      <c r="DG504" s="41"/>
      <c r="DH504" s="42"/>
      <c r="DI504" s="43"/>
    </row>
    <row r="505" spans="2:113">
      <c r="B505" s="17"/>
      <c r="CP505" s="2"/>
      <c r="CQ505" s="2"/>
      <c r="CR505" s="2"/>
      <c r="CS505" s="2"/>
      <c r="CT505" s="2"/>
      <c r="CU505" s="2"/>
      <c r="CV505" s="27"/>
      <c r="CW505" s="41"/>
      <c r="CX505" s="41"/>
      <c r="CY505" s="41"/>
      <c r="CZ505" s="17"/>
      <c r="DA505" s="17"/>
      <c r="DB505" s="17"/>
      <c r="DD505" s="17"/>
      <c r="DF505" s="94"/>
      <c r="DG505" s="41"/>
      <c r="DH505" s="42"/>
      <c r="DI505" s="43"/>
    </row>
    <row r="506" spans="2:113">
      <c r="B506" s="17"/>
      <c r="CP506" s="2"/>
      <c r="CQ506" s="2"/>
      <c r="CR506" s="2"/>
      <c r="CS506" s="2"/>
      <c r="CT506" s="2"/>
      <c r="CU506" s="2"/>
      <c r="CV506" s="27"/>
      <c r="CW506" s="41"/>
      <c r="CX506" s="41"/>
      <c r="CY506" s="41"/>
      <c r="CZ506" s="17"/>
      <c r="DA506" s="17"/>
      <c r="DB506" s="17"/>
      <c r="DD506" s="17"/>
      <c r="DF506" s="94"/>
      <c r="DG506" s="41"/>
      <c r="DH506" s="42"/>
      <c r="DI506" s="43"/>
    </row>
    <row r="507" spans="2:113">
      <c r="B507" s="17"/>
      <c r="CP507" s="2"/>
      <c r="CQ507" s="2"/>
      <c r="CR507" s="2"/>
      <c r="CS507" s="2"/>
      <c r="CT507" s="2"/>
      <c r="CU507" s="2"/>
      <c r="CV507" s="27"/>
      <c r="CW507" s="41"/>
      <c r="CX507" s="41"/>
      <c r="CY507" s="41"/>
      <c r="CZ507" s="17"/>
      <c r="DA507" s="17"/>
      <c r="DB507" s="17"/>
      <c r="DD507" s="17"/>
      <c r="DF507" s="94"/>
      <c r="DG507" s="41"/>
      <c r="DH507" s="42"/>
      <c r="DI507" s="43"/>
    </row>
    <row r="508" spans="2:113">
      <c r="B508" s="17"/>
      <c r="CP508" s="2"/>
      <c r="CQ508" s="2"/>
      <c r="CR508" s="2"/>
      <c r="CS508" s="2"/>
      <c r="CT508" s="2"/>
      <c r="CU508" s="2"/>
      <c r="CV508" s="27"/>
      <c r="CW508" s="41"/>
      <c r="CX508" s="41"/>
      <c r="CY508" s="41"/>
      <c r="CZ508" s="17"/>
      <c r="DA508" s="17"/>
      <c r="DB508" s="17"/>
      <c r="DD508" s="17"/>
      <c r="DF508" s="94"/>
      <c r="DG508" s="41"/>
      <c r="DH508" s="42"/>
      <c r="DI508" s="43"/>
    </row>
    <row r="509" spans="2:113">
      <c r="B509" s="17"/>
      <c r="CP509" s="2"/>
      <c r="CQ509" s="2"/>
      <c r="CR509" s="2"/>
      <c r="CS509" s="2"/>
      <c r="CT509" s="2"/>
      <c r="CU509" s="2"/>
      <c r="CV509" s="27"/>
      <c r="CW509" s="41"/>
      <c r="CX509" s="41"/>
      <c r="CY509" s="41"/>
      <c r="CZ509" s="17"/>
      <c r="DA509" s="17"/>
      <c r="DB509" s="17"/>
      <c r="DD509" s="17"/>
      <c r="DF509" s="94"/>
      <c r="DG509" s="41"/>
      <c r="DH509" s="42"/>
      <c r="DI509" s="43"/>
    </row>
    <row r="510" spans="2:113">
      <c r="B510" s="17"/>
      <c r="CP510" s="2"/>
      <c r="CQ510" s="2"/>
      <c r="CR510" s="2"/>
      <c r="CS510" s="2"/>
      <c r="CT510" s="2"/>
      <c r="CU510" s="2"/>
      <c r="CV510" s="27"/>
      <c r="CW510" s="41"/>
      <c r="CX510" s="41"/>
      <c r="CY510" s="41"/>
      <c r="CZ510" s="17"/>
      <c r="DA510" s="17"/>
      <c r="DB510" s="17"/>
      <c r="DD510" s="17"/>
      <c r="DF510" s="94"/>
      <c r="DG510" s="41"/>
      <c r="DH510" s="42"/>
      <c r="DI510" s="43"/>
    </row>
    <row r="511" spans="2:113">
      <c r="B511" s="17"/>
      <c r="CP511" s="2"/>
      <c r="CQ511" s="2"/>
      <c r="CR511" s="2"/>
      <c r="CS511" s="2"/>
      <c r="CT511" s="2"/>
      <c r="CU511" s="2"/>
      <c r="CV511" s="27"/>
      <c r="CW511" s="41"/>
      <c r="CX511" s="41"/>
      <c r="CY511" s="41"/>
      <c r="CZ511" s="17"/>
      <c r="DA511" s="17"/>
      <c r="DB511" s="17"/>
      <c r="DD511" s="17"/>
      <c r="DF511" s="94"/>
      <c r="DG511" s="41"/>
      <c r="DH511" s="42"/>
      <c r="DI511" s="43"/>
    </row>
    <row r="512" spans="2:113">
      <c r="B512" s="17"/>
      <c r="CP512" s="2"/>
      <c r="CQ512" s="2"/>
      <c r="CR512" s="2"/>
      <c r="CS512" s="2"/>
      <c r="CT512" s="2"/>
      <c r="CU512" s="2"/>
      <c r="CV512" s="27"/>
      <c r="CW512" s="41"/>
      <c r="CX512" s="41"/>
      <c r="CY512" s="41"/>
      <c r="CZ512" s="17"/>
      <c r="DA512" s="17"/>
      <c r="DB512" s="17"/>
      <c r="DD512" s="17"/>
      <c r="DF512" s="94"/>
      <c r="DG512" s="41"/>
      <c r="DH512" s="42"/>
      <c r="DI512" s="43"/>
    </row>
    <row r="513" spans="2:113">
      <c r="B513" s="17"/>
      <c r="CP513" s="2"/>
      <c r="CQ513" s="2"/>
      <c r="CR513" s="2"/>
      <c r="CS513" s="2"/>
      <c r="CT513" s="2"/>
      <c r="CU513" s="2"/>
      <c r="CV513" s="27"/>
      <c r="CW513" s="41"/>
      <c r="CX513" s="41"/>
      <c r="CY513" s="41"/>
      <c r="CZ513" s="17"/>
      <c r="DA513" s="17"/>
      <c r="DB513" s="17"/>
      <c r="DD513" s="17"/>
      <c r="DF513" s="94"/>
      <c r="DG513" s="41"/>
      <c r="DH513" s="42"/>
      <c r="DI513" s="43"/>
    </row>
    <row r="514" spans="2:113">
      <c r="B514" s="17"/>
      <c r="CP514" s="2"/>
      <c r="CQ514" s="2"/>
      <c r="CR514" s="2"/>
      <c r="CS514" s="2"/>
      <c r="CT514" s="2"/>
      <c r="CU514" s="2"/>
      <c r="CV514" s="27"/>
      <c r="CW514" s="41"/>
      <c r="CX514" s="41"/>
      <c r="CY514" s="41"/>
      <c r="CZ514" s="17"/>
      <c r="DA514" s="17"/>
      <c r="DB514" s="17"/>
      <c r="DD514" s="17"/>
      <c r="DF514" s="94"/>
      <c r="DG514" s="41"/>
      <c r="DH514" s="42"/>
      <c r="DI514" s="43"/>
    </row>
    <row r="515" spans="2:113">
      <c r="B515" s="17"/>
      <c r="CP515" s="2"/>
      <c r="CQ515" s="2"/>
      <c r="CR515" s="2"/>
      <c r="CS515" s="2"/>
      <c r="CT515" s="2"/>
      <c r="CU515" s="2"/>
      <c r="CV515" s="27"/>
      <c r="CW515" s="41"/>
      <c r="CX515" s="41"/>
      <c r="CY515" s="41"/>
      <c r="CZ515" s="17"/>
      <c r="DA515" s="17"/>
      <c r="DB515" s="17"/>
      <c r="DD515" s="17"/>
      <c r="DF515" s="94"/>
      <c r="DG515" s="41"/>
      <c r="DH515" s="42"/>
      <c r="DI515" s="43"/>
    </row>
    <row r="516" spans="2:113">
      <c r="B516" s="17"/>
      <c r="CP516" s="2"/>
      <c r="CQ516" s="2"/>
      <c r="CR516" s="2"/>
      <c r="CS516" s="2"/>
      <c r="CT516" s="2"/>
      <c r="CU516" s="2"/>
    </row>
    <row r="517" spans="2:113">
      <c r="B517" s="17"/>
    </row>
    <row r="518" spans="2:113">
      <c r="B518" s="17"/>
    </row>
    <row r="519" spans="2:113">
      <c r="B519" s="17"/>
    </row>
  </sheetData>
  <mergeCells count="1">
    <mergeCell ref="CZ17:DB17"/>
  </mergeCells>
  <pageMargins left="0.75" right="0.75" top="1" bottom="1" header="0.5" footer="0.5"/>
  <pageSetup scale="10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J486"/>
  <sheetViews>
    <sheetView showGridLines="0" tabSelected="1" zoomScale="75" workbookViewId="0">
      <pane xSplit="2" topLeftCell="C1" activePane="topRight" state="frozen"/>
      <selection pane="topRight" activeCell="M17" sqref="M17"/>
    </sheetView>
  </sheetViews>
  <sheetFormatPr defaultColWidth="9.109375" defaultRowHeight="12"/>
  <cols>
    <col min="1" max="1" width="8.109375" style="118" bestFit="1" customWidth="1"/>
    <col min="2" max="2" width="11.5546875" style="113" bestFit="1" customWidth="1"/>
    <col min="3" max="3" width="12.6640625" style="113" customWidth="1"/>
    <col min="4" max="4" width="14.33203125" style="113" customWidth="1"/>
    <col min="5" max="5" width="12.88671875" style="113" customWidth="1"/>
    <col min="6" max="6" width="12.5546875" style="113" customWidth="1"/>
    <col min="7" max="7" width="13.5546875" style="113" customWidth="1"/>
    <col min="8" max="8" width="13.44140625" style="113" customWidth="1"/>
    <col min="9" max="9" width="12.88671875" style="113" customWidth="1"/>
    <col min="10" max="10" width="14.44140625" style="113" bestFit="1" customWidth="1"/>
    <col min="11" max="11" width="14" style="113" customWidth="1"/>
    <col min="12" max="12" width="13.109375" style="113" bestFit="1" customWidth="1"/>
    <col min="13" max="13" width="11.5546875" style="113" bestFit="1" customWidth="1"/>
    <col min="14" max="14" width="6.33203125" style="113" customWidth="1"/>
    <col min="15" max="15" width="9.6640625" style="113" bestFit="1" customWidth="1"/>
    <col min="16" max="16" width="9.88671875" style="113" bestFit="1" customWidth="1"/>
    <col min="17" max="17" width="9.88671875" style="113" customWidth="1"/>
    <col min="18" max="18" width="8.109375" style="113" bestFit="1" customWidth="1"/>
    <col min="19" max="19" width="8.5546875" style="113" bestFit="1" customWidth="1"/>
    <col min="20" max="21" width="8.109375" style="113" bestFit="1" customWidth="1"/>
    <col min="22" max="22" width="8.5546875" style="113" bestFit="1" customWidth="1"/>
    <col min="23" max="23" width="8.109375" style="110" bestFit="1" customWidth="1"/>
    <col min="24" max="24" width="8.5546875" style="110" bestFit="1" customWidth="1"/>
    <col min="25" max="25" width="8.109375" style="110" bestFit="1" customWidth="1"/>
    <col min="26" max="26" width="12.88671875" style="110" customWidth="1"/>
    <col min="27" max="27" width="10.33203125" style="110" bestFit="1" customWidth="1"/>
    <col min="28" max="29" width="11.44140625" style="110" bestFit="1" customWidth="1"/>
    <col min="30" max="30" width="12.5546875" style="110" bestFit="1" customWidth="1"/>
    <col min="31" max="31" width="13.44140625" style="110" customWidth="1"/>
    <col min="32" max="32" width="12.109375" style="110" bestFit="1" customWidth="1"/>
    <col min="33" max="33" width="16.44140625" style="110" customWidth="1"/>
    <col min="34" max="34" width="11.109375" style="110" customWidth="1"/>
    <col min="35" max="35" width="9.88671875" style="110" bestFit="1" customWidth="1"/>
    <col min="36" max="36" width="11.44140625" style="110" bestFit="1" customWidth="1"/>
    <col min="37" max="37" width="16.6640625" style="110" bestFit="1" customWidth="1"/>
    <col min="38" max="38" width="7" style="110" bestFit="1" customWidth="1"/>
    <col min="39" max="39" width="13.6640625" style="110" bestFit="1" customWidth="1"/>
    <col min="40" max="40" width="12" style="110" bestFit="1" customWidth="1"/>
    <col min="41" max="41" width="10.44140625" style="110" bestFit="1" customWidth="1"/>
    <col min="42" max="42" width="9.5546875" style="110" bestFit="1" customWidth="1"/>
    <col min="43" max="43" width="10.44140625" style="110" bestFit="1" customWidth="1"/>
    <col min="44" max="44" width="9.6640625" style="110" bestFit="1" customWidth="1"/>
    <col min="45" max="45" width="19.6640625" style="110" bestFit="1" customWidth="1"/>
    <col min="46" max="46" width="7" style="110" bestFit="1" customWidth="1"/>
    <col min="47" max="51" width="9.109375" style="110"/>
    <col min="52" max="52" width="18.88671875" style="110" bestFit="1" customWidth="1"/>
    <col min="53" max="68" width="9.109375" style="110"/>
    <col min="69" max="69" width="20.109375" style="110" bestFit="1" customWidth="1"/>
    <col min="70" max="70" width="11.5546875" style="110" bestFit="1" customWidth="1"/>
    <col min="71" max="71" width="12" style="110" bestFit="1" customWidth="1"/>
    <col min="72" max="74" width="9.109375" style="110"/>
    <col min="75" max="75" width="25.109375" style="110" bestFit="1" customWidth="1"/>
    <col min="76" max="78" width="9.109375" style="110"/>
    <col min="79" max="79" width="19.109375" style="110" bestFit="1" customWidth="1"/>
    <col min="80" max="80" width="11.5546875" style="110" bestFit="1" customWidth="1"/>
    <col min="81" max="81" width="12" style="110" bestFit="1" customWidth="1"/>
    <col min="82" max="84" width="9.109375" style="110"/>
    <col min="85" max="85" width="23.33203125" style="110" bestFit="1" customWidth="1"/>
    <col min="86" max="88" width="9.109375" style="110"/>
    <col min="89" max="89" width="17.44140625" style="110" bestFit="1" customWidth="1"/>
    <col min="90" max="90" width="9.33203125" style="110" customWidth="1"/>
    <col min="91" max="16384" width="9.109375" style="110"/>
  </cols>
  <sheetData>
    <row r="1" spans="1:218" ht="13.8" thickBot="1">
      <c r="A1" s="110" t="s">
        <v>1180</v>
      </c>
      <c r="B1" s="111" t="s">
        <v>1181</v>
      </c>
      <c r="C1" s="112" t="s">
        <v>1182</v>
      </c>
      <c r="J1" s="278"/>
      <c r="K1" s="279"/>
      <c r="L1" s="278"/>
      <c r="BP1"/>
      <c r="BQ1" s="98" t="s">
        <v>161</v>
      </c>
      <c r="BR1" s="99" t="s">
        <v>162</v>
      </c>
      <c r="BS1" s="98" t="s">
        <v>163</v>
      </c>
      <c r="BT1" s="100" t="s">
        <v>164</v>
      </c>
      <c r="BU1" s="100"/>
      <c r="BV1" s="101"/>
      <c r="BW1" s="102"/>
      <c r="BX1" s="144">
        <v>348</v>
      </c>
      <c r="BZ1"/>
      <c r="CA1" s="98" t="s">
        <v>161</v>
      </c>
      <c r="CB1" s="99" t="s">
        <v>162</v>
      </c>
      <c r="CC1" s="98" t="s">
        <v>163</v>
      </c>
      <c r="CD1" s="100" t="s">
        <v>164</v>
      </c>
      <c r="CE1"/>
      <c r="CF1"/>
      <c r="CG1"/>
      <c r="CH1" s="144">
        <v>408</v>
      </c>
      <c r="CJ1"/>
      <c r="CK1"/>
      <c r="CL1"/>
      <c r="CM1"/>
      <c r="CN1"/>
      <c r="CO1"/>
    </row>
    <row r="2" spans="1:218" ht="13.8" thickBot="1">
      <c r="A2" s="110" t="s">
        <v>1183</v>
      </c>
      <c r="B2" s="111" t="s">
        <v>1181</v>
      </c>
      <c r="C2" s="112" t="s">
        <v>1184</v>
      </c>
      <c r="BP2" s="103">
        <f t="shared" ref="BP2:BP65" si="0">BP1+BV2</f>
        <v>1</v>
      </c>
      <c r="BQ2" s="155" t="s">
        <v>165</v>
      </c>
      <c r="BR2" s="104" t="s">
        <v>166</v>
      </c>
      <c r="BS2" s="105" t="s">
        <v>167</v>
      </c>
      <c r="BT2" s="106" t="s">
        <v>168</v>
      </c>
      <c r="BU2" s="107"/>
      <c r="BV2" s="101">
        <v>1</v>
      </c>
      <c r="BW2" s="102" t="s">
        <v>772</v>
      </c>
      <c r="BX2"/>
      <c r="BZ2" s="103">
        <f t="shared" ref="BZ2:BZ33" si="1">BZ1+CF2</f>
        <v>1</v>
      </c>
      <c r="CA2" s="4" t="s">
        <v>165</v>
      </c>
      <c r="CB2" s="104" t="s">
        <v>169</v>
      </c>
      <c r="CC2" s="105" t="s">
        <v>167</v>
      </c>
      <c r="CD2" s="106" t="s">
        <v>168</v>
      </c>
      <c r="CE2" s="107"/>
      <c r="CF2" s="101">
        <v>1</v>
      </c>
      <c r="CG2" s="102" t="s">
        <v>587</v>
      </c>
      <c r="CH2"/>
      <c r="CJ2"/>
      <c r="CK2" s="71" t="s">
        <v>96</v>
      </c>
      <c r="CL2" s="72" t="s">
        <v>97</v>
      </c>
      <c r="CM2" s="73"/>
      <c r="CN2" s="73"/>
      <c r="CO2" s="74">
        <v>6</v>
      </c>
    </row>
    <row r="3" spans="1:218" ht="13.2">
      <c r="A3" s="110" t="s">
        <v>1185</v>
      </c>
      <c r="B3" s="111" t="s">
        <v>1186</v>
      </c>
      <c r="C3" s="112" t="s">
        <v>1187</v>
      </c>
      <c r="BP3" s="103">
        <f t="shared" si="0"/>
        <v>2</v>
      </c>
      <c r="BQ3" s="155" t="s">
        <v>171</v>
      </c>
      <c r="BR3" s="104" t="s">
        <v>166</v>
      </c>
      <c r="BS3" s="108" t="s">
        <v>167</v>
      </c>
      <c r="BT3" s="106" t="s">
        <v>168</v>
      </c>
      <c r="BU3" s="107"/>
      <c r="BV3" s="101">
        <v>1</v>
      </c>
      <c r="BW3" s="102" t="s">
        <v>773</v>
      </c>
      <c r="BX3"/>
      <c r="BZ3" s="103">
        <f t="shared" si="1"/>
        <v>2</v>
      </c>
      <c r="CA3" s="4" t="s">
        <v>170</v>
      </c>
      <c r="CB3" s="104" t="s">
        <v>169</v>
      </c>
      <c r="CC3" s="105" t="s">
        <v>167</v>
      </c>
      <c r="CD3" s="106" t="s">
        <v>168</v>
      </c>
      <c r="CE3" s="107"/>
      <c r="CF3" s="101">
        <v>1</v>
      </c>
      <c r="CG3" s="102" t="s">
        <v>588</v>
      </c>
      <c r="CH3"/>
      <c r="CJ3">
        <v>1</v>
      </c>
      <c r="CK3" s="135" t="s">
        <v>101</v>
      </c>
      <c r="CL3" s="136" t="s">
        <v>102</v>
      </c>
      <c r="CM3" s="137"/>
      <c r="CN3" s="138"/>
      <c r="CO3" s="139"/>
      <c r="HJ3" s="113"/>
    </row>
    <row r="4" spans="1:218" ht="13.2">
      <c r="A4" s="110"/>
      <c r="B4" s="111"/>
      <c r="C4" s="112"/>
      <c r="J4" s="114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03">
        <f t="shared" si="0"/>
        <v>3</v>
      </c>
      <c r="BQ4" s="155" t="s">
        <v>172</v>
      </c>
      <c r="BR4" s="102" t="s">
        <v>166</v>
      </c>
      <c r="BS4" s="101" t="s">
        <v>167</v>
      </c>
      <c r="BT4" s="107" t="s">
        <v>168</v>
      </c>
      <c r="BU4" s="107"/>
      <c r="BV4" s="101">
        <v>1</v>
      </c>
      <c r="BW4" s="102" t="s">
        <v>774</v>
      </c>
      <c r="BX4"/>
      <c r="BY4" s="113"/>
      <c r="BZ4" s="103">
        <f t="shared" si="1"/>
        <v>3</v>
      </c>
      <c r="CA4" s="4" t="s">
        <v>171</v>
      </c>
      <c r="CB4" s="104" t="s">
        <v>169</v>
      </c>
      <c r="CC4" s="105" t="s">
        <v>167</v>
      </c>
      <c r="CD4" s="106" t="s">
        <v>168</v>
      </c>
      <c r="CE4" s="107"/>
      <c r="CF4" s="101">
        <v>1</v>
      </c>
      <c r="CG4" s="102" t="s">
        <v>589</v>
      </c>
      <c r="CH4"/>
      <c r="CI4" s="113"/>
      <c r="CJ4">
        <v>2</v>
      </c>
      <c r="CK4" s="75" t="s">
        <v>106</v>
      </c>
      <c r="CL4" s="76" t="s">
        <v>107</v>
      </c>
      <c r="CM4" s="77"/>
      <c r="CN4" s="78"/>
      <c r="CO4" s="79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3"/>
      <c r="FR4" s="113"/>
      <c r="FS4" s="113"/>
      <c r="FT4" s="113"/>
      <c r="FU4" s="113"/>
      <c r="FV4" s="113"/>
      <c r="FW4" s="113"/>
      <c r="FX4" s="113"/>
      <c r="FY4" s="113"/>
      <c r="FZ4" s="113"/>
      <c r="GA4" s="113"/>
      <c r="GB4" s="113"/>
      <c r="GC4" s="113"/>
      <c r="GD4" s="113"/>
      <c r="GE4" s="113"/>
      <c r="GF4" s="113"/>
      <c r="GG4" s="113"/>
      <c r="GH4" s="113"/>
      <c r="GI4" s="113"/>
      <c r="GJ4" s="113"/>
      <c r="GK4" s="113"/>
      <c r="GL4" s="113"/>
      <c r="GM4" s="113"/>
      <c r="GN4" s="113"/>
      <c r="GO4" s="113"/>
      <c r="GP4" s="113"/>
      <c r="GQ4" s="113"/>
      <c r="GR4" s="113"/>
      <c r="GS4" s="113"/>
      <c r="GT4" s="113"/>
      <c r="GU4" s="113"/>
      <c r="GV4" s="113"/>
      <c r="GW4" s="113"/>
      <c r="GX4" s="113"/>
      <c r="GY4" s="113"/>
      <c r="GZ4" s="113"/>
      <c r="HA4" s="113"/>
      <c r="HB4" s="113"/>
      <c r="HC4" s="113"/>
      <c r="HD4" s="113"/>
      <c r="HE4" s="113"/>
      <c r="HF4" s="113"/>
      <c r="HG4" s="113"/>
      <c r="HH4" s="113"/>
      <c r="HI4" s="113"/>
      <c r="HJ4" s="113"/>
    </row>
    <row r="5" spans="1:218" ht="13.2">
      <c r="A5" s="112"/>
      <c r="G5" s="115" t="s">
        <v>1188</v>
      </c>
      <c r="BP5" s="103">
        <f t="shared" si="0"/>
        <v>4</v>
      </c>
      <c r="BQ5" s="155" t="s">
        <v>173</v>
      </c>
      <c r="BR5" s="102" t="s">
        <v>166</v>
      </c>
      <c r="BS5" s="101" t="s">
        <v>167</v>
      </c>
      <c r="BT5" s="107" t="s">
        <v>168</v>
      </c>
      <c r="BU5" s="107"/>
      <c r="BV5" s="101">
        <v>1</v>
      </c>
      <c r="BW5" s="102" t="s">
        <v>775</v>
      </c>
      <c r="BX5"/>
      <c r="BZ5" s="103">
        <f t="shared" si="1"/>
        <v>4</v>
      </c>
      <c r="CA5" s="4" t="s">
        <v>172</v>
      </c>
      <c r="CB5" s="102" t="s">
        <v>169</v>
      </c>
      <c r="CC5" s="101" t="s">
        <v>167</v>
      </c>
      <c r="CD5" s="107" t="s">
        <v>168</v>
      </c>
      <c r="CE5" s="107"/>
      <c r="CF5" s="101">
        <v>1</v>
      </c>
      <c r="CG5" s="102" t="s">
        <v>590</v>
      </c>
      <c r="CH5"/>
      <c r="CJ5">
        <v>3</v>
      </c>
      <c r="CK5" s="75" t="s">
        <v>111</v>
      </c>
      <c r="CL5" s="76" t="s">
        <v>112</v>
      </c>
      <c r="CM5" s="77"/>
      <c r="CN5" s="78"/>
      <c r="CO5" s="79"/>
    </row>
    <row r="6" spans="1:218" ht="13.2">
      <c r="A6" s="116">
        <f ca="1">Inputs!D7</f>
        <v>36901</v>
      </c>
      <c r="C6" s="112"/>
      <c r="BP6" s="103">
        <f t="shared" si="0"/>
        <v>5</v>
      </c>
      <c r="BQ6" s="155" t="s">
        <v>174</v>
      </c>
      <c r="BR6" s="102" t="s">
        <v>166</v>
      </c>
      <c r="BS6" s="101" t="s">
        <v>167</v>
      </c>
      <c r="BT6" s="107" t="s">
        <v>168</v>
      </c>
      <c r="BU6" s="107"/>
      <c r="BV6" s="101">
        <v>1</v>
      </c>
      <c r="BW6" s="102" t="s">
        <v>776</v>
      </c>
      <c r="BX6"/>
      <c r="BZ6" s="103">
        <f t="shared" si="1"/>
        <v>5</v>
      </c>
      <c r="CA6" s="4" t="s">
        <v>174</v>
      </c>
      <c r="CB6" s="102" t="s">
        <v>169</v>
      </c>
      <c r="CC6" s="101" t="s">
        <v>167</v>
      </c>
      <c r="CD6" s="107" t="s">
        <v>168</v>
      </c>
      <c r="CE6" s="107"/>
      <c r="CF6" s="101">
        <v>1</v>
      </c>
      <c r="CG6" s="102" t="s">
        <v>591</v>
      </c>
      <c r="CH6"/>
      <c r="CJ6">
        <v>4</v>
      </c>
      <c r="CK6" s="75" t="s">
        <v>116</v>
      </c>
      <c r="CL6" s="76" t="s">
        <v>117</v>
      </c>
      <c r="CM6" s="77"/>
      <c r="CN6" s="78"/>
      <c r="CO6" s="79"/>
    </row>
    <row r="7" spans="1:218" ht="13.2">
      <c r="A7" s="110"/>
      <c r="B7" s="111"/>
      <c r="C7" s="117"/>
      <c r="L7" s="113" t="s">
        <v>159</v>
      </c>
      <c r="M7" s="113" t="s">
        <v>160</v>
      </c>
      <c r="BP7" s="103">
        <f t="shared" si="0"/>
        <v>6</v>
      </c>
      <c r="BQ7" s="155" t="s">
        <v>176</v>
      </c>
      <c r="BR7" s="102" t="s">
        <v>166</v>
      </c>
      <c r="BS7" s="101" t="s">
        <v>167</v>
      </c>
      <c r="BT7" s="107" t="s">
        <v>168</v>
      </c>
      <c r="BU7" s="107"/>
      <c r="BV7" s="101">
        <v>1</v>
      </c>
      <c r="BW7" s="102" t="s">
        <v>777</v>
      </c>
      <c r="BX7"/>
      <c r="BZ7" s="103">
        <f t="shared" si="1"/>
        <v>6</v>
      </c>
      <c r="CA7" s="4" t="s">
        <v>175</v>
      </c>
      <c r="CB7" s="102" t="s">
        <v>169</v>
      </c>
      <c r="CC7" s="101" t="s">
        <v>167</v>
      </c>
      <c r="CD7" s="107" t="s">
        <v>168</v>
      </c>
      <c r="CE7" s="107"/>
      <c r="CF7" s="101">
        <v>1</v>
      </c>
      <c r="CG7" s="102" t="s">
        <v>592</v>
      </c>
      <c r="CH7"/>
      <c r="CJ7">
        <v>5</v>
      </c>
      <c r="CK7" s="75" t="s">
        <v>121</v>
      </c>
      <c r="CL7" s="76" t="s">
        <v>122</v>
      </c>
      <c r="CM7" s="77"/>
      <c r="CN7" s="78"/>
      <c r="CO7" s="79"/>
    </row>
    <row r="8" spans="1:218" ht="13.2">
      <c r="A8" s="110"/>
      <c r="B8" s="118"/>
      <c r="C8" s="113" t="s">
        <v>1222</v>
      </c>
      <c r="D8" s="115" t="s">
        <v>1382</v>
      </c>
      <c r="E8" s="113" t="s">
        <v>1383</v>
      </c>
      <c r="F8" s="113" t="s">
        <v>1219</v>
      </c>
      <c r="G8" s="113" t="s">
        <v>1218</v>
      </c>
      <c r="H8" s="115" t="s">
        <v>1221</v>
      </c>
      <c r="I8" s="113" t="s">
        <v>1217</v>
      </c>
      <c r="J8" s="113" t="s">
        <v>1216</v>
      </c>
      <c r="K8" s="115" t="s">
        <v>1220</v>
      </c>
      <c r="L8" s="113" t="s">
        <v>586</v>
      </c>
      <c r="M8" s="113" t="s">
        <v>586</v>
      </c>
      <c r="BP8" s="103">
        <f t="shared" si="0"/>
        <v>7</v>
      </c>
      <c r="BQ8" s="155" t="s">
        <v>177</v>
      </c>
      <c r="BR8" s="102" t="s">
        <v>166</v>
      </c>
      <c r="BS8" s="101" t="s">
        <v>167</v>
      </c>
      <c r="BT8" s="107" t="s">
        <v>168</v>
      </c>
      <c r="BU8" s="107"/>
      <c r="BV8" s="101">
        <v>1</v>
      </c>
      <c r="BW8" s="102" t="s">
        <v>778</v>
      </c>
      <c r="BX8"/>
      <c r="BZ8" s="103">
        <f t="shared" si="1"/>
        <v>7</v>
      </c>
      <c r="CA8" s="4" t="s">
        <v>178</v>
      </c>
      <c r="CB8" s="102" t="s">
        <v>169</v>
      </c>
      <c r="CC8" s="101" t="s">
        <v>167</v>
      </c>
      <c r="CD8" s="107" t="s">
        <v>168</v>
      </c>
      <c r="CE8" s="107"/>
      <c r="CF8" s="101">
        <v>1</v>
      </c>
      <c r="CG8" s="102" t="s">
        <v>593</v>
      </c>
      <c r="CH8"/>
      <c r="CJ8">
        <v>6</v>
      </c>
      <c r="CK8" s="75" t="s">
        <v>126</v>
      </c>
      <c r="CL8" s="76" t="s">
        <v>127</v>
      </c>
      <c r="CM8" s="77"/>
      <c r="CN8" s="78"/>
      <c r="CO8" s="79"/>
    </row>
    <row r="9" spans="1:218" ht="13.2">
      <c r="A9" s="110"/>
      <c r="B9" s="118"/>
      <c r="J9" s="114"/>
      <c r="K9" s="114"/>
      <c r="L9" s="114"/>
      <c r="BP9" s="103">
        <f t="shared" si="0"/>
        <v>8</v>
      </c>
      <c r="BQ9" s="155" t="s">
        <v>178</v>
      </c>
      <c r="BR9" s="102" t="s">
        <v>166</v>
      </c>
      <c r="BS9" s="101" t="s">
        <v>167</v>
      </c>
      <c r="BT9" s="107" t="s">
        <v>168</v>
      </c>
      <c r="BU9" s="107"/>
      <c r="BV9" s="101">
        <v>1</v>
      </c>
      <c r="BW9" s="102" t="s">
        <v>779</v>
      </c>
      <c r="BX9"/>
      <c r="BZ9" s="103">
        <f t="shared" si="1"/>
        <v>8</v>
      </c>
      <c r="CA9" s="4" t="s">
        <v>179</v>
      </c>
      <c r="CB9" s="102" t="s">
        <v>169</v>
      </c>
      <c r="CC9" s="101" t="s">
        <v>167</v>
      </c>
      <c r="CD9" s="107" t="s">
        <v>168</v>
      </c>
      <c r="CE9" s="107"/>
      <c r="CF9" s="101">
        <v>1</v>
      </c>
      <c r="CG9" s="102" t="s">
        <v>594</v>
      </c>
      <c r="CH9"/>
      <c r="CJ9">
        <v>7</v>
      </c>
      <c r="CK9" s="75" t="s">
        <v>131</v>
      </c>
      <c r="CL9" s="76" t="s">
        <v>132</v>
      </c>
      <c r="CM9" s="77"/>
      <c r="CN9" s="78"/>
      <c r="CO9" s="79"/>
    </row>
    <row r="10" spans="1:218" ht="13.2">
      <c r="A10" s="110"/>
      <c r="B10" s="113">
        <v>1</v>
      </c>
      <c r="C10" s="113">
        <v>2</v>
      </c>
      <c r="D10" s="113">
        <v>3</v>
      </c>
      <c r="E10" s="113">
        <v>4</v>
      </c>
      <c r="F10" s="113">
        <v>5</v>
      </c>
      <c r="G10" s="113">
        <v>6</v>
      </c>
      <c r="H10" s="113">
        <v>7</v>
      </c>
      <c r="I10" s="113">
        <v>8</v>
      </c>
      <c r="J10" s="113">
        <v>9</v>
      </c>
      <c r="K10" s="113">
        <v>10</v>
      </c>
      <c r="L10" s="113">
        <v>11</v>
      </c>
      <c r="M10" s="113">
        <v>12</v>
      </c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P10" s="103">
        <f t="shared" si="0"/>
        <v>9</v>
      </c>
      <c r="BQ10" s="155" t="s">
        <v>179</v>
      </c>
      <c r="BR10" s="102" t="s">
        <v>166</v>
      </c>
      <c r="BS10" s="101" t="s">
        <v>167</v>
      </c>
      <c r="BT10" s="107" t="s">
        <v>168</v>
      </c>
      <c r="BU10" s="107"/>
      <c r="BV10" s="101">
        <v>1</v>
      </c>
      <c r="BW10" s="102" t="s">
        <v>780</v>
      </c>
      <c r="BX10"/>
      <c r="BZ10" s="103">
        <f t="shared" si="1"/>
        <v>9</v>
      </c>
      <c r="CA10" s="4" t="s">
        <v>180</v>
      </c>
      <c r="CB10" s="102" t="s">
        <v>169</v>
      </c>
      <c r="CC10" s="101" t="s">
        <v>167</v>
      </c>
      <c r="CD10" s="107" t="s">
        <v>168</v>
      </c>
      <c r="CE10" s="107"/>
      <c r="CF10" s="101">
        <v>1</v>
      </c>
      <c r="CG10" s="102" t="s">
        <v>595</v>
      </c>
      <c r="CH10"/>
      <c r="CJ10">
        <v>8</v>
      </c>
      <c r="CK10" s="75" t="s">
        <v>136</v>
      </c>
      <c r="CL10" s="76" t="s">
        <v>137</v>
      </c>
      <c r="CM10" s="77"/>
      <c r="CN10" s="78"/>
      <c r="CO10" s="79"/>
    </row>
    <row r="11" spans="1:218" ht="13.2">
      <c r="A11" s="110"/>
      <c r="B11" s="119" t="s">
        <v>1189</v>
      </c>
      <c r="C11" s="120">
        <f t="shared" ref="C11:M11" ca="1" si="2">Today</f>
        <v>36901</v>
      </c>
      <c r="D11" s="120">
        <f t="shared" ca="1" si="2"/>
        <v>36901</v>
      </c>
      <c r="E11" s="120">
        <f t="shared" ca="1" si="2"/>
        <v>36901</v>
      </c>
      <c r="F11" s="120">
        <f t="shared" ca="1" si="2"/>
        <v>36901</v>
      </c>
      <c r="G11" s="120">
        <f t="shared" ca="1" si="2"/>
        <v>36901</v>
      </c>
      <c r="H11" s="120">
        <f t="shared" ca="1" si="2"/>
        <v>36901</v>
      </c>
      <c r="I11" s="120">
        <f t="shared" ca="1" si="2"/>
        <v>36901</v>
      </c>
      <c r="J11" s="120">
        <f t="shared" ca="1" si="2"/>
        <v>36901</v>
      </c>
      <c r="K11" s="120">
        <f t="shared" ca="1" si="2"/>
        <v>36901</v>
      </c>
      <c r="L11" s="120">
        <f t="shared" ca="1" si="2"/>
        <v>36901</v>
      </c>
      <c r="M11" s="120">
        <f t="shared" ca="1" si="2"/>
        <v>36901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P11" s="103">
        <f t="shared" si="0"/>
        <v>10</v>
      </c>
      <c r="BQ11" s="155" t="s">
        <v>180</v>
      </c>
      <c r="BR11" s="102" t="s">
        <v>166</v>
      </c>
      <c r="BS11" s="101" t="s">
        <v>167</v>
      </c>
      <c r="BT11" s="107" t="s">
        <v>168</v>
      </c>
      <c r="BU11" s="107"/>
      <c r="BV11" s="101">
        <v>1</v>
      </c>
      <c r="BW11" s="102" t="s">
        <v>781</v>
      </c>
      <c r="BX11"/>
      <c r="BZ11" s="103">
        <f t="shared" si="1"/>
        <v>10</v>
      </c>
      <c r="CA11" s="4" t="s">
        <v>181</v>
      </c>
      <c r="CB11" s="102" t="s">
        <v>169</v>
      </c>
      <c r="CC11" s="101" t="s">
        <v>167</v>
      </c>
      <c r="CD11" s="107" t="s">
        <v>168</v>
      </c>
      <c r="CE11" s="107"/>
      <c r="CF11" s="101">
        <v>1</v>
      </c>
      <c r="CG11" s="102" t="s">
        <v>596</v>
      </c>
      <c r="CH11"/>
      <c r="CJ11">
        <v>9</v>
      </c>
      <c r="CK11" s="75" t="s">
        <v>141</v>
      </c>
      <c r="CL11" s="76" t="s">
        <v>142</v>
      </c>
      <c r="CM11" s="77"/>
      <c r="CN11" s="78"/>
      <c r="CO11" s="79"/>
    </row>
    <row r="12" spans="1:218" ht="13.2">
      <c r="A12" s="110"/>
      <c r="B12" s="119" t="s">
        <v>1190</v>
      </c>
      <c r="C12" s="111">
        <f t="shared" ref="C12:M12" ca="1" si="3">BeginningOfNextMonth(C11)</f>
        <v>36923</v>
      </c>
      <c r="D12" s="111">
        <f t="shared" ca="1" si="3"/>
        <v>36923</v>
      </c>
      <c r="E12" s="111">
        <f t="shared" ca="1" si="3"/>
        <v>36923</v>
      </c>
      <c r="F12" s="111">
        <f t="shared" ca="1" si="3"/>
        <v>36923</v>
      </c>
      <c r="G12" s="111">
        <f t="shared" ca="1" si="3"/>
        <v>36923</v>
      </c>
      <c r="H12" s="111">
        <f t="shared" ca="1" si="3"/>
        <v>36923</v>
      </c>
      <c r="I12" s="111">
        <f t="shared" ca="1" si="3"/>
        <v>36923</v>
      </c>
      <c r="J12" s="111">
        <f t="shared" ca="1" si="3"/>
        <v>36923</v>
      </c>
      <c r="K12" s="111">
        <f t="shared" ca="1" si="3"/>
        <v>36923</v>
      </c>
      <c r="L12" s="111">
        <f t="shared" ca="1" si="3"/>
        <v>36923</v>
      </c>
      <c r="M12" s="111">
        <f t="shared" ca="1" si="3"/>
        <v>36923</v>
      </c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P12" s="103">
        <f t="shared" si="0"/>
        <v>11</v>
      </c>
      <c r="BQ12" s="155" t="s">
        <v>181</v>
      </c>
      <c r="BR12" s="102" t="s">
        <v>166</v>
      </c>
      <c r="BS12" s="101" t="s">
        <v>167</v>
      </c>
      <c r="BT12" s="107" t="s">
        <v>168</v>
      </c>
      <c r="BU12" s="107"/>
      <c r="BV12" s="101">
        <v>1</v>
      </c>
      <c r="BW12" s="102" t="s">
        <v>782</v>
      </c>
      <c r="BX12"/>
      <c r="BZ12" s="103">
        <f t="shared" si="1"/>
        <v>11</v>
      </c>
      <c r="CA12" s="4" t="s">
        <v>182</v>
      </c>
      <c r="CB12" s="102" t="s">
        <v>169</v>
      </c>
      <c r="CC12" s="101" t="s">
        <v>167</v>
      </c>
      <c r="CD12" s="107" t="s">
        <v>168</v>
      </c>
      <c r="CE12" s="107"/>
      <c r="CF12" s="101">
        <v>1</v>
      </c>
      <c r="CG12" s="102" t="s">
        <v>597</v>
      </c>
      <c r="CH12"/>
      <c r="CJ12">
        <v>10</v>
      </c>
      <c r="CK12" s="134" t="s">
        <v>145</v>
      </c>
      <c r="CL12" s="131" t="s">
        <v>146</v>
      </c>
      <c r="CM12" s="132"/>
      <c r="CN12" s="133"/>
      <c r="CO12" s="140"/>
    </row>
    <row r="13" spans="1:218" ht="13.2">
      <c r="A13" s="110"/>
      <c r="B13" s="119" t="s">
        <v>1191</v>
      </c>
      <c r="C13" s="121" t="s">
        <v>1192</v>
      </c>
      <c r="D13" s="122" t="str">
        <f>VLOOKUP($CO$2,$CJ$3:$CK$14,2)</f>
        <v>NG_OMICRON_6</v>
      </c>
      <c r="E13" s="122" t="str">
        <f>VLOOKUP($CO$2,$CJ$3:$CK$14,2)</f>
        <v>NG_OMICRON_6</v>
      </c>
      <c r="F13" s="113" t="s">
        <v>1193</v>
      </c>
      <c r="G13" s="113" t="s">
        <v>1193</v>
      </c>
      <c r="H13" s="113" t="s">
        <v>1193</v>
      </c>
      <c r="I13" s="113" t="s">
        <v>1193</v>
      </c>
      <c r="J13" s="113" t="s">
        <v>1193</v>
      </c>
      <c r="K13" s="113" t="s">
        <v>1193</v>
      </c>
      <c r="L13" s="122" t="str">
        <f>VLOOKUP($BX$1,$BP$2:$BQ$409,2)</f>
        <v>IF-TRANSCO/Z6</v>
      </c>
      <c r="M13" s="122" t="str">
        <f>VLOOKUP($CH$1,$BP$2:$BQ$409,2)</f>
        <v>WAHA KCBT</v>
      </c>
      <c r="N13" s="122"/>
      <c r="O13" s="123"/>
      <c r="P13" s="123"/>
      <c r="Q13" s="123"/>
      <c r="R13" s="123"/>
      <c r="S13" s="123"/>
      <c r="T13" s="123" t="s">
        <v>159</v>
      </c>
      <c r="U13" s="123"/>
      <c r="V13" s="123"/>
      <c r="W13" s="123"/>
      <c r="X13" s="123" t="s">
        <v>160</v>
      </c>
      <c r="Y13" s="123"/>
      <c r="Z13" s="123"/>
      <c r="AA13" s="123"/>
      <c r="AB13" s="123"/>
      <c r="AC13" s="123"/>
      <c r="AD13" s="123"/>
      <c r="AE13" s="123"/>
      <c r="AF13" s="123"/>
      <c r="AG13" s="122"/>
      <c r="AH13" s="122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P13" s="103">
        <f t="shared" si="0"/>
        <v>12</v>
      </c>
      <c r="BQ13" s="155" t="s">
        <v>182</v>
      </c>
      <c r="BR13" s="102" t="s">
        <v>166</v>
      </c>
      <c r="BS13" s="101" t="s">
        <v>167</v>
      </c>
      <c r="BT13" s="107" t="s">
        <v>168</v>
      </c>
      <c r="BU13" s="107"/>
      <c r="BV13" s="101">
        <v>1</v>
      </c>
      <c r="BW13" s="102" t="s">
        <v>783</v>
      </c>
      <c r="BX13"/>
      <c r="BZ13" s="103">
        <f t="shared" si="1"/>
        <v>12</v>
      </c>
      <c r="CA13" s="4" t="s">
        <v>183</v>
      </c>
      <c r="CB13" s="102" t="s">
        <v>169</v>
      </c>
      <c r="CC13" s="101" t="s">
        <v>167</v>
      </c>
      <c r="CD13" s="107" t="s">
        <v>168</v>
      </c>
      <c r="CE13" s="107"/>
      <c r="CF13" s="101">
        <v>1</v>
      </c>
      <c r="CG13" s="102" t="s">
        <v>598</v>
      </c>
      <c r="CH13"/>
      <c r="CJ13">
        <v>11</v>
      </c>
      <c r="CK13" s="134" t="s">
        <v>1206</v>
      </c>
      <c r="CL13" s="131" t="s">
        <v>1204</v>
      </c>
      <c r="CM13" s="132"/>
      <c r="CN13" s="133"/>
      <c r="CO13" s="140"/>
    </row>
    <row r="14" spans="1:218" ht="13.2">
      <c r="A14" s="110"/>
      <c r="B14" s="119" t="s">
        <v>1194</v>
      </c>
      <c r="C14" s="124" t="s">
        <v>1195</v>
      </c>
      <c r="D14" s="113" t="s">
        <v>1196</v>
      </c>
      <c r="E14" s="113" t="s">
        <v>1196</v>
      </c>
      <c r="F14" s="113" t="s">
        <v>1214</v>
      </c>
      <c r="G14" s="113" t="s">
        <v>1196</v>
      </c>
      <c r="H14" s="113" t="s">
        <v>1215</v>
      </c>
      <c r="I14" s="113" t="s">
        <v>1202</v>
      </c>
      <c r="J14" s="113" t="s">
        <v>167</v>
      </c>
      <c r="K14" s="113" t="s">
        <v>1203</v>
      </c>
      <c r="L14" s="113" t="s">
        <v>167</v>
      </c>
      <c r="M14" s="113" t="s">
        <v>167</v>
      </c>
      <c r="S14" s="113" t="s">
        <v>1208</v>
      </c>
      <c r="T14" s="113" t="s">
        <v>1211</v>
      </c>
      <c r="U14" s="113" t="s">
        <v>1208</v>
      </c>
      <c r="W14" s="113" t="s">
        <v>1208</v>
      </c>
      <c r="X14" s="113" t="s">
        <v>1211</v>
      </c>
      <c r="Y14" s="113" t="s">
        <v>1208</v>
      </c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P14" s="103">
        <f t="shared" si="0"/>
        <v>13</v>
      </c>
      <c r="BQ14" s="155" t="s">
        <v>184</v>
      </c>
      <c r="BR14" s="102" t="s">
        <v>166</v>
      </c>
      <c r="BS14" s="101" t="s">
        <v>167</v>
      </c>
      <c r="BT14" s="107" t="s">
        <v>168</v>
      </c>
      <c r="BU14" s="107"/>
      <c r="BV14" s="101">
        <v>1</v>
      </c>
      <c r="BW14" s="102" t="s">
        <v>784</v>
      </c>
      <c r="BX14"/>
      <c r="BZ14" s="103">
        <f t="shared" si="1"/>
        <v>13</v>
      </c>
      <c r="CA14" s="4" t="s">
        <v>184</v>
      </c>
      <c r="CB14" s="102" t="s">
        <v>169</v>
      </c>
      <c r="CC14" s="101" t="s">
        <v>167</v>
      </c>
      <c r="CD14" s="107" t="s">
        <v>168</v>
      </c>
      <c r="CE14" s="107"/>
      <c r="CF14" s="101">
        <v>1</v>
      </c>
      <c r="CG14" s="102" t="s">
        <v>599</v>
      </c>
      <c r="CH14"/>
      <c r="CJ14">
        <v>12</v>
      </c>
      <c r="CK14" s="134" t="s">
        <v>1207</v>
      </c>
      <c r="CL14" s="131" t="s">
        <v>1205</v>
      </c>
      <c r="CM14" s="132"/>
      <c r="CN14" s="133"/>
      <c r="CO14" s="140"/>
    </row>
    <row r="15" spans="1:218" ht="13.2">
      <c r="A15" s="110"/>
      <c r="B15" s="119" t="s">
        <v>1197</v>
      </c>
      <c r="C15" s="124" t="s">
        <v>1198</v>
      </c>
      <c r="D15" s="113" t="s">
        <v>1199</v>
      </c>
      <c r="E15" s="113" t="s">
        <v>1199</v>
      </c>
      <c r="F15" s="113" t="s">
        <v>1199</v>
      </c>
      <c r="G15" s="113" t="s">
        <v>1199</v>
      </c>
      <c r="H15" s="113" t="s">
        <v>1199</v>
      </c>
      <c r="I15" s="113" t="s">
        <v>1199</v>
      </c>
      <c r="J15" s="113" t="s">
        <v>1199</v>
      </c>
      <c r="K15" s="113" t="s">
        <v>1199</v>
      </c>
      <c r="L15" s="113" t="s">
        <v>166</v>
      </c>
      <c r="M15" s="113" t="s">
        <v>166</v>
      </c>
      <c r="S15" s="113" t="s">
        <v>1209</v>
      </c>
      <c r="T15" s="113" t="s">
        <v>1212</v>
      </c>
      <c r="U15" s="113" t="s">
        <v>1210</v>
      </c>
      <c r="W15" s="113" t="s">
        <v>1209</v>
      </c>
      <c r="X15" s="113" t="s">
        <v>1212</v>
      </c>
      <c r="Y15" s="113" t="s">
        <v>1210</v>
      </c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P15" s="103">
        <f t="shared" si="0"/>
        <v>14</v>
      </c>
      <c r="BQ15" s="155" t="s">
        <v>185</v>
      </c>
      <c r="BR15" s="102" t="s">
        <v>166</v>
      </c>
      <c r="BS15" s="101" t="s">
        <v>167</v>
      </c>
      <c r="BT15" s="107" t="s">
        <v>168</v>
      </c>
      <c r="BU15" s="107"/>
      <c r="BV15" s="101">
        <v>1</v>
      </c>
      <c r="BW15" s="102" t="s">
        <v>785</v>
      </c>
      <c r="BX15"/>
      <c r="BZ15" s="103">
        <f t="shared" si="1"/>
        <v>14</v>
      </c>
      <c r="CA15" s="4" t="s">
        <v>186</v>
      </c>
      <c r="CB15" s="102" t="s">
        <v>169</v>
      </c>
      <c r="CC15" s="101" t="s">
        <v>167</v>
      </c>
      <c r="CD15" s="107" t="s">
        <v>168</v>
      </c>
      <c r="CE15" s="107"/>
      <c r="CF15" s="101">
        <v>1</v>
      </c>
      <c r="CG15" s="102" t="s">
        <v>600</v>
      </c>
      <c r="CH15"/>
      <c r="CJ15" s="110">
        <v>13</v>
      </c>
      <c r="CK15" s="134" t="s">
        <v>1454</v>
      </c>
      <c r="CL15" s="131" t="s">
        <v>1457</v>
      </c>
      <c r="CM15" s="132"/>
      <c r="CN15" s="133"/>
      <c r="CO15" s="140"/>
    </row>
    <row r="16" spans="1:218" ht="13.2">
      <c r="A16" s="110"/>
      <c r="B16" s="119" t="s">
        <v>1200</v>
      </c>
      <c r="C16" s="124" t="s">
        <v>1424</v>
      </c>
      <c r="D16" s="113" t="s">
        <v>1450</v>
      </c>
      <c r="E16" s="113" t="s">
        <v>1450</v>
      </c>
      <c r="F16" s="113" t="s">
        <v>1425</v>
      </c>
      <c r="G16" s="113" t="s">
        <v>1425</v>
      </c>
      <c r="H16" s="113" t="s">
        <v>1425</v>
      </c>
      <c r="I16" s="113" t="s">
        <v>1425</v>
      </c>
      <c r="J16" s="113" t="s">
        <v>1425</v>
      </c>
      <c r="K16" s="113" t="s">
        <v>1425</v>
      </c>
      <c r="L16" s="113" t="s">
        <v>1451</v>
      </c>
      <c r="M16" s="113" t="s">
        <v>1451</v>
      </c>
      <c r="S16" s="141">
        <v>7.0000000000000007E-2</v>
      </c>
      <c r="U16" s="141">
        <v>7.0000000000000007E-2</v>
      </c>
      <c r="W16" s="141">
        <v>7.0000000000000007E-2</v>
      </c>
      <c r="X16" s="113"/>
      <c r="Y16" s="141">
        <v>7.0000000000000007E-2</v>
      </c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P16" s="103">
        <f t="shared" si="0"/>
        <v>15</v>
      </c>
      <c r="BQ16" s="155" t="s">
        <v>187</v>
      </c>
      <c r="BR16" s="102" t="s">
        <v>166</v>
      </c>
      <c r="BS16" s="101" t="s">
        <v>167</v>
      </c>
      <c r="BT16" s="107" t="s">
        <v>168</v>
      </c>
      <c r="BU16" s="107"/>
      <c r="BV16" s="101">
        <v>1</v>
      </c>
      <c r="BW16" s="102" t="s">
        <v>786</v>
      </c>
      <c r="BX16"/>
      <c r="BZ16" s="103">
        <f t="shared" si="1"/>
        <v>15</v>
      </c>
      <c r="CA16" s="4" t="s">
        <v>188</v>
      </c>
      <c r="CB16" s="102" t="s">
        <v>169</v>
      </c>
      <c r="CC16" s="101" t="s">
        <v>167</v>
      </c>
      <c r="CD16" s="107" t="s">
        <v>168</v>
      </c>
      <c r="CE16" s="107"/>
      <c r="CF16" s="101">
        <v>1</v>
      </c>
      <c r="CG16" s="102" t="s">
        <v>601</v>
      </c>
      <c r="CH16"/>
      <c r="CJ16" s="110">
        <v>14</v>
      </c>
      <c r="CK16" s="75" t="s">
        <v>1455</v>
      </c>
      <c r="CL16" s="76" t="s">
        <v>1458</v>
      </c>
      <c r="CM16" s="77"/>
      <c r="CN16" s="78"/>
      <c r="CO16" s="79"/>
    </row>
    <row r="17" spans="1:93" ht="13.8" thickBot="1">
      <c r="A17" s="125"/>
      <c r="B17" s="126">
        <f ca="1">BeginningOfNextMonth(Today)</f>
        <v>36923</v>
      </c>
      <c r="C17" s="114">
        <v>6.1210621866435007E-2</v>
      </c>
      <c r="D17" s="127">
        <v>2.5750000000000002</v>
      </c>
      <c r="E17" s="127">
        <v>2.5750000000000002</v>
      </c>
      <c r="F17" s="127">
        <v>0.90249999999999997</v>
      </c>
      <c r="G17" s="127">
        <v>0.91</v>
      </c>
      <c r="H17" s="127">
        <v>0.91749999999999998</v>
      </c>
      <c r="I17" s="127">
        <v>9.1230000000000011</v>
      </c>
      <c r="J17" s="127">
        <v>9.1280000000000001</v>
      </c>
      <c r="K17" s="113">
        <v>9.1330000000000009</v>
      </c>
      <c r="L17" s="127">
        <v>4.5</v>
      </c>
      <c r="M17" s="113">
        <v>-0.24</v>
      </c>
      <c r="O17" s="97"/>
      <c r="P17" s="127"/>
      <c r="Q17" s="127"/>
      <c r="R17" s="280">
        <f t="shared" ref="R17:R80" ca="1" si="4">B17</f>
        <v>36923</v>
      </c>
      <c r="S17" s="142">
        <f t="shared" ref="S17:S80" si="5">T17-$S$16</f>
        <v>2.5050000000000003</v>
      </c>
      <c r="T17" s="141">
        <f>D17</f>
        <v>2.5750000000000002</v>
      </c>
      <c r="U17" s="143">
        <f t="shared" ref="U17:U80" si="6">$U$16+T17</f>
        <v>2.645</v>
      </c>
      <c r="BP17" s="103">
        <f t="shared" si="0"/>
        <v>16</v>
      </c>
      <c r="BQ17" s="155" t="s">
        <v>188</v>
      </c>
      <c r="BR17" s="102" t="s">
        <v>166</v>
      </c>
      <c r="BS17" s="101" t="s">
        <v>167</v>
      </c>
      <c r="BT17" s="107" t="s">
        <v>168</v>
      </c>
      <c r="BU17" s="107"/>
      <c r="BV17" s="101">
        <v>1</v>
      </c>
      <c r="BW17" s="102" t="s">
        <v>787</v>
      </c>
      <c r="BX17"/>
      <c r="BZ17" s="103">
        <f t="shared" si="1"/>
        <v>16</v>
      </c>
      <c r="CA17" s="4" t="s">
        <v>189</v>
      </c>
      <c r="CB17" s="102" t="s">
        <v>169</v>
      </c>
      <c r="CC17" s="101" t="s">
        <v>167</v>
      </c>
      <c r="CD17" s="107" t="s">
        <v>168</v>
      </c>
      <c r="CE17" s="107"/>
      <c r="CF17" s="101">
        <v>1</v>
      </c>
      <c r="CG17" s="102" t="s">
        <v>602</v>
      </c>
      <c r="CH17"/>
      <c r="CJ17" s="110">
        <v>15</v>
      </c>
      <c r="CK17" s="83" t="s">
        <v>1456</v>
      </c>
      <c r="CL17" s="84" t="s">
        <v>1459</v>
      </c>
      <c r="CM17" s="85"/>
      <c r="CN17" s="86"/>
      <c r="CO17" s="87"/>
    </row>
    <row r="18" spans="1:93" ht="13.2">
      <c r="A18" s="125"/>
      <c r="B18" s="126">
        <f t="shared" ref="B18:B81" ca="1" si="7">NextMonth(B17)</f>
        <v>36951</v>
      </c>
      <c r="C18" s="113">
        <v>5.9682982997529006E-2</v>
      </c>
      <c r="D18" s="127">
        <v>1.66</v>
      </c>
      <c r="E18" s="127">
        <v>1.66</v>
      </c>
      <c r="F18" s="127">
        <v>0.90249999999999997</v>
      </c>
      <c r="G18" s="127">
        <v>0.91</v>
      </c>
      <c r="H18" s="127">
        <v>0.91749999999999998</v>
      </c>
      <c r="I18" s="127">
        <v>8.6</v>
      </c>
      <c r="J18" s="128">
        <v>8.6050000000000004</v>
      </c>
      <c r="K18" s="113">
        <v>8.61</v>
      </c>
      <c r="L18" s="128">
        <v>1.85</v>
      </c>
      <c r="M18" s="113">
        <v>-0.24</v>
      </c>
      <c r="O18" s="97"/>
      <c r="P18" s="127"/>
      <c r="Q18" s="127"/>
      <c r="R18" s="280">
        <f t="shared" ca="1" si="4"/>
        <v>36951</v>
      </c>
      <c r="S18" s="142">
        <f t="shared" si="5"/>
        <v>1.5899999999999999</v>
      </c>
      <c r="T18" s="141">
        <f t="shared" ref="T18:T81" si="8">D18</f>
        <v>1.66</v>
      </c>
      <c r="U18" s="143">
        <f t="shared" si="6"/>
        <v>1.73</v>
      </c>
      <c r="BP18" s="103">
        <f t="shared" si="0"/>
        <v>17</v>
      </c>
      <c r="BQ18" s="155" t="s">
        <v>189</v>
      </c>
      <c r="BR18" s="102" t="s">
        <v>166</v>
      </c>
      <c r="BS18" s="101" t="s">
        <v>167</v>
      </c>
      <c r="BT18" s="107" t="s">
        <v>168</v>
      </c>
      <c r="BU18" s="107"/>
      <c r="BV18" s="101">
        <v>1</v>
      </c>
      <c r="BW18" s="102" t="s">
        <v>788</v>
      </c>
      <c r="BX18"/>
      <c r="BZ18" s="103">
        <f t="shared" si="1"/>
        <v>17</v>
      </c>
      <c r="CA18" s="4" t="s">
        <v>190</v>
      </c>
      <c r="CB18" s="102" t="s">
        <v>169</v>
      </c>
      <c r="CC18" s="101" t="s">
        <v>167</v>
      </c>
      <c r="CD18" s="107" t="s">
        <v>168</v>
      </c>
      <c r="CE18" s="107"/>
      <c r="CF18" s="101">
        <v>1</v>
      </c>
      <c r="CG18" s="102" t="s">
        <v>603</v>
      </c>
      <c r="CH18"/>
    </row>
    <row r="19" spans="1:93" ht="13.2">
      <c r="A19" s="125"/>
      <c r="B19" s="126">
        <f t="shared" ca="1" si="7"/>
        <v>36982</v>
      </c>
      <c r="C19" s="113">
        <v>5.8415947446132994E-2</v>
      </c>
      <c r="D19" s="127">
        <v>0.56000000000000005</v>
      </c>
      <c r="E19" s="127">
        <v>0.56000000000000005</v>
      </c>
      <c r="F19" s="127">
        <v>0.62250000000000005</v>
      </c>
      <c r="G19" s="127">
        <v>0.63</v>
      </c>
      <c r="H19" s="127">
        <v>0.63749999999999996</v>
      </c>
      <c r="I19" s="127">
        <v>6.6449999999999996</v>
      </c>
      <c r="J19" s="128">
        <v>6.65</v>
      </c>
      <c r="K19" s="113">
        <v>6.6550000000000002</v>
      </c>
      <c r="L19" s="128">
        <v>0.66</v>
      </c>
      <c r="M19" s="113">
        <v>-0.105</v>
      </c>
      <c r="O19" s="97"/>
      <c r="P19" s="127"/>
      <c r="Q19" s="127"/>
      <c r="R19" s="280">
        <f t="shared" ca="1" si="4"/>
        <v>36982</v>
      </c>
      <c r="S19" s="142">
        <f t="shared" si="5"/>
        <v>0.49000000000000005</v>
      </c>
      <c r="T19" s="141">
        <f t="shared" si="8"/>
        <v>0.56000000000000005</v>
      </c>
      <c r="U19" s="143">
        <f t="shared" si="6"/>
        <v>0.63000000000000012</v>
      </c>
      <c r="BP19" s="103">
        <f t="shared" si="0"/>
        <v>18</v>
      </c>
      <c r="BQ19" s="155" t="s">
        <v>190</v>
      </c>
      <c r="BR19" s="102" t="s">
        <v>166</v>
      </c>
      <c r="BS19" s="101" t="s">
        <v>167</v>
      </c>
      <c r="BT19" s="107" t="s">
        <v>168</v>
      </c>
      <c r="BU19" s="107"/>
      <c r="BV19" s="101">
        <v>1</v>
      </c>
      <c r="BW19" s="102" t="s">
        <v>789</v>
      </c>
      <c r="BX19"/>
      <c r="BZ19" s="103">
        <f t="shared" si="1"/>
        <v>18</v>
      </c>
      <c r="CA19" s="4" t="s">
        <v>217</v>
      </c>
      <c r="CB19" s="102" t="s">
        <v>169</v>
      </c>
      <c r="CC19" s="101" t="s">
        <v>167</v>
      </c>
      <c r="CD19" s="107" t="s">
        <v>168</v>
      </c>
      <c r="CE19" s="107"/>
      <c r="CF19" s="101">
        <v>1</v>
      </c>
      <c r="CG19" s="102" t="s">
        <v>604</v>
      </c>
      <c r="CH19"/>
    </row>
    <row r="20" spans="1:93" ht="13.2">
      <c r="A20" s="125"/>
      <c r="B20" s="126">
        <f t="shared" ca="1" si="7"/>
        <v>37012</v>
      </c>
      <c r="C20" s="113">
        <v>5.7620465192262015E-2</v>
      </c>
      <c r="D20" s="127">
        <v>0.51</v>
      </c>
      <c r="E20" s="127">
        <v>0.51</v>
      </c>
      <c r="F20" s="127">
        <v>0.49249999999999999</v>
      </c>
      <c r="G20" s="127">
        <v>0.5</v>
      </c>
      <c r="H20" s="127">
        <v>0.50749999999999995</v>
      </c>
      <c r="I20" s="127">
        <v>6.06</v>
      </c>
      <c r="J20" s="128">
        <v>6.0650000000000004</v>
      </c>
      <c r="K20" s="113">
        <v>6.07</v>
      </c>
      <c r="L20" s="128">
        <v>0.46</v>
      </c>
      <c r="M20" s="113">
        <v>-8.5000000000000006E-2</v>
      </c>
      <c r="O20" s="97"/>
      <c r="P20" s="127"/>
      <c r="Q20" s="127"/>
      <c r="R20" s="280">
        <f t="shared" ca="1" si="4"/>
        <v>37012</v>
      </c>
      <c r="S20" s="142">
        <f t="shared" si="5"/>
        <v>0.44</v>
      </c>
      <c r="T20" s="141">
        <f t="shared" si="8"/>
        <v>0.51</v>
      </c>
      <c r="U20" s="143">
        <f t="shared" si="6"/>
        <v>0.58000000000000007</v>
      </c>
      <c r="BP20" s="103">
        <f t="shared" si="0"/>
        <v>19</v>
      </c>
      <c r="BQ20" s="155" t="s">
        <v>191</v>
      </c>
      <c r="BR20" s="102" t="s">
        <v>166</v>
      </c>
      <c r="BS20" s="101" t="s">
        <v>192</v>
      </c>
      <c r="BT20" s="107" t="s">
        <v>168</v>
      </c>
      <c r="BU20" s="107"/>
      <c r="BV20" s="101">
        <v>1</v>
      </c>
      <c r="BW20" s="102" t="s">
        <v>790</v>
      </c>
      <c r="BX20"/>
      <c r="BZ20" s="103">
        <f t="shared" si="1"/>
        <v>19</v>
      </c>
      <c r="CA20" s="4" t="s">
        <v>221</v>
      </c>
      <c r="CB20" s="102" t="s">
        <v>169</v>
      </c>
      <c r="CC20" s="101" t="s">
        <v>167</v>
      </c>
      <c r="CD20" s="107" t="s">
        <v>168</v>
      </c>
      <c r="CE20" s="107"/>
      <c r="CF20" s="101">
        <v>1</v>
      </c>
      <c r="CG20" s="102" t="s">
        <v>605</v>
      </c>
      <c r="CH20"/>
    </row>
    <row r="21" spans="1:93" ht="13.2">
      <c r="A21" s="125"/>
      <c r="B21" s="126">
        <f t="shared" ca="1" si="7"/>
        <v>37043</v>
      </c>
      <c r="C21" s="113">
        <v>5.6951683570872005E-2</v>
      </c>
      <c r="D21" s="127">
        <v>0.51</v>
      </c>
      <c r="E21" s="127">
        <v>0.51</v>
      </c>
      <c r="F21" s="127">
        <v>0.47249999999999998</v>
      </c>
      <c r="G21" s="127">
        <v>0.48</v>
      </c>
      <c r="H21" s="127">
        <v>0.48749999999999999</v>
      </c>
      <c r="I21" s="127">
        <v>6.01</v>
      </c>
      <c r="J21" s="128">
        <v>6.0149999999999997</v>
      </c>
      <c r="K21" s="113">
        <v>6.02</v>
      </c>
      <c r="L21" s="128">
        <v>0.5</v>
      </c>
      <c r="M21" s="113">
        <v>-0.105</v>
      </c>
      <c r="O21" s="97"/>
      <c r="P21" s="127"/>
      <c r="Q21" s="127"/>
      <c r="R21" s="280">
        <f t="shared" ca="1" si="4"/>
        <v>37043</v>
      </c>
      <c r="S21" s="142">
        <f t="shared" si="5"/>
        <v>0.44</v>
      </c>
      <c r="T21" s="141">
        <f t="shared" si="8"/>
        <v>0.51</v>
      </c>
      <c r="U21" s="143">
        <f t="shared" si="6"/>
        <v>0.58000000000000007</v>
      </c>
      <c r="BP21" s="103">
        <f t="shared" si="0"/>
        <v>20</v>
      </c>
      <c r="BQ21" s="155" t="s">
        <v>193</v>
      </c>
      <c r="BR21" s="102" t="s">
        <v>166</v>
      </c>
      <c r="BS21" s="101" t="s">
        <v>192</v>
      </c>
      <c r="BT21" s="107" t="s">
        <v>168</v>
      </c>
      <c r="BU21" s="107"/>
      <c r="BV21" s="101">
        <v>1</v>
      </c>
      <c r="BW21" s="102" t="s">
        <v>791</v>
      </c>
      <c r="BX21"/>
      <c r="BZ21" s="103">
        <f t="shared" si="1"/>
        <v>20</v>
      </c>
      <c r="CA21" s="4" t="s">
        <v>228</v>
      </c>
      <c r="CB21" s="102" t="s">
        <v>169</v>
      </c>
      <c r="CC21" s="101" t="s">
        <v>167</v>
      </c>
      <c r="CD21" s="107" t="s">
        <v>168</v>
      </c>
      <c r="CE21" s="107"/>
      <c r="CF21" s="101">
        <v>1</v>
      </c>
      <c r="CG21" s="102" t="s">
        <v>606</v>
      </c>
      <c r="CH21"/>
    </row>
    <row r="22" spans="1:93" ht="13.2">
      <c r="A22" s="125"/>
      <c r="B22" s="126">
        <f t="shared" ca="1" si="7"/>
        <v>37073</v>
      </c>
      <c r="C22" s="113">
        <v>5.6350655408428006E-2</v>
      </c>
      <c r="D22" s="127">
        <v>0.51</v>
      </c>
      <c r="E22" s="127">
        <v>0.51</v>
      </c>
      <c r="F22" s="127">
        <v>0.47249999999999998</v>
      </c>
      <c r="G22" s="127">
        <v>0.48</v>
      </c>
      <c r="H22" s="127">
        <v>0.48749999999999999</v>
      </c>
      <c r="I22" s="127">
        <v>5.9950000000000001</v>
      </c>
      <c r="J22" s="128">
        <v>6</v>
      </c>
      <c r="K22" s="113">
        <v>6.0049999999999999</v>
      </c>
      <c r="L22" s="128">
        <v>0.65</v>
      </c>
      <c r="M22" s="113">
        <v>-0.01</v>
      </c>
      <c r="O22" s="97"/>
      <c r="P22" s="127"/>
      <c r="Q22" s="127"/>
      <c r="R22" s="280">
        <f t="shared" ca="1" si="4"/>
        <v>37073</v>
      </c>
      <c r="S22" s="142">
        <f t="shared" si="5"/>
        <v>0.44</v>
      </c>
      <c r="T22" s="141">
        <f t="shared" si="8"/>
        <v>0.51</v>
      </c>
      <c r="U22" s="143">
        <f t="shared" si="6"/>
        <v>0.58000000000000007</v>
      </c>
      <c r="BP22" s="103">
        <f t="shared" si="0"/>
        <v>21</v>
      </c>
      <c r="BQ22" s="155" t="s">
        <v>194</v>
      </c>
      <c r="BR22" s="102" t="s">
        <v>166</v>
      </c>
      <c r="BS22" s="101" t="s">
        <v>192</v>
      </c>
      <c r="BT22" s="107" t="s">
        <v>168</v>
      </c>
      <c r="BU22" s="107"/>
      <c r="BV22" s="101">
        <v>1</v>
      </c>
      <c r="BW22" s="102" t="s">
        <v>792</v>
      </c>
      <c r="BX22"/>
      <c r="BZ22" s="103">
        <f t="shared" si="1"/>
        <v>21</v>
      </c>
      <c r="CA22" s="4" t="s">
        <v>276</v>
      </c>
      <c r="CB22" s="102" t="s">
        <v>169</v>
      </c>
      <c r="CC22" s="101" t="s">
        <v>167</v>
      </c>
      <c r="CD22" s="107" t="s">
        <v>168</v>
      </c>
      <c r="CE22" s="107"/>
      <c r="CF22" s="101">
        <v>1</v>
      </c>
      <c r="CG22" s="102" t="s">
        <v>607</v>
      </c>
      <c r="CH22"/>
    </row>
    <row r="23" spans="1:93" ht="13.2">
      <c r="A23" s="125"/>
      <c r="B23" s="126">
        <f t="shared" ca="1" si="7"/>
        <v>37104</v>
      </c>
      <c r="C23" s="113">
        <v>5.5818790797591014E-2</v>
      </c>
      <c r="D23" s="127">
        <v>0.61</v>
      </c>
      <c r="E23" s="127">
        <v>0.61</v>
      </c>
      <c r="F23" s="127">
        <v>0.47249999999999998</v>
      </c>
      <c r="G23" s="127">
        <v>0.48</v>
      </c>
      <c r="H23" s="127">
        <v>0.48749999999999999</v>
      </c>
      <c r="I23" s="127">
        <v>5.9850000000000003</v>
      </c>
      <c r="J23" s="128">
        <v>5.99</v>
      </c>
      <c r="K23" s="113">
        <v>5.9950000000000001</v>
      </c>
      <c r="L23" s="128">
        <v>0.65</v>
      </c>
      <c r="M23" s="113">
        <v>0.03</v>
      </c>
      <c r="O23" s="97"/>
      <c r="P23" s="127"/>
      <c r="Q23" s="127"/>
      <c r="R23" s="280">
        <f t="shared" ca="1" si="4"/>
        <v>37104</v>
      </c>
      <c r="S23" s="142">
        <f t="shared" si="5"/>
        <v>0.54</v>
      </c>
      <c r="T23" s="141">
        <f t="shared" si="8"/>
        <v>0.61</v>
      </c>
      <c r="U23" s="143">
        <f t="shared" si="6"/>
        <v>0.67999999999999994</v>
      </c>
      <c r="BP23" s="103">
        <f t="shared" si="0"/>
        <v>22</v>
      </c>
      <c r="BQ23" s="155" t="s">
        <v>195</v>
      </c>
      <c r="BR23" s="102" t="s">
        <v>166</v>
      </c>
      <c r="BS23" s="101" t="s">
        <v>192</v>
      </c>
      <c r="BT23" s="107" t="s">
        <v>168</v>
      </c>
      <c r="BU23" s="107"/>
      <c r="BV23" s="101">
        <v>1</v>
      </c>
      <c r="BW23" s="102" t="s">
        <v>793</v>
      </c>
      <c r="BX23"/>
      <c r="BZ23" s="103">
        <f t="shared" si="1"/>
        <v>22</v>
      </c>
      <c r="CA23" s="4" t="s">
        <v>418</v>
      </c>
      <c r="CB23" s="102" t="s">
        <v>169</v>
      </c>
      <c r="CC23" s="101" t="s">
        <v>167</v>
      </c>
      <c r="CD23" s="107" t="s">
        <v>168</v>
      </c>
      <c r="CE23" s="107"/>
      <c r="CF23" s="101">
        <v>1</v>
      </c>
      <c r="CG23" s="102" t="s">
        <v>608</v>
      </c>
      <c r="CH23"/>
    </row>
    <row r="24" spans="1:93" ht="13.2">
      <c r="A24" s="125"/>
      <c r="B24" s="126">
        <f t="shared" ca="1" si="7"/>
        <v>37135</v>
      </c>
      <c r="C24" s="113">
        <v>5.5286926280937017E-2</v>
      </c>
      <c r="D24" s="128">
        <v>0.61</v>
      </c>
      <c r="E24" s="128">
        <v>0.61</v>
      </c>
      <c r="F24" s="128">
        <v>0.47249999999999998</v>
      </c>
      <c r="G24" s="128">
        <v>0.48</v>
      </c>
      <c r="H24" s="128">
        <v>0.48749999999999999</v>
      </c>
      <c r="I24" s="127">
        <v>5.9520000000000008</v>
      </c>
      <c r="J24" s="128">
        <v>5.9570000000000007</v>
      </c>
      <c r="K24" s="113">
        <v>5.9620000000000006</v>
      </c>
      <c r="L24" s="128">
        <v>0.5</v>
      </c>
      <c r="M24" s="113">
        <v>0.03</v>
      </c>
      <c r="O24" s="97"/>
      <c r="P24" s="127"/>
      <c r="Q24" s="127"/>
      <c r="R24" s="280">
        <f t="shared" ca="1" si="4"/>
        <v>37135</v>
      </c>
      <c r="S24" s="142">
        <f t="shared" si="5"/>
        <v>0.54</v>
      </c>
      <c r="T24" s="141">
        <f t="shared" si="8"/>
        <v>0.61</v>
      </c>
      <c r="U24" s="143">
        <f t="shared" si="6"/>
        <v>0.67999999999999994</v>
      </c>
      <c r="BP24" s="103">
        <f t="shared" si="0"/>
        <v>23</v>
      </c>
      <c r="BQ24" s="155" t="s">
        <v>196</v>
      </c>
      <c r="BR24" s="102" t="s">
        <v>166</v>
      </c>
      <c r="BS24" s="101" t="s">
        <v>192</v>
      </c>
      <c r="BT24" s="107" t="s">
        <v>168</v>
      </c>
      <c r="BU24" s="107"/>
      <c r="BV24" s="101">
        <v>1</v>
      </c>
      <c r="BW24" s="102" t="s">
        <v>794</v>
      </c>
      <c r="BX24"/>
      <c r="BZ24" s="103">
        <f t="shared" si="1"/>
        <v>23</v>
      </c>
      <c r="CA24" s="4" t="s">
        <v>419</v>
      </c>
      <c r="CB24" s="102" t="s">
        <v>169</v>
      </c>
      <c r="CC24" s="101" t="s">
        <v>167</v>
      </c>
      <c r="CD24" s="107" t="s">
        <v>168</v>
      </c>
      <c r="CE24" s="107"/>
      <c r="CF24" s="101">
        <v>1</v>
      </c>
      <c r="CG24" s="102" t="s">
        <v>609</v>
      </c>
      <c r="CH24"/>
    </row>
    <row r="25" spans="1:93" ht="13.2">
      <c r="A25" s="125"/>
      <c r="B25" s="126">
        <f t="shared" ca="1" si="7"/>
        <v>37165</v>
      </c>
      <c r="C25" s="113">
        <v>5.4847843829286015E-2</v>
      </c>
      <c r="D25" s="128">
        <v>0.66</v>
      </c>
      <c r="E25" s="128">
        <v>0.66</v>
      </c>
      <c r="F25" s="128">
        <v>0.47249999999999998</v>
      </c>
      <c r="G25" s="128">
        <v>0.48</v>
      </c>
      <c r="H25" s="128">
        <v>0.48749999999999999</v>
      </c>
      <c r="I25" s="127">
        <v>5.9570000000000007</v>
      </c>
      <c r="J25" s="128">
        <v>5.9620000000000006</v>
      </c>
      <c r="K25" s="113">
        <v>5.9670000000000005</v>
      </c>
      <c r="L25" s="128">
        <v>0.56499999999999995</v>
      </c>
      <c r="M25" s="113">
        <v>0.01</v>
      </c>
      <c r="O25" s="97"/>
      <c r="P25" s="127"/>
      <c r="Q25" s="127"/>
      <c r="R25" s="280">
        <f t="shared" ca="1" si="4"/>
        <v>37165</v>
      </c>
      <c r="S25" s="142">
        <f t="shared" si="5"/>
        <v>0.59000000000000008</v>
      </c>
      <c r="T25" s="141">
        <f t="shared" si="8"/>
        <v>0.66</v>
      </c>
      <c r="U25" s="143">
        <f t="shared" si="6"/>
        <v>0.73</v>
      </c>
      <c r="BP25" s="103">
        <f t="shared" si="0"/>
        <v>24</v>
      </c>
      <c r="BQ25" s="155" t="s">
        <v>197</v>
      </c>
      <c r="BR25" s="102" t="s">
        <v>166</v>
      </c>
      <c r="BS25" s="101" t="s">
        <v>192</v>
      </c>
      <c r="BT25" s="107" t="s">
        <v>168</v>
      </c>
      <c r="BU25" s="107"/>
      <c r="BV25" s="101">
        <v>1</v>
      </c>
      <c r="BW25" s="102" t="s">
        <v>795</v>
      </c>
      <c r="BX25"/>
      <c r="BZ25" s="103">
        <f t="shared" si="1"/>
        <v>24</v>
      </c>
      <c r="CA25" s="4" t="s">
        <v>420</v>
      </c>
      <c r="CB25" s="102" t="s">
        <v>169</v>
      </c>
      <c r="CC25" s="101" t="s">
        <v>167</v>
      </c>
      <c r="CD25" s="107" t="s">
        <v>168</v>
      </c>
      <c r="CE25" s="107"/>
      <c r="CF25" s="101">
        <v>1</v>
      </c>
      <c r="CG25" s="102" t="s">
        <v>610</v>
      </c>
      <c r="CH25"/>
    </row>
    <row r="26" spans="1:93" ht="13.2">
      <c r="A26" s="125"/>
      <c r="B26" s="126">
        <f t="shared" ca="1" si="7"/>
        <v>37196</v>
      </c>
      <c r="C26" s="113">
        <v>5.4516709290840015E-2</v>
      </c>
      <c r="D26" s="128">
        <v>1.25</v>
      </c>
      <c r="E26" s="128">
        <v>1.25</v>
      </c>
      <c r="F26" s="128">
        <v>0.47499999999999998</v>
      </c>
      <c r="G26" s="128">
        <v>0.48249999999999998</v>
      </c>
      <c r="H26" s="128">
        <v>0.49</v>
      </c>
      <c r="I26" s="127">
        <v>6.0549999999999997</v>
      </c>
      <c r="J26" s="128">
        <v>6.06</v>
      </c>
      <c r="K26" s="113">
        <v>6.0650000000000004</v>
      </c>
      <c r="L26" s="128">
        <v>1.4</v>
      </c>
      <c r="M26" s="113">
        <v>0.01</v>
      </c>
      <c r="O26" s="97"/>
      <c r="P26" s="127"/>
      <c r="Q26" s="127"/>
      <c r="R26" s="280">
        <f t="shared" ca="1" si="4"/>
        <v>37196</v>
      </c>
      <c r="S26" s="142">
        <f t="shared" si="5"/>
        <v>1.18</v>
      </c>
      <c r="T26" s="141">
        <f t="shared" si="8"/>
        <v>1.25</v>
      </c>
      <c r="U26" s="143">
        <f t="shared" si="6"/>
        <v>1.32</v>
      </c>
      <c r="BP26" s="103">
        <f t="shared" si="0"/>
        <v>25</v>
      </c>
      <c r="BQ26" s="155" t="s">
        <v>198</v>
      </c>
      <c r="BR26" s="102" t="s">
        <v>166</v>
      </c>
      <c r="BS26" s="101" t="s">
        <v>192</v>
      </c>
      <c r="BT26" s="107" t="s">
        <v>168</v>
      </c>
      <c r="BU26" s="107"/>
      <c r="BV26" s="101">
        <v>1</v>
      </c>
      <c r="BW26" s="102" t="s">
        <v>796</v>
      </c>
      <c r="BX26"/>
      <c r="BZ26" s="103">
        <f t="shared" si="1"/>
        <v>25</v>
      </c>
      <c r="CA26" s="4" t="s">
        <v>421</v>
      </c>
      <c r="CB26" s="102" t="s">
        <v>169</v>
      </c>
      <c r="CC26" s="101" t="s">
        <v>167</v>
      </c>
      <c r="CD26" s="107" t="s">
        <v>168</v>
      </c>
      <c r="CE26" s="107"/>
      <c r="CF26" s="101">
        <v>1</v>
      </c>
      <c r="CG26" s="102" t="s">
        <v>611</v>
      </c>
      <c r="CH26"/>
    </row>
    <row r="27" spans="1:93" ht="13.2">
      <c r="A27" s="125"/>
      <c r="B27" s="126">
        <f t="shared" ca="1" si="7"/>
        <v>37226</v>
      </c>
      <c r="C27" s="113">
        <v>5.4196256546480005E-2</v>
      </c>
      <c r="D27" s="128">
        <v>1.55</v>
      </c>
      <c r="E27" s="128">
        <v>1.55</v>
      </c>
      <c r="F27" s="128">
        <v>0.47499999999999998</v>
      </c>
      <c r="G27" s="128">
        <v>0.48249999999999998</v>
      </c>
      <c r="H27" s="128">
        <v>0.49</v>
      </c>
      <c r="I27" s="127">
        <v>6.1849999999999996</v>
      </c>
      <c r="J27" s="128">
        <v>6.19</v>
      </c>
      <c r="K27" s="113">
        <v>6.1950000000000003</v>
      </c>
      <c r="L27" s="128">
        <v>1.6</v>
      </c>
      <c r="M27" s="113">
        <v>0.01</v>
      </c>
      <c r="O27" s="97"/>
      <c r="P27" s="127"/>
      <c r="Q27" s="127"/>
      <c r="R27" s="280">
        <f t="shared" ca="1" si="4"/>
        <v>37226</v>
      </c>
      <c r="S27" s="142">
        <f t="shared" si="5"/>
        <v>1.48</v>
      </c>
      <c r="T27" s="141">
        <f t="shared" si="8"/>
        <v>1.55</v>
      </c>
      <c r="U27" s="143">
        <f t="shared" si="6"/>
        <v>1.62</v>
      </c>
      <c r="BP27" s="103">
        <f t="shared" si="0"/>
        <v>26</v>
      </c>
      <c r="BQ27" s="155" t="s">
        <v>199</v>
      </c>
      <c r="BR27" s="102" t="s">
        <v>166</v>
      </c>
      <c r="BS27" s="101" t="s">
        <v>192</v>
      </c>
      <c r="BT27" s="107" t="s">
        <v>168</v>
      </c>
      <c r="BU27" s="107"/>
      <c r="BV27" s="101">
        <v>1</v>
      </c>
      <c r="BW27" s="102" t="s">
        <v>797</v>
      </c>
      <c r="BX27"/>
      <c r="BZ27" s="103">
        <f t="shared" si="1"/>
        <v>26</v>
      </c>
      <c r="CA27" s="4" t="s">
        <v>422</v>
      </c>
      <c r="CB27" s="102" t="s">
        <v>169</v>
      </c>
      <c r="CC27" s="101" t="s">
        <v>167</v>
      </c>
      <c r="CD27" s="107" t="s">
        <v>168</v>
      </c>
      <c r="CE27" s="107"/>
      <c r="CF27" s="101">
        <v>1</v>
      </c>
      <c r="CG27" s="102" t="s">
        <v>612</v>
      </c>
      <c r="CH27"/>
    </row>
    <row r="28" spans="1:93" ht="13.2">
      <c r="A28" s="125"/>
      <c r="B28" s="126">
        <f t="shared" ca="1" si="7"/>
        <v>37257</v>
      </c>
      <c r="C28" s="113">
        <v>5.3977796992254003E-2</v>
      </c>
      <c r="D28" s="128">
        <v>1.75</v>
      </c>
      <c r="E28" s="128">
        <v>1.75</v>
      </c>
      <c r="F28" s="128">
        <v>0.47499999999999998</v>
      </c>
      <c r="G28" s="128">
        <v>0.48249999999999998</v>
      </c>
      <c r="H28" s="128">
        <v>0.49</v>
      </c>
      <c r="I28" s="127">
        <v>6.19</v>
      </c>
      <c r="J28" s="128">
        <v>6.1950000000000003</v>
      </c>
      <c r="K28" s="113">
        <v>6.2</v>
      </c>
      <c r="L28" s="128">
        <v>1.8</v>
      </c>
      <c r="M28" s="113">
        <v>0.01</v>
      </c>
      <c r="O28" s="97"/>
      <c r="P28" s="127"/>
      <c r="Q28" s="127"/>
      <c r="R28" s="280">
        <f t="shared" ca="1" si="4"/>
        <v>37257</v>
      </c>
      <c r="S28" s="142">
        <f t="shared" si="5"/>
        <v>1.68</v>
      </c>
      <c r="T28" s="141">
        <f t="shared" si="8"/>
        <v>1.75</v>
      </c>
      <c r="U28" s="143">
        <f t="shared" si="6"/>
        <v>1.82</v>
      </c>
      <c r="BP28" s="103">
        <f t="shared" si="0"/>
        <v>27</v>
      </c>
      <c r="BQ28" s="155" t="s">
        <v>200</v>
      </c>
      <c r="BR28" s="102" t="s">
        <v>166</v>
      </c>
      <c r="BS28" s="101" t="s">
        <v>192</v>
      </c>
      <c r="BT28" s="107" t="s">
        <v>168</v>
      </c>
      <c r="BU28" s="107"/>
      <c r="BV28" s="101">
        <v>1</v>
      </c>
      <c r="BW28" s="102" t="s">
        <v>798</v>
      </c>
      <c r="BX28"/>
      <c r="BZ28" s="103">
        <f t="shared" si="1"/>
        <v>27</v>
      </c>
      <c r="CA28" s="4" t="s">
        <v>423</v>
      </c>
      <c r="CB28" s="102" t="s">
        <v>169</v>
      </c>
      <c r="CC28" s="101" t="s">
        <v>167</v>
      </c>
      <c r="CD28" s="107" t="s">
        <v>168</v>
      </c>
      <c r="CE28" s="107"/>
      <c r="CF28" s="101">
        <v>1</v>
      </c>
      <c r="CG28" s="102" t="s">
        <v>613</v>
      </c>
      <c r="CH28"/>
    </row>
    <row r="29" spans="1:93" ht="13.2">
      <c r="A29" s="125"/>
      <c r="B29" s="126">
        <f t="shared" ca="1" si="7"/>
        <v>37288</v>
      </c>
      <c r="C29" s="113">
        <v>5.3915348866635009E-2</v>
      </c>
      <c r="D29" s="128">
        <v>1.75</v>
      </c>
      <c r="E29" s="128">
        <v>1.75</v>
      </c>
      <c r="F29" s="128">
        <v>0.46250000000000002</v>
      </c>
      <c r="G29" s="128">
        <v>0.47</v>
      </c>
      <c r="H29" s="128">
        <v>0.47749999999999998</v>
      </c>
      <c r="I29" s="127">
        <v>5.9349999999999996</v>
      </c>
      <c r="J29" s="128">
        <v>5.94</v>
      </c>
      <c r="K29" s="113">
        <v>5.9450000000000003</v>
      </c>
      <c r="L29" s="128">
        <v>1.8</v>
      </c>
      <c r="M29" s="113">
        <v>0.01</v>
      </c>
      <c r="O29" s="97"/>
      <c r="P29" s="127"/>
      <c r="Q29" s="127"/>
      <c r="R29" s="280">
        <f t="shared" ca="1" si="4"/>
        <v>37288</v>
      </c>
      <c r="S29" s="142">
        <f t="shared" si="5"/>
        <v>1.68</v>
      </c>
      <c r="T29" s="141">
        <f t="shared" si="8"/>
        <v>1.75</v>
      </c>
      <c r="U29" s="143">
        <f t="shared" si="6"/>
        <v>1.82</v>
      </c>
      <c r="BP29" s="103">
        <f t="shared" si="0"/>
        <v>28</v>
      </c>
      <c r="BQ29" s="155" t="s">
        <v>201</v>
      </c>
      <c r="BR29" s="102" t="s">
        <v>166</v>
      </c>
      <c r="BS29" s="101" t="s">
        <v>192</v>
      </c>
      <c r="BT29" s="107" t="s">
        <v>168</v>
      </c>
      <c r="BU29" s="107"/>
      <c r="BV29" s="101">
        <v>1</v>
      </c>
      <c r="BW29" s="102" t="s">
        <v>799</v>
      </c>
      <c r="BX29"/>
      <c r="BZ29" s="103">
        <f t="shared" si="1"/>
        <v>28</v>
      </c>
      <c r="CA29" s="4" t="s">
        <v>424</v>
      </c>
      <c r="CB29" s="102" t="s">
        <v>169</v>
      </c>
      <c r="CC29" s="101" t="s">
        <v>167</v>
      </c>
      <c r="CD29" s="107" t="s">
        <v>168</v>
      </c>
      <c r="CE29" s="107"/>
      <c r="CF29" s="101">
        <v>1</v>
      </c>
      <c r="CG29" s="102" t="s">
        <v>614</v>
      </c>
      <c r="CH29"/>
    </row>
    <row r="30" spans="1:93" ht="13.2">
      <c r="A30" s="125"/>
      <c r="B30" s="126">
        <f t="shared" ca="1" si="7"/>
        <v>37316</v>
      </c>
      <c r="C30" s="113">
        <v>5.3858944109129017E-2</v>
      </c>
      <c r="D30" s="128">
        <v>1.3</v>
      </c>
      <c r="E30" s="128">
        <v>1.3</v>
      </c>
      <c r="F30" s="128">
        <v>0.42749999999999999</v>
      </c>
      <c r="G30" s="128">
        <v>0.435</v>
      </c>
      <c r="H30" s="128">
        <v>0.4425</v>
      </c>
      <c r="I30" s="127">
        <v>5.5949999999999998</v>
      </c>
      <c r="J30" s="128">
        <v>5.6</v>
      </c>
      <c r="K30" s="113">
        <v>5.6050000000000004</v>
      </c>
      <c r="L30" s="128">
        <v>1.65</v>
      </c>
      <c r="M30" s="113">
        <v>0.01</v>
      </c>
      <c r="N30" s="130"/>
      <c r="O30" s="97"/>
      <c r="P30" s="127"/>
      <c r="Q30" s="127"/>
      <c r="R30" s="280">
        <f t="shared" ca="1" si="4"/>
        <v>37316</v>
      </c>
      <c r="S30" s="142">
        <f t="shared" si="5"/>
        <v>1.23</v>
      </c>
      <c r="T30" s="141">
        <f t="shared" si="8"/>
        <v>1.3</v>
      </c>
      <c r="U30" s="143">
        <f t="shared" si="6"/>
        <v>1.37</v>
      </c>
      <c r="BP30" s="103">
        <f t="shared" si="0"/>
        <v>29</v>
      </c>
      <c r="BQ30" s="155" t="s">
        <v>202</v>
      </c>
      <c r="BR30" s="102" t="s">
        <v>166</v>
      </c>
      <c r="BS30" s="101" t="s">
        <v>192</v>
      </c>
      <c r="BT30" s="107" t="s">
        <v>168</v>
      </c>
      <c r="BU30" s="107"/>
      <c r="BV30" s="101">
        <v>1</v>
      </c>
      <c r="BW30" s="102" t="s">
        <v>800</v>
      </c>
      <c r="BX30"/>
      <c r="BZ30" s="103">
        <f t="shared" si="1"/>
        <v>29</v>
      </c>
      <c r="CA30" s="4" t="s">
        <v>425</v>
      </c>
      <c r="CB30" s="102" t="s">
        <v>169</v>
      </c>
      <c r="CC30" s="101" t="s">
        <v>167</v>
      </c>
      <c r="CD30" s="107" t="s">
        <v>168</v>
      </c>
      <c r="CE30" s="107"/>
      <c r="CF30" s="101">
        <v>1</v>
      </c>
      <c r="CG30" s="102" t="s">
        <v>615</v>
      </c>
      <c r="CH30"/>
    </row>
    <row r="31" spans="1:93" ht="13.2">
      <c r="A31" s="125"/>
      <c r="B31" s="126">
        <f t="shared" ca="1" si="7"/>
        <v>37347</v>
      </c>
      <c r="C31" s="113">
        <v>5.3811179361892003E-2</v>
      </c>
      <c r="D31" s="128">
        <v>0.45</v>
      </c>
      <c r="E31" s="128">
        <v>0.45</v>
      </c>
      <c r="F31" s="128">
        <v>0.35499999999999998</v>
      </c>
      <c r="G31" s="128">
        <v>0.36249999999999999</v>
      </c>
      <c r="H31" s="128">
        <v>0.37</v>
      </c>
      <c r="I31" s="127">
        <v>4.7149999999999999</v>
      </c>
      <c r="J31" s="128">
        <v>4.72</v>
      </c>
      <c r="K31" s="113">
        <v>4.7249999999999996</v>
      </c>
      <c r="L31" s="128">
        <v>0.5</v>
      </c>
      <c r="M31" s="113">
        <v>0.02</v>
      </c>
      <c r="O31" s="97"/>
      <c r="P31" s="127"/>
      <c r="Q31" s="127"/>
      <c r="R31" s="280">
        <f t="shared" ca="1" si="4"/>
        <v>37347</v>
      </c>
      <c r="S31" s="142">
        <f t="shared" si="5"/>
        <v>0.38</v>
      </c>
      <c r="T31" s="141">
        <f t="shared" si="8"/>
        <v>0.45</v>
      </c>
      <c r="U31" s="143">
        <f t="shared" si="6"/>
        <v>0.52</v>
      </c>
      <c r="BP31" s="103">
        <f t="shared" si="0"/>
        <v>30</v>
      </c>
      <c r="BQ31" s="155" t="s">
        <v>203</v>
      </c>
      <c r="BR31" s="102" t="s">
        <v>166</v>
      </c>
      <c r="BS31" s="101" t="s">
        <v>192</v>
      </c>
      <c r="BT31" s="107" t="s">
        <v>168</v>
      </c>
      <c r="BU31" s="107"/>
      <c r="BV31" s="101">
        <v>1</v>
      </c>
      <c r="BW31" s="102" t="s">
        <v>801</v>
      </c>
      <c r="BX31"/>
      <c r="BZ31" s="103">
        <f t="shared" si="1"/>
        <v>30</v>
      </c>
      <c r="CA31" s="4" t="s">
        <v>426</v>
      </c>
      <c r="CB31" s="102" t="s">
        <v>169</v>
      </c>
      <c r="CC31" s="101" t="s">
        <v>167</v>
      </c>
      <c r="CD31" s="107" t="s">
        <v>168</v>
      </c>
      <c r="CE31" s="107"/>
      <c r="CF31" s="101">
        <v>1</v>
      </c>
      <c r="CG31" s="102" t="s">
        <v>616</v>
      </c>
      <c r="CH31"/>
    </row>
    <row r="32" spans="1:93" ht="13.2">
      <c r="A32" s="125"/>
      <c r="B32" s="126">
        <f t="shared" ca="1" si="7"/>
        <v>37377</v>
      </c>
      <c r="C32" s="113">
        <v>5.3783211531939011E-2</v>
      </c>
      <c r="D32" s="128">
        <v>0.5</v>
      </c>
      <c r="E32" s="128">
        <v>0.5</v>
      </c>
      <c r="F32" s="128">
        <v>0.33</v>
      </c>
      <c r="G32" s="128">
        <v>0.33750000000000002</v>
      </c>
      <c r="H32" s="128">
        <v>0.34499999999999997</v>
      </c>
      <c r="I32" s="127">
        <v>4.508</v>
      </c>
      <c r="J32" s="128">
        <v>4.5129999999999999</v>
      </c>
      <c r="K32" s="113">
        <v>4.5179999999999998</v>
      </c>
      <c r="L32" s="128">
        <v>0.44</v>
      </c>
      <c r="M32" s="113">
        <v>0.02</v>
      </c>
      <c r="O32" s="97"/>
      <c r="P32" s="127"/>
      <c r="Q32" s="127"/>
      <c r="R32" s="280">
        <f t="shared" ca="1" si="4"/>
        <v>37377</v>
      </c>
      <c r="S32" s="142">
        <f t="shared" si="5"/>
        <v>0.43</v>
      </c>
      <c r="T32" s="141">
        <f t="shared" si="8"/>
        <v>0.5</v>
      </c>
      <c r="U32" s="143">
        <f t="shared" si="6"/>
        <v>0.57000000000000006</v>
      </c>
      <c r="BP32" s="103">
        <f t="shared" si="0"/>
        <v>31</v>
      </c>
      <c r="BQ32" s="155" t="s">
        <v>204</v>
      </c>
      <c r="BR32" s="102" t="s">
        <v>166</v>
      </c>
      <c r="BS32" s="101" t="s">
        <v>192</v>
      </c>
      <c r="BT32" s="107" t="s">
        <v>168</v>
      </c>
      <c r="BU32" s="107"/>
      <c r="BV32" s="101">
        <v>1</v>
      </c>
      <c r="BW32" s="102" t="s">
        <v>802</v>
      </c>
      <c r="BX32"/>
      <c r="BZ32" s="103">
        <f t="shared" si="1"/>
        <v>31</v>
      </c>
      <c r="CA32" s="4" t="s">
        <v>427</v>
      </c>
      <c r="CB32" s="102" t="s">
        <v>169</v>
      </c>
      <c r="CC32" s="101" t="s">
        <v>167</v>
      </c>
      <c r="CD32" s="107" t="s">
        <v>168</v>
      </c>
      <c r="CE32" s="107"/>
      <c r="CF32" s="101">
        <v>1</v>
      </c>
      <c r="CG32" s="102" t="s">
        <v>617</v>
      </c>
      <c r="CH32"/>
    </row>
    <row r="33" spans="1:86" ht="13.2">
      <c r="A33" s="125"/>
      <c r="B33" s="126">
        <f t="shared" ca="1" si="7"/>
        <v>37408</v>
      </c>
      <c r="C33" s="113">
        <v>5.3754311441261013E-2</v>
      </c>
      <c r="D33" s="128">
        <v>0.5</v>
      </c>
      <c r="E33" s="128">
        <v>0.5</v>
      </c>
      <c r="F33" s="128">
        <v>0.32250000000000001</v>
      </c>
      <c r="G33" s="128">
        <v>0.33</v>
      </c>
      <c r="H33" s="128">
        <v>0.33750000000000002</v>
      </c>
      <c r="I33" s="127">
        <v>4.468</v>
      </c>
      <c r="J33" s="128">
        <v>4.4729999999999999</v>
      </c>
      <c r="K33" s="113">
        <v>4.4780000000000006</v>
      </c>
      <c r="L33" s="128">
        <v>0.44</v>
      </c>
      <c r="M33" s="113">
        <v>0.02</v>
      </c>
      <c r="O33" s="97"/>
      <c r="P33" s="127"/>
      <c r="Q33" s="127"/>
      <c r="R33" s="280">
        <f t="shared" ca="1" si="4"/>
        <v>37408</v>
      </c>
      <c r="S33" s="142">
        <f t="shared" si="5"/>
        <v>0.43</v>
      </c>
      <c r="T33" s="141">
        <f t="shared" si="8"/>
        <v>0.5</v>
      </c>
      <c r="U33" s="143">
        <f t="shared" si="6"/>
        <v>0.57000000000000006</v>
      </c>
      <c r="BP33" s="103">
        <f t="shared" si="0"/>
        <v>32</v>
      </c>
      <c r="BQ33" s="155" t="s">
        <v>205</v>
      </c>
      <c r="BR33" s="102" t="s">
        <v>166</v>
      </c>
      <c r="BS33" s="101" t="s">
        <v>192</v>
      </c>
      <c r="BT33" s="107" t="s">
        <v>168</v>
      </c>
      <c r="BU33" s="107"/>
      <c r="BV33" s="101">
        <v>1</v>
      </c>
      <c r="BW33" s="102" t="s">
        <v>803</v>
      </c>
      <c r="BX33"/>
      <c r="BZ33" s="103">
        <f t="shared" si="1"/>
        <v>32</v>
      </c>
      <c r="CA33" s="4" t="s">
        <v>428</v>
      </c>
      <c r="CB33" s="102" t="s">
        <v>169</v>
      </c>
      <c r="CC33" s="101" t="s">
        <v>167</v>
      </c>
      <c r="CD33" s="107" t="s">
        <v>168</v>
      </c>
      <c r="CE33" s="107"/>
      <c r="CF33" s="101">
        <v>1</v>
      </c>
      <c r="CG33" s="102" t="s">
        <v>618</v>
      </c>
      <c r="CH33"/>
    </row>
    <row r="34" spans="1:86" ht="13.2">
      <c r="A34" s="125"/>
      <c r="B34" s="126">
        <f t="shared" ca="1" si="7"/>
        <v>37438</v>
      </c>
      <c r="C34" s="113">
        <v>5.3753867875072019E-2</v>
      </c>
      <c r="D34" s="128">
        <v>0.5</v>
      </c>
      <c r="E34" s="128">
        <v>0.5</v>
      </c>
      <c r="F34" s="128">
        <v>0.3175</v>
      </c>
      <c r="G34" s="128">
        <v>0.32500000000000001</v>
      </c>
      <c r="H34" s="128">
        <v>0.33250000000000002</v>
      </c>
      <c r="I34" s="127">
        <v>4.4729999999999999</v>
      </c>
      <c r="J34" s="128">
        <v>4.4780000000000006</v>
      </c>
      <c r="K34" s="113">
        <v>4.4830000000000005</v>
      </c>
      <c r="L34" s="128">
        <v>0.5</v>
      </c>
      <c r="M34" s="113">
        <v>0.02</v>
      </c>
      <c r="O34" s="97"/>
      <c r="P34" s="127"/>
      <c r="Q34" s="127"/>
      <c r="R34" s="280">
        <f t="shared" ca="1" si="4"/>
        <v>37438</v>
      </c>
      <c r="S34" s="142">
        <f t="shared" si="5"/>
        <v>0.43</v>
      </c>
      <c r="T34" s="141">
        <f t="shared" si="8"/>
        <v>0.5</v>
      </c>
      <c r="U34" s="143">
        <f t="shared" si="6"/>
        <v>0.57000000000000006</v>
      </c>
      <c r="BP34" s="103">
        <f t="shared" si="0"/>
        <v>33</v>
      </c>
      <c r="BQ34" s="155" t="s">
        <v>206</v>
      </c>
      <c r="BR34" s="102" t="s">
        <v>166</v>
      </c>
      <c r="BS34" s="101" t="s">
        <v>192</v>
      </c>
      <c r="BT34" s="107" t="s">
        <v>168</v>
      </c>
      <c r="BU34" s="107"/>
      <c r="BV34" s="101">
        <v>1</v>
      </c>
      <c r="BW34" s="102" t="s">
        <v>804</v>
      </c>
      <c r="BX34"/>
      <c r="BZ34" s="103">
        <f t="shared" ref="BZ34:BZ65" si="9">BZ33+CF34</f>
        <v>33</v>
      </c>
      <c r="CA34" s="4" t="s">
        <v>429</v>
      </c>
      <c r="CB34" s="102" t="s">
        <v>169</v>
      </c>
      <c r="CC34" s="101" t="s">
        <v>167</v>
      </c>
      <c r="CD34" s="107" t="s">
        <v>168</v>
      </c>
      <c r="CE34" s="107"/>
      <c r="CF34" s="101">
        <v>1</v>
      </c>
      <c r="CG34" s="102" t="s">
        <v>619</v>
      </c>
      <c r="CH34"/>
    </row>
    <row r="35" spans="1:86" ht="13.2">
      <c r="A35" s="125"/>
      <c r="B35" s="126">
        <f t="shared" ca="1" si="7"/>
        <v>37469</v>
      </c>
      <c r="C35" s="113">
        <v>5.3798596544218022E-2</v>
      </c>
      <c r="D35" s="128">
        <v>0.6</v>
      </c>
      <c r="E35" s="128">
        <v>0.6</v>
      </c>
      <c r="F35" s="128">
        <v>0.3175</v>
      </c>
      <c r="G35" s="128">
        <v>0.32500000000000001</v>
      </c>
      <c r="H35" s="128">
        <v>0.33250000000000002</v>
      </c>
      <c r="I35" s="127">
        <v>4.468</v>
      </c>
      <c r="J35" s="128">
        <v>4.4729999999999999</v>
      </c>
      <c r="K35" s="113">
        <v>4.4780000000000006</v>
      </c>
      <c r="L35" s="128">
        <v>0.5</v>
      </c>
      <c r="M35" s="113">
        <v>0.02</v>
      </c>
      <c r="O35" s="97"/>
      <c r="P35" s="127"/>
      <c r="Q35" s="127"/>
      <c r="R35" s="280">
        <f t="shared" ca="1" si="4"/>
        <v>37469</v>
      </c>
      <c r="S35" s="142">
        <f t="shared" si="5"/>
        <v>0.53</v>
      </c>
      <c r="T35" s="141">
        <f t="shared" si="8"/>
        <v>0.6</v>
      </c>
      <c r="U35" s="143">
        <f t="shared" si="6"/>
        <v>0.66999999999999993</v>
      </c>
      <c r="BP35" s="103">
        <f t="shared" si="0"/>
        <v>34</v>
      </c>
      <c r="BQ35" s="155" t="s">
        <v>207</v>
      </c>
      <c r="BR35" s="102" t="s">
        <v>166</v>
      </c>
      <c r="BS35" s="101" t="s">
        <v>192</v>
      </c>
      <c r="BT35" s="107" t="s">
        <v>168</v>
      </c>
      <c r="BU35" s="107"/>
      <c r="BV35" s="101">
        <v>1</v>
      </c>
      <c r="BW35" s="102" t="s">
        <v>805</v>
      </c>
      <c r="BX35"/>
      <c r="BZ35" s="103">
        <f t="shared" si="9"/>
        <v>34</v>
      </c>
      <c r="CA35" s="4" t="s">
        <v>430</v>
      </c>
      <c r="CB35" s="102" t="s">
        <v>169</v>
      </c>
      <c r="CC35" s="101" t="s">
        <v>167</v>
      </c>
      <c r="CD35" s="107" t="s">
        <v>168</v>
      </c>
      <c r="CE35" s="107"/>
      <c r="CF35" s="101">
        <v>1</v>
      </c>
      <c r="CG35" s="102" t="s">
        <v>620</v>
      </c>
      <c r="CH35"/>
    </row>
    <row r="36" spans="1:86" ht="13.2">
      <c r="A36" s="125"/>
      <c r="B36" s="126">
        <f t="shared" ca="1" si="7"/>
        <v>37500</v>
      </c>
      <c r="C36" s="113">
        <v>5.3843325214032012E-2</v>
      </c>
      <c r="D36" s="128">
        <v>0.6</v>
      </c>
      <c r="E36" s="128">
        <v>0.6</v>
      </c>
      <c r="F36" s="128">
        <v>0.3175</v>
      </c>
      <c r="G36" s="128">
        <v>0.32500000000000001</v>
      </c>
      <c r="H36" s="128">
        <v>0.33250000000000002</v>
      </c>
      <c r="I36" s="127">
        <v>4.4550000000000001</v>
      </c>
      <c r="J36" s="128">
        <v>4.46</v>
      </c>
      <c r="K36" s="113">
        <v>4.4649999999999999</v>
      </c>
      <c r="L36" s="128">
        <v>0.46</v>
      </c>
      <c r="M36" s="113">
        <v>0.02</v>
      </c>
      <c r="O36" s="97"/>
      <c r="P36" s="127"/>
      <c r="Q36" s="127"/>
      <c r="R36" s="280">
        <f t="shared" ca="1" si="4"/>
        <v>37500</v>
      </c>
      <c r="S36" s="142">
        <f t="shared" si="5"/>
        <v>0.53</v>
      </c>
      <c r="T36" s="141">
        <f t="shared" si="8"/>
        <v>0.6</v>
      </c>
      <c r="U36" s="143">
        <f t="shared" si="6"/>
        <v>0.66999999999999993</v>
      </c>
      <c r="BP36" s="103">
        <f t="shared" si="0"/>
        <v>35</v>
      </c>
      <c r="BQ36" s="155" t="s">
        <v>208</v>
      </c>
      <c r="BR36" s="102" t="s">
        <v>166</v>
      </c>
      <c r="BS36" s="101" t="s">
        <v>192</v>
      </c>
      <c r="BT36" s="107" t="s">
        <v>168</v>
      </c>
      <c r="BU36" s="107"/>
      <c r="BV36" s="101">
        <v>1</v>
      </c>
      <c r="BW36" s="102" t="s">
        <v>806</v>
      </c>
      <c r="BX36"/>
      <c r="BZ36" s="103">
        <f t="shared" si="9"/>
        <v>35</v>
      </c>
      <c r="CA36" s="4" t="s">
        <v>431</v>
      </c>
      <c r="CB36" s="102" t="s">
        <v>169</v>
      </c>
      <c r="CC36" s="101" t="s">
        <v>167</v>
      </c>
      <c r="CD36" s="107" t="s">
        <v>168</v>
      </c>
      <c r="CE36" s="107"/>
      <c r="CF36" s="101">
        <v>1</v>
      </c>
      <c r="CG36" s="102" t="s">
        <v>621</v>
      </c>
      <c r="CH36"/>
    </row>
    <row r="37" spans="1:86" ht="13.2">
      <c r="A37" s="125"/>
      <c r="B37" s="126">
        <f t="shared" ca="1" si="7"/>
        <v>37530</v>
      </c>
      <c r="C37" s="113">
        <v>5.3898883775664999E-2</v>
      </c>
      <c r="D37" s="128">
        <v>0.65</v>
      </c>
      <c r="E37" s="128">
        <v>0.65</v>
      </c>
      <c r="F37" s="128">
        <v>0.32</v>
      </c>
      <c r="G37" s="128">
        <v>0.32750000000000001</v>
      </c>
      <c r="H37" s="128">
        <v>0.33500000000000002</v>
      </c>
      <c r="I37" s="127">
        <v>4.4850000000000003</v>
      </c>
      <c r="J37" s="128">
        <v>4.49</v>
      </c>
      <c r="K37" s="113">
        <v>4.4950000000000001</v>
      </c>
      <c r="L37" s="128">
        <v>0.47</v>
      </c>
      <c r="M37" s="113">
        <v>0.02</v>
      </c>
      <c r="O37" s="97"/>
      <c r="P37" s="127"/>
      <c r="Q37" s="127"/>
      <c r="R37" s="280">
        <f t="shared" ca="1" si="4"/>
        <v>37530</v>
      </c>
      <c r="S37" s="142">
        <f t="shared" si="5"/>
        <v>0.58000000000000007</v>
      </c>
      <c r="T37" s="141">
        <f t="shared" si="8"/>
        <v>0.65</v>
      </c>
      <c r="U37" s="143">
        <f t="shared" si="6"/>
        <v>0.72</v>
      </c>
      <c r="BP37" s="103">
        <f t="shared" si="0"/>
        <v>36</v>
      </c>
      <c r="BQ37" s="155" t="s">
        <v>209</v>
      </c>
      <c r="BR37" s="102" t="s">
        <v>166</v>
      </c>
      <c r="BS37" s="101" t="s">
        <v>192</v>
      </c>
      <c r="BT37" s="107" t="s">
        <v>168</v>
      </c>
      <c r="BU37" s="107"/>
      <c r="BV37" s="101">
        <v>1</v>
      </c>
      <c r="BW37" s="102" t="s">
        <v>807</v>
      </c>
      <c r="BX37"/>
      <c r="BZ37" s="103">
        <f t="shared" si="9"/>
        <v>36</v>
      </c>
      <c r="CA37" s="4" t="s">
        <v>432</v>
      </c>
      <c r="CB37" s="102" t="s">
        <v>169</v>
      </c>
      <c r="CC37" s="101" t="s">
        <v>167</v>
      </c>
      <c r="CD37" s="107" t="s">
        <v>168</v>
      </c>
      <c r="CE37" s="107"/>
      <c r="CF37" s="101">
        <v>1</v>
      </c>
      <c r="CG37" s="102" t="s">
        <v>622</v>
      </c>
      <c r="CH37"/>
    </row>
    <row r="38" spans="1:86" ht="13.2">
      <c r="A38" s="125"/>
      <c r="B38" s="126">
        <f t="shared" ca="1" si="7"/>
        <v>37561</v>
      </c>
      <c r="C38" s="113">
        <v>5.3973871330398999E-2</v>
      </c>
      <c r="D38" s="128">
        <v>0.95</v>
      </c>
      <c r="E38" s="128">
        <v>0.95</v>
      </c>
      <c r="F38" s="128">
        <v>0.32</v>
      </c>
      <c r="G38" s="128">
        <v>0.32750000000000001</v>
      </c>
      <c r="H38" s="128">
        <v>0.33500000000000002</v>
      </c>
      <c r="I38" s="127">
        <v>4.59</v>
      </c>
      <c r="J38" s="128">
        <v>4.5949999999999998</v>
      </c>
      <c r="K38" s="113">
        <v>4.5999999999999996</v>
      </c>
      <c r="L38" s="128">
        <v>0.85</v>
      </c>
      <c r="M38" s="113">
        <v>0.01</v>
      </c>
      <c r="O38" s="97"/>
      <c r="P38" s="127"/>
      <c r="Q38" s="127"/>
      <c r="R38" s="280">
        <f t="shared" ca="1" si="4"/>
        <v>37561</v>
      </c>
      <c r="S38" s="142">
        <f t="shared" si="5"/>
        <v>0.87999999999999989</v>
      </c>
      <c r="T38" s="141">
        <f t="shared" si="8"/>
        <v>0.95</v>
      </c>
      <c r="U38" s="143">
        <f t="shared" si="6"/>
        <v>1.02</v>
      </c>
      <c r="BP38" s="103">
        <f t="shared" si="0"/>
        <v>37</v>
      </c>
      <c r="BQ38" s="155" t="s">
        <v>210</v>
      </c>
      <c r="BR38" s="102" t="s">
        <v>166</v>
      </c>
      <c r="BS38" s="101" t="s">
        <v>192</v>
      </c>
      <c r="BT38" s="107" t="s">
        <v>168</v>
      </c>
      <c r="BU38" s="107"/>
      <c r="BV38" s="101">
        <v>1</v>
      </c>
      <c r="BW38" s="102" t="s">
        <v>808</v>
      </c>
      <c r="BX38"/>
      <c r="BZ38" s="103">
        <f t="shared" si="9"/>
        <v>37</v>
      </c>
      <c r="CA38" s="4" t="s">
        <v>433</v>
      </c>
      <c r="CB38" s="102" t="s">
        <v>169</v>
      </c>
      <c r="CC38" s="101" t="s">
        <v>167</v>
      </c>
      <c r="CD38" s="107" t="s">
        <v>168</v>
      </c>
      <c r="CE38" s="107"/>
      <c r="CF38" s="101">
        <v>1</v>
      </c>
      <c r="CG38" s="102" t="s">
        <v>623</v>
      </c>
      <c r="CH38"/>
    </row>
    <row r="39" spans="1:86" ht="13.2">
      <c r="A39" s="125"/>
      <c r="B39" s="126">
        <f t="shared" ca="1" si="7"/>
        <v>37591</v>
      </c>
      <c r="C39" s="113">
        <v>5.4046439933537006E-2</v>
      </c>
      <c r="D39" s="128">
        <v>1.25</v>
      </c>
      <c r="E39" s="128">
        <v>1.25</v>
      </c>
      <c r="F39" s="128">
        <v>0.32250000000000001</v>
      </c>
      <c r="G39" s="128">
        <v>0.33</v>
      </c>
      <c r="H39" s="128">
        <v>0.33750000000000002</v>
      </c>
      <c r="I39" s="127">
        <v>4.6900000000000004</v>
      </c>
      <c r="J39" s="128">
        <v>4.6950000000000003</v>
      </c>
      <c r="K39" s="113">
        <v>4.7</v>
      </c>
      <c r="L39" s="128">
        <v>1.26</v>
      </c>
      <c r="M39" s="113">
        <v>0.01</v>
      </c>
      <c r="O39" s="97"/>
      <c r="P39" s="127"/>
      <c r="Q39" s="127"/>
      <c r="R39" s="280">
        <f t="shared" ca="1" si="4"/>
        <v>37591</v>
      </c>
      <c r="S39" s="142">
        <f t="shared" si="5"/>
        <v>1.18</v>
      </c>
      <c r="T39" s="141">
        <f t="shared" si="8"/>
        <v>1.25</v>
      </c>
      <c r="U39" s="143">
        <f t="shared" si="6"/>
        <v>1.32</v>
      </c>
      <c r="BP39" s="103">
        <f t="shared" si="0"/>
        <v>38</v>
      </c>
      <c r="BQ39" s="155" t="s">
        <v>211</v>
      </c>
      <c r="BR39" s="102" t="s">
        <v>166</v>
      </c>
      <c r="BS39" s="101" t="s">
        <v>192</v>
      </c>
      <c r="BT39" s="107" t="s">
        <v>168</v>
      </c>
      <c r="BU39" s="107"/>
      <c r="BV39" s="101">
        <v>1</v>
      </c>
      <c r="BW39" s="102" t="s">
        <v>809</v>
      </c>
      <c r="BX39"/>
      <c r="BZ39" s="103">
        <f t="shared" si="9"/>
        <v>38</v>
      </c>
      <c r="CA39" s="4" t="s">
        <v>434</v>
      </c>
      <c r="CB39" s="102" t="s">
        <v>169</v>
      </c>
      <c r="CC39" s="101" t="s">
        <v>167</v>
      </c>
      <c r="CD39" s="107" t="s">
        <v>168</v>
      </c>
      <c r="CE39" s="107"/>
      <c r="CF39" s="101">
        <v>1</v>
      </c>
      <c r="CG39" s="102" t="s">
        <v>624</v>
      </c>
      <c r="CH39"/>
    </row>
    <row r="40" spans="1:86" ht="13.2">
      <c r="A40" s="125"/>
      <c r="B40" s="126">
        <f t="shared" ca="1" si="7"/>
        <v>37622</v>
      </c>
      <c r="C40" s="113">
        <v>5.4138502291509009E-2</v>
      </c>
      <c r="D40" s="128">
        <v>1.45</v>
      </c>
      <c r="E40" s="128">
        <v>1.45</v>
      </c>
      <c r="F40" s="128">
        <v>0.32250000000000001</v>
      </c>
      <c r="G40" s="128">
        <v>0.33</v>
      </c>
      <c r="H40" s="128">
        <v>0.33750000000000002</v>
      </c>
      <c r="I40" s="127">
        <v>4.7190000000000003</v>
      </c>
      <c r="J40" s="128">
        <v>4.7240000000000002</v>
      </c>
      <c r="K40" s="113">
        <v>4.7290000000000001</v>
      </c>
      <c r="L40" s="128">
        <v>1.58</v>
      </c>
      <c r="M40" s="113">
        <v>0.01</v>
      </c>
      <c r="O40" s="97"/>
      <c r="P40" s="127"/>
      <c r="Q40" s="127"/>
      <c r="R40" s="280">
        <f t="shared" ca="1" si="4"/>
        <v>37622</v>
      </c>
      <c r="S40" s="142">
        <f t="shared" si="5"/>
        <v>1.38</v>
      </c>
      <c r="T40" s="141">
        <f t="shared" si="8"/>
        <v>1.45</v>
      </c>
      <c r="U40" s="143">
        <f t="shared" si="6"/>
        <v>1.52</v>
      </c>
      <c r="BP40" s="103">
        <f t="shared" si="0"/>
        <v>39</v>
      </c>
      <c r="BQ40" s="155" t="s">
        <v>212</v>
      </c>
      <c r="BR40" s="102" t="s">
        <v>166</v>
      </c>
      <c r="BS40" s="101" t="s">
        <v>192</v>
      </c>
      <c r="BT40" s="107" t="s">
        <v>168</v>
      </c>
      <c r="BU40" s="107"/>
      <c r="BV40" s="101">
        <v>1</v>
      </c>
      <c r="BW40" s="102" t="s">
        <v>810</v>
      </c>
      <c r="BX40"/>
      <c r="BZ40" s="103">
        <f t="shared" si="9"/>
        <v>39</v>
      </c>
      <c r="CA40" s="4" t="s">
        <v>435</v>
      </c>
      <c r="CB40" s="102" t="s">
        <v>169</v>
      </c>
      <c r="CC40" s="101" t="s">
        <v>167</v>
      </c>
      <c r="CD40" s="107" t="s">
        <v>168</v>
      </c>
      <c r="CE40" s="107"/>
      <c r="CF40" s="101">
        <v>1</v>
      </c>
      <c r="CG40" s="102" t="s">
        <v>625</v>
      </c>
      <c r="CH40"/>
    </row>
    <row r="41" spans="1:86" ht="13.2">
      <c r="A41" s="125"/>
      <c r="B41" s="126">
        <f t="shared" ca="1" si="7"/>
        <v>37653</v>
      </c>
      <c r="C41" s="113">
        <v>5.4251298338240009E-2</v>
      </c>
      <c r="D41" s="128">
        <v>1.45</v>
      </c>
      <c r="E41" s="128">
        <v>1.45</v>
      </c>
      <c r="F41" s="128">
        <v>0.31</v>
      </c>
      <c r="G41" s="128">
        <v>0.3175</v>
      </c>
      <c r="H41" s="128">
        <v>0.32500000000000001</v>
      </c>
      <c r="I41" s="127">
        <v>4.5440000000000005</v>
      </c>
      <c r="J41" s="128">
        <v>4.5490000000000004</v>
      </c>
      <c r="K41" s="113">
        <v>4.5540000000000003</v>
      </c>
      <c r="L41" s="128">
        <v>1.54</v>
      </c>
      <c r="M41" s="113">
        <v>0.01</v>
      </c>
      <c r="O41" s="97"/>
      <c r="P41" s="127"/>
      <c r="Q41" s="127"/>
      <c r="R41" s="280">
        <f t="shared" ca="1" si="4"/>
        <v>37653</v>
      </c>
      <c r="S41" s="142">
        <f t="shared" si="5"/>
        <v>1.38</v>
      </c>
      <c r="T41" s="141">
        <f t="shared" si="8"/>
        <v>1.45</v>
      </c>
      <c r="U41" s="143">
        <f t="shared" si="6"/>
        <v>1.52</v>
      </c>
      <c r="BP41" s="103">
        <f t="shared" si="0"/>
        <v>40</v>
      </c>
      <c r="BQ41" s="155" t="s">
        <v>213</v>
      </c>
      <c r="BR41" s="102" t="s">
        <v>166</v>
      </c>
      <c r="BS41" s="101" t="s">
        <v>192</v>
      </c>
      <c r="BT41" s="107" t="s">
        <v>168</v>
      </c>
      <c r="BU41" s="107"/>
      <c r="BV41" s="101">
        <v>1</v>
      </c>
      <c r="BW41" s="102" t="s">
        <v>811</v>
      </c>
      <c r="BX41"/>
      <c r="BZ41" s="103">
        <f t="shared" si="9"/>
        <v>40</v>
      </c>
      <c r="CA41" s="4" t="s">
        <v>436</v>
      </c>
      <c r="CB41" s="102" t="s">
        <v>169</v>
      </c>
      <c r="CC41" s="101" t="s">
        <v>167</v>
      </c>
      <c r="CD41" s="107" t="s">
        <v>168</v>
      </c>
      <c r="CE41" s="107"/>
      <c r="CF41" s="101">
        <v>1</v>
      </c>
      <c r="CG41" s="102" t="s">
        <v>626</v>
      </c>
      <c r="CH41"/>
    </row>
    <row r="42" spans="1:86" ht="13.2">
      <c r="A42" s="125"/>
      <c r="B42" s="126">
        <f t="shared" ca="1" si="7"/>
        <v>37681</v>
      </c>
      <c r="C42" s="113">
        <v>5.435317864215701E-2</v>
      </c>
      <c r="D42" s="128">
        <v>1</v>
      </c>
      <c r="E42" s="128">
        <v>1</v>
      </c>
      <c r="F42" s="128">
        <v>0.30249999999999999</v>
      </c>
      <c r="G42" s="128">
        <v>0.31</v>
      </c>
      <c r="H42" s="128">
        <v>0.3175</v>
      </c>
      <c r="I42" s="127">
        <v>4.2940000000000005</v>
      </c>
      <c r="J42" s="128">
        <v>4.2990000000000004</v>
      </c>
      <c r="K42" s="113">
        <v>4.3040000000000003</v>
      </c>
      <c r="L42" s="128">
        <v>0.92</v>
      </c>
      <c r="M42" s="113">
        <v>0.01</v>
      </c>
      <c r="O42" s="97"/>
      <c r="P42" s="127"/>
      <c r="Q42" s="127"/>
      <c r="R42" s="280">
        <f t="shared" ca="1" si="4"/>
        <v>37681</v>
      </c>
      <c r="S42" s="142">
        <f t="shared" si="5"/>
        <v>0.92999999999999994</v>
      </c>
      <c r="T42" s="141">
        <f t="shared" si="8"/>
        <v>1</v>
      </c>
      <c r="U42" s="143">
        <f t="shared" si="6"/>
        <v>1.07</v>
      </c>
      <c r="BP42" s="103">
        <f t="shared" si="0"/>
        <v>41</v>
      </c>
      <c r="BQ42" s="155" t="s">
        <v>214</v>
      </c>
      <c r="BR42" s="102" t="s">
        <v>166</v>
      </c>
      <c r="BS42" s="101" t="s">
        <v>192</v>
      </c>
      <c r="BT42" s="107" t="s">
        <v>168</v>
      </c>
      <c r="BU42" s="107"/>
      <c r="BV42" s="101">
        <v>1</v>
      </c>
      <c r="BW42" s="102" t="s">
        <v>812</v>
      </c>
      <c r="BX42"/>
      <c r="BZ42" s="103">
        <f t="shared" si="9"/>
        <v>41</v>
      </c>
      <c r="CA42" s="4" t="s">
        <v>437</v>
      </c>
      <c r="CB42" s="102" t="s">
        <v>169</v>
      </c>
      <c r="CC42" s="101" t="s">
        <v>167</v>
      </c>
      <c r="CD42" s="107" t="s">
        <v>168</v>
      </c>
      <c r="CE42" s="107"/>
      <c r="CF42" s="101">
        <v>1</v>
      </c>
      <c r="CG42" s="102" t="s">
        <v>627</v>
      </c>
      <c r="CH42"/>
    </row>
    <row r="43" spans="1:86" ht="13.2">
      <c r="A43" s="125"/>
      <c r="B43" s="126">
        <f t="shared" ca="1" si="7"/>
        <v>37712</v>
      </c>
      <c r="C43" s="113">
        <v>5.4454190075276021E-2</v>
      </c>
      <c r="D43" s="128">
        <v>0.45</v>
      </c>
      <c r="E43" s="128">
        <v>0.45</v>
      </c>
      <c r="F43" s="128">
        <v>0.29249999999999998</v>
      </c>
      <c r="G43" s="128">
        <v>0.3</v>
      </c>
      <c r="H43" s="128">
        <v>0.3075</v>
      </c>
      <c r="I43" s="127">
        <v>3.9910000000000001</v>
      </c>
      <c r="J43" s="128">
        <v>3.9960000000000004</v>
      </c>
      <c r="K43" s="113">
        <v>4.0010000000000003</v>
      </c>
      <c r="L43" s="128">
        <v>0.5</v>
      </c>
      <c r="M43" s="113">
        <v>0.02</v>
      </c>
      <c r="O43" s="97"/>
      <c r="P43" s="127"/>
      <c r="Q43" s="127"/>
      <c r="R43" s="280">
        <f t="shared" ca="1" si="4"/>
        <v>37712</v>
      </c>
      <c r="S43" s="142">
        <f t="shared" si="5"/>
        <v>0.38</v>
      </c>
      <c r="T43" s="141">
        <f t="shared" si="8"/>
        <v>0.45</v>
      </c>
      <c r="U43" s="143">
        <f t="shared" si="6"/>
        <v>0.52</v>
      </c>
      <c r="BP43" s="103">
        <f t="shared" si="0"/>
        <v>42</v>
      </c>
      <c r="BQ43" s="155" t="s">
        <v>215</v>
      </c>
      <c r="BR43" s="102" t="s">
        <v>166</v>
      </c>
      <c r="BS43" s="101" t="s">
        <v>192</v>
      </c>
      <c r="BT43" s="107" t="s">
        <v>168</v>
      </c>
      <c r="BU43" s="107"/>
      <c r="BV43" s="101">
        <v>1</v>
      </c>
      <c r="BW43" s="102" t="s">
        <v>813</v>
      </c>
      <c r="BX43"/>
      <c r="BZ43" s="103">
        <f t="shared" si="9"/>
        <v>42</v>
      </c>
      <c r="CA43" s="4" t="s">
        <v>438</v>
      </c>
      <c r="CB43" s="102" t="s">
        <v>169</v>
      </c>
      <c r="CC43" s="101" t="s">
        <v>167</v>
      </c>
      <c r="CD43" s="107" t="s">
        <v>168</v>
      </c>
      <c r="CE43" s="107"/>
      <c r="CF43" s="101">
        <v>1</v>
      </c>
      <c r="CG43" s="102" t="s">
        <v>628</v>
      </c>
      <c r="CH43"/>
    </row>
    <row r="44" spans="1:86" ht="13.2">
      <c r="A44" s="125"/>
      <c r="B44" s="126">
        <f t="shared" ca="1" si="7"/>
        <v>37742</v>
      </c>
      <c r="C44" s="113">
        <v>5.4536343531129017E-2</v>
      </c>
      <c r="D44" s="128">
        <v>0.5</v>
      </c>
      <c r="E44" s="128">
        <v>0.5</v>
      </c>
      <c r="F44" s="128">
        <v>0.28749999999999998</v>
      </c>
      <c r="G44" s="128">
        <v>0.29499999999999998</v>
      </c>
      <c r="H44" s="128">
        <v>0.30249999999999999</v>
      </c>
      <c r="I44" s="127">
        <v>3.9160000000000004</v>
      </c>
      <c r="J44" s="128">
        <v>3.9210000000000003</v>
      </c>
      <c r="K44" s="113">
        <v>3.9260000000000002</v>
      </c>
      <c r="L44" s="128">
        <v>0.44</v>
      </c>
      <c r="M44" s="113">
        <v>0.02</v>
      </c>
      <c r="O44" s="97"/>
      <c r="P44" s="127"/>
      <c r="Q44" s="127"/>
      <c r="R44" s="280">
        <f t="shared" ca="1" si="4"/>
        <v>37742</v>
      </c>
      <c r="S44" s="142">
        <f t="shared" si="5"/>
        <v>0.43</v>
      </c>
      <c r="T44" s="141">
        <f t="shared" si="8"/>
        <v>0.5</v>
      </c>
      <c r="U44" s="143">
        <f t="shared" si="6"/>
        <v>0.57000000000000006</v>
      </c>
      <c r="BP44" s="103">
        <f t="shared" si="0"/>
        <v>43</v>
      </c>
      <c r="BQ44" s="155" t="s">
        <v>216</v>
      </c>
      <c r="BR44" s="102" t="s">
        <v>166</v>
      </c>
      <c r="BS44" s="101" t="s">
        <v>192</v>
      </c>
      <c r="BT44" s="107" t="s">
        <v>168</v>
      </c>
      <c r="BU44" s="107"/>
      <c r="BV44" s="101">
        <v>1</v>
      </c>
      <c r="BW44" s="102" t="s">
        <v>814</v>
      </c>
      <c r="BX44"/>
      <c r="BZ44" s="103">
        <f t="shared" si="9"/>
        <v>43</v>
      </c>
      <c r="CA44" s="4" t="s">
        <v>439</v>
      </c>
      <c r="CB44" s="102" t="s">
        <v>169</v>
      </c>
      <c r="CC44" s="101" t="s">
        <v>167</v>
      </c>
      <c r="CD44" s="107" t="s">
        <v>168</v>
      </c>
      <c r="CE44" s="107"/>
      <c r="CF44" s="101">
        <v>1</v>
      </c>
      <c r="CG44" s="102" t="s">
        <v>629</v>
      </c>
      <c r="CH44"/>
    </row>
    <row r="45" spans="1:86" ht="13.2">
      <c r="A45" s="125"/>
      <c r="B45" s="126">
        <f t="shared" ca="1" si="7"/>
        <v>37773</v>
      </c>
      <c r="C45" s="113">
        <v>5.4621235437872014E-2</v>
      </c>
      <c r="D45" s="128">
        <v>0.5</v>
      </c>
      <c r="E45" s="128">
        <v>0.5</v>
      </c>
      <c r="F45" s="128">
        <v>0.28749999999999998</v>
      </c>
      <c r="G45" s="128">
        <v>0.29499999999999998</v>
      </c>
      <c r="H45" s="128">
        <v>0.30249999999999999</v>
      </c>
      <c r="I45" s="127">
        <v>3.92</v>
      </c>
      <c r="J45" s="128">
        <v>3.9249999999999998</v>
      </c>
      <c r="K45" s="113">
        <v>3.93</v>
      </c>
      <c r="L45" s="128">
        <v>0.44</v>
      </c>
      <c r="M45" s="113">
        <v>0.02</v>
      </c>
      <c r="O45" s="97"/>
      <c r="P45" s="127"/>
      <c r="Q45" s="127"/>
      <c r="R45" s="280">
        <f t="shared" ca="1" si="4"/>
        <v>37773</v>
      </c>
      <c r="S45" s="142">
        <f t="shared" si="5"/>
        <v>0.43</v>
      </c>
      <c r="T45" s="141">
        <f t="shared" si="8"/>
        <v>0.5</v>
      </c>
      <c r="U45" s="143">
        <f t="shared" si="6"/>
        <v>0.57000000000000006</v>
      </c>
      <c r="BP45" s="103">
        <f t="shared" si="0"/>
        <v>44</v>
      </c>
      <c r="BQ45" s="155" t="s">
        <v>217</v>
      </c>
      <c r="BR45" s="102" t="s">
        <v>166</v>
      </c>
      <c r="BS45" s="101" t="s">
        <v>167</v>
      </c>
      <c r="BT45" s="107" t="s">
        <v>168</v>
      </c>
      <c r="BU45" s="107"/>
      <c r="BV45" s="101">
        <v>1</v>
      </c>
      <c r="BW45" s="102" t="s">
        <v>815</v>
      </c>
      <c r="BX45"/>
      <c r="BZ45" s="103">
        <f t="shared" si="9"/>
        <v>44</v>
      </c>
      <c r="CA45" s="4" t="s">
        <v>440</v>
      </c>
      <c r="CB45" s="102" t="s">
        <v>169</v>
      </c>
      <c r="CC45" s="101" t="s">
        <v>167</v>
      </c>
      <c r="CD45" s="107" t="s">
        <v>168</v>
      </c>
      <c r="CE45" s="107"/>
      <c r="CF45" s="101">
        <v>1</v>
      </c>
      <c r="CG45" s="102" t="s">
        <v>630</v>
      </c>
      <c r="CH45"/>
    </row>
    <row r="46" spans="1:86" ht="13.2">
      <c r="A46" s="125"/>
      <c r="B46" s="126">
        <f t="shared" ca="1" si="7"/>
        <v>37803</v>
      </c>
      <c r="C46" s="113">
        <v>5.470319453314601E-2</v>
      </c>
      <c r="D46" s="128">
        <v>0.5</v>
      </c>
      <c r="E46" s="128">
        <v>0.5</v>
      </c>
      <c r="F46" s="128">
        <v>0.28749999999999998</v>
      </c>
      <c r="G46" s="128">
        <v>0.29499999999999998</v>
      </c>
      <c r="H46" s="128">
        <v>0.30249999999999999</v>
      </c>
      <c r="I46" s="127">
        <v>3.9350000000000001</v>
      </c>
      <c r="J46" s="128">
        <v>3.94</v>
      </c>
      <c r="K46" s="113">
        <v>3.9449999999999998</v>
      </c>
      <c r="L46" s="128">
        <v>0.5</v>
      </c>
      <c r="M46" s="113">
        <v>0.02</v>
      </c>
      <c r="O46" s="97"/>
      <c r="P46" s="127"/>
      <c r="Q46" s="127"/>
      <c r="R46" s="280">
        <f t="shared" ca="1" si="4"/>
        <v>37803</v>
      </c>
      <c r="S46" s="142">
        <f t="shared" si="5"/>
        <v>0.43</v>
      </c>
      <c r="T46" s="141">
        <f t="shared" si="8"/>
        <v>0.5</v>
      </c>
      <c r="U46" s="143">
        <f t="shared" si="6"/>
        <v>0.57000000000000006</v>
      </c>
      <c r="BP46" s="103">
        <f t="shared" si="0"/>
        <v>45</v>
      </c>
      <c r="BQ46" s="155" t="s">
        <v>217</v>
      </c>
      <c r="BR46" s="102" t="s">
        <v>166</v>
      </c>
      <c r="BS46" s="101" t="s">
        <v>192</v>
      </c>
      <c r="BT46" s="107" t="s">
        <v>168</v>
      </c>
      <c r="BU46" s="107"/>
      <c r="BV46" s="101">
        <v>1</v>
      </c>
      <c r="BW46" s="102" t="s">
        <v>816</v>
      </c>
      <c r="BX46"/>
      <c r="BZ46" s="103">
        <f t="shared" si="9"/>
        <v>45</v>
      </c>
      <c r="CA46" s="4" t="s">
        <v>441</v>
      </c>
      <c r="CB46" s="102" t="s">
        <v>169</v>
      </c>
      <c r="CC46" s="101" t="s">
        <v>167</v>
      </c>
      <c r="CD46" s="107" t="s">
        <v>168</v>
      </c>
      <c r="CE46" s="107"/>
      <c r="CF46" s="101">
        <v>1</v>
      </c>
      <c r="CG46" s="102" t="s">
        <v>631</v>
      </c>
      <c r="CH46"/>
    </row>
    <row r="47" spans="1:86" ht="13.2">
      <c r="A47" s="125"/>
      <c r="B47" s="126">
        <f t="shared" ca="1" si="7"/>
        <v>37834</v>
      </c>
      <c r="C47" s="113">
        <v>5.4787606551798998E-2</v>
      </c>
      <c r="D47" s="128">
        <v>0.6</v>
      </c>
      <c r="E47" s="128">
        <v>0.6</v>
      </c>
      <c r="F47" s="128">
        <v>0.28749999999999998</v>
      </c>
      <c r="G47" s="128">
        <v>0.29499999999999998</v>
      </c>
      <c r="H47" s="128">
        <v>0.30249999999999999</v>
      </c>
      <c r="I47" s="127">
        <v>3.9350000000000001</v>
      </c>
      <c r="J47" s="128">
        <v>3.94</v>
      </c>
      <c r="K47" s="113">
        <v>3.9449999999999998</v>
      </c>
      <c r="L47" s="128">
        <v>0.5</v>
      </c>
      <c r="M47" s="113">
        <v>0.02</v>
      </c>
      <c r="O47" s="97"/>
      <c r="P47" s="127"/>
      <c r="Q47" s="127"/>
      <c r="R47" s="280">
        <f t="shared" ca="1" si="4"/>
        <v>37834</v>
      </c>
      <c r="S47" s="142">
        <f t="shared" si="5"/>
        <v>0.53</v>
      </c>
      <c r="T47" s="141">
        <f t="shared" si="8"/>
        <v>0.6</v>
      </c>
      <c r="U47" s="143">
        <f t="shared" si="6"/>
        <v>0.66999999999999993</v>
      </c>
      <c r="BP47" s="103">
        <f t="shared" si="0"/>
        <v>46</v>
      </c>
      <c r="BQ47" s="155" t="s">
        <v>218</v>
      </c>
      <c r="BR47" s="102" t="s">
        <v>166</v>
      </c>
      <c r="BS47" s="101" t="s">
        <v>192</v>
      </c>
      <c r="BT47" s="107" t="s">
        <v>168</v>
      </c>
      <c r="BU47" s="107"/>
      <c r="BV47" s="101">
        <v>1</v>
      </c>
      <c r="BW47" s="102" t="s">
        <v>817</v>
      </c>
      <c r="BX47"/>
      <c r="BZ47" s="103">
        <f t="shared" si="9"/>
        <v>46</v>
      </c>
      <c r="CA47" s="4" t="s">
        <v>442</v>
      </c>
      <c r="CB47" s="102" t="s">
        <v>169</v>
      </c>
      <c r="CC47" s="101" t="s">
        <v>167</v>
      </c>
      <c r="CD47" s="107" t="s">
        <v>168</v>
      </c>
      <c r="CE47" s="107"/>
      <c r="CF47" s="101">
        <v>1</v>
      </c>
      <c r="CG47" s="102" t="s">
        <v>632</v>
      </c>
      <c r="CH47"/>
    </row>
    <row r="48" spans="1:86" ht="13.2">
      <c r="A48" s="125"/>
      <c r="B48" s="126">
        <f t="shared" ca="1" si="7"/>
        <v>37865</v>
      </c>
      <c r="C48" s="113">
        <v>5.4872018572825011E-2</v>
      </c>
      <c r="D48" s="128">
        <v>0.6</v>
      </c>
      <c r="E48" s="128">
        <v>0.6</v>
      </c>
      <c r="F48" s="128">
        <v>0.28749999999999998</v>
      </c>
      <c r="G48" s="128">
        <v>0.29499999999999998</v>
      </c>
      <c r="H48" s="128">
        <v>0.30249999999999999</v>
      </c>
      <c r="I48" s="127">
        <v>3.9560000000000004</v>
      </c>
      <c r="J48" s="128">
        <v>3.9610000000000003</v>
      </c>
      <c r="K48" s="113">
        <v>3.9660000000000002</v>
      </c>
      <c r="L48" s="128">
        <v>0.46</v>
      </c>
      <c r="M48" s="113">
        <v>0.02</v>
      </c>
      <c r="O48" s="97"/>
      <c r="P48" s="127"/>
      <c r="Q48" s="127"/>
      <c r="R48" s="280">
        <f t="shared" ca="1" si="4"/>
        <v>37865</v>
      </c>
      <c r="S48" s="142">
        <f t="shared" si="5"/>
        <v>0.53</v>
      </c>
      <c r="T48" s="141">
        <f t="shared" si="8"/>
        <v>0.6</v>
      </c>
      <c r="U48" s="143">
        <f t="shared" si="6"/>
        <v>0.66999999999999993</v>
      </c>
      <c r="BP48" s="103">
        <f t="shared" si="0"/>
        <v>47</v>
      </c>
      <c r="BQ48" s="155" t="s">
        <v>219</v>
      </c>
      <c r="BR48" s="102" t="s">
        <v>166</v>
      </c>
      <c r="BS48" s="101" t="s">
        <v>192</v>
      </c>
      <c r="BT48" s="107" t="s">
        <v>168</v>
      </c>
      <c r="BU48" s="107"/>
      <c r="BV48" s="101">
        <v>1</v>
      </c>
      <c r="BW48" s="102" t="s">
        <v>818</v>
      </c>
      <c r="BX48"/>
      <c r="BZ48" s="103">
        <f t="shared" si="9"/>
        <v>47</v>
      </c>
      <c r="CA48" s="4" t="s">
        <v>443</v>
      </c>
      <c r="CB48" s="102" t="s">
        <v>169</v>
      </c>
      <c r="CC48" s="101" t="s">
        <v>167</v>
      </c>
      <c r="CD48" s="107" t="s">
        <v>168</v>
      </c>
      <c r="CE48" s="107"/>
      <c r="CF48" s="101">
        <v>1</v>
      </c>
      <c r="CG48" s="102" t="s">
        <v>633</v>
      </c>
      <c r="CH48"/>
    </row>
    <row r="49" spans="1:86" ht="13.2">
      <c r="A49" s="125"/>
      <c r="B49" s="126">
        <f t="shared" ca="1" si="7"/>
        <v>37895</v>
      </c>
      <c r="C49" s="113">
        <v>5.4953513215957005E-2</v>
      </c>
      <c r="D49" s="128">
        <v>0.65</v>
      </c>
      <c r="E49" s="128">
        <v>0.65</v>
      </c>
      <c r="F49" s="128">
        <v>0.28749999999999998</v>
      </c>
      <c r="G49" s="128">
        <v>0.29499999999999998</v>
      </c>
      <c r="H49" s="128">
        <v>0.30249999999999999</v>
      </c>
      <c r="I49" s="127">
        <v>3.9810000000000003</v>
      </c>
      <c r="J49" s="128">
        <v>3.9860000000000002</v>
      </c>
      <c r="K49" s="113">
        <v>3.9910000000000001</v>
      </c>
      <c r="L49" s="128">
        <v>0.47</v>
      </c>
      <c r="M49" s="113">
        <v>0.02</v>
      </c>
      <c r="O49" s="97"/>
      <c r="P49" s="127"/>
      <c r="Q49" s="127"/>
      <c r="R49" s="280">
        <f t="shared" ca="1" si="4"/>
        <v>37895</v>
      </c>
      <c r="S49" s="142">
        <f t="shared" si="5"/>
        <v>0.58000000000000007</v>
      </c>
      <c r="T49" s="141">
        <f t="shared" si="8"/>
        <v>0.65</v>
      </c>
      <c r="U49" s="143">
        <f t="shared" si="6"/>
        <v>0.72</v>
      </c>
      <c r="BP49" s="103">
        <f t="shared" si="0"/>
        <v>48</v>
      </c>
      <c r="BQ49" s="155" t="s">
        <v>220</v>
      </c>
      <c r="BR49" s="102" t="s">
        <v>166</v>
      </c>
      <c r="BS49" s="101" t="s">
        <v>192</v>
      </c>
      <c r="BT49" s="107" t="s">
        <v>168</v>
      </c>
      <c r="BU49" s="107"/>
      <c r="BV49" s="101">
        <v>1</v>
      </c>
      <c r="BW49" s="102" t="s">
        <v>819</v>
      </c>
      <c r="BX49"/>
      <c r="BZ49" s="103">
        <f t="shared" si="9"/>
        <v>48</v>
      </c>
      <c r="CA49" s="4" t="s">
        <v>444</v>
      </c>
      <c r="CB49" s="102" t="s">
        <v>169</v>
      </c>
      <c r="CC49" s="101" t="s">
        <v>167</v>
      </c>
      <c r="CD49" s="107" t="s">
        <v>168</v>
      </c>
      <c r="CE49" s="107"/>
      <c r="CF49" s="101">
        <v>1</v>
      </c>
      <c r="CG49" s="102" t="s">
        <v>634</v>
      </c>
      <c r="CH49"/>
    </row>
    <row r="50" spans="1:86" ht="13.2">
      <c r="A50" s="125"/>
      <c r="B50" s="126">
        <f t="shared" ca="1" si="7"/>
        <v>37926</v>
      </c>
      <c r="C50" s="113">
        <v>5.5037480368084014E-2</v>
      </c>
      <c r="D50" s="128">
        <v>0.95</v>
      </c>
      <c r="E50" s="128">
        <v>0.95</v>
      </c>
      <c r="F50" s="128">
        <v>0.28749999999999998</v>
      </c>
      <c r="G50" s="128">
        <v>0.29499999999999998</v>
      </c>
      <c r="H50" s="128">
        <v>0.30249999999999999</v>
      </c>
      <c r="I50" s="127">
        <v>4.1160000000000005</v>
      </c>
      <c r="J50" s="128">
        <v>4.1210000000000004</v>
      </c>
      <c r="K50" s="113">
        <v>4.1260000000000003</v>
      </c>
      <c r="L50" s="128">
        <v>0.85</v>
      </c>
      <c r="M50" s="113">
        <v>0.03</v>
      </c>
      <c r="O50" s="97"/>
      <c r="P50" s="127"/>
      <c r="Q50" s="127"/>
      <c r="R50" s="280">
        <f t="shared" ca="1" si="4"/>
        <v>37926</v>
      </c>
      <c r="S50" s="142">
        <f t="shared" si="5"/>
        <v>0.87999999999999989</v>
      </c>
      <c r="T50" s="141">
        <f t="shared" si="8"/>
        <v>0.95</v>
      </c>
      <c r="U50" s="143">
        <f t="shared" si="6"/>
        <v>1.02</v>
      </c>
      <c r="BP50" s="103">
        <f t="shared" si="0"/>
        <v>49</v>
      </c>
      <c r="BQ50" s="155" t="s">
        <v>221</v>
      </c>
      <c r="BR50" s="102" t="s">
        <v>166</v>
      </c>
      <c r="BS50" s="101" t="s">
        <v>167</v>
      </c>
      <c r="BT50" s="107" t="s">
        <v>168</v>
      </c>
      <c r="BU50" s="107"/>
      <c r="BV50" s="101">
        <v>1</v>
      </c>
      <c r="BW50" s="102" t="s">
        <v>820</v>
      </c>
      <c r="BX50"/>
      <c r="BZ50" s="103">
        <f t="shared" si="9"/>
        <v>49</v>
      </c>
      <c r="CA50" s="4" t="s">
        <v>445</v>
      </c>
      <c r="CB50" s="102" t="s">
        <v>169</v>
      </c>
      <c r="CC50" s="101" t="s">
        <v>167</v>
      </c>
      <c r="CD50" s="107" t="s">
        <v>168</v>
      </c>
      <c r="CE50" s="107"/>
      <c r="CF50" s="101">
        <v>1</v>
      </c>
      <c r="CG50" s="102" t="s">
        <v>635</v>
      </c>
      <c r="CH50"/>
    </row>
    <row r="51" spans="1:86" ht="13.2">
      <c r="A51" s="125"/>
      <c r="B51" s="126">
        <f t="shared" ca="1" si="7"/>
        <v>37956</v>
      </c>
      <c r="C51" s="113">
        <v>5.5118738904638011E-2</v>
      </c>
      <c r="D51" s="128">
        <v>1.25</v>
      </c>
      <c r="E51" s="128">
        <v>1.25</v>
      </c>
      <c r="F51" s="128">
        <v>0.28999999999999998</v>
      </c>
      <c r="G51" s="128">
        <v>0.29749999999999999</v>
      </c>
      <c r="H51" s="128">
        <v>0.30499999999999999</v>
      </c>
      <c r="I51" s="127">
        <v>4.2410000000000005</v>
      </c>
      <c r="J51" s="128">
        <v>4.2460000000000004</v>
      </c>
      <c r="K51" s="113">
        <v>4.2510000000000003</v>
      </c>
      <c r="L51" s="128">
        <v>1.26</v>
      </c>
      <c r="M51" s="113">
        <v>0.03</v>
      </c>
      <c r="O51" s="97"/>
      <c r="P51" s="127"/>
      <c r="Q51" s="127"/>
      <c r="R51" s="280">
        <f t="shared" ca="1" si="4"/>
        <v>37956</v>
      </c>
      <c r="S51" s="142">
        <f t="shared" si="5"/>
        <v>1.18</v>
      </c>
      <c r="T51" s="141">
        <f t="shared" si="8"/>
        <v>1.25</v>
      </c>
      <c r="U51" s="143">
        <f t="shared" si="6"/>
        <v>1.32</v>
      </c>
      <c r="BP51" s="103">
        <f t="shared" si="0"/>
        <v>50</v>
      </c>
      <c r="BQ51" s="155" t="s">
        <v>222</v>
      </c>
      <c r="BR51" s="102" t="s">
        <v>166</v>
      </c>
      <c r="BS51" s="101" t="s">
        <v>192</v>
      </c>
      <c r="BT51" s="107" t="s">
        <v>168</v>
      </c>
      <c r="BU51" s="107"/>
      <c r="BV51" s="101">
        <v>1</v>
      </c>
      <c r="BW51" s="102" t="s">
        <v>821</v>
      </c>
      <c r="BX51"/>
      <c r="BZ51" s="103">
        <f t="shared" si="9"/>
        <v>50</v>
      </c>
      <c r="CA51" s="4" t="s">
        <v>446</v>
      </c>
      <c r="CB51" s="102" t="s">
        <v>169</v>
      </c>
      <c r="CC51" s="101" t="s">
        <v>167</v>
      </c>
      <c r="CD51" s="107" t="s">
        <v>168</v>
      </c>
      <c r="CE51" s="107"/>
      <c r="CF51" s="101">
        <v>1</v>
      </c>
      <c r="CG51" s="102" t="s">
        <v>636</v>
      </c>
      <c r="CH51"/>
    </row>
    <row r="52" spans="1:86" ht="13.2">
      <c r="A52" s="125"/>
      <c r="B52" s="126">
        <f t="shared" ca="1" si="7"/>
        <v>37987</v>
      </c>
      <c r="C52" s="113">
        <v>5.5209084886415009E-2</v>
      </c>
      <c r="D52" s="128">
        <v>1.45</v>
      </c>
      <c r="E52" s="128">
        <v>1.45</v>
      </c>
      <c r="F52" s="128">
        <v>0.28999999999999998</v>
      </c>
      <c r="G52" s="128">
        <v>0.29749999999999999</v>
      </c>
      <c r="H52" s="128">
        <v>0.30499999999999999</v>
      </c>
      <c r="I52" s="127">
        <v>4.2699999999999996</v>
      </c>
      <c r="J52" s="128">
        <v>4.2750000000000004</v>
      </c>
      <c r="K52" s="113">
        <v>4.28</v>
      </c>
      <c r="L52" s="128">
        <v>1.58</v>
      </c>
      <c r="M52" s="113">
        <v>0.03</v>
      </c>
      <c r="O52" s="97"/>
      <c r="P52" s="127"/>
      <c r="Q52" s="127"/>
      <c r="R52" s="280">
        <f t="shared" ca="1" si="4"/>
        <v>37987</v>
      </c>
      <c r="S52" s="142">
        <f t="shared" si="5"/>
        <v>1.38</v>
      </c>
      <c r="T52" s="141">
        <f t="shared" si="8"/>
        <v>1.45</v>
      </c>
      <c r="U52" s="143">
        <f t="shared" si="6"/>
        <v>1.52</v>
      </c>
      <c r="BP52" s="103">
        <f t="shared" si="0"/>
        <v>51</v>
      </c>
      <c r="BQ52" s="155" t="s">
        <v>223</v>
      </c>
      <c r="BR52" s="102" t="s">
        <v>166</v>
      </c>
      <c r="BS52" s="101" t="s">
        <v>192</v>
      </c>
      <c r="BT52" s="107" t="s">
        <v>168</v>
      </c>
      <c r="BU52" s="107"/>
      <c r="BV52" s="101">
        <v>1</v>
      </c>
      <c r="BW52" s="102" t="s">
        <v>822</v>
      </c>
      <c r="BX52"/>
      <c r="BZ52" s="103">
        <f t="shared" si="9"/>
        <v>51</v>
      </c>
      <c r="CA52" s="4" t="s">
        <v>447</v>
      </c>
      <c r="CB52" s="102" t="s">
        <v>169</v>
      </c>
      <c r="CC52" s="101" t="s">
        <v>167</v>
      </c>
      <c r="CD52" s="107" t="s">
        <v>168</v>
      </c>
      <c r="CE52" s="107"/>
      <c r="CF52" s="101">
        <v>1</v>
      </c>
      <c r="CG52" s="102" t="s">
        <v>637</v>
      </c>
      <c r="CH52"/>
    </row>
    <row r="53" spans="1:86" ht="13.2">
      <c r="A53" s="125"/>
      <c r="B53" s="126">
        <f t="shared" ca="1" si="7"/>
        <v>38018</v>
      </c>
      <c r="C53" s="113">
        <v>5.5306234951161014E-2</v>
      </c>
      <c r="D53" s="128">
        <v>1.45</v>
      </c>
      <c r="E53" s="128">
        <v>1.45</v>
      </c>
      <c r="F53" s="128">
        <v>0.28749999999999998</v>
      </c>
      <c r="G53" s="128">
        <v>0.29499999999999998</v>
      </c>
      <c r="H53" s="128">
        <v>0.30249999999999999</v>
      </c>
      <c r="I53" s="127">
        <v>4.1740000000000004</v>
      </c>
      <c r="J53" s="128">
        <v>4.1790000000000003</v>
      </c>
      <c r="K53" s="113">
        <v>4.1840000000000002</v>
      </c>
      <c r="L53" s="128">
        <v>1.54</v>
      </c>
      <c r="M53" s="113">
        <v>0.03</v>
      </c>
      <c r="O53" s="97"/>
      <c r="P53" s="127"/>
      <c r="Q53" s="127"/>
      <c r="R53" s="280">
        <f t="shared" ca="1" si="4"/>
        <v>38018</v>
      </c>
      <c r="S53" s="142">
        <f t="shared" si="5"/>
        <v>1.38</v>
      </c>
      <c r="T53" s="141">
        <f t="shared" si="8"/>
        <v>1.45</v>
      </c>
      <c r="U53" s="143">
        <f t="shared" si="6"/>
        <v>1.52</v>
      </c>
      <c r="BP53" s="103">
        <f t="shared" si="0"/>
        <v>52</v>
      </c>
      <c r="BQ53" s="155" t="s">
        <v>224</v>
      </c>
      <c r="BR53" s="102" t="s">
        <v>166</v>
      </c>
      <c r="BS53" s="101" t="s">
        <v>192</v>
      </c>
      <c r="BT53" s="107" t="s">
        <v>168</v>
      </c>
      <c r="BU53" s="107"/>
      <c r="BV53" s="101">
        <v>1</v>
      </c>
      <c r="BW53" s="102" t="s">
        <v>823</v>
      </c>
      <c r="BX53"/>
      <c r="BZ53" s="103">
        <f t="shared" si="9"/>
        <v>52</v>
      </c>
      <c r="CA53" s="4" t="s">
        <v>448</v>
      </c>
      <c r="CB53" s="102" t="s">
        <v>169</v>
      </c>
      <c r="CC53" s="101" t="s">
        <v>167</v>
      </c>
      <c r="CD53" s="107" t="s">
        <v>168</v>
      </c>
      <c r="CE53" s="107"/>
      <c r="CF53" s="101">
        <v>1</v>
      </c>
      <c r="CG53" s="102" t="s">
        <v>638</v>
      </c>
      <c r="CH53"/>
    </row>
    <row r="54" spans="1:86" ht="13.2">
      <c r="A54" s="125"/>
      <c r="B54" s="126">
        <f t="shared" ca="1" si="7"/>
        <v>38047</v>
      </c>
      <c r="C54" s="113">
        <v>5.539711727264001E-2</v>
      </c>
      <c r="D54" s="128">
        <v>1</v>
      </c>
      <c r="E54" s="128">
        <v>1</v>
      </c>
      <c r="F54" s="128">
        <v>0.28499999999999998</v>
      </c>
      <c r="G54" s="128">
        <v>0.29249999999999998</v>
      </c>
      <c r="H54" s="128">
        <v>0.3</v>
      </c>
      <c r="I54" s="127">
        <v>4.024</v>
      </c>
      <c r="J54" s="128">
        <v>4.0290000000000008</v>
      </c>
      <c r="K54" s="113">
        <v>4.0340000000000007</v>
      </c>
      <c r="L54" s="128">
        <v>0.92</v>
      </c>
      <c r="M54" s="113">
        <v>0.03</v>
      </c>
      <c r="O54" s="97"/>
      <c r="P54" s="127"/>
      <c r="Q54" s="127"/>
      <c r="R54" s="280">
        <f t="shared" ca="1" si="4"/>
        <v>38047</v>
      </c>
      <c r="S54" s="142">
        <f t="shared" si="5"/>
        <v>0.92999999999999994</v>
      </c>
      <c r="T54" s="141">
        <f t="shared" si="8"/>
        <v>1</v>
      </c>
      <c r="U54" s="143">
        <f t="shared" si="6"/>
        <v>1.07</v>
      </c>
      <c r="BP54" s="103">
        <f t="shared" si="0"/>
        <v>53</v>
      </c>
      <c r="BQ54" s="155" t="s">
        <v>225</v>
      </c>
      <c r="BR54" s="102" t="s">
        <v>166</v>
      </c>
      <c r="BS54" s="101" t="s">
        <v>192</v>
      </c>
      <c r="BT54" s="107" t="s">
        <v>168</v>
      </c>
      <c r="BU54" s="107"/>
      <c r="BV54" s="101">
        <v>1</v>
      </c>
      <c r="BW54" s="102" t="s">
        <v>824</v>
      </c>
      <c r="BX54"/>
      <c r="BZ54" s="103">
        <f t="shared" si="9"/>
        <v>53</v>
      </c>
      <c r="CA54" s="4" t="s">
        <v>449</v>
      </c>
      <c r="CB54" s="102" t="s">
        <v>169</v>
      </c>
      <c r="CC54" s="101" t="s">
        <v>167</v>
      </c>
      <c r="CD54" s="107" t="s">
        <v>168</v>
      </c>
      <c r="CE54" s="107"/>
      <c r="CF54" s="101">
        <v>1</v>
      </c>
      <c r="CG54" s="102" t="s">
        <v>639</v>
      </c>
      <c r="CH54"/>
    </row>
    <row r="55" spans="1:86" ht="13.2">
      <c r="A55" s="125"/>
      <c r="B55" s="126">
        <f t="shared" ca="1" si="7"/>
        <v>38078</v>
      </c>
      <c r="C55" s="113">
        <v>5.5483670787007007E-2</v>
      </c>
      <c r="D55" s="128">
        <v>0.45</v>
      </c>
      <c r="E55" s="128">
        <v>0.45</v>
      </c>
      <c r="F55" s="128">
        <v>0.27500000000000002</v>
      </c>
      <c r="G55" s="128">
        <v>0.28249999999999997</v>
      </c>
      <c r="H55" s="128">
        <v>0.28999999999999998</v>
      </c>
      <c r="I55" s="127">
        <v>3.8410000000000002</v>
      </c>
      <c r="J55" s="128">
        <v>3.8460000000000005</v>
      </c>
      <c r="K55" s="113">
        <v>3.8510000000000004</v>
      </c>
      <c r="L55" s="128">
        <v>0.5</v>
      </c>
      <c r="M55" s="113">
        <v>0.05</v>
      </c>
      <c r="O55" s="97"/>
      <c r="P55" s="127"/>
      <c r="Q55" s="127"/>
      <c r="R55" s="280">
        <f t="shared" ca="1" si="4"/>
        <v>38078</v>
      </c>
      <c r="S55" s="142">
        <f t="shared" si="5"/>
        <v>0.38</v>
      </c>
      <c r="T55" s="141">
        <f t="shared" si="8"/>
        <v>0.45</v>
      </c>
      <c r="U55" s="143">
        <f t="shared" si="6"/>
        <v>0.52</v>
      </c>
      <c r="BP55" s="103">
        <f t="shared" si="0"/>
        <v>54</v>
      </c>
      <c r="BQ55" s="155" t="s">
        <v>226</v>
      </c>
      <c r="BR55" s="102" t="s">
        <v>166</v>
      </c>
      <c r="BS55" s="101" t="s">
        <v>192</v>
      </c>
      <c r="BT55" s="107" t="s">
        <v>168</v>
      </c>
      <c r="BU55" s="107"/>
      <c r="BV55" s="101">
        <v>1</v>
      </c>
      <c r="BW55" s="102" t="s">
        <v>825</v>
      </c>
      <c r="BX55"/>
      <c r="BZ55" s="103">
        <f t="shared" si="9"/>
        <v>54</v>
      </c>
      <c r="CA55" s="4" t="s">
        <v>450</v>
      </c>
      <c r="CB55" s="102" t="s">
        <v>169</v>
      </c>
      <c r="CC55" s="101" t="s">
        <v>167</v>
      </c>
      <c r="CD55" s="107" t="s">
        <v>168</v>
      </c>
      <c r="CE55" s="107"/>
      <c r="CF55" s="101">
        <v>1</v>
      </c>
      <c r="CG55" s="102" t="s">
        <v>640</v>
      </c>
      <c r="CH55"/>
    </row>
    <row r="56" spans="1:86" ht="13.2">
      <c r="A56" s="125"/>
      <c r="B56" s="126">
        <f t="shared" ca="1" si="7"/>
        <v>38108</v>
      </c>
      <c r="C56" s="113">
        <v>5.5556493873767016E-2</v>
      </c>
      <c r="D56" s="128">
        <v>0.5</v>
      </c>
      <c r="E56" s="128">
        <v>0.5</v>
      </c>
      <c r="F56" s="128">
        <v>0.27500000000000002</v>
      </c>
      <c r="G56" s="128">
        <v>0.28249999999999997</v>
      </c>
      <c r="H56" s="128">
        <v>0.28999999999999998</v>
      </c>
      <c r="I56" s="127">
        <v>3.8160000000000003</v>
      </c>
      <c r="J56" s="128">
        <v>3.8210000000000002</v>
      </c>
      <c r="K56" s="113">
        <v>3.8260000000000005</v>
      </c>
      <c r="L56" s="128">
        <v>0.44</v>
      </c>
      <c r="M56" s="113">
        <v>0.05</v>
      </c>
      <c r="O56" s="97"/>
      <c r="P56" s="127"/>
      <c r="Q56" s="127"/>
      <c r="R56" s="280">
        <f t="shared" ca="1" si="4"/>
        <v>38108</v>
      </c>
      <c r="S56" s="142">
        <f t="shared" si="5"/>
        <v>0.43</v>
      </c>
      <c r="T56" s="141">
        <f t="shared" si="8"/>
        <v>0.5</v>
      </c>
      <c r="U56" s="143">
        <f t="shared" si="6"/>
        <v>0.57000000000000006</v>
      </c>
      <c r="BP56" s="103">
        <f t="shared" si="0"/>
        <v>55</v>
      </c>
      <c r="BQ56" s="155" t="s">
        <v>227</v>
      </c>
      <c r="BR56" s="102" t="s">
        <v>166</v>
      </c>
      <c r="BS56" s="101" t="s">
        <v>192</v>
      </c>
      <c r="BT56" s="107" t="s">
        <v>168</v>
      </c>
      <c r="BU56" s="107"/>
      <c r="BV56" s="101">
        <v>1</v>
      </c>
      <c r="BW56" s="102" t="s">
        <v>826</v>
      </c>
      <c r="BX56"/>
      <c r="BZ56" s="103">
        <f t="shared" si="9"/>
        <v>55</v>
      </c>
      <c r="CA56" s="4" t="s">
        <v>451</v>
      </c>
      <c r="CB56" s="102" t="s">
        <v>169</v>
      </c>
      <c r="CC56" s="101" t="s">
        <v>167</v>
      </c>
      <c r="CD56" s="107" t="s">
        <v>168</v>
      </c>
      <c r="CE56" s="107"/>
      <c r="CF56" s="101">
        <v>1</v>
      </c>
      <c r="CG56" s="102" t="s">
        <v>641</v>
      </c>
      <c r="CH56"/>
    </row>
    <row r="57" spans="1:86" ht="13.2">
      <c r="A57" s="125"/>
      <c r="B57" s="126">
        <f t="shared" ca="1" si="7"/>
        <v>38139</v>
      </c>
      <c r="C57" s="113">
        <v>5.5631744398608012E-2</v>
      </c>
      <c r="D57" s="128">
        <v>0.5</v>
      </c>
      <c r="E57" s="128">
        <v>0.5</v>
      </c>
      <c r="F57" s="128">
        <v>0.27250000000000002</v>
      </c>
      <c r="G57" s="128">
        <v>0.28000000000000003</v>
      </c>
      <c r="H57" s="128">
        <v>0.28749999999999998</v>
      </c>
      <c r="I57" s="127">
        <v>3.8450000000000002</v>
      </c>
      <c r="J57" s="128">
        <v>3.85</v>
      </c>
      <c r="K57" s="113">
        <v>3.855</v>
      </c>
      <c r="L57" s="128">
        <v>0.44</v>
      </c>
      <c r="M57" s="113">
        <v>0.05</v>
      </c>
      <c r="O57" s="97"/>
      <c r="P57" s="127"/>
      <c r="Q57" s="127"/>
      <c r="R57" s="280">
        <f t="shared" ca="1" si="4"/>
        <v>38139</v>
      </c>
      <c r="S57" s="142">
        <f t="shared" si="5"/>
        <v>0.43</v>
      </c>
      <c r="T57" s="141">
        <f t="shared" si="8"/>
        <v>0.5</v>
      </c>
      <c r="U57" s="143">
        <f t="shared" si="6"/>
        <v>0.57000000000000006</v>
      </c>
      <c r="BP57" s="103">
        <f t="shared" si="0"/>
        <v>56</v>
      </c>
      <c r="BQ57" s="155" t="s">
        <v>228</v>
      </c>
      <c r="BR57" s="102" t="s">
        <v>166</v>
      </c>
      <c r="BS57" s="101" t="s">
        <v>167</v>
      </c>
      <c r="BT57" s="107" t="s">
        <v>168</v>
      </c>
      <c r="BU57" s="107"/>
      <c r="BV57" s="101">
        <v>1</v>
      </c>
      <c r="BW57" s="102" t="s">
        <v>827</v>
      </c>
      <c r="BX57"/>
      <c r="BZ57" s="103">
        <f t="shared" si="9"/>
        <v>56</v>
      </c>
      <c r="CA57" s="4" t="s">
        <v>452</v>
      </c>
      <c r="CB57" s="102" t="s">
        <v>169</v>
      </c>
      <c r="CC57" s="101" t="s">
        <v>167</v>
      </c>
      <c r="CD57" s="107" t="s">
        <v>168</v>
      </c>
      <c r="CE57" s="107"/>
      <c r="CF57" s="101">
        <v>1</v>
      </c>
      <c r="CG57" s="102" t="s">
        <v>642</v>
      </c>
      <c r="CH57"/>
    </row>
    <row r="58" spans="1:86" ht="13.2">
      <c r="A58" s="125"/>
      <c r="B58" s="126">
        <f t="shared" ca="1" si="7"/>
        <v>38169</v>
      </c>
      <c r="C58" s="113">
        <v>5.5704124471487003E-2</v>
      </c>
      <c r="D58" s="128">
        <v>0.5</v>
      </c>
      <c r="E58" s="128">
        <v>0.5</v>
      </c>
      <c r="F58" s="128">
        <v>0.27</v>
      </c>
      <c r="G58" s="128">
        <v>0.27750000000000002</v>
      </c>
      <c r="H58" s="128">
        <v>0.28499999999999998</v>
      </c>
      <c r="I58" s="127">
        <v>3.875</v>
      </c>
      <c r="J58" s="128">
        <v>3.88</v>
      </c>
      <c r="K58" s="113">
        <v>3.8849999999999998</v>
      </c>
      <c r="L58" s="128">
        <v>0.5</v>
      </c>
      <c r="M58" s="113">
        <v>0.05</v>
      </c>
      <c r="O58" s="97"/>
      <c r="P58" s="127"/>
      <c r="Q58" s="127"/>
      <c r="R58" s="280">
        <f t="shared" ca="1" si="4"/>
        <v>38169</v>
      </c>
      <c r="S58" s="142">
        <f t="shared" si="5"/>
        <v>0.43</v>
      </c>
      <c r="T58" s="141">
        <f t="shared" si="8"/>
        <v>0.5</v>
      </c>
      <c r="U58" s="143">
        <f t="shared" si="6"/>
        <v>0.57000000000000006</v>
      </c>
      <c r="BP58" s="103">
        <f t="shared" si="0"/>
        <v>57</v>
      </c>
      <c r="BQ58" s="155" t="s">
        <v>229</v>
      </c>
      <c r="BR58" s="102" t="s">
        <v>166</v>
      </c>
      <c r="BS58" s="101" t="s">
        <v>192</v>
      </c>
      <c r="BT58" s="107" t="s">
        <v>168</v>
      </c>
      <c r="BU58" s="107"/>
      <c r="BV58" s="101">
        <v>1</v>
      </c>
      <c r="BW58" s="102" t="s">
        <v>828</v>
      </c>
      <c r="BX58"/>
      <c r="BZ58" s="103">
        <f t="shared" si="9"/>
        <v>57</v>
      </c>
      <c r="CA58" s="4" t="s">
        <v>453</v>
      </c>
      <c r="CB58" s="102" t="s">
        <v>169</v>
      </c>
      <c r="CC58" s="101" t="s">
        <v>167</v>
      </c>
      <c r="CD58" s="107" t="s">
        <v>168</v>
      </c>
      <c r="CE58" s="107"/>
      <c r="CF58" s="101">
        <v>1</v>
      </c>
      <c r="CG58" s="102" t="s">
        <v>643</v>
      </c>
      <c r="CH58"/>
    </row>
    <row r="59" spans="1:86" ht="13.2">
      <c r="A59" s="125"/>
      <c r="B59" s="126">
        <f t="shared" ca="1" si="7"/>
        <v>38200</v>
      </c>
      <c r="C59" s="113">
        <v>5.5778430336502018E-2</v>
      </c>
      <c r="D59" s="128">
        <v>0.6</v>
      </c>
      <c r="E59" s="128">
        <v>0.6</v>
      </c>
      <c r="F59" s="128">
        <v>0.27</v>
      </c>
      <c r="G59" s="128">
        <v>0.27750000000000002</v>
      </c>
      <c r="H59" s="128">
        <v>0.28499999999999998</v>
      </c>
      <c r="I59" s="127">
        <v>3.895</v>
      </c>
      <c r="J59" s="128">
        <v>3.9</v>
      </c>
      <c r="K59" s="113">
        <v>3.9049999999999998</v>
      </c>
      <c r="L59" s="128">
        <v>0.5</v>
      </c>
      <c r="M59" s="113">
        <v>0.05</v>
      </c>
      <c r="O59" s="97"/>
      <c r="P59" s="127"/>
      <c r="Q59" s="127"/>
      <c r="R59" s="280">
        <f t="shared" ca="1" si="4"/>
        <v>38200</v>
      </c>
      <c r="S59" s="142">
        <f t="shared" si="5"/>
        <v>0.53</v>
      </c>
      <c r="T59" s="141">
        <f t="shared" si="8"/>
        <v>0.6</v>
      </c>
      <c r="U59" s="143">
        <f t="shared" si="6"/>
        <v>0.66999999999999993</v>
      </c>
      <c r="BP59" s="103">
        <f t="shared" si="0"/>
        <v>58</v>
      </c>
      <c r="BQ59" s="155" t="s">
        <v>230</v>
      </c>
      <c r="BR59" s="102" t="s">
        <v>166</v>
      </c>
      <c r="BS59" s="101" t="s">
        <v>192</v>
      </c>
      <c r="BT59" s="107" t="s">
        <v>168</v>
      </c>
      <c r="BU59" s="107"/>
      <c r="BV59" s="101">
        <v>1</v>
      </c>
      <c r="BW59" s="102" t="s">
        <v>829</v>
      </c>
      <c r="BX59"/>
      <c r="BZ59" s="103">
        <f t="shared" si="9"/>
        <v>58</v>
      </c>
      <c r="CA59" s="4" t="s">
        <v>454</v>
      </c>
      <c r="CB59" s="102" t="s">
        <v>169</v>
      </c>
      <c r="CC59" s="101" t="s">
        <v>167</v>
      </c>
      <c r="CD59" s="107" t="s">
        <v>168</v>
      </c>
      <c r="CE59" s="107"/>
      <c r="CF59" s="101">
        <v>1</v>
      </c>
      <c r="CG59" s="102" t="s">
        <v>644</v>
      </c>
      <c r="CH59"/>
    </row>
    <row r="60" spans="1:86" ht="13.2">
      <c r="A60" s="125"/>
      <c r="B60" s="126">
        <f t="shared" ca="1" si="7"/>
        <v>38231</v>
      </c>
      <c r="C60" s="113">
        <v>5.5852736203356013E-2</v>
      </c>
      <c r="D60" s="128">
        <v>0.6</v>
      </c>
      <c r="E60" s="128">
        <v>0.6</v>
      </c>
      <c r="F60" s="128">
        <v>0.27</v>
      </c>
      <c r="G60" s="128">
        <v>0.27750000000000002</v>
      </c>
      <c r="H60" s="128">
        <v>0.28499999999999998</v>
      </c>
      <c r="I60" s="127">
        <v>3.9160000000000004</v>
      </c>
      <c r="J60" s="128">
        <v>3.9210000000000003</v>
      </c>
      <c r="K60" s="113">
        <v>3.9260000000000002</v>
      </c>
      <c r="L60" s="128">
        <v>0.46</v>
      </c>
      <c r="M60" s="113">
        <v>0.05</v>
      </c>
      <c r="O60" s="97"/>
      <c r="P60" s="127"/>
      <c r="Q60" s="127"/>
      <c r="R60" s="280">
        <f t="shared" ca="1" si="4"/>
        <v>38231</v>
      </c>
      <c r="S60" s="142">
        <f t="shared" si="5"/>
        <v>0.53</v>
      </c>
      <c r="T60" s="141">
        <f t="shared" si="8"/>
        <v>0.6</v>
      </c>
      <c r="U60" s="143">
        <f t="shared" si="6"/>
        <v>0.66999999999999993</v>
      </c>
      <c r="BP60" s="103">
        <f t="shared" si="0"/>
        <v>59</v>
      </c>
      <c r="BQ60" s="155" t="s">
        <v>231</v>
      </c>
      <c r="BR60" s="102" t="s">
        <v>166</v>
      </c>
      <c r="BS60" s="101" t="s">
        <v>192</v>
      </c>
      <c r="BT60" s="107" t="s">
        <v>168</v>
      </c>
      <c r="BU60" s="107"/>
      <c r="BV60" s="101">
        <v>1</v>
      </c>
      <c r="BW60" s="102" t="s">
        <v>830</v>
      </c>
      <c r="BX60"/>
      <c r="BZ60" s="103">
        <f t="shared" si="9"/>
        <v>59</v>
      </c>
      <c r="CA60" s="4" t="s">
        <v>455</v>
      </c>
      <c r="CB60" s="102" t="s">
        <v>169</v>
      </c>
      <c r="CC60" s="101" t="s">
        <v>167</v>
      </c>
      <c r="CD60" s="107" t="s">
        <v>168</v>
      </c>
      <c r="CE60" s="107"/>
      <c r="CF60" s="101">
        <v>1</v>
      </c>
      <c r="CG60" s="102" t="s">
        <v>645</v>
      </c>
      <c r="CH60"/>
    </row>
    <row r="61" spans="1:86" ht="13.2">
      <c r="A61" s="125"/>
      <c r="B61" s="126">
        <f t="shared" ca="1" si="7"/>
        <v>38261</v>
      </c>
      <c r="C61" s="113">
        <v>5.5924454309932016E-2</v>
      </c>
      <c r="D61" s="128">
        <v>0.65</v>
      </c>
      <c r="E61" s="128">
        <v>0.65</v>
      </c>
      <c r="F61" s="128">
        <v>0.27</v>
      </c>
      <c r="G61" s="128">
        <v>0.27750000000000002</v>
      </c>
      <c r="H61" s="128">
        <v>0.28499999999999998</v>
      </c>
      <c r="I61" s="127">
        <v>3.9460000000000002</v>
      </c>
      <c r="J61" s="128">
        <v>3.9510000000000005</v>
      </c>
      <c r="K61" s="113">
        <v>3.9560000000000004</v>
      </c>
      <c r="L61" s="128">
        <v>0.47</v>
      </c>
      <c r="M61" s="113">
        <v>0.05</v>
      </c>
      <c r="O61" s="97"/>
      <c r="P61" s="127"/>
      <c r="Q61" s="127"/>
      <c r="R61" s="280">
        <f t="shared" ca="1" si="4"/>
        <v>38261</v>
      </c>
      <c r="S61" s="142">
        <f t="shared" si="5"/>
        <v>0.58000000000000007</v>
      </c>
      <c r="T61" s="141">
        <f t="shared" si="8"/>
        <v>0.65</v>
      </c>
      <c r="U61" s="143">
        <f t="shared" si="6"/>
        <v>0.72</v>
      </c>
      <c r="BP61" s="103">
        <f t="shared" si="0"/>
        <v>60</v>
      </c>
      <c r="BQ61" s="155" t="s">
        <v>232</v>
      </c>
      <c r="BR61" s="102" t="s">
        <v>166</v>
      </c>
      <c r="BS61" s="101" t="s">
        <v>192</v>
      </c>
      <c r="BT61" s="107" t="s">
        <v>168</v>
      </c>
      <c r="BU61" s="107"/>
      <c r="BV61" s="101">
        <v>1</v>
      </c>
      <c r="BW61" s="102" t="s">
        <v>831</v>
      </c>
      <c r="BX61"/>
      <c r="BZ61" s="103">
        <f t="shared" si="9"/>
        <v>60</v>
      </c>
      <c r="CA61" s="4" t="s">
        <v>456</v>
      </c>
      <c r="CB61" s="102" t="s">
        <v>169</v>
      </c>
      <c r="CC61" s="101" t="s">
        <v>167</v>
      </c>
      <c r="CD61" s="107" t="s">
        <v>168</v>
      </c>
      <c r="CE61" s="107"/>
      <c r="CF61" s="101">
        <v>1</v>
      </c>
      <c r="CG61" s="102" t="s">
        <v>646</v>
      </c>
      <c r="CH61"/>
    </row>
    <row r="62" spans="1:86" ht="13.2">
      <c r="A62" s="125"/>
      <c r="B62" s="126">
        <f t="shared" ca="1" si="7"/>
        <v>38292</v>
      </c>
      <c r="C62" s="113">
        <v>5.5998379425680006E-2</v>
      </c>
      <c r="D62" s="128">
        <v>0.95</v>
      </c>
      <c r="E62" s="128">
        <v>0.95</v>
      </c>
      <c r="F62" s="128">
        <v>0.27250000000000002</v>
      </c>
      <c r="G62" s="128">
        <v>0.28000000000000003</v>
      </c>
      <c r="H62" s="128">
        <v>0.28749999999999998</v>
      </c>
      <c r="I62" s="127">
        <v>4.0860000000000003</v>
      </c>
      <c r="J62" s="128">
        <v>4.0910000000000002</v>
      </c>
      <c r="K62" s="113">
        <v>4.0960000000000001</v>
      </c>
      <c r="L62" s="128">
        <v>0.85499999999999998</v>
      </c>
      <c r="M62" s="113">
        <v>0.04</v>
      </c>
      <c r="O62" s="97"/>
      <c r="P62" s="127"/>
      <c r="Q62" s="127"/>
      <c r="R62" s="280">
        <f t="shared" ca="1" si="4"/>
        <v>38292</v>
      </c>
      <c r="S62" s="142">
        <f t="shared" si="5"/>
        <v>0.87999999999999989</v>
      </c>
      <c r="T62" s="141">
        <f t="shared" si="8"/>
        <v>0.95</v>
      </c>
      <c r="U62" s="143">
        <f t="shared" si="6"/>
        <v>1.02</v>
      </c>
      <c r="BP62" s="103">
        <f t="shared" si="0"/>
        <v>61</v>
      </c>
      <c r="BQ62" s="155" t="s">
        <v>233</v>
      </c>
      <c r="BR62" s="102" t="s">
        <v>166</v>
      </c>
      <c r="BS62" s="101" t="s">
        <v>192</v>
      </c>
      <c r="BT62" s="107" t="s">
        <v>168</v>
      </c>
      <c r="BU62" s="107"/>
      <c r="BV62" s="101">
        <v>1</v>
      </c>
      <c r="BW62" s="102" t="s">
        <v>832</v>
      </c>
      <c r="BX62"/>
      <c r="BZ62" s="103">
        <f t="shared" si="9"/>
        <v>61</v>
      </c>
      <c r="CA62" s="4" t="s">
        <v>457</v>
      </c>
      <c r="CB62" s="102" t="s">
        <v>169</v>
      </c>
      <c r="CC62" s="101" t="s">
        <v>167</v>
      </c>
      <c r="CD62" s="107" t="s">
        <v>168</v>
      </c>
      <c r="CE62" s="107"/>
      <c r="CF62" s="101">
        <v>1</v>
      </c>
      <c r="CG62" s="102" t="s">
        <v>647</v>
      </c>
      <c r="CH62"/>
    </row>
    <row r="63" spans="1:86" ht="13.2">
      <c r="A63" s="125"/>
      <c r="B63" s="126">
        <f t="shared" ca="1" si="7"/>
        <v>38322</v>
      </c>
      <c r="C63" s="113">
        <v>5.6069919862008009E-2</v>
      </c>
      <c r="D63" s="128">
        <v>1.25</v>
      </c>
      <c r="E63" s="128">
        <v>1.25</v>
      </c>
      <c r="F63" s="128">
        <v>0.27500000000000002</v>
      </c>
      <c r="G63" s="128">
        <v>0.28249999999999997</v>
      </c>
      <c r="H63" s="128">
        <v>0.28999999999999998</v>
      </c>
      <c r="I63" s="127">
        <v>4.2110000000000003</v>
      </c>
      <c r="J63" s="128">
        <v>4.2160000000000002</v>
      </c>
      <c r="K63" s="113">
        <v>4.2210000000000001</v>
      </c>
      <c r="L63" s="128">
        <v>1.27</v>
      </c>
      <c r="M63" s="113">
        <v>0.04</v>
      </c>
      <c r="O63" s="97"/>
      <c r="P63" s="127"/>
      <c r="Q63" s="127"/>
      <c r="R63" s="280">
        <f t="shared" ca="1" si="4"/>
        <v>38322</v>
      </c>
      <c r="S63" s="142">
        <f t="shared" si="5"/>
        <v>1.18</v>
      </c>
      <c r="T63" s="141">
        <f t="shared" si="8"/>
        <v>1.25</v>
      </c>
      <c r="U63" s="143">
        <f t="shared" si="6"/>
        <v>1.32</v>
      </c>
      <c r="BP63" s="103">
        <f t="shared" si="0"/>
        <v>62</v>
      </c>
      <c r="BQ63" s="155" t="s">
        <v>234</v>
      </c>
      <c r="BR63" s="102" t="s">
        <v>166</v>
      </c>
      <c r="BS63" s="101" t="s">
        <v>192</v>
      </c>
      <c r="BT63" s="107" t="s">
        <v>168</v>
      </c>
      <c r="BU63" s="107"/>
      <c r="BV63" s="101">
        <v>1</v>
      </c>
      <c r="BW63" s="102" t="s">
        <v>833</v>
      </c>
      <c r="BX63"/>
      <c r="BZ63" s="103">
        <f t="shared" si="9"/>
        <v>62</v>
      </c>
      <c r="CA63" s="4" t="s">
        <v>458</v>
      </c>
      <c r="CB63" s="102" t="s">
        <v>169</v>
      </c>
      <c r="CC63" s="101" t="s">
        <v>167</v>
      </c>
      <c r="CD63" s="107" t="s">
        <v>168</v>
      </c>
      <c r="CE63" s="107"/>
      <c r="CF63" s="101">
        <v>1</v>
      </c>
      <c r="CG63" s="102" t="s">
        <v>648</v>
      </c>
      <c r="CH63"/>
    </row>
    <row r="64" spans="1:86" ht="13.2">
      <c r="A64" s="125"/>
      <c r="B64" s="126">
        <f t="shared" ca="1" si="7"/>
        <v>38353</v>
      </c>
      <c r="C64" s="113">
        <v>5.6149749946644012E-2</v>
      </c>
      <c r="D64" s="128">
        <v>1.45</v>
      </c>
      <c r="E64" s="128">
        <v>1.45</v>
      </c>
      <c r="F64" s="128">
        <v>0.27500000000000002</v>
      </c>
      <c r="G64" s="128">
        <v>0.28249999999999997</v>
      </c>
      <c r="H64" s="128">
        <v>0.28999999999999998</v>
      </c>
      <c r="I64" s="127">
        <v>4.2750000000000004</v>
      </c>
      <c r="J64" s="128">
        <v>4.28</v>
      </c>
      <c r="K64" s="113">
        <v>4.2850000000000001</v>
      </c>
      <c r="L64" s="128">
        <v>1.595</v>
      </c>
      <c r="M64" s="113">
        <v>0.04</v>
      </c>
      <c r="O64" s="97"/>
      <c r="P64" s="127"/>
      <c r="Q64" s="127"/>
      <c r="R64" s="280">
        <f t="shared" ca="1" si="4"/>
        <v>38353</v>
      </c>
      <c r="S64" s="142">
        <f t="shared" si="5"/>
        <v>1.38</v>
      </c>
      <c r="T64" s="141">
        <f t="shared" si="8"/>
        <v>1.45</v>
      </c>
      <c r="U64" s="143">
        <f t="shared" si="6"/>
        <v>1.52</v>
      </c>
      <c r="BP64" s="103">
        <f t="shared" si="0"/>
        <v>63</v>
      </c>
      <c r="BQ64" s="155" t="s">
        <v>235</v>
      </c>
      <c r="BR64" s="102" t="s">
        <v>166</v>
      </c>
      <c r="BS64" s="101" t="s">
        <v>192</v>
      </c>
      <c r="BT64" s="107" t="s">
        <v>168</v>
      </c>
      <c r="BU64" s="107"/>
      <c r="BV64" s="101">
        <v>1</v>
      </c>
      <c r="BW64" s="102" t="s">
        <v>834</v>
      </c>
      <c r="BX64"/>
      <c r="BZ64" s="103">
        <f t="shared" si="9"/>
        <v>63</v>
      </c>
      <c r="CA64" s="4" t="s">
        <v>459</v>
      </c>
      <c r="CB64" s="102" t="s">
        <v>169</v>
      </c>
      <c r="CC64" s="101" t="s">
        <v>167</v>
      </c>
      <c r="CD64" s="107" t="s">
        <v>168</v>
      </c>
      <c r="CE64" s="107"/>
      <c r="CF64" s="101">
        <v>1</v>
      </c>
      <c r="CG64" s="102" t="s">
        <v>649</v>
      </c>
      <c r="CH64"/>
    </row>
    <row r="65" spans="1:86" ht="13.2">
      <c r="A65" s="125"/>
      <c r="B65" s="126">
        <f t="shared" ca="1" si="7"/>
        <v>38384</v>
      </c>
      <c r="C65" s="113">
        <v>5.6234442946145012E-2</v>
      </c>
      <c r="D65" s="128">
        <v>1.45</v>
      </c>
      <c r="E65" s="128">
        <v>1.45</v>
      </c>
      <c r="F65" s="128">
        <v>0.27</v>
      </c>
      <c r="G65" s="128">
        <v>0.27750000000000002</v>
      </c>
      <c r="H65" s="128">
        <v>0.28499999999999998</v>
      </c>
      <c r="I65" s="127">
        <v>4.1790000000000003</v>
      </c>
      <c r="J65" s="128">
        <v>4.1840000000000002</v>
      </c>
      <c r="K65" s="113">
        <v>4.1890000000000001</v>
      </c>
      <c r="L65" s="128">
        <v>1.5549999999999999</v>
      </c>
      <c r="M65" s="113">
        <v>0.04</v>
      </c>
      <c r="O65" s="97"/>
      <c r="P65" s="127"/>
      <c r="Q65" s="127"/>
      <c r="R65" s="280">
        <f t="shared" ca="1" si="4"/>
        <v>38384</v>
      </c>
      <c r="S65" s="142">
        <f t="shared" si="5"/>
        <v>1.38</v>
      </c>
      <c r="T65" s="141">
        <f t="shared" si="8"/>
        <v>1.45</v>
      </c>
      <c r="U65" s="143">
        <f t="shared" si="6"/>
        <v>1.52</v>
      </c>
      <c r="BP65" s="103">
        <f t="shared" si="0"/>
        <v>64</v>
      </c>
      <c r="BQ65" s="155" t="s">
        <v>236</v>
      </c>
      <c r="BR65" s="102" t="s">
        <v>166</v>
      </c>
      <c r="BS65" s="101" t="s">
        <v>192</v>
      </c>
      <c r="BT65" s="107" t="s">
        <v>168</v>
      </c>
      <c r="BU65" s="107"/>
      <c r="BV65" s="101">
        <v>1</v>
      </c>
      <c r="BW65" s="102" t="s">
        <v>835</v>
      </c>
      <c r="BX65"/>
      <c r="BZ65" s="103">
        <f t="shared" si="9"/>
        <v>64</v>
      </c>
      <c r="CA65" s="4" t="s">
        <v>460</v>
      </c>
      <c r="CB65" s="102" t="s">
        <v>169</v>
      </c>
      <c r="CC65" s="101" t="s">
        <v>167</v>
      </c>
      <c r="CD65" s="107" t="s">
        <v>168</v>
      </c>
      <c r="CE65" s="107"/>
      <c r="CF65" s="101">
        <v>1</v>
      </c>
      <c r="CG65" s="102" t="s">
        <v>650</v>
      </c>
      <c r="CH65"/>
    </row>
    <row r="66" spans="1:86" ht="13.2">
      <c r="A66" s="125"/>
      <c r="B66" s="126">
        <f t="shared" ca="1" si="7"/>
        <v>38412</v>
      </c>
      <c r="C66" s="113">
        <v>5.6310939850973005E-2</v>
      </c>
      <c r="D66" s="128">
        <v>1</v>
      </c>
      <c r="E66" s="128">
        <v>1</v>
      </c>
      <c r="F66" s="128">
        <v>0.26500000000000001</v>
      </c>
      <c r="G66" s="128">
        <v>0.27250000000000002</v>
      </c>
      <c r="H66" s="128">
        <v>0.28000000000000003</v>
      </c>
      <c r="I66" s="127">
        <v>4.0290000000000008</v>
      </c>
      <c r="J66" s="128">
        <v>4.0340000000000007</v>
      </c>
      <c r="K66" s="113">
        <v>4.0390000000000006</v>
      </c>
      <c r="L66" s="128">
        <v>0.92500000000000004</v>
      </c>
      <c r="M66" s="113">
        <v>0.04</v>
      </c>
      <c r="O66" s="97"/>
      <c r="P66" s="127"/>
      <c r="Q66" s="127"/>
      <c r="R66" s="280">
        <f t="shared" ca="1" si="4"/>
        <v>38412</v>
      </c>
      <c r="S66" s="142">
        <f t="shared" si="5"/>
        <v>0.92999999999999994</v>
      </c>
      <c r="T66" s="141">
        <f t="shared" si="8"/>
        <v>1</v>
      </c>
      <c r="U66" s="143">
        <f t="shared" si="6"/>
        <v>1.07</v>
      </c>
      <c r="BP66" s="103">
        <f t="shared" ref="BP66:BP129" si="10">BP65+BV66</f>
        <v>65</v>
      </c>
      <c r="BQ66" s="155" t="s">
        <v>237</v>
      </c>
      <c r="BR66" s="102" t="s">
        <v>166</v>
      </c>
      <c r="BS66" s="101" t="s">
        <v>192</v>
      </c>
      <c r="BT66" s="107" t="s">
        <v>168</v>
      </c>
      <c r="BU66" s="107"/>
      <c r="BV66" s="101">
        <v>1</v>
      </c>
      <c r="BW66" s="102" t="s">
        <v>836</v>
      </c>
      <c r="BX66"/>
      <c r="BZ66" s="103">
        <f t="shared" ref="BZ66:BZ97" si="11">BZ65+CF66</f>
        <v>65</v>
      </c>
      <c r="CA66" s="4" t="s">
        <v>461</v>
      </c>
      <c r="CB66" s="102" t="s">
        <v>169</v>
      </c>
      <c r="CC66" s="101" t="s">
        <v>167</v>
      </c>
      <c r="CD66" s="107" t="s">
        <v>168</v>
      </c>
      <c r="CE66" s="107"/>
      <c r="CF66" s="101">
        <v>1</v>
      </c>
      <c r="CG66" s="102" t="s">
        <v>651</v>
      </c>
      <c r="CH66"/>
    </row>
    <row r="67" spans="1:86" ht="13.2">
      <c r="A67" s="125"/>
      <c r="B67" s="126">
        <f t="shared" ca="1" si="7"/>
        <v>38443</v>
      </c>
      <c r="C67" s="113">
        <v>5.6383429443268004E-2</v>
      </c>
      <c r="D67" s="128">
        <v>0.45</v>
      </c>
      <c r="E67" s="128">
        <v>0.45</v>
      </c>
      <c r="F67" s="128">
        <v>0.2475</v>
      </c>
      <c r="G67" s="128">
        <v>0.255</v>
      </c>
      <c r="H67" s="128">
        <v>0.26250000000000001</v>
      </c>
      <c r="I67" s="127">
        <v>3.8460000000000005</v>
      </c>
      <c r="J67" s="128">
        <v>3.8510000000000004</v>
      </c>
      <c r="K67" s="113">
        <v>3.8560000000000003</v>
      </c>
      <c r="L67" s="128">
        <v>0.5</v>
      </c>
      <c r="M67" s="113">
        <v>0.06</v>
      </c>
      <c r="O67" s="97"/>
      <c r="P67" s="127"/>
      <c r="Q67" s="127"/>
      <c r="R67" s="280">
        <f t="shared" ca="1" si="4"/>
        <v>38443</v>
      </c>
      <c r="S67" s="142">
        <f t="shared" si="5"/>
        <v>0.38</v>
      </c>
      <c r="T67" s="141">
        <f t="shared" si="8"/>
        <v>0.45</v>
      </c>
      <c r="U67" s="143">
        <f t="shared" si="6"/>
        <v>0.52</v>
      </c>
      <c r="BP67" s="103">
        <f t="shared" si="10"/>
        <v>66</v>
      </c>
      <c r="BQ67" s="155" t="s">
        <v>238</v>
      </c>
      <c r="BR67" s="102" t="s">
        <v>166</v>
      </c>
      <c r="BS67" s="101" t="s">
        <v>192</v>
      </c>
      <c r="BT67" s="107" t="s">
        <v>168</v>
      </c>
      <c r="BU67" s="107"/>
      <c r="BV67" s="101">
        <v>1</v>
      </c>
      <c r="BW67" s="102" t="s">
        <v>837</v>
      </c>
      <c r="BX67"/>
      <c r="BZ67" s="103">
        <f t="shared" si="11"/>
        <v>66</v>
      </c>
      <c r="CA67" s="4" t="s">
        <v>462</v>
      </c>
      <c r="CB67" s="102" t="s">
        <v>169</v>
      </c>
      <c r="CC67" s="101" t="s">
        <v>167</v>
      </c>
      <c r="CD67" s="107" t="s">
        <v>168</v>
      </c>
      <c r="CE67" s="107"/>
      <c r="CF67" s="101">
        <v>1</v>
      </c>
      <c r="CG67" s="102" t="s">
        <v>652</v>
      </c>
      <c r="CH67"/>
    </row>
    <row r="68" spans="1:86" ht="13.2">
      <c r="A68" s="125"/>
      <c r="B68" s="126">
        <f t="shared" ca="1" si="7"/>
        <v>38473</v>
      </c>
      <c r="C68" s="113">
        <v>5.6443854983896008E-2</v>
      </c>
      <c r="D68" s="128">
        <v>0.5</v>
      </c>
      <c r="E68" s="128">
        <v>0.5</v>
      </c>
      <c r="F68" s="128">
        <v>0.24249999999999999</v>
      </c>
      <c r="G68" s="128">
        <v>0.25</v>
      </c>
      <c r="H68" s="128">
        <v>0.25750000000000001</v>
      </c>
      <c r="I68" s="127">
        <v>3.8210000000000002</v>
      </c>
      <c r="J68" s="128">
        <v>3.8260000000000005</v>
      </c>
      <c r="K68" s="113">
        <v>3.8310000000000004</v>
      </c>
      <c r="L68" s="128">
        <v>0.44</v>
      </c>
      <c r="M68" s="113">
        <v>0.06</v>
      </c>
      <c r="O68" s="97"/>
      <c r="P68" s="127"/>
      <c r="Q68" s="127"/>
      <c r="R68" s="280">
        <f t="shared" ca="1" si="4"/>
        <v>38473</v>
      </c>
      <c r="S68" s="142">
        <f t="shared" si="5"/>
        <v>0.43</v>
      </c>
      <c r="T68" s="141">
        <f t="shared" si="8"/>
        <v>0.5</v>
      </c>
      <c r="U68" s="143">
        <f t="shared" si="6"/>
        <v>0.57000000000000006</v>
      </c>
      <c r="BP68" s="103">
        <f t="shared" si="10"/>
        <v>67</v>
      </c>
      <c r="BQ68" s="155" t="s">
        <v>239</v>
      </c>
      <c r="BR68" s="102" t="s">
        <v>166</v>
      </c>
      <c r="BS68" s="101" t="s">
        <v>192</v>
      </c>
      <c r="BT68" s="107" t="s">
        <v>168</v>
      </c>
      <c r="BU68" s="107"/>
      <c r="BV68" s="101">
        <v>1</v>
      </c>
      <c r="BW68" s="102" t="s">
        <v>838</v>
      </c>
      <c r="BX68"/>
      <c r="BZ68" s="103">
        <f t="shared" si="11"/>
        <v>67</v>
      </c>
      <c r="CA68" s="4" t="s">
        <v>463</v>
      </c>
      <c r="CB68" s="102" t="s">
        <v>169</v>
      </c>
      <c r="CC68" s="101" t="s">
        <v>167</v>
      </c>
      <c r="CD68" s="107" t="s">
        <v>168</v>
      </c>
      <c r="CE68" s="107"/>
      <c r="CF68" s="101">
        <v>1</v>
      </c>
      <c r="CG68" s="102" t="s">
        <v>653</v>
      </c>
      <c r="CH68"/>
    </row>
    <row r="69" spans="1:86" ht="13.2">
      <c r="A69" s="125"/>
      <c r="B69" s="126">
        <f t="shared" ca="1" si="7"/>
        <v>38504</v>
      </c>
      <c r="C69" s="113">
        <v>5.6506294710490013E-2</v>
      </c>
      <c r="D69" s="128">
        <v>0.5</v>
      </c>
      <c r="E69" s="128">
        <v>0.5</v>
      </c>
      <c r="F69" s="128">
        <v>0.23749999999999999</v>
      </c>
      <c r="G69" s="128">
        <v>0.245</v>
      </c>
      <c r="H69" s="128">
        <v>0.2525</v>
      </c>
      <c r="I69" s="127">
        <v>3.85</v>
      </c>
      <c r="J69" s="128">
        <v>3.855</v>
      </c>
      <c r="K69" s="113">
        <v>3.86</v>
      </c>
      <c r="L69" s="128">
        <v>0.44</v>
      </c>
      <c r="M69" s="113">
        <v>0.06</v>
      </c>
      <c r="O69" s="97"/>
      <c r="P69" s="127"/>
      <c r="Q69" s="127"/>
      <c r="R69" s="280">
        <f t="shared" ca="1" si="4"/>
        <v>38504</v>
      </c>
      <c r="S69" s="142">
        <f t="shared" si="5"/>
        <v>0.43</v>
      </c>
      <c r="T69" s="141">
        <f t="shared" si="8"/>
        <v>0.5</v>
      </c>
      <c r="U69" s="143">
        <f t="shared" si="6"/>
        <v>0.57000000000000006</v>
      </c>
      <c r="BP69" s="103">
        <f t="shared" si="10"/>
        <v>68</v>
      </c>
      <c r="BQ69" s="155" t="s">
        <v>240</v>
      </c>
      <c r="BR69" s="102" t="s">
        <v>166</v>
      </c>
      <c r="BS69" s="101" t="s">
        <v>192</v>
      </c>
      <c r="BT69" s="107" t="s">
        <v>168</v>
      </c>
      <c r="BU69" s="107"/>
      <c r="BV69" s="101">
        <v>1</v>
      </c>
      <c r="BW69" s="102" t="s">
        <v>839</v>
      </c>
      <c r="BX69"/>
      <c r="BZ69" s="103">
        <f t="shared" si="11"/>
        <v>68</v>
      </c>
      <c r="CA69" s="4" t="s">
        <v>464</v>
      </c>
      <c r="CB69" s="102" t="s">
        <v>169</v>
      </c>
      <c r="CC69" s="101" t="s">
        <v>167</v>
      </c>
      <c r="CD69" s="107" t="s">
        <v>168</v>
      </c>
      <c r="CE69" s="107"/>
      <c r="CF69" s="101">
        <v>1</v>
      </c>
      <c r="CG69" s="102" t="s">
        <v>654</v>
      </c>
      <c r="CH69"/>
    </row>
    <row r="70" spans="1:86" ht="13.2">
      <c r="A70" s="125"/>
      <c r="B70" s="126">
        <f t="shared" ca="1" si="7"/>
        <v>38534</v>
      </c>
      <c r="C70" s="113">
        <v>5.6566720253590004E-2</v>
      </c>
      <c r="D70" s="128">
        <v>0.5</v>
      </c>
      <c r="E70" s="128">
        <v>0.5</v>
      </c>
      <c r="F70" s="128">
        <v>0.23749999999999999</v>
      </c>
      <c r="G70" s="128">
        <v>0.245</v>
      </c>
      <c r="H70" s="128">
        <v>0.2525</v>
      </c>
      <c r="I70" s="127">
        <v>3.88</v>
      </c>
      <c r="J70" s="128">
        <v>3.8849999999999998</v>
      </c>
      <c r="K70" s="113">
        <v>3.89</v>
      </c>
      <c r="L70" s="128">
        <v>0.5</v>
      </c>
      <c r="M70" s="113">
        <v>0.06</v>
      </c>
      <c r="O70" s="97"/>
      <c r="P70" s="127"/>
      <c r="Q70" s="127"/>
      <c r="R70" s="280">
        <f t="shared" ca="1" si="4"/>
        <v>38534</v>
      </c>
      <c r="S70" s="142">
        <f t="shared" si="5"/>
        <v>0.43</v>
      </c>
      <c r="T70" s="141">
        <f t="shared" si="8"/>
        <v>0.5</v>
      </c>
      <c r="U70" s="143">
        <f t="shared" si="6"/>
        <v>0.57000000000000006</v>
      </c>
      <c r="BP70" s="103">
        <f t="shared" si="10"/>
        <v>69</v>
      </c>
      <c r="BQ70" s="155" t="s">
        <v>241</v>
      </c>
      <c r="BR70" s="102" t="s">
        <v>166</v>
      </c>
      <c r="BS70" s="101" t="s">
        <v>192</v>
      </c>
      <c r="BT70" s="107" t="s">
        <v>168</v>
      </c>
      <c r="BU70" s="107"/>
      <c r="BV70" s="101">
        <v>1</v>
      </c>
      <c r="BW70" s="102" t="s">
        <v>840</v>
      </c>
      <c r="BX70"/>
      <c r="BZ70" s="103">
        <f t="shared" si="11"/>
        <v>69</v>
      </c>
      <c r="CA70" s="4" t="s">
        <v>465</v>
      </c>
      <c r="CB70" s="102" t="s">
        <v>169</v>
      </c>
      <c r="CC70" s="101" t="s">
        <v>167</v>
      </c>
      <c r="CD70" s="107" t="s">
        <v>168</v>
      </c>
      <c r="CE70" s="107"/>
      <c r="CF70" s="101">
        <v>1</v>
      </c>
      <c r="CG70" s="102" t="s">
        <v>655</v>
      </c>
      <c r="CH70"/>
    </row>
    <row r="71" spans="1:86" ht="13.2">
      <c r="A71" s="125"/>
      <c r="B71" s="126">
        <f t="shared" ca="1" si="7"/>
        <v>38565</v>
      </c>
      <c r="C71" s="113">
        <v>5.6629159982736009E-2</v>
      </c>
      <c r="D71" s="128">
        <v>0.6</v>
      </c>
      <c r="E71" s="128">
        <v>0.6</v>
      </c>
      <c r="F71" s="128">
        <v>0.23749999999999999</v>
      </c>
      <c r="G71" s="128">
        <v>0.245</v>
      </c>
      <c r="H71" s="128">
        <v>0.2525</v>
      </c>
      <c r="I71" s="127">
        <v>3.9</v>
      </c>
      <c r="J71" s="128">
        <v>3.9049999999999998</v>
      </c>
      <c r="K71" s="113">
        <v>3.91</v>
      </c>
      <c r="L71" s="128">
        <v>0.5</v>
      </c>
      <c r="M71" s="113">
        <v>0.06</v>
      </c>
      <c r="O71" s="97"/>
      <c r="P71" s="127"/>
      <c r="Q71" s="127"/>
      <c r="R71" s="280">
        <f t="shared" ca="1" si="4"/>
        <v>38565</v>
      </c>
      <c r="S71" s="142">
        <f t="shared" si="5"/>
        <v>0.53</v>
      </c>
      <c r="T71" s="141">
        <f t="shared" si="8"/>
        <v>0.6</v>
      </c>
      <c r="U71" s="143">
        <f t="shared" si="6"/>
        <v>0.66999999999999993</v>
      </c>
      <c r="BP71" s="103">
        <f t="shared" si="10"/>
        <v>70</v>
      </c>
      <c r="BQ71" s="155" t="s">
        <v>242</v>
      </c>
      <c r="BR71" s="102" t="s">
        <v>166</v>
      </c>
      <c r="BS71" s="101" t="s">
        <v>192</v>
      </c>
      <c r="BT71" s="107" t="s">
        <v>168</v>
      </c>
      <c r="BU71" s="107"/>
      <c r="BV71" s="101">
        <v>1</v>
      </c>
      <c r="BW71" s="102" t="s">
        <v>841</v>
      </c>
      <c r="BX71"/>
      <c r="BZ71" s="103">
        <f t="shared" si="11"/>
        <v>70</v>
      </c>
      <c r="CA71" s="4" t="s">
        <v>466</v>
      </c>
      <c r="CB71" s="102" t="s">
        <v>169</v>
      </c>
      <c r="CC71" s="101" t="s">
        <v>167</v>
      </c>
      <c r="CD71" s="107" t="s">
        <v>168</v>
      </c>
      <c r="CE71" s="107"/>
      <c r="CF71" s="101">
        <v>1</v>
      </c>
      <c r="CG71" s="102" t="s">
        <v>656</v>
      </c>
      <c r="CH71"/>
    </row>
    <row r="72" spans="1:86" ht="13.2">
      <c r="A72" s="125"/>
      <c r="B72" s="126">
        <f t="shared" ca="1" si="7"/>
        <v>38596</v>
      </c>
      <c r="C72" s="113">
        <v>5.6691599713180017E-2</v>
      </c>
      <c r="D72" s="128">
        <v>0.6</v>
      </c>
      <c r="E72" s="128">
        <v>0.6</v>
      </c>
      <c r="F72" s="128">
        <v>0.23749999999999999</v>
      </c>
      <c r="G72" s="128">
        <v>0.245</v>
      </c>
      <c r="H72" s="128">
        <v>0.2525</v>
      </c>
      <c r="I72" s="127">
        <v>3.9210000000000003</v>
      </c>
      <c r="J72" s="128">
        <v>3.9260000000000002</v>
      </c>
      <c r="K72" s="113">
        <v>3.9310000000000005</v>
      </c>
      <c r="L72" s="128">
        <v>0.46</v>
      </c>
      <c r="M72" s="113">
        <v>0.06</v>
      </c>
      <c r="O72" s="97"/>
      <c r="P72" s="127"/>
      <c r="Q72" s="127"/>
      <c r="R72" s="280">
        <f t="shared" ca="1" si="4"/>
        <v>38596</v>
      </c>
      <c r="S72" s="142">
        <f t="shared" si="5"/>
        <v>0.53</v>
      </c>
      <c r="T72" s="141">
        <f t="shared" si="8"/>
        <v>0.6</v>
      </c>
      <c r="U72" s="143">
        <f t="shared" si="6"/>
        <v>0.66999999999999993</v>
      </c>
      <c r="BP72" s="103">
        <f t="shared" si="10"/>
        <v>71</v>
      </c>
      <c r="BQ72" s="155" t="s">
        <v>243</v>
      </c>
      <c r="BR72" s="102" t="s">
        <v>166</v>
      </c>
      <c r="BS72" s="101" t="s">
        <v>192</v>
      </c>
      <c r="BT72" s="107" t="s">
        <v>168</v>
      </c>
      <c r="BU72" s="107"/>
      <c r="BV72" s="101">
        <v>1</v>
      </c>
      <c r="BW72" s="102" t="s">
        <v>842</v>
      </c>
      <c r="BX72"/>
      <c r="BZ72" s="103">
        <f t="shared" si="11"/>
        <v>71</v>
      </c>
      <c r="CA72" s="4" t="s">
        <v>467</v>
      </c>
      <c r="CB72" s="102" t="s">
        <v>169</v>
      </c>
      <c r="CC72" s="101" t="s">
        <v>167</v>
      </c>
      <c r="CD72" s="107" t="s">
        <v>168</v>
      </c>
      <c r="CE72" s="107"/>
      <c r="CF72" s="101">
        <v>1</v>
      </c>
      <c r="CG72" s="102" t="s">
        <v>657</v>
      </c>
      <c r="CH72"/>
    </row>
    <row r="73" spans="1:86" ht="13.2">
      <c r="A73" s="125"/>
      <c r="B73" s="126">
        <f t="shared" ca="1" si="7"/>
        <v>38626</v>
      </c>
      <c r="C73" s="113">
        <v>5.6752025260006021E-2</v>
      </c>
      <c r="D73" s="128">
        <v>0.65</v>
      </c>
      <c r="E73" s="128">
        <v>0.65</v>
      </c>
      <c r="F73" s="128">
        <v>0.23749999999999999</v>
      </c>
      <c r="G73" s="128">
        <v>0.245</v>
      </c>
      <c r="H73" s="128">
        <v>0.2525</v>
      </c>
      <c r="I73" s="127">
        <v>3.9510000000000005</v>
      </c>
      <c r="J73" s="128">
        <v>3.9560000000000004</v>
      </c>
      <c r="K73" s="113">
        <v>3.9610000000000003</v>
      </c>
      <c r="L73" s="128">
        <v>0.47</v>
      </c>
      <c r="M73" s="113">
        <v>0.06</v>
      </c>
      <c r="O73" s="97"/>
      <c r="P73" s="127"/>
      <c r="Q73" s="127"/>
      <c r="R73" s="280">
        <f t="shared" ca="1" si="4"/>
        <v>38626</v>
      </c>
      <c r="S73" s="142">
        <f t="shared" si="5"/>
        <v>0.58000000000000007</v>
      </c>
      <c r="T73" s="141">
        <f t="shared" si="8"/>
        <v>0.65</v>
      </c>
      <c r="U73" s="143">
        <f t="shared" si="6"/>
        <v>0.72</v>
      </c>
      <c r="BP73" s="103">
        <f t="shared" si="10"/>
        <v>72</v>
      </c>
      <c r="BQ73" s="155" t="s">
        <v>244</v>
      </c>
      <c r="BR73" s="102" t="s">
        <v>166</v>
      </c>
      <c r="BS73" s="101" t="s">
        <v>192</v>
      </c>
      <c r="BT73" s="107" t="s">
        <v>168</v>
      </c>
      <c r="BU73" s="107"/>
      <c r="BV73" s="101">
        <v>1</v>
      </c>
      <c r="BW73" s="102" t="s">
        <v>843</v>
      </c>
      <c r="BX73"/>
      <c r="BZ73" s="103">
        <f t="shared" si="11"/>
        <v>72</v>
      </c>
      <c r="CA73" s="4" t="s">
        <v>468</v>
      </c>
      <c r="CB73" s="102" t="s">
        <v>169</v>
      </c>
      <c r="CC73" s="101" t="s">
        <v>167</v>
      </c>
      <c r="CD73" s="107" t="s">
        <v>168</v>
      </c>
      <c r="CE73" s="107"/>
      <c r="CF73" s="101">
        <v>1</v>
      </c>
      <c r="CG73" s="102" t="s">
        <v>658</v>
      </c>
      <c r="CH73"/>
    </row>
    <row r="74" spans="1:86" ht="13.2">
      <c r="A74" s="125"/>
      <c r="B74" s="126">
        <f t="shared" ca="1" si="7"/>
        <v>38657</v>
      </c>
      <c r="C74" s="113">
        <v>5.6814464993004014E-2</v>
      </c>
      <c r="D74" s="128">
        <v>0.95</v>
      </c>
      <c r="E74" s="128">
        <v>0.95</v>
      </c>
      <c r="F74" s="128">
        <v>0.23749999999999999</v>
      </c>
      <c r="G74" s="128">
        <v>0.245</v>
      </c>
      <c r="H74" s="128">
        <v>0.2525</v>
      </c>
      <c r="I74" s="127">
        <v>4.0910000000000002</v>
      </c>
      <c r="J74" s="128">
        <v>4.0960000000000001</v>
      </c>
      <c r="K74" s="113">
        <v>4.101</v>
      </c>
      <c r="L74" s="128">
        <v>0.86</v>
      </c>
      <c r="M74" s="113">
        <v>0.04</v>
      </c>
      <c r="O74" s="97"/>
      <c r="P74" s="127"/>
      <c r="Q74" s="127"/>
      <c r="R74" s="280">
        <f t="shared" ca="1" si="4"/>
        <v>38657</v>
      </c>
      <c r="S74" s="142">
        <f t="shared" si="5"/>
        <v>0.87999999999999989</v>
      </c>
      <c r="T74" s="141">
        <f t="shared" si="8"/>
        <v>0.95</v>
      </c>
      <c r="U74" s="143">
        <f t="shared" si="6"/>
        <v>1.02</v>
      </c>
      <c r="BP74" s="103">
        <f t="shared" si="10"/>
        <v>73</v>
      </c>
      <c r="BQ74" s="155" t="s">
        <v>245</v>
      </c>
      <c r="BR74" s="102" t="s">
        <v>166</v>
      </c>
      <c r="BS74" s="101" t="s">
        <v>192</v>
      </c>
      <c r="BT74" s="107" t="s">
        <v>168</v>
      </c>
      <c r="BU74" s="107"/>
      <c r="BV74" s="101">
        <v>1</v>
      </c>
      <c r="BW74" s="102" t="s">
        <v>844</v>
      </c>
      <c r="BX74"/>
      <c r="BZ74" s="103">
        <f t="shared" si="11"/>
        <v>73</v>
      </c>
      <c r="CA74" s="4" t="s">
        <v>469</v>
      </c>
      <c r="CB74" s="102" t="s">
        <v>169</v>
      </c>
      <c r="CC74" s="101" t="s">
        <v>167</v>
      </c>
      <c r="CD74" s="107" t="s">
        <v>168</v>
      </c>
      <c r="CE74" s="107"/>
      <c r="CF74" s="101">
        <v>1</v>
      </c>
      <c r="CG74" s="102" t="s">
        <v>659</v>
      </c>
      <c r="CH74"/>
    </row>
    <row r="75" spans="1:86" ht="13.2">
      <c r="A75" s="125"/>
      <c r="B75" s="126">
        <f t="shared" ca="1" si="7"/>
        <v>38687</v>
      </c>
      <c r="C75" s="113">
        <v>5.6874890542300015E-2</v>
      </c>
      <c r="D75" s="128">
        <v>1.25</v>
      </c>
      <c r="E75" s="128">
        <v>1.25</v>
      </c>
      <c r="F75" s="128">
        <v>0.24</v>
      </c>
      <c r="G75" s="128">
        <v>0.2475</v>
      </c>
      <c r="H75" s="128">
        <v>0.255</v>
      </c>
      <c r="I75" s="127">
        <v>4.2160000000000002</v>
      </c>
      <c r="J75" s="128">
        <v>4.2210000000000001</v>
      </c>
      <c r="K75" s="113">
        <v>4.226</v>
      </c>
      <c r="L75" s="128">
        <v>1.28</v>
      </c>
      <c r="M75" s="113">
        <v>0.04</v>
      </c>
      <c r="O75" s="97"/>
      <c r="P75" s="127"/>
      <c r="Q75" s="127"/>
      <c r="R75" s="280">
        <f t="shared" ca="1" si="4"/>
        <v>38687</v>
      </c>
      <c r="S75" s="142">
        <f t="shared" si="5"/>
        <v>1.18</v>
      </c>
      <c r="T75" s="141">
        <f t="shared" si="8"/>
        <v>1.25</v>
      </c>
      <c r="U75" s="143">
        <f t="shared" si="6"/>
        <v>1.32</v>
      </c>
      <c r="BP75" s="103">
        <f t="shared" si="10"/>
        <v>74</v>
      </c>
      <c r="BQ75" s="155" t="s">
        <v>246</v>
      </c>
      <c r="BR75" s="102" t="s">
        <v>166</v>
      </c>
      <c r="BS75" s="101" t="s">
        <v>192</v>
      </c>
      <c r="BT75" s="107" t="s">
        <v>168</v>
      </c>
      <c r="BU75" s="107"/>
      <c r="BV75" s="101">
        <v>1</v>
      </c>
      <c r="BW75" s="102" t="s">
        <v>845</v>
      </c>
      <c r="BX75"/>
      <c r="BZ75" s="103">
        <f t="shared" si="11"/>
        <v>74</v>
      </c>
      <c r="CA75" s="4" t="s">
        <v>470</v>
      </c>
      <c r="CB75" s="102" t="s">
        <v>169</v>
      </c>
      <c r="CC75" s="101" t="s">
        <v>167</v>
      </c>
      <c r="CD75" s="107" t="s">
        <v>168</v>
      </c>
      <c r="CE75" s="107"/>
      <c r="CF75" s="101">
        <v>1</v>
      </c>
      <c r="CG75" s="102" t="s">
        <v>660</v>
      </c>
      <c r="CH75"/>
    </row>
    <row r="76" spans="1:86" ht="13.2">
      <c r="A76" s="125"/>
      <c r="B76" s="126">
        <f t="shared" ca="1" si="7"/>
        <v>38718</v>
      </c>
      <c r="C76" s="113">
        <v>5.6937330277851014E-2</v>
      </c>
      <c r="D76" s="128">
        <v>1.45</v>
      </c>
      <c r="E76" s="128">
        <v>1.45</v>
      </c>
      <c r="F76" s="128">
        <v>0.24</v>
      </c>
      <c r="G76" s="128">
        <v>0.2475</v>
      </c>
      <c r="H76" s="128">
        <v>0.255</v>
      </c>
      <c r="I76" s="127">
        <v>4.3</v>
      </c>
      <c r="J76" s="128">
        <v>4.3049999999999997</v>
      </c>
      <c r="K76" s="113">
        <v>4.3099999999999996</v>
      </c>
      <c r="L76" s="128">
        <v>1.61</v>
      </c>
      <c r="M76" s="113">
        <v>0.04</v>
      </c>
      <c r="O76" s="97"/>
      <c r="P76" s="127"/>
      <c r="Q76" s="127"/>
      <c r="R76" s="280">
        <f t="shared" ca="1" si="4"/>
        <v>38718</v>
      </c>
      <c r="S76" s="142">
        <f t="shared" si="5"/>
        <v>1.38</v>
      </c>
      <c r="T76" s="141">
        <f t="shared" si="8"/>
        <v>1.45</v>
      </c>
      <c r="U76" s="143">
        <f t="shared" si="6"/>
        <v>1.52</v>
      </c>
      <c r="BP76" s="103">
        <f t="shared" si="10"/>
        <v>75</v>
      </c>
      <c r="BQ76" s="155" t="s">
        <v>247</v>
      </c>
      <c r="BR76" s="102" t="s">
        <v>166</v>
      </c>
      <c r="BS76" s="101" t="s">
        <v>192</v>
      </c>
      <c r="BT76" s="107" t="s">
        <v>168</v>
      </c>
      <c r="BU76" s="107"/>
      <c r="BV76" s="101">
        <v>1</v>
      </c>
      <c r="BW76" s="102" t="s">
        <v>846</v>
      </c>
      <c r="BX76"/>
      <c r="BZ76" s="103">
        <f t="shared" si="11"/>
        <v>75</v>
      </c>
      <c r="CA76" s="4" t="s">
        <v>471</v>
      </c>
      <c r="CB76" s="102" t="s">
        <v>169</v>
      </c>
      <c r="CC76" s="101" t="s">
        <v>167</v>
      </c>
      <c r="CD76" s="107" t="s">
        <v>168</v>
      </c>
      <c r="CE76" s="107"/>
      <c r="CF76" s="101">
        <v>1</v>
      </c>
      <c r="CG76" s="102" t="s">
        <v>661</v>
      </c>
      <c r="CH76"/>
    </row>
    <row r="77" spans="1:86" ht="13.2">
      <c r="A77" s="125"/>
      <c r="B77" s="126">
        <f t="shared" ca="1" si="7"/>
        <v>38749</v>
      </c>
      <c r="C77" s="113">
        <v>5.6996310371456999E-2</v>
      </c>
      <c r="D77" s="128">
        <v>1.45</v>
      </c>
      <c r="E77" s="128">
        <v>1.45</v>
      </c>
      <c r="F77" s="128">
        <v>0.23749999999999999</v>
      </c>
      <c r="G77" s="128">
        <v>0.245</v>
      </c>
      <c r="H77" s="128">
        <v>0.2525</v>
      </c>
      <c r="I77" s="127">
        <v>4.2040000000000006</v>
      </c>
      <c r="J77" s="128">
        <v>4.2090000000000005</v>
      </c>
      <c r="K77" s="113">
        <v>4.2140000000000004</v>
      </c>
      <c r="L77" s="128">
        <v>1.57</v>
      </c>
      <c r="M77" s="113">
        <v>0.04</v>
      </c>
      <c r="O77" s="97"/>
      <c r="P77" s="127"/>
      <c r="Q77" s="127"/>
      <c r="R77" s="280">
        <f t="shared" ca="1" si="4"/>
        <v>38749</v>
      </c>
      <c r="S77" s="142">
        <f t="shared" si="5"/>
        <v>1.38</v>
      </c>
      <c r="T77" s="141">
        <f t="shared" si="8"/>
        <v>1.45</v>
      </c>
      <c r="U77" s="143">
        <f t="shared" si="6"/>
        <v>1.52</v>
      </c>
      <c r="BP77" s="103">
        <f t="shared" si="10"/>
        <v>76</v>
      </c>
      <c r="BQ77" s="155" t="s">
        <v>248</v>
      </c>
      <c r="BR77" s="102" t="s">
        <v>166</v>
      </c>
      <c r="BS77" s="101" t="s">
        <v>192</v>
      </c>
      <c r="BT77" s="107" t="s">
        <v>168</v>
      </c>
      <c r="BU77" s="107"/>
      <c r="BV77" s="101">
        <v>1</v>
      </c>
      <c r="BW77" s="102" t="s">
        <v>847</v>
      </c>
      <c r="BX77"/>
      <c r="BZ77" s="103">
        <f t="shared" si="11"/>
        <v>76</v>
      </c>
      <c r="CA77" s="4" t="s">
        <v>472</v>
      </c>
      <c r="CB77" s="102" t="s">
        <v>169</v>
      </c>
      <c r="CC77" s="101" t="s">
        <v>167</v>
      </c>
      <c r="CD77" s="107" t="s">
        <v>168</v>
      </c>
      <c r="CE77" s="107"/>
      <c r="CF77" s="101">
        <v>1</v>
      </c>
      <c r="CG77" s="102" t="s">
        <v>662</v>
      </c>
      <c r="CH77"/>
    </row>
    <row r="78" spans="1:86" ht="13.2">
      <c r="A78" s="125"/>
      <c r="B78" s="126">
        <f t="shared" ca="1" si="7"/>
        <v>38777</v>
      </c>
      <c r="C78" s="113">
        <v>5.7047864053552999E-2</v>
      </c>
      <c r="D78" s="128">
        <v>1</v>
      </c>
      <c r="E78" s="128">
        <v>1</v>
      </c>
      <c r="F78" s="128">
        <v>0.23</v>
      </c>
      <c r="G78" s="128">
        <v>0.23749999999999999</v>
      </c>
      <c r="H78" s="128">
        <v>0.245</v>
      </c>
      <c r="I78" s="127">
        <v>4.0540000000000003</v>
      </c>
      <c r="J78" s="128">
        <v>4.0590000000000002</v>
      </c>
      <c r="K78" s="113">
        <v>4.0640000000000001</v>
      </c>
      <c r="L78" s="128">
        <v>0.93</v>
      </c>
      <c r="M78" s="113">
        <v>0.04</v>
      </c>
      <c r="O78" s="97"/>
      <c r="P78" s="127"/>
      <c r="Q78" s="127"/>
      <c r="R78" s="280">
        <f t="shared" ca="1" si="4"/>
        <v>38777</v>
      </c>
      <c r="S78" s="142">
        <f t="shared" si="5"/>
        <v>0.92999999999999994</v>
      </c>
      <c r="T78" s="141">
        <f t="shared" si="8"/>
        <v>1</v>
      </c>
      <c r="U78" s="143">
        <f t="shared" si="6"/>
        <v>1.07</v>
      </c>
      <c r="BP78" s="103">
        <f t="shared" si="10"/>
        <v>77</v>
      </c>
      <c r="BQ78" s="155" t="s">
        <v>249</v>
      </c>
      <c r="BR78" s="102" t="s">
        <v>166</v>
      </c>
      <c r="BS78" s="101" t="s">
        <v>192</v>
      </c>
      <c r="BT78" s="107" t="s">
        <v>168</v>
      </c>
      <c r="BU78" s="107"/>
      <c r="BV78" s="101">
        <v>1</v>
      </c>
      <c r="BW78" s="102" t="s">
        <v>848</v>
      </c>
      <c r="BX78"/>
      <c r="BZ78" s="103">
        <f t="shared" si="11"/>
        <v>77</v>
      </c>
      <c r="CA78" s="4" t="s">
        <v>473</v>
      </c>
      <c r="CB78" s="102" t="s">
        <v>169</v>
      </c>
      <c r="CC78" s="101" t="s">
        <v>167</v>
      </c>
      <c r="CD78" s="107" t="s">
        <v>168</v>
      </c>
      <c r="CE78" s="107"/>
      <c r="CF78" s="101">
        <v>1</v>
      </c>
      <c r="CG78" s="102" t="s">
        <v>663</v>
      </c>
      <c r="CH78"/>
    </row>
    <row r="79" spans="1:86" ht="13.2">
      <c r="A79" s="125"/>
      <c r="B79" s="126">
        <f t="shared" ca="1" si="7"/>
        <v>38808</v>
      </c>
      <c r="C79" s="113">
        <v>5.7104941345478E-2</v>
      </c>
      <c r="D79" s="128">
        <v>0.45</v>
      </c>
      <c r="E79" s="128">
        <v>0.45</v>
      </c>
      <c r="F79" s="128">
        <v>0.23</v>
      </c>
      <c r="G79" s="128">
        <v>0.23749999999999999</v>
      </c>
      <c r="H79" s="128">
        <v>0.245</v>
      </c>
      <c r="I79" s="127">
        <v>3.8710000000000004</v>
      </c>
      <c r="J79" s="128">
        <v>3.8760000000000003</v>
      </c>
      <c r="K79" s="113">
        <v>3.8810000000000002</v>
      </c>
      <c r="L79" s="128">
        <v>0.5</v>
      </c>
      <c r="M79" s="113">
        <v>0.06</v>
      </c>
      <c r="O79" s="97"/>
      <c r="P79" s="127"/>
      <c r="Q79" s="127"/>
      <c r="R79" s="280">
        <f t="shared" ca="1" si="4"/>
        <v>38808</v>
      </c>
      <c r="S79" s="142">
        <f t="shared" si="5"/>
        <v>0.38</v>
      </c>
      <c r="T79" s="141">
        <f t="shared" si="8"/>
        <v>0.45</v>
      </c>
      <c r="U79" s="143">
        <f t="shared" si="6"/>
        <v>0.52</v>
      </c>
      <c r="BP79" s="103">
        <f t="shared" si="10"/>
        <v>78</v>
      </c>
      <c r="BQ79" s="155" t="s">
        <v>250</v>
      </c>
      <c r="BR79" s="102" t="s">
        <v>166</v>
      </c>
      <c r="BS79" s="101" t="s">
        <v>192</v>
      </c>
      <c r="BT79" s="107" t="s">
        <v>168</v>
      </c>
      <c r="BU79" s="107"/>
      <c r="BV79" s="101">
        <v>1</v>
      </c>
      <c r="BW79" s="102" t="s">
        <v>849</v>
      </c>
      <c r="BX79"/>
      <c r="BZ79" s="103">
        <f t="shared" si="11"/>
        <v>78</v>
      </c>
      <c r="CA79" s="4" t="s">
        <v>474</v>
      </c>
      <c r="CB79" s="102" t="s">
        <v>169</v>
      </c>
      <c r="CC79" s="101" t="s">
        <v>167</v>
      </c>
      <c r="CD79" s="107" t="s">
        <v>168</v>
      </c>
      <c r="CE79" s="107"/>
      <c r="CF79" s="101">
        <v>1</v>
      </c>
      <c r="CG79" s="102" t="s">
        <v>664</v>
      </c>
      <c r="CH79"/>
    </row>
    <row r="80" spans="1:86" ht="13.2">
      <c r="A80" s="125"/>
      <c r="B80" s="126">
        <f t="shared" ca="1" si="7"/>
        <v>38838</v>
      </c>
      <c r="C80" s="113">
        <v>5.7160177435469021E-2</v>
      </c>
      <c r="D80" s="128">
        <v>0.5</v>
      </c>
      <c r="E80" s="128">
        <v>0.5</v>
      </c>
      <c r="F80" s="128">
        <v>0.22750000000000001</v>
      </c>
      <c r="G80" s="128">
        <v>0.23499999999999999</v>
      </c>
      <c r="H80" s="128">
        <v>0.24249999999999999</v>
      </c>
      <c r="I80" s="127">
        <v>3.8460000000000005</v>
      </c>
      <c r="J80" s="128">
        <v>3.8510000000000004</v>
      </c>
      <c r="K80" s="113">
        <v>3.8560000000000003</v>
      </c>
      <c r="L80" s="128">
        <v>0.44</v>
      </c>
      <c r="M80" s="113">
        <v>0.06</v>
      </c>
      <c r="O80" s="97"/>
      <c r="P80" s="127"/>
      <c r="Q80" s="127"/>
      <c r="R80" s="280">
        <f t="shared" ca="1" si="4"/>
        <v>38838</v>
      </c>
      <c r="S80" s="142">
        <f t="shared" si="5"/>
        <v>0.43</v>
      </c>
      <c r="T80" s="141">
        <f t="shared" si="8"/>
        <v>0.5</v>
      </c>
      <c r="U80" s="143">
        <f t="shared" si="6"/>
        <v>0.57000000000000006</v>
      </c>
      <c r="BP80" s="103">
        <f t="shared" si="10"/>
        <v>79</v>
      </c>
      <c r="BQ80" s="155" t="s">
        <v>251</v>
      </c>
      <c r="BR80" s="102" t="s">
        <v>166</v>
      </c>
      <c r="BS80" s="101" t="s">
        <v>192</v>
      </c>
      <c r="BT80" s="107" t="s">
        <v>168</v>
      </c>
      <c r="BU80" s="107"/>
      <c r="BV80" s="101">
        <v>1</v>
      </c>
      <c r="BW80" s="102" t="s">
        <v>850</v>
      </c>
      <c r="BX80"/>
      <c r="BZ80" s="103">
        <f t="shared" si="11"/>
        <v>79</v>
      </c>
      <c r="CA80" s="4" t="s">
        <v>475</v>
      </c>
      <c r="CB80" s="102" t="s">
        <v>169</v>
      </c>
      <c r="CC80" s="101" t="s">
        <v>167</v>
      </c>
      <c r="CD80" s="107" t="s">
        <v>168</v>
      </c>
      <c r="CE80" s="107"/>
      <c r="CF80" s="101">
        <v>1</v>
      </c>
      <c r="CG80" s="102" t="s">
        <v>665</v>
      </c>
      <c r="CH80"/>
    </row>
    <row r="81" spans="1:86" ht="13.2">
      <c r="A81" s="125"/>
      <c r="B81" s="126">
        <f t="shared" ca="1" si="7"/>
        <v>38869</v>
      </c>
      <c r="C81" s="113">
        <v>5.721725472952701E-2</v>
      </c>
      <c r="D81" s="128">
        <v>0.5</v>
      </c>
      <c r="E81" s="128">
        <v>0.5</v>
      </c>
      <c r="F81" s="128">
        <v>0.22750000000000001</v>
      </c>
      <c r="G81" s="128">
        <v>0.23499999999999999</v>
      </c>
      <c r="H81" s="128">
        <v>0.24249999999999999</v>
      </c>
      <c r="I81" s="127">
        <v>3.875</v>
      </c>
      <c r="J81" s="128">
        <v>3.88</v>
      </c>
      <c r="K81" s="113">
        <v>3.8849999999999998</v>
      </c>
      <c r="L81" s="128">
        <v>0.44</v>
      </c>
      <c r="M81" s="113">
        <v>0.06</v>
      </c>
      <c r="O81" s="97"/>
      <c r="P81" s="127"/>
      <c r="Q81" s="127"/>
      <c r="R81" s="280">
        <f t="shared" ref="R81:R144" ca="1" si="12">B81</f>
        <v>38869</v>
      </c>
      <c r="S81" s="142">
        <f t="shared" ref="S81:S144" si="13">T81-$S$16</f>
        <v>0.43</v>
      </c>
      <c r="T81" s="141">
        <f t="shared" si="8"/>
        <v>0.5</v>
      </c>
      <c r="U81" s="143">
        <f t="shared" ref="U81:U144" si="14">$U$16+T81</f>
        <v>0.57000000000000006</v>
      </c>
      <c r="BP81" s="103">
        <f t="shared" si="10"/>
        <v>80</v>
      </c>
      <c r="BQ81" s="155" t="s">
        <v>252</v>
      </c>
      <c r="BR81" s="102" t="s">
        <v>166</v>
      </c>
      <c r="BS81" s="101" t="s">
        <v>192</v>
      </c>
      <c r="BT81" s="107" t="s">
        <v>168</v>
      </c>
      <c r="BU81" s="107"/>
      <c r="BV81" s="101">
        <v>1</v>
      </c>
      <c r="BW81" s="102" t="s">
        <v>851</v>
      </c>
      <c r="BX81"/>
      <c r="BZ81" s="103">
        <f t="shared" si="11"/>
        <v>80</v>
      </c>
      <c r="CA81" s="4" t="s">
        <v>476</v>
      </c>
      <c r="CB81" s="102" t="s">
        <v>169</v>
      </c>
      <c r="CC81" s="101" t="s">
        <v>167</v>
      </c>
      <c r="CD81" s="107" t="s">
        <v>168</v>
      </c>
      <c r="CE81" s="107"/>
      <c r="CF81" s="101">
        <v>1</v>
      </c>
      <c r="CG81" s="102" t="s">
        <v>666</v>
      </c>
      <c r="CH81"/>
    </row>
    <row r="82" spans="1:86" ht="13.2">
      <c r="A82" s="125"/>
      <c r="B82" s="126">
        <f t="shared" ref="B82:B145" ca="1" si="15">NextMonth(B81)</f>
        <v>38899</v>
      </c>
      <c r="C82" s="113">
        <v>5.7272490821583012E-2</v>
      </c>
      <c r="D82" s="128">
        <v>0.5</v>
      </c>
      <c r="E82" s="128">
        <v>0.5</v>
      </c>
      <c r="F82" s="128">
        <v>0.22750000000000001</v>
      </c>
      <c r="G82" s="128">
        <v>0.23499999999999999</v>
      </c>
      <c r="H82" s="128">
        <v>0.24249999999999999</v>
      </c>
      <c r="I82" s="127">
        <v>3.9049999999999998</v>
      </c>
      <c r="J82" s="128">
        <v>3.91</v>
      </c>
      <c r="K82" s="113">
        <v>3.915</v>
      </c>
      <c r="L82" s="128">
        <v>0.5</v>
      </c>
      <c r="M82" s="113">
        <v>0.06</v>
      </c>
      <c r="O82" s="97"/>
      <c r="P82" s="127"/>
      <c r="Q82" s="127"/>
      <c r="R82" s="280">
        <f t="shared" ca="1" si="12"/>
        <v>38899</v>
      </c>
      <c r="S82" s="142">
        <f t="shared" si="13"/>
        <v>0.43</v>
      </c>
      <c r="T82" s="141">
        <f t="shared" ref="T82:T145" si="16">D82</f>
        <v>0.5</v>
      </c>
      <c r="U82" s="143">
        <f t="shared" si="14"/>
        <v>0.57000000000000006</v>
      </c>
      <c r="BP82" s="103">
        <f t="shared" si="10"/>
        <v>81</v>
      </c>
      <c r="BQ82" s="155" t="s">
        <v>253</v>
      </c>
      <c r="BR82" s="102" t="s">
        <v>166</v>
      </c>
      <c r="BS82" s="101" t="s">
        <v>192</v>
      </c>
      <c r="BT82" s="107" t="s">
        <v>168</v>
      </c>
      <c r="BU82" s="107"/>
      <c r="BV82" s="101">
        <v>1</v>
      </c>
      <c r="BW82" s="102" t="s">
        <v>852</v>
      </c>
      <c r="BX82"/>
      <c r="BZ82" s="103">
        <f t="shared" si="11"/>
        <v>81</v>
      </c>
      <c r="CA82" s="4" t="s">
        <v>477</v>
      </c>
      <c r="CB82" s="102" t="s">
        <v>169</v>
      </c>
      <c r="CC82" s="101" t="s">
        <v>167</v>
      </c>
      <c r="CD82" s="107" t="s">
        <v>168</v>
      </c>
      <c r="CE82" s="107"/>
      <c r="CF82" s="101">
        <v>1</v>
      </c>
      <c r="CG82" s="102" t="s">
        <v>667</v>
      </c>
      <c r="CH82"/>
    </row>
    <row r="83" spans="1:86" ht="13.2">
      <c r="A83" s="125"/>
      <c r="B83" s="126">
        <f t="shared" ca="1" si="15"/>
        <v>38930</v>
      </c>
      <c r="C83" s="113">
        <v>5.7329568117773018E-2</v>
      </c>
      <c r="D83" s="128">
        <v>0.6</v>
      </c>
      <c r="E83" s="128">
        <v>0.6</v>
      </c>
      <c r="F83" s="128">
        <v>0.22750000000000001</v>
      </c>
      <c r="G83" s="128">
        <v>0.23499999999999999</v>
      </c>
      <c r="H83" s="128">
        <v>0.24249999999999999</v>
      </c>
      <c r="I83" s="127">
        <v>3.9249999999999998</v>
      </c>
      <c r="J83" s="128">
        <v>3.93</v>
      </c>
      <c r="K83" s="113">
        <v>3.9350000000000001</v>
      </c>
      <c r="L83" s="128">
        <v>0.5</v>
      </c>
      <c r="M83" s="113">
        <v>0.06</v>
      </c>
      <c r="O83" s="97"/>
      <c r="P83" s="127"/>
      <c r="Q83" s="127"/>
      <c r="R83" s="280">
        <f t="shared" ca="1" si="12"/>
        <v>38930</v>
      </c>
      <c r="S83" s="142">
        <f t="shared" si="13"/>
        <v>0.53</v>
      </c>
      <c r="T83" s="141">
        <f t="shared" si="16"/>
        <v>0.6</v>
      </c>
      <c r="U83" s="143">
        <f t="shared" si="14"/>
        <v>0.66999999999999993</v>
      </c>
      <c r="BP83" s="103">
        <f t="shared" si="10"/>
        <v>82</v>
      </c>
      <c r="BQ83" s="155" t="s">
        <v>254</v>
      </c>
      <c r="BR83" s="102" t="s">
        <v>166</v>
      </c>
      <c r="BS83" s="101" t="s">
        <v>192</v>
      </c>
      <c r="BT83" s="107" t="s">
        <v>168</v>
      </c>
      <c r="BU83" s="107"/>
      <c r="BV83" s="101">
        <v>1</v>
      </c>
      <c r="BW83" s="102" t="s">
        <v>853</v>
      </c>
      <c r="BX83"/>
      <c r="BZ83" s="103">
        <f t="shared" si="11"/>
        <v>82</v>
      </c>
      <c r="CA83" s="4" t="s">
        <v>478</v>
      </c>
      <c r="CB83" s="102" t="s">
        <v>169</v>
      </c>
      <c r="CC83" s="101" t="s">
        <v>167</v>
      </c>
      <c r="CD83" s="107" t="s">
        <v>168</v>
      </c>
      <c r="CE83" s="107"/>
      <c r="CF83" s="101">
        <v>1</v>
      </c>
      <c r="CG83" s="102" t="s">
        <v>668</v>
      </c>
      <c r="CH83"/>
    </row>
    <row r="84" spans="1:86" ht="13.2">
      <c r="A84" s="125"/>
      <c r="B84" s="126">
        <f t="shared" ca="1" si="15"/>
        <v>38961</v>
      </c>
      <c r="C84" s="113">
        <v>5.7386645415047011E-2</v>
      </c>
      <c r="D84" s="128">
        <v>0.6</v>
      </c>
      <c r="E84" s="128">
        <v>0.6</v>
      </c>
      <c r="F84" s="128">
        <v>0.22750000000000001</v>
      </c>
      <c r="G84" s="128">
        <v>0.23499999999999999</v>
      </c>
      <c r="H84" s="128">
        <v>0.24249999999999999</v>
      </c>
      <c r="I84" s="127">
        <v>3.9460000000000002</v>
      </c>
      <c r="J84" s="128">
        <v>3.9510000000000005</v>
      </c>
      <c r="K84" s="113">
        <v>3.9560000000000004</v>
      </c>
      <c r="L84" s="128">
        <v>0.46</v>
      </c>
      <c r="M84" s="113">
        <v>0.06</v>
      </c>
      <c r="O84" s="97"/>
      <c r="P84" s="127"/>
      <c r="Q84" s="127"/>
      <c r="R84" s="280">
        <f t="shared" ca="1" si="12"/>
        <v>38961</v>
      </c>
      <c r="S84" s="142">
        <f t="shared" si="13"/>
        <v>0.53</v>
      </c>
      <c r="T84" s="141">
        <f t="shared" si="16"/>
        <v>0.6</v>
      </c>
      <c r="U84" s="143">
        <f t="shared" si="14"/>
        <v>0.66999999999999993</v>
      </c>
      <c r="BP84" s="103">
        <f t="shared" si="10"/>
        <v>83</v>
      </c>
      <c r="BQ84" s="155" t="s">
        <v>255</v>
      </c>
      <c r="BR84" s="102" t="s">
        <v>166</v>
      </c>
      <c r="BS84" s="101" t="s">
        <v>192</v>
      </c>
      <c r="BT84" s="107" t="s">
        <v>168</v>
      </c>
      <c r="BU84" s="107"/>
      <c r="BV84" s="101">
        <v>1</v>
      </c>
      <c r="BW84" s="102" t="s">
        <v>854</v>
      </c>
      <c r="BX84"/>
      <c r="BZ84" s="103">
        <f t="shared" si="11"/>
        <v>83</v>
      </c>
      <c r="CA84" s="4" t="s">
        <v>479</v>
      </c>
      <c r="CB84" s="102" t="s">
        <v>169</v>
      </c>
      <c r="CC84" s="101" t="s">
        <v>167</v>
      </c>
      <c r="CD84" s="107" t="s">
        <v>168</v>
      </c>
      <c r="CE84" s="107"/>
      <c r="CF84" s="101">
        <v>1</v>
      </c>
      <c r="CG84" s="102" t="s">
        <v>669</v>
      </c>
      <c r="CH84"/>
    </row>
    <row r="85" spans="1:86" ht="13.2">
      <c r="A85" s="125"/>
      <c r="B85" s="126">
        <f t="shared" ca="1" si="15"/>
        <v>38991</v>
      </c>
      <c r="C85" s="113">
        <v>5.7441881510215016E-2</v>
      </c>
      <c r="D85" s="128">
        <v>0.65</v>
      </c>
      <c r="E85" s="128">
        <v>0.65</v>
      </c>
      <c r="F85" s="128">
        <v>0.22750000000000001</v>
      </c>
      <c r="G85" s="128">
        <v>0.23499999999999999</v>
      </c>
      <c r="H85" s="128">
        <v>0.24249999999999999</v>
      </c>
      <c r="I85" s="127">
        <v>3.9760000000000004</v>
      </c>
      <c r="J85" s="128">
        <v>3.9810000000000003</v>
      </c>
      <c r="K85" s="113">
        <v>3.9860000000000002</v>
      </c>
      <c r="L85" s="128">
        <v>0.47</v>
      </c>
      <c r="M85" s="113">
        <v>0.06</v>
      </c>
      <c r="O85" s="97"/>
      <c r="P85" s="127"/>
      <c r="Q85" s="127"/>
      <c r="R85" s="280">
        <f t="shared" ca="1" si="12"/>
        <v>38991</v>
      </c>
      <c r="S85" s="142">
        <f t="shared" si="13"/>
        <v>0.58000000000000007</v>
      </c>
      <c r="T85" s="141">
        <f t="shared" si="16"/>
        <v>0.65</v>
      </c>
      <c r="U85" s="143">
        <f t="shared" si="14"/>
        <v>0.72</v>
      </c>
      <c r="BP85" s="103">
        <f t="shared" si="10"/>
        <v>84</v>
      </c>
      <c r="BQ85" s="155" t="s">
        <v>256</v>
      </c>
      <c r="BR85" s="102" t="s">
        <v>166</v>
      </c>
      <c r="BS85" s="101" t="s">
        <v>192</v>
      </c>
      <c r="BT85" s="107" t="s">
        <v>168</v>
      </c>
      <c r="BU85" s="107"/>
      <c r="BV85" s="101">
        <v>1</v>
      </c>
      <c r="BW85" s="102" t="s">
        <v>855</v>
      </c>
      <c r="BX85"/>
      <c r="BZ85" s="103">
        <f t="shared" si="11"/>
        <v>84</v>
      </c>
      <c r="CA85" s="4" t="s">
        <v>480</v>
      </c>
      <c r="CB85" s="102" t="s">
        <v>169</v>
      </c>
      <c r="CC85" s="101" t="s">
        <v>167</v>
      </c>
      <c r="CD85" s="107" t="s">
        <v>168</v>
      </c>
      <c r="CE85" s="107"/>
      <c r="CF85" s="101">
        <v>1</v>
      </c>
      <c r="CG85" s="102" t="s">
        <v>670</v>
      </c>
      <c r="CH85"/>
    </row>
    <row r="86" spans="1:86" ht="13.2">
      <c r="A86" s="125"/>
      <c r="B86" s="126">
        <f t="shared" ca="1" si="15"/>
        <v>39022</v>
      </c>
      <c r="C86" s="113">
        <v>5.7498958809623003E-2</v>
      </c>
      <c r="D86" s="128">
        <v>0.95</v>
      </c>
      <c r="E86" s="128">
        <v>0.95</v>
      </c>
      <c r="F86" s="128">
        <v>0.23</v>
      </c>
      <c r="G86" s="128">
        <v>0.23749999999999999</v>
      </c>
      <c r="H86" s="128">
        <v>0.245</v>
      </c>
      <c r="I86" s="127">
        <v>4.1160000000000005</v>
      </c>
      <c r="J86" s="128">
        <v>4.1210000000000004</v>
      </c>
      <c r="K86" s="113">
        <v>4.1260000000000003</v>
      </c>
      <c r="L86" s="128">
        <v>0.86</v>
      </c>
      <c r="M86" s="113">
        <v>0.04</v>
      </c>
      <c r="O86" s="97"/>
      <c r="P86" s="127"/>
      <c r="Q86" s="127"/>
      <c r="R86" s="280">
        <f t="shared" ca="1" si="12"/>
        <v>39022</v>
      </c>
      <c r="S86" s="142">
        <f t="shared" si="13"/>
        <v>0.87999999999999989</v>
      </c>
      <c r="T86" s="141">
        <f t="shared" si="16"/>
        <v>0.95</v>
      </c>
      <c r="U86" s="143">
        <f t="shared" si="14"/>
        <v>1.02</v>
      </c>
      <c r="BP86" s="103">
        <f t="shared" si="10"/>
        <v>85</v>
      </c>
      <c r="BQ86" s="155" t="s">
        <v>257</v>
      </c>
      <c r="BR86" s="102" t="s">
        <v>166</v>
      </c>
      <c r="BS86" s="101" t="s">
        <v>192</v>
      </c>
      <c r="BT86" s="107" t="s">
        <v>168</v>
      </c>
      <c r="BU86" s="107"/>
      <c r="BV86" s="101">
        <v>1</v>
      </c>
      <c r="BW86" s="102" t="s">
        <v>856</v>
      </c>
      <c r="BX86"/>
      <c r="BZ86" s="103">
        <f t="shared" si="11"/>
        <v>85</v>
      </c>
      <c r="CA86" s="4" t="s">
        <v>481</v>
      </c>
      <c r="CB86" s="102" t="s">
        <v>169</v>
      </c>
      <c r="CC86" s="101" t="s">
        <v>167</v>
      </c>
      <c r="CD86" s="107" t="s">
        <v>168</v>
      </c>
      <c r="CE86" s="107"/>
      <c r="CF86" s="101">
        <v>1</v>
      </c>
      <c r="CG86" s="102" t="s">
        <v>671</v>
      </c>
      <c r="CH86"/>
    </row>
    <row r="87" spans="1:86" ht="13.2">
      <c r="A87" s="125"/>
      <c r="B87" s="126">
        <f t="shared" ca="1" si="15"/>
        <v>39052</v>
      </c>
      <c r="C87" s="113">
        <v>5.7554194906854018E-2</v>
      </c>
      <c r="D87" s="128">
        <v>1.25</v>
      </c>
      <c r="E87" s="128">
        <v>1.25</v>
      </c>
      <c r="F87" s="128">
        <v>0.23749999999999999</v>
      </c>
      <c r="G87" s="128">
        <v>0.245</v>
      </c>
      <c r="H87" s="128">
        <v>0.2525</v>
      </c>
      <c r="I87" s="127">
        <v>4.2410000000000005</v>
      </c>
      <c r="J87" s="128">
        <v>4.2460000000000004</v>
      </c>
      <c r="K87" s="113">
        <v>4.2510000000000003</v>
      </c>
      <c r="L87" s="128">
        <v>1.28</v>
      </c>
      <c r="M87" s="113">
        <v>0.04</v>
      </c>
      <c r="O87" s="97"/>
      <c r="P87" s="127"/>
      <c r="Q87" s="127"/>
      <c r="R87" s="280">
        <f t="shared" ca="1" si="12"/>
        <v>39052</v>
      </c>
      <c r="S87" s="142">
        <f t="shared" si="13"/>
        <v>1.18</v>
      </c>
      <c r="T87" s="141">
        <f t="shared" si="16"/>
        <v>1.25</v>
      </c>
      <c r="U87" s="143">
        <f t="shared" si="14"/>
        <v>1.32</v>
      </c>
      <c r="BP87" s="103">
        <f t="shared" si="10"/>
        <v>86</v>
      </c>
      <c r="BQ87" s="155" t="s">
        <v>258</v>
      </c>
      <c r="BR87" s="102" t="s">
        <v>166</v>
      </c>
      <c r="BS87" s="101" t="s">
        <v>192</v>
      </c>
      <c r="BT87" s="107" t="s">
        <v>168</v>
      </c>
      <c r="BU87" s="107"/>
      <c r="BV87" s="101">
        <v>1</v>
      </c>
      <c r="BW87" s="102" t="s">
        <v>857</v>
      </c>
      <c r="BX87"/>
      <c r="BZ87" s="103">
        <f t="shared" si="11"/>
        <v>86</v>
      </c>
      <c r="CA87" s="4" t="s">
        <v>482</v>
      </c>
      <c r="CB87" s="102" t="s">
        <v>169</v>
      </c>
      <c r="CC87" s="101" t="s">
        <v>167</v>
      </c>
      <c r="CD87" s="107" t="s">
        <v>168</v>
      </c>
      <c r="CE87" s="107"/>
      <c r="CF87" s="101">
        <v>1</v>
      </c>
      <c r="CG87" s="102" t="s">
        <v>672</v>
      </c>
      <c r="CH87"/>
    </row>
    <row r="88" spans="1:86" ht="13.2">
      <c r="A88" s="125"/>
      <c r="B88" s="126">
        <f t="shared" ca="1" si="15"/>
        <v>39083</v>
      </c>
      <c r="C88" s="113">
        <v>5.7611272208394015E-2</v>
      </c>
      <c r="D88" s="128">
        <v>1.45</v>
      </c>
      <c r="E88" s="128">
        <v>1.45</v>
      </c>
      <c r="F88" s="128">
        <v>0.24</v>
      </c>
      <c r="G88" s="128">
        <v>0.2475</v>
      </c>
      <c r="H88" s="128">
        <v>0.255</v>
      </c>
      <c r="I88" s="127">
        <v>4.335</v>
      </c>
      <c r="J88" s="128">
        <v>4.34</v>
      </c>
      <c r="K88" s="113">
        <v>4.3449999999999998</v>
      </c>
      <c r="L88" s="128">
        <v>1.61</v>
      </c>
      <c r="M88" s="113">
        <v>0.04</v>
      </c>
      <c r="O88" s="97"/>
      <c r="P88" s="127"/>
      <c r="Q88" s="127"/>
      <c r="R88" s="280">
        <f t="shared" ca="1" si="12"/>
        <v>39083</v>
      </c>
      <c r="S88" s="142">
        <f t="shared" si="13"/>
        <v>1.38</v>
      </c>
      <c r="T88" s="141">
        <f t="shared" si="16"/>
        <v>1.45</v>
      </c>
      <c r="U88" s="143">
        <f t="shared" si="14"/>
        <v>1.52</v>
      </c>
      <c r="BP88" s="103">
        <f t="shared" si="10"/>
        <v>87</v>
      </c>
      <c r="BQ88" s="155" t="s">
        <v>259</v>
      </c>
      <c r="BR88" s="102" t="s">
        <v>166</v>
      </c>
      <c r="BS88" s="101" t="s">
        <v>192</v>
      </c>
      <c r="BT88" s="107" t="s">
        <v>168</v>
      </c>
      <c r="BU88" s="107"/>
      <c r="BV88" s="101">
        <v>1</v>
      </c>
      <c r="BW88" s="102" t="s">
        <v>858</v>
      </c>
      <c r="BX88"/>
      <c r="BZ88" s="103">
        <f t="shared" si="11"/>
        <v>87</v>
      </c>
      <c r="CA88" s="4" t="s">
        <v>483</v>
      </c>
      <c r="CB88" s="102" t="s">
        <v>169</v>
      </c>
      <c r="CC88" s="101" t="s">
        <v>167</v>
      </c>
      <c r="CD88" s="107" t="s">
        <v>168</v>
      </c>
      <c r="CE88" s="107"/>
      <c r="CF88" s="101">
        <v>1</v>
      </c>
      <c r="CG88" s="102" t="s">
        <v>673</v>
      </c>
      <c r="CH88"/>
    </row>
    <row r="89" spans="1:86" ht="13.2">
      <c r="A89" s="125"/>
      <c r="B89" s="126">
        <f t="shared" ca="1" si="15"/>
        <v>39114</v>
      </c>
      <c r="C89" s="113">
        <v>5.7668349511017014E-2</v>
      </c>
      <c r="D89" s="128">
        <v>1.45</v>
      </c>
      <c r="E89" s="128">
        <v>1.45</v>
      </c>
      <c r="F89" s="128">
        <v>0.22750000000000001</v>
      </c>
      <c r="G89" s="128">
        <v>0.23499999999999999</v>
      </c>
      <c r="H89" s="128">
        <v>0.24249999999999999</v>
      </c>
      <c r="I89" s="127">
        <v>4.2390000000000008</v>
      </c>
      <c r="J89" s="128">
        <v>4.2440000000000007</v>
      </c>
      <c r="K89" s="113">
        <v>4.2490000000000006</v>
      </c>
      <c r="L89" s="128">
        <v>1.57</v>
      </c>
      <c r="M89" s="113">
        <v>0.04</v>
      </c>
      <c r="O89" s="97"/>
      <c r="P89" s="127"/>
      <c r="Q89" s="127"/>
      <c r="R89" s="280">
        <f t="shared" ca="1" si="12"/>
        <v>39114</v>
      </c>
      <c r="S89" s="142">
        <f t="shared" si="13"/>
        <v>1.38</v>
      </c>
      <c r="T89" s="141">
        <f t="shared" si="16"/>
        <v>1.45</v>
      </c>
      <c r="U89" s="143">
        <f t="shared" si="14"/>
        <v>1.52</v>
      </c>
      <c r="BP89" s="103">
        <f t="shared" si="10"/>
        <v>88</v>
      </c>
      <c r="BQ89" s="155" t="s">
        <v>260</v>
      </c>
      <c r="BR89" s="102" t="s">
        <v>166</v>
      </c>
      <c r="BS89" s="101" t="s">
        <v>192</v>
      </c>
      <c r="BT89" s="107" t="s">
        <v>168</v>
      </c>
      <c r="BU89" s="107"/>
      <c r="BV89" s="101">
        <v>1</v>
      </c>
      <c r="BW89" s="102" t="s">
        <v>859</v>
      </c>
      <c r="BX89"/>
      <c r="BZ89" s="103">
        <f t="shared" si="11"/>
        <v>88</v>
      </c>
      <c r="CA89" s="4" t="s">
        <v>484</v>
      </c>
      <c r="CB89" s="102" t="s">
        <v>169</v>
      </c>
      <c r="CC89" s="101" t="s">
        <v>167</v>
      </c>
      <c r="CD89" s="107" t="s">
        <v>168</v>
      </c>
      <c r="CE89" s="107"/>
      <c r="CF89" s="101">
        <v>1</v>
      </c>
      <c r="CG89" s="102" t="s">
        <v>674</v>
      </c>
      <c r="CH89"/>
    </row>
    <row r="90" spans="1:86" ht="13.2">
      <c r="A90" s="125"/>
      <c r="B90" s="126">
        <f t="shared" ca="1" si="15"/>
        <v>39142</v>
      </c>
      <c r="C90" s="113">
        <v>5.7719903204641002E-2</v>
      </c>
      <c r="D90" s="128">
        <v>1</v>
      </c>
      <c r="E90" s="128">
        <v>1</v>
      </c>
      <c r="F90" s="128">
        <v>0.22</v>
      </c>
      <c r="G90" s="128">
        <v>0.22750000000000001</v>
      </c>
      <c r="H90" s="128">
        <v>0.23499999999999999</v>
      </c>
      <c r="I90" s="127">
        <v>4.0890000000000004</v>
      </c>
      <c r="J90" s="128">
        <v>4.0940000000000003</v>
      </c>
      <c r="K90" s="113">
        <v>4.0990000000000002</v>
      </c>
      <c r="L90" s="128">
        <v>0.93</v>
      </c>
      <c r="M90" s="113">
        <v>0.04</v>
      </c>
      <c r="O90" s="97"/>
      <c r="P90" s="127"/>
      <c r="Q90" s="127"/>
      <c r="R90" s="280">
        <f t="shared" ca="1" si="12"/>
        <v>39142</v>
      </c>
      <c r="S90" s="142">
        <f t="shared" si="13"/>
        <v>0.92999999999999994</v>
      </c>
      <c r="T90" s="141">
        <f t="shared" si="16"/>
        <v>1</v>
      </c>
      <c r="U90" s="143">
        <f t="shared" si="14"/>
        <v>1.07</v>
      </c>
      <c r="BP90" s="103">
        <f t="shared" si="10"/>
        <v>89</v>
      </c>
      <c r="BQ90" s="155" t="s">
        <v>261</v>
      </c>
      <c r="BR90" s="102" t="s">
        <v>166</v>
      </c>
      <c r="BS90" s="101" t="s">
        <v>192</v>
      </c>
      <c r="BT90" s="107" t="s">
        <v>168</v>
      </c>
      <c r="BU90" s="107"/>
      <c r="BV90" s="101">
        <v>1</v>
      </c>
      <c r="BW90" s="102" t="s">
        <v>860</v>
      </c>
      <c r="BX90"/>
      <c r="BZ90" s="103">
        <f t="shared" si="11"/>
        <v>89</v>
      </c>
      <c r="CA90" s="4" t="s">
        <v>485</v>
      </c>
      <c r="CB90" s="102" t="s">
        <v>169</v>
      </c>
      <c r="CC90" s="101" t="s">
        <v>167</v>
      </c>
      <c r="CD90" s="107" t="s">
        <v>168</v>
      </c>
      <c r="CE90" s="107"/>
      <c r="CF90" s="101">
        <v>1</v>
      </c>
      <c r="CG90" s="102" t="s">
        <v>675</v>
      </c>
      <c r="CH90"/>
    </row>
    <row r="91" spans="1:86" ht="13.2">
      <c r="A91" s="125"/>
      <c r="B91" s="126">
        <f t="shared" ca="1" si="15"/>
        <v>39173</v>
      </c>
      <c r="C91" s="113">
        <v>5.7776980509326004E-2</v>
      </c>
      <c r="D91" s="128">
        <v>0.45</v>
      </c>
      <c r="E91" s="128">
        <v>0.45</v>
      </c>
      <c r="F91" s="128">
        <v>0.22</v>
      </c>
      <c r="G91" s="128">
        <v>0.22750000000000001</v>
      </c>
      <c r="H91" s="128">
        <v>0.23499999999999999</v>
      </c>
      <c r="I91" s="127">
        <v>3.9060000000000001</v>
      </c>
      <c r="J91" s="128">
        <v>3.9110000000000005</v>
      </c>
      <c r="K91" s="113">
        <v>3.9160000000000004</v>
      </c>
      <c r="L91" s="128">
        <v>0.5</v>
      </c>
      <c r="M91" s="113">
        <v>0.06</v>
      </c>
      <c r="O91" s="97"/>
      <c r="P91" s="127"/>
      <c r="Q91" s="127"/>
      <c r="R91" s="280">
        <f t="shared" ca="1" si="12"/>
        <v>39173</v>
      </c>
      <c r="S91" s="142">
        <f t="shared" si="13"/>
        <v>0.38</v>
      </c>
      <c r="T91" s="141">
        <f t="shared" si="16"/>
        <v>0.45</v>
      </c>
      <c r="U91" s="143">
        <f t="shared" si="14"/>
        <v>0.52</v>
      </c>
      <c r="BP91" s="103">
        <f t="shared" si="10"/>
        <v>90</v>
      </c>
      <c r="BQ91" s="155" t="s">
        <v>262</v>
      </c>
      <c r="BR91" s="102" t="s">
        <v>166</v>
      </c>
      <c r="BS91" s="101" t="s">
        <v>192</v>
      </c>
      <c r="BT91" s="107" t="s">
        <v>168</v>
      </c>
      <c r="BU91" s="107"/>
      <c r="BV91" s="101">
        <v>1</v>
      </c>
      <c r="BW91" s="102" t="s">
        <v>861</v>
      </c>
      <c r="BX91"/>
      <c r="BZ91" s="103">
        <f t="shared" si="11"/>
        <v>90</v>
      </c>
      <c r="CA91" s="4" t="s">
        <v>486</v>
      </c>
      <c r="CB91" s="102" t="s">
        <v>169</v>
      </c>
      <c r="CC91" s="101" t="s">
        <v>167</v>
      </c>
      <c r="CD91" s="107" t="s">
        <v>168</v>
      </c>
      <c r="CE91" s="107"/>
      <c r="CF91" s="101">
        <v>1</v>
      </c>
      <c r="CG91" s="102" t="s">
        <v>676</v>
      </c>
      <c r="CH91"/>
    </row>
    <row r="92" spans="1:86" ht="13.2">
      <c r="A92" s="125"/>
      <c r="B92" s="126">
        <f t="shared" ca="1" si="15"/>
        <v>39203</v>
      </c>
      <c r="C92" s="113">
        <v>5.7832216611667001E-2</v>
      </c>
      <c r="D92" s="128">
        <v>0.5</v>
      </c>
      <c r="E92" s="128">
        <v>0.5</v>
      </c>
      <c r="F92" s="128">
        <v>0.22</v>
      </c>
      <c r="G92" s="128">
        <v>0.22750000000000001</v>
      </c>
      <c r="H92" s="128">
        <v>0.23499999999999999</v>
      </c>
      <c r="I92" s="127">
        <v>3.8810000000000002</v>
      </c>
      <c r="J92" s="128">
        <v>3.8860000000000001</v>
      </c>
      <c r="K92" s="113">
        <v>3.8910000000000005</v>
      </c>
      <c r="L92" s="128">
        <v>0.44</v>
      </c>
      <c r="M92" s="113">
        <v>0.06</v>
      </c>
      <c r="O92" s="97"/>
      <c r="P92" s="127"/>
      <c r="Q92" s="127"/>
      <c r="R92" s="280">
        <f t="shared" ca="1" si="12"/>
        <v>39203</v>
      </c>
      <c r="S92" s="142">
        <f t="shared" si="13"/>
        <v>0.43</v>
      </c>
      <c r="T92" s="141">
        <f t="shared" si="16"/>
        <v>0.5</v>
      </c>
      <c r="U92" s="143">
        <f t="shared" si="14"/>
        <v>0.57000000000000006</v>
      </c>
      <c r="BP92" s="103">
        <f t="shared" si="10"/>
        <v>91</v>
      </c>
      <c r="BQ92" s="155" t="s">
        <v>263</v>
      </c>
      <c r="BR92" s="102" t="s">
        <v>166</v>
      </c>
      <c r="BS92" s="101" t="s">
        <v>192</v>
      </c>
      <c r="BT92" s="107" t="s">
        <v>168</v>
      </c>
      <c r="BU92" s="107"/>
      <c r="BV92" s="101">
        <v>1</v>
      </c>
      <c r="BW92" s="102" t="s">
        <v>862</v>
      </c>
      <c r="BX92"/>
      <c r="BZ92" s="103">
        <f t="shared" si="11"/>
        <v>91</v>
      </c>
      <c r="CA92" s="4" t="s">
        <v>487</v>
      </c>
      <c r="CB92" s="102" t="s">
        <v>169</v>
      </c>
      <c r="CC92" s="101" t="s">
        <v>167</v>
      </c>
      <c r="CD92" s="107" t="s">
        <v>168</v>
      </c>
      <c r="CE92" s="107"/>
      <c r="CF92" s="101">
        <v>1</v>
      </c>
      <c r="CG92" s="102" t="s">
        <v>677</v>
      </c>
      <c r="CH92"/>
    </row>
    <row r="93" spans="1:86" ht="13.2">
      <c r="A93" s="125"/>
      <c r="B93" s="126">
        <f t="shared" ca="1" si="15"/>
        <v>39234</v>
      </c>
      <c r="C93" s="113">
        <v>5.7889293918484019E-2</v>
      </c>
      <c r="D93" s="128">
        <v>0.5</v>
      </c>
      <c r="E93" s="128">
        <v>0.5</v>
      </c>
      <c r="F93" s="128">
        <v>0.21</v>
      </c>
      <c r="G93" s="128">
        <v>0.2175</v>
      </c>
      <c r="H93" s="128">
        <v>0.22500000000000001</v>
      </c>
      <c r="I93" s="127">
        <v>3.91</v>
      </c>
      <c r="J93" s="128">
        <v>3.915</v>
      </c>
      <c r="K93" s="113">
        <v>3.92</v>
      </c>
      <c r="L93" s="128">
        <v>0.44</v>
      </c>
      <c r="M93" s="113">
        <v>0.06</v>
      </c>
      <c r="O93" s="97"/>
      <c r="P93" s="127"/>
      <c r="Q93" s="127"/>
      <c r="R93" s="280">
        <f t="shared" ca="1" si="12"/>
        <v>39234</v>
      </c>
      <c r="S93" s="142">
        <f t="shared" si="13"/>
        <v>0.43</v>
      </c>
      <c r="T93" s="141">
        <f t="shared" si="16"/>
        <v>0.5</v>
      </c>
      <c r="U93" s="143">
        <f t="shared" si="14"/>
        <v>0.57000000000000006</v>
      </c>
      <c r="BP93" s="103">
        <f t="shared" si="10"/>
        <v>92</v>
      </c>
      <c r="BQ93" s="155" t="s">
        <v>264</v>
      </c>
      <c r="BR93" s="102" t="s">
        <v>166</v>
      </c>
      <c r="BS93" s="101" t="s">
        <v>192</v>
      </c>
      <c r="BT93" s="107" t="s">
        <v>168</v>
      </c>
      <c r="BU93" s="107"/>
      <c r="BV93" s="101">
        <v>1</v>
      </c>
      <c r="BW93" s="102" t="s">
        <v>863</v>
      </c>
      <c r="BX93"/>
      <c r="BZ93" s="103">
        <f t="shared" si="11"/>
        <v>92</v>
      </c>
      <c r="CA93" s="4" t="s">
        <v>488</v>
      </c>
      <c r="CB93" s="102" t="s">
        <v>169</v>
      </c>
      <c r="CC93" s="101" t="s">
        <v>167</v>
      </c>
      <c r="CD93" s="107" t="s">
        <v>168</v>
      </c>
      <c r="CE93" s="107"/>
      <c r="CF93" s="101">
        <v>1</v>
      </c>
      <c r="CG93" s="102" t="s">
        <v>678</v>
      </c>
      <c r="CH93"/>
    </row>
    <row r="94" spans="1:86" ht="13.2">
      <c r="A94" s="125"/>
      <c r="B94" s="126">
        <f t="shared" ca="1" si="15"/>
        <v>39264</v>
      </c>
      <c r="C94" s="113">
        <v>5.7944530022888012E-2</v>
      </c>
      <c r="D94" s="128">
        <v>0.5</v>
      </c>
      <c r="E94" s="128">
        <v>0.5</v>
      </c>
      <c r="F94" s="128">
        <v>0.21</v>
      </c>
      <c r="G94" s="128">
        <v>0.2175</v>
      </c>
      <c r="H94" s="128">
        <v>0.22500000000000001</v>
      </c>
      <c r="I94" s="127">
        <v>3.94</v>
      </c>
      <c r="J94" s="128">
        <v>3.9449999999999998</v>
      </c>
      <c r="K94" s="113">
        <v>3.95</v>
      </c>
      <c r="L94" s="128">
        <v>0.5</v>
      </c>
      <c r="M94" s="113">
        <v>0.06</v>
      </c>
      <c r="O94" s="97"/>
      <c r="P94" s="127"/>
      <c r="Q94" s="127"/>
      <c r="R94" s="280">
        <f t="shared" ca="1" si="12"/>
        <v>39264</v>
      </c>
      <c r="S94" s="142">
        <f t="shared" si="13"/>
        <v>0.43</v>
      </c>
      <c r="T94" s="141">
        <f t="shared" si="16"/>
        <v>0.5</v>
      </c>
      <c r="U94" s="143">
        <f t="shared" si="14"/>
        <v>0.57000000000000006</v>
      </c>
      <c r="BP94" s="103">
        <f t="shared" si="10"/>
        <v>93</v>
      </c>
      <c r="BQ94" s="155" t="s">
        <v>265</v>
      </c>
      <c r="BR94" s="102" t="s">
        <v>166</v>
      </c>
      <c r="BS94" s="101" t="s">
        <v>192</v>
      </c>
      <c r="BT94" s="107" t="s">
        <v>168</v>
      </c>
      <c r="BU94" s="107"/>
      <c r="BV94" s="101">
        <v>1</v>
      </c>
      <c r="BW94" s="102" t="s">
        <v>864</v>
      </c>
      <c r="BX94"/>
      <c r="BZ94" s="103">
        <f t="shared" si="11"/>
        <v>93</v>
      </c>
      <c r="CA94" s="4" t="s">
        <v>489</v>
      </c>
      <c r="CB94" s="102" t="s">
        <v>169</v>
      </c>
      <c r="CC94" s="101" t="s">
        <v>167</v>
      </c>
      <c r="CD94" s="107" t="s">
        <v>168</v>
      </c>
      <c r="CE94" s="107"/>
      <c r="CF94" s="101">
        <v>1</v>
      </c>
      <c r="CG94" s="102" t="s">
        <v>679</v>
      </c>
      <c r="CH94"/>
    </row>
    <row r="95" spans="1:86" ht="13.2">
      <c r="A95" s="125"/>
      <c r="B95" s="126">
        <f t="shared" ca="1" si="15"/>
        <v>39295</v>
      </c>
      <c r="C95" s="113">
        <v>5.8001607331837998E-2</v>
      </c>
      <c r="D95" s="128">
        <v>0.6</v>
      </c>
      <c r="E95" s="128">
        <v>0.6</v>
      </c>
      <c r="F95" s="128">
        <v>0.21</v>
      </c>
      <c r="G95" s="128">
        <v>0.2175</v>
      </c>
      <c r="H95" s="128">
        <v>0.22500000000000001</v>
      </c>
      <c r="I95" s="127">
        <v>3.96</v>
      </c>
      <c r="J95" s="128">
        <v>3.9649999999999999</v>
      </c>
      <c r="K95" s="113">
        <v>3.97</v>
      </c>
      <c r="L95" s="128">
        <v>0.5</v>
      </c>
      <c r="M95" s="113">
        <v>0.06</v>
      </c>
      <c r="O95" s="97"/>
      <c r="P95" s="127"/>
      <c r="Q95" s="127"/>
      <c r="R95" s="280">
        <f t="shared" ca="1" si="12"/>
        <v>39295</v>
      </c>
      <c r="S95" s="142">
        <f t="shared" si="13"/>
        <v>0.53</v>
      </c>
      <c r="T95" s="141">
        <f t="shared" si="16"/>
        <v>0.6</v>
      </c>
      <c r="U95" s="143">
        <f t="shared" si="14"/>
        <v>0.66999999999999993</v>
      </c>
      <c r="BP95" s="103">
        <f t="shared" si="10"/>
        <v>94</v>
      </c>
      <c r="BQ95" s="155" t="s">
        <v>266</v>
      </c>
      <c r="BR95" s="102" t="s">
        <v>166</v>
      </c>
      <c r="BS95" s="101" t="s">
        <v>192</v>
      </c>
      <c r="BT95" s="107" t="s">
        <v>168</v>
      </c>
      <c r="BU95" s="107"/>
      <c r="BV95" s="101">
        <v>1</v>
      </c>
      <c r="BW95" s="102" t="s">
        <v>865</v>
      </c>
      <c r="BX95"/>
      <c r="BZ95" s="103">
        <f t="shared" si="11"/>
        <v>94</v>
      </c>
      <c r="CA95" s="4" t="s">
        <v>490</v>
      </c>
      <c r="CB95" s="102" t="s">
        <v>169</v>
      </c>
      <c r="CC95" s="101" t="s">
        <v>167</v>
      </c>
      <c r="CD95" s="107" t="s">
        <v>168</v>
      </c>
      <c r="CE95" s="107"/>
      <c r="CF95" s="101">
        <v>1</v>
      </c>
      <c r="CG95" s="102" t="s">
        <v>680</v>
      </c>
      <c r="CH95"/>
    </row>
    <row r="96" spans="1:86" ht="13.2">
      <c r="A96" s="125"/>
      <c r="B96" s="126">
        <f t="shared" ca="1" si="15"/>
        <v>39326</v>
      </c>
      <c r="C96" s="113">
        <v>5.8058684641871999E-2</v>
      </c>
      <c r="D96" s="128">
        <v>0.6</v>
      </c>
      <c r="E96" s="128">
        <v>0.6</v>
      </c>
      <c r="F96" s="128">
        <v>0.21</v>
      </c>
      <c r="G96" s="128">
        <v>0.2175</v>
      </c>
      <c r="H96" s="128">
        <v>0.22500000000000001</v>
      </c>
      <c r="I96" s="127">
        <v>3.9810000000000003</v>
      </c>
      <c r="J96" s="128">
        <v>3.9860000000000002</v>
      </c>
      <c r="K96" s="113">
        <v>3.9910000000000001</v>
      </c>
      <c r="L96" s="128">
        <v>0.46</v>
      </c>
      <c r="M96" s="113">
        <v>0.06</v>
      </c>
      <c r="O96" s="97"/>
      <c r="P96" s="127"/>
      <c r="Q96" s="127"/>
      <c r="R96" s="280">
        <f t="shared" ca="1" si="12"/>
        <v>39326</v>
      </c>
      <c r="S96" s="142">
        <f t="shared" si="13"/>
        <v>0.53</v>
      </c>
      <c r="T96" s="141">
        <f t="shared" si="16"/>
        <v>0.6</v>
      </c>
      <c r="U96" s="143">
        <f t="shared" si="14"/>
        <v>0.66999999999999993</v>
      </c>
      <c r="BP96" s="103">
        <f t="shared" si="10"/>
        <v>95</v>
      </c>
      <c r="BQ96" s="155" t="s">
        <v>267</v>
      </c>
      <c r="BR96" s="102" t="s">
        <v>166</v>
      </c>
      <c r="BS96" s="101" t="s">
        <v>192</v>
      </c>
      <c r="BT96" s="107" t="s">
        <v>168</v>
      </c>
      <c r="BU96" s="107"/>
      <c r="BV96" s="101">
        <v>1</v>
      </c>
      <c r="BW96" s="102" t="s">
        <v>866</v>
      </c>
      <c r="BX96"/>
      <c r="BZ96" s="103">
        <f t="shared" si="11"/>
        <v>95</v>
      </c>
      <c r="CA96" s="4" t="s">
        <v>491</v>
      </c>
      <c r="CB96" s="102" t="s">
        <v>169</v>
      </c>
      <c r="CC96" s="101" t="s">
        <v>167</v>
      </c>
      <c r="CD96" s="107" t="s">
        <v>168</v>
      </c>
      <c r="CE96" s="107"/>
      <c r="CF96" s="101">
        <v>1</v>
      </c>
      <c r="CG96" s="102" t="s">
        <v>681</v>
      </c>
      <c r="CH96"/>
    </row>
    <row r="97" spans="1:86" ht="13.2">
      <c r="A97" s="125"/>
      <c r="B97" s="126">
        <f t="shared" ca="1" si="15"/>
        <v>39356</v>
      </c>
      <c r="C97" s="113">
        <v>5.8113920749388009E-2</v>
      </c>
      <c r="D97" s="128">
        <v>0.65</v>
      </c>
      <c r="E97" s="128">
        <v>0.65</v>
      </c>
      <c r="F97" s="128">
        <v>0.21</v>
      </c>
      <c r="G97" s="128">
        <v>0.2175</v>
      </c>
      <c r="H97" s="128">
        <v>0.22500000000000001</v>
      </c>
      <c r="I97" s="127">
        <v>4.0110000000000001</v>
      </c>
      <c r="J97" s="128">
        <v>4.016</v>
      </c>
      <c r="K97" s="113">
        <v>4.0209999999999999</v>
      </c>
      <c r="L97" s="128">
        <v>0.47</v>
      </c>
      <c r="M97" s="113">
        <v>0.06</v>
      </c>
      <c r="O97" s="97"/>
      <c r="P97" s="127"/>
      <c r="Q97" s="127"/>
      <c r="R97" s="280">
        <f t="shared" ca="1" si="12"/>
        <v>39356</v>
      </c>
      <c r="S97" s="142">
        <f t="shared" si="13"/>
        <v>0.58000000000000007</v>
      </c>
      <c r="T97" s="141">
        <f t="shared" si="16"/>
        <v>0.65</v>
      </c>
      <c r="U97" s="143">
        <f t="shared" si="14"/>
        <v>0.72</v>
      </c>
      <c r="BP97" s="103">
        <f t="shared" si="10"/>
        <v>96</v>
      </c>
      <c r="BQ97" s="155" t="s">
        <v>268</v>
      </c>
      <c r="BR97" s="102" t="s">
        <v>166</v>
      </c>
      <c r="BS97" s="101" t="s">
        <v>192</v>
      </c>
      <c r="BT97" s="107" t="s">
        <v>168</v>
      </c>
      <c r="BU97" s="107"/>
      <c r="BV97" s="101">
        <v>1</v>
      </c>
      <c r="BW97" s="102" t="s">
        <v>867</v>
      </c>
      <c r="BX97"/>
      <c r="BZ97" s="103">
        <f t="shared" si="11"/>
        <v>96</v>
      </c>
      <c r="CA97" s="4" t="s">
        <v>492</v>
      </c>
      <c r="CB97" s="102" t="s">
        <v>169</v>
      </c>
      <c r="CC97" s="101" t="s">
        <v>167</v>
      </c>
      <c r="CD97" s="107" t="s">
        <v>168</v>
      </c>
      <c r="CE97" s="107"/>
      <c r="CF97" s="101">
        <v>1</v>
      </c>
      <c r="CG97" s="102" t="s">
        <v>682</v>
      </c>
      <c r="CH97"/>
    </row>
    <row r="98" spans="1:86" ht="13.2">
      <c r="A98" s="125"/>
      <c r="B98" s="126">
        <f t="shared" ca="1" si="15"/>
        <v>39387</v>
      </c>
      <c r="C98" s="113">
        <v>5.8170998061553007E-2</v>
      </c>
      <c r="D98" s="128">
        <v>0.95</v>
      </c>
      <c r="E98" s="128">
        <v>0.95</v>
      </c>
      <c r="F98" s="128">
        <v>0.21</v>
      </c>
      <c r="G98" s="128">
        <v>0.2175</v>
      </c>
      <c r="H98" s="128">
        <v>0.22500000000000001</v>
      </c>
      <c r="I98" s="127">
        <v>4.1510000000000007</v>
      </c>
      <c r="J98" s="128">
        <v>4.1560000000000006</v>
      </c>
      <c r="K98" s="113">
        <v>4.1610000000000005</v>
      </c>
      <c r="L98" s="128">
        <v>0.86</v>
      </c>
      <c r="M98" s="113">
        <v>0.04</v>
      </c>
      <c r="O98" s="97"/>
      <c r="P98" s="127"/>
      <c r="Q98" s="127"/>
      <c r="R98" s="280">
        <f t="shared" ca="1" si="12"/>
        <v>39387</v>
      </c>
      <c r="S98" s="142">
        <f t="shared" si="13"/>
        <v>0.87999999999999989</v>
      </c>
      <c r="T98" s="141">
        <f t="shared" si="16"/>
        <v>0.95</v>
      </c>
      <c r="U98" s="143">
        <f t="shared" si="14"/>
        <v>1.02</v>
      </c>
      <c r="BP98" s="103">
        <f t="shared" si="10"/>
        <v>97</v>
      </c>
      <c r="BQ98" s="155" t="s">
        <v>269</v>
      </c>
      <c r="BR98" s="102" t="s">
        <v>166</v>
      </c>
      <c r="BS98" s="101" t="s">
        <v>192</v>
      </c>
      <c r="BT98" s="107" t="s">
        <v>168</v>
      </c>
      <c r="BU98" s="107"/>
      <c r="BV98" s="101">
        <v>1</v>
      </c>
      <c r="BW98" s="102" t="s">
        <v>868</v>
      </c>
      <c r="BX98"/>
      <c r="BZ98" s="103">
        <f t="shared" ref="BZ98:BZ129" si="17">BZ97+CF98</f>
        <v>97</v>
      </c>
      <c r="CA98" s="4" t="s">
        <v>493</v>
      </c>
      <c r="CB98" s="102" t="s">
        <v>169</v>
      </c>
      <c r="CC98" s="101" t="s">
        <v>167</v>
      </c>
      <c r="CD98" s="107" t="s">
        <v>168</v>
      </c>
      <c r="CE98" s="107"/>
      <c r="CF98" s="101">
        <v>1</v>
      </c>
      <c r="CG98" s="102" t="s">
        <v>683</v>
      </c>
      <c r="CH98"/>
    </row>
    <row r="99" spans="1:86" ht="13.2">
      <c r="A99" s="125"/>
      <c r="B99" s="126">
        <f t="shared" ca="1" si="15"/>
        <v>39417</v>
      </c>
      <c r="C99" s="113">
        <v>5.8226234171132013E-2</v>
      </c>
      <c r="D99" s="128">
        <v>1.25</v>
      </c>
      <c r="E99" s="128">
        <v>1.25</v>
      </c>
      <c r="F99" s="128">
        <v>0.21</v>
      </c>
      <c r="G99" s="128">
        <v>0.2175</v>
      </c>
      <c r="H99" s="128">
        <v>0.22500000000000001</v>
      </c>
      <c r="I99" s="127">
        <v>4.2760000000000007</v>
      </c>
      <c r="J99" s="128">
        <v>4.2810000000000006</v>
      </c>
      <c r="K99" s="113">
        <v>4.2860000000000005</v>
      </c>
      <c r="L99" s="128">
        <v>1.28</v>
      </c>
      <c r="M99" s="113">
        <v>0.04</v>
      </c>
      <c r="O99" s="97"/>
      <c r="P99" s="127"/>
      <c r="Q99" s="127"/>
      <c r="R99" s="280">
        <f t="shared" ca="1" si="12"/>
        <v>39417</v>
      </c>
      <c r="S99" s="142">
        <f t="shared" si="13"/>
        <v>1.18</v>
      </c>
      <c r="T99" s="141">
        <f t="shared" si="16"/>
        <v>1.25</v>
      </c>
      <c r="U99" s="143">
        <f t="shared" si="14"/>
        <v>1.32</v>
      </c>
      <c r="BP99" s="103">
        <f t="shared" si="10"/>
        <v>98</v>
      </c>
      <c r="BQ99" s="155" t="s">
        <v>270</v>
      </c>
      <c r="BR99" s="102" t="s">
        <v>166</v>
      </c>
      <c r="BS99" s="101" t="s">
        <v>192</v>
      </c>
      <c r="BT99" s="107" t="s">
        <v>168</v>
      </c>
      <c r="BU99" s="107"/>
      <c r="BV99" s="101">
        <v>1</v>
      </c>
      <c r="BW99" s="102" t="s">
        <v>869</v>
      </c>
      <c r="BX99"/>
      <c r="BZ99" s="103">
        <f t="shared" si="17"/>
        <v>98</v>
      </c>
      <c r="CA99" s="4" t="s">
        <v>494</v>
      </c>
      <c r="CB99" s="102" t="s">
        <v>169</v>
      </c>
      <c r="CC99" s="101" t="s">
        <v>167</v>
      </c>
      <c r="CD99" s="107" t="s">
        <v>168</v>
      </c>
      <c r="CE99" s="107"/>
      <c r="CF99" s="101">
        <v>1</v>
      </c>
      <c r="CG99" s="102" t="s">
        <v>684</v>
      </c>
      <c r="CH99"/>
    </row>
    <row r="100" spans="1:86" ht="13.2">
      <c r="A100" s="125"/>
      <c r="B100" s="126">
        <f t="shared" ca="1" si="15"/>
        <v>39448</v>
      </c>
      <c r="C100" s="113">
        <v>5.8283311485429021E-2</v>
      </c>
      <c r="D100" s="128">
        <v>1.45</v>
      </c>
      <c r="E100" s="128">
        <v>1.45</v>
      </c>
      <c r="F100" s="128">
        <v>0.21</v>
      </c>
      <c r="G100" s="128">
        <v>0.2175</v>
      </c>
      <c r="H100" s="128">
        <v>0.22500000000000001</v>
      </c>
      <c r="I100" s="127">
        <v>4.38</v>
      </c>
      <c r="J100" s="128">
        <v>4.3849999999999998</v>
      </c>
      <c r="K100" s="113">
        <v>4.3899999999999997</v>
      </c>
      <c r="L100" s="128">
        <v>1.61</v>
      </c>
      <c r="M100" s="113">
        <v>0.04</v>
      </c>
      <c r="O100" s="97"/>
      <c r="P100" s="127"/>
      <c r="Q100" s="127"/>
      <c r="R100" s="280">
        <f t="shared" ca="1" si="12"/>
        <v>39448</v>
      </c>
      <c r="S100" s="142">
        <f t="shared" si="13"/>
        <v>1.38</v>
      </c>
      <c r="T100" s="141">
        <f t="shared" si="16"/>
        <v>1.45</v>
      </c>
      <c r="U100" s="143">
        <f t="shared" si="14"/>
        <v>1.52</v>
      </c>
      <c r="BP100" s="103">
        <f t="shared" si="10"/>
        <v>99</v>
      </c>
      <c r="BQ100" s="155" t="s">
        <v>271</v>
      </c>
      <c r="BR100" s="102" t="s">
        <v>166</v>
      </c>
      <c r="BS100" s="101" t="s">
        <v>192</v>
      </c>
      <c r="BT100" s="107" t="s">
        <v>168</v>
      </c>
      <c r="BU100" s="107"/>
      <c r="BV100" s="101">
        <v>1</v>
      </c>
      <c r="BW100" s="102" t="s">
        <v>870</v>
      </c>
      <c r="BX100"/>
      <c r="BZ100" s="103">
        <f t="shared" si="17"/>
        <v>99</v>
      </c>
      <c r="CA100" s="4" t="s">
        <v>495</v>
      </c>
      <c r="CB100" s="102" t="s">
        <v>169</v>
      </c>
      <c r="CC100" s="101" t="s">
        <v>167</v>
      </c>
      <c r="CD100" s="107" t="s">
        <v>168</v>
      </c>
      <c r="CE100" s="107"/>
      <c r="CF100" s="101">
        <v>1</v>
      </c>
      <c r="CG100" s="102" t="s">
        <v>685</v>
      </c>
      <c r="CH100"/>
    </row>
    <row r="101" spans="1:86" ht="13.2">
      <c r="A101" s="125"/>
      <c r="B101" s="126">
        <f t="shared" ca="1" si="15"/>
        <v>39479</v>
      </c>
      <c r="C101" s="113">
        <v>5.8341521263721018E-2</v>
      </c>
      <c r="D101" s="128">
        <v>1.45</v>
      </c>
      <c r="E101" s="128">
        <v>1.45</v>
      </c>
      <c r="F101" s="128">
        <v>0.20499999999999999</v>
      </c>
      <c r="G101" s="128">
        <v>0.21249999999999999</v>
      </c>
      <c r="H101" s="128">
        <v>0.22</v>
      </c>
      <c r="I101" s="127">
        <v>4.2840000000000007</v>
      </c>
      <c r="J101" s="128">
        <v>4.2890000000000006</v>
      </c>
      <c r="K101" s="113">
        <v>4.2940000000000005</v>
      </c>
      <c r="L101" s="128">
        <v>1.57</v>
      </c>
      <c r="M101" s="113">
        <v>0.04</v>
      </c>
      <c r="O101" s="97"/>
      <c r="P101" s="127"/>
      <c r="Q101" s="127"/>
      <c r="R101" s="280">
        <f t="shared" ca="1" si="12"/>
        <v>39479</v>
      </c>
      <c r="S101" s="142">
        <f t="shared" si="13"/>
        <v>1.38</v>
      </c>
      <c r="T101" s="141">
        <f t="shared" si="16"/>
        <v>1.45</v>
      </c>
      <c r="U101" s="143">
        <f t="shared" si="14"/>
        <v>1.52</v>
      </c>
      <c r="BP101" s="103">
        <f t="shared" si="10"/>
        <v>100</v>
      </c>
      <c r="BQ101" s="155" t="s">
        <v>272</v>
      </c>
      <c r="BR101" s="102" t="s">
        <v>166</v>
      </c>
      <c r="BS101" s="101" t="s">
        <v>192</v>
      </c>
      <c r="BT101" s="107" t="s">
        <v>168</v>
      </c>
      <c r="BU101" s="107"/>
      <c r="BV101" s="101">
        <v>1</v>
      </c>
      <c r="BW101" s="102" t="s">
        <v>871</v>
      </c>
      <c r="BX101"/>
      <c r="BZ101" s="103">
        <f t="shared" si="17"/>
        <v>100</v>
      </c>
      <c r="CA101" s="4" t="s">
        <v>496</v>
      </c>
      <c r="CB101" s="102" t="s">
        <v>169</v>
      </c>
      <c r="CC101" s="101" t="s">
        <v>167</v>
      </c>
      <c r="CD101" s="107" t="s">
        <v>168</v>
      </c>
      <c r="CE101" s="107"/>
      <c r="CF101" s="101">
        <v>1</v>
      </c>
      <c r="CG101" s="102" t="s">
        <v>686</v>
      </c>
      <c r="CH101"/>
    </row>
    <row r="102" spans="1:86" ht="13.2">
      <c r="A102" s="125"/>
      <c r="B102" s="126">
        <f t="shared" ca="1" si="15"/>
        <v>39508</v>
      </c>
      <c r="C102" s="113">
        <v>5.839674069626901E-2</v>
      </c>
      <c r="D102" s="128">
        <v>1</v>
      </c>
      <c r="E102" s="128">
        <v>1</v>
      </c>
      <c r="F102" s="128">
        <v>0.2</v>
      </c>
      <c r="G102" s="128">
        <v>0.20749999999999999</v>
      </c>
      <c r="H102" s="128">
        <v>0.215</v>
      </c>
      <c r="I102" s="127">
        <v>4.1340000000000003</v>
      </c>
      <c r="J102" s="128">
        <v>4.1390000000000002</v>
      </c>
      <c r="K102" s="113">
        <v>4.1440000000000001</v>
      </c>
      <c r="L102" s="128">
        <v>0.93</v>
      </c>
      <c r="M102" s="113">
        <v>0.04</v>
      </c>
      <c r="O102" s="97"/>
      <c r="P102" s="127"/>
      <c r="Q102" s="127"/>
      <c r="R102" s="280">
        <f t="shared" ca="1" si="12"/>
        <v>39508</v>
      </c>
      <c r="S102" s="142">
        <f t="shared" si="13"/>
        <v>0.92999999999999994</v>
      </c>
      <c r="T102" s="141">
        <f t="shared" si="16"/>
        <v>1</v>
      </c>
      <c r="U102" s="143">
        <f t="shared" si="14"/>
        <v>1.07</v>
      </c>
      <c r="BP102" s="103">
        <f t="shared" si="10"/>
        <v>101</v>
      </c>
      <c r="BQ102" s="155" t="s">
        <v>273</v>
      </c>
      <c r="BR102" s="102" t="s">
        <v>166</v>
      </c>
      <c r="BS102" s="101" t="s">
        <v>192</v>
      </c>
      <c r="BT102" s="107" t="s">
        <v>168</v>
      </c>
      <c r="BU102" s="107"/>
      <c r="BV102" s="101">
        <v>1</v>
      </c>
      <c r="BW102" s="102" t="s">
        <v>872</v>
      </c>
      <c r="BX102"/>
      <c r="BZ102" s="103">
        <f t="shared" si="17"/>
        <v>101</v>
      </c>
      <c r="CA102" s="4" t="s">
        <v>497</v>
      </c>
      <c r="CB102" s="102" t="s">
        <v>169</v>
      </c>
      <c r="CC102" s="101" t="s">
        <v>167</v>
      </c>
      <c r="CD102" s="107" t="s">
        <v>168</v>
      </c>
      <c r="CE102" s="107"/>
      <c r="CF102" s="101">
        <v>1</v>
      </c>
      <c r="CG102" s="102" t="s">
        <v>687</v>
      </c>
      <c r="CH102"/>
    </row>
    <row r="103" spans="1:86" ht="13.2">
      <c r="A103" s="125"/>
      <c r="B103" s="126">
        <f t="shared" ca="1" si="15"/>
        <v>39539</v>
      </c>
      <c r="C103" s="113">
        <v>5.8455768366667001E-2</v>
      </c>
      <c r="D103" s="128">
        <v>0.45</v>
      </c>
      <c r="E103" s="128">
        <v>0.45</v>
      </c>
      <c r="F103" s="128">
        <v>0.2</v>
      </c>
      <c r="G103" s="128">
        <v>0.20749999999999999</v>
      </c>
      <c r="H103" s="128">
        <v>0.215</v>
      </c>
      <c r="I103" s="127">
        <v>3.9510000000000005</v>
      </c>
      <c r="J103" s="128">
        <v>3.9560000000000004</v>
      </c>
      <c r="K103" s="113">
        <v>3.9610000000000003</v>
      </c>
      <c r="L103" s="128">
        <v>0.5</v>
      </c>
      <c r="M103" s="113">
        <v>0.04</v>
      </c>
      <c r="O103" s="97"/>
      <c r="P103" s="127"/>
      <c r="Q103" s="127"/>
      <c r="R103" s="280">
        <f t="shared" ca="1" si="12"/>
        <v>39539</v>
      </c>
      <c r="S103" s="142">
        <f t="shared" si="13"/>
        <v>0.38</v>
      </c>
      <c r="T103" s="141">
        <f t="shared" si="16"/>
        <v>0.45</v>
      </c>
      <c r="U103" s="143">
        <f t="shared" si="14"/>
        <v>0.52</v>
      </c>
      <c r="BP103" s="103">
        <f t="shared" si="10"/>
        <v>102</v>
      </c>
      <c r="BQ103" s="155" t="s">
        <v>274</v>
      </c>
      <c r="BR103" s="102" t="s">
        <v>166</v>
      </c>
      <c r="BS103" s="101" t="s">
        <v>192</v>
      </c>
      <c r="BT103" s="107" t="s">
        <v>168</v>
      </c>
      <c r="BU103" s="107"/>
      <c r="BV103" s="101">
        <v>1</v>
      </c>
      <c r="BW103" s="102" t="s">
        <v>873</v>
      </c>
      <c r="BX103"/>
      <c r="BZ103" s="103">
        <f t="shared" si="17"/>
        <v>102</v>
      </c>
      <c r="CA103" s="4" t="s">
        <v>498</v>
      </c>
      <c r="CB103" s="102" t="s">
        <v>169</v>
      </c>
      <c r="CC103" s="101" t="s">
        <v>167</v>
      </c>
      <c r="CD103" s="107" t="s">
        <v>168</v>
      </c>
      <c r="CE103" s="107"/>
      <c r="CF103" s="101">
        <v>1</v>
      </c>
      <c r="CG103" s="102" t="s">
        <v>688</v>
      </c>
      <c r="CH103"/>
    </row>
    <row r="104" spans="1:86" ht="13.2">
      <c r="A104" s="125"/>
      <c r="B104" s="126">
        <f t="shared" ca="1" si="15"/>
        <v>39569</v>
      </c>
      <c r="C104" s="113">
        <v>5.8512891919768002E-2</v>
      </c>
      <c r="D104" s="128">
        <v>0.5</v>
      </c>
      <c r="E104" s="128">
        <v>0.5</v>
      </c>
      <c r="F104" s="128">
        <v>0.2</v>
      </c>
      <c r="G104" s="128">
        <v>0.20749999999999999</v>
      </c>
      <c r="H104" s="128">
        <v>0.215</v>
      </c>
      <c r="I104" s="127">
        <v>3.9260000000000002</v>
      </c>
      <c r="J104" s="128">
        <v>3.9310000000000005</v>
      </c>
      <c r="K104" s="113">
        <v>3.9360000000000004</v>
      </c>
      <c r="L104" s="128">
        <v>0.44</v>
      </c>
      <c r="M104" s="113">
        <v>0.04</v>
      </c>
      <c r="O104" s="97"/>
      <c r="P104" s="127"/>
      <c r="Q104" s="127"/>
      <c r="R104" s="280">
        <f t="shared" ca="1" si="12"/>
        <v>39569</v>
      </c>
      <c r="S104" s="142">
        <f t="shared" si="13"/>
        <v>0.43</v>
      </c>
      <c r="T104" s="141">
        <f t="shared" si="16"/>
        <v>0.5</v>
      </c>
      <c r="U104" s="143">
        <f t="shared" si="14"/>
        <v>0.57000000000000006</v>
      </c>
      <c r="BP104" s="103">
        <f t="shared" si="10"/>
        <v>103</v>
      </c>
      <c r="BQ104" s="155" t="s">
        <v>275</v>
      </c>
      <c r="BR104" s="102" t="s">
        <v>166</v>
      </c>
      <c r="BS104" s="101" t="s">
        <v>192</v>
      </c>
      <c r="BT104" s="107" t="s">
        <v>168</v>
      </c>
      <c r="BU104" s="107"/>
      <c r="BV104" s="101">
        <v>1</v>
      </c>
      <c r="BW104" s="102" t="s">
        <v>874</v>
      </c>
      <c r="BX104"/>
      <c r="BZ104" s="103">
        <f t="shared" si="17"/>
        <v>103</v>
      </c>
      <c r="CA104" s="4" t="s">
        <v>499</v>
      </c>
      <c r="CB104" s="102" t="s">
        <v>169</v>
      </c>
      <c r="CC104" s="101" t="s">
        <v>167</v>
      </c>
      <c r="CD104" s="107" t="s">
        <v>168</v>
      </c>
      <c r="CE104" s="107"/>
      <c r="CF104" s="101">
        <v>1</v>
      </c>
      <c r="CG104" s="102" t="s">
        <v>689</v>
      </c>
      <c r="CH104"/>
    </row>
    <row r="105" spans="1:86" ht="13.2">
      <c r="A105" s="125"/>
      <c r="B105" s="126">
        <f t="shared" ca="1" si="15"/>
        <v>39600</v>
      </c>
      <c r="C105" s="113">
        <v>5.857191959244501E-2</v>
      </c>
      <c r="D105" s="128">
        <v>0.5</v>
      </c>
      <c r="E105" s="128">
        <v>0.5</v>
      </c>
      <c r="F105" s="128">
        <v>0.2</v>
      </c>
      <c r="G105" s="128">
        <v>0.20749999999999999</v>
      </c>
      <c r="H105" s="128">
        <v>0.215</v>
      </c>
      <c r="I105" s="127">
        <v>3.9550000000000001</v>
      </c>
      <c r="J105" s="128">
        <v>3.96</v>
      </c>
      <c r="K105" s="113">
        <v>3.9649999999999999</v>
      </c>
      <c r="L105" s="128">
        <v>0.44</v>
      </c>
      <c r="M105" s="113">
        <v>0.04</v>
      </c>
      <c r="O105" s="97"/>
      <c r="P105" s="127"/>
      <c r="Q105" s="127"/>
      <c r="R105" s="280">
        <f t="shared" ca="1" si="12"/>
        <v>39600</v>
      </c>
      <c r="S105" s="142">
        <f t="shared" si="13"/>
        <v>0.43</v>
      </c>
      <c r="T105" s="141">
        <f t="shared" si="16"/>
        <v>0.5</v>
      </c>
      <c r="U105" s="143">
        <f t="shared" si="14"/>
        <v>0.57000000000000006</v>
      </c>
      <c r="BP105" s="103">
        <f t="shared" si="10"/>
        <v>104</v>
      </c>
      <c r="BQ105" s="155" t="s">
        <v>276</v>
      </c>
      <c r="BR105" s="102" t="s">
        <v>166</v>
      </c>
      <c r="BS105" s="101" t="s">
        <v>167</v>
      </c>
      <c r="BT105" s="107" t="s">
        <v>168</v>
      </c>
      <c r="BU105" s="107"/>
      <c r="BV105" s="101">
        <v>1</v>
      </c>
      <c r="BW105" s="102" t="s">
        <v>875</v>
      </c>
      <c r="BX105"/>
      <c r="BZ105" s="103">
        <f t="shared" si="17"/>
        <v>104</v>
      </c>
      <c r="CA105" s="4" t="s">
        <v>500</v>
      </c>
      <c r="CB105" s="102" t="s">
        <v>169</v>
      </c>
      <c r="CC105" s="101" t="s">
        <v>167</v>
      </c>
      <c r="CD105" s="107" t="s">
        <v>168</v>
      </c>
      <c r="CE105" s="107"/>
      <c r="CF105" s="101">
        <v>1</v>
      </c>
      <c r="CG105" s="102" t="s">
        <v>690</v>
      </c>
      <c r="CH105"/>
    </row>
    <row r="106" spans="1:86" ht="13.2">
      <c r="A106" s="125"/>
      <c r="B106" s="126">
        <f t="shared" ca="1" si="15"/>
        <v>39630</v>
      </c>
      <c r="C106" s="113">
        <v>5.8629043147752018E-2</v>
      </c>
      <c r="D106" s="128">
        <v>0.5</v>
      </c>
      <c r="E106" s="128">
        <v>0.5</v>
      </c>
      <c r="F106" s="128">
        <v>0.19500000000000001</v>
      </c>
      <c r="G106" s="128">
        <v>0.20250000000000001</v>
      </c>
      <c r="H106" s="128">
        <v>0.21</v>
      </c>
      <c r="I106" s="127">
        <v>3.9849999999999999</v>
      </c>
      <c r="J106" s="128">
        <v>3.99</v>
      </c>
      <c r="K106" s="113">
        <v>3.9950000000000001</v>
      </c>
      <c r="L106" s="128">
        <v>0.5</v>
      </c>
      <c r="M106" s="113">
        <v>0.04</v>
      </c>
      <c r="O106" s="97"/>
      <c r="P106" s="127"/>
      <c r="Q106" s="127"/>
      <c r="R106" s="280">
        <f t="shared" ca="1" si="12"/>
        <v>39630</v>
      </c>
      <c r="S106" s="142">
        <f t="shared" si="13"/>
        <v>0.43</v>
      </c>
      <c r="T106" s="141">
        <f t="shared" si="16"/>
        <v>0.5</v>
      </c>
      <c r="U106" s="143">
        <f t="shared" si="14"/>
        <v>0.57000000000000006</v>
      </c>
      <c r="BP106" s="103">
        <f t="shared" si="10"/>
        <v>105</v>
      </c>
      <c r="BQ106" s="155" t="s">
        <v>277</v>
      </c>
      <c r="BR106" s="102" t="s">
        <v>166</v>
      </c>
      <c r="BS106" s="101" t="s">
        <v>192</v>
      </c>
      <c r="BT106" s="107" t="s">
        <v>168</v>
      </c>
      <c r="BU106" s="107"/>
      <c r="BV106" s="101">
        <v>1</v>
      </c>
      <c r="BW106" s="102" t="s">
        <v>876</v>
      </c>
      <c r="BX106"/>
      <c r="BZ106" s="103">
        <f t="shared" si="17"/>
        <v>105</v>
      </c>
      <c r="CA106" s="4" t="s">
        <v>501</v>
      </c>
      <c r="CB106" s="102" t="s">
        <v>169</v>
      </c>
      <c r="CC106" s="101" t="s">
        <v>167</v>
      </c>
      <c r="CD106" s="107" t="s">
        <v>168</v>
      </c>
      <c r="CE106" s="107"/>
      <c r="CF106" s="101">
        <v>1</v>
      </c>
      <c r="CG106" s="102" t="s">
        <v>691</v>
      </c>
      <c r="CH106"/>
    </row>
    <row r="107" spans="1:86" ht="13.2">
      <c r="A107" s="125"/>
      <c r="B107" s="126">
        <f t="shared" ca="1" si="15"/>
        <v>39661</v>
      </c>
      <c r="C107" s="113">
        <v>5.8688070822709014E-2</v>
      </c>
      <c r="D107" s="128">
        <v>0.6</v>
      </c>
      <c r="E107" s="128">
        <v>0.6</v>
      </c>
      <c r="F107" s="128">
        <v>0.19500000000000001</v>
      </c>
      <c r="G107" s="128">
        <v>0.20250000000000001</v>
      </c>
      <c r="H107" s="128">
        <v>0.21</v>
      </c>
      <c r="I107" s="127">
        <v>4.0049999999999999</v>
      </c>
      <c r="J107" s="128">
        <v>4.01</v>
      </c>
      <c r="K107" s="113">
        <v>4.0149999999999997</v>
      </c>
      <c r="L107" s="128">
        <v>0.5</v>
      </c>
      <c r="M107" s="113">
        <v>0.04</v>
      </c>
      <c r="O107" s="97"/>
      <c r="P107" s="127"/>
      <c r="Q107" s="127"/>
      <c r="R107" s="280">
        <f t="shared" ca="1" si="12"/>
        <v>39661</v>
      </c>
      <c r="S107" s="142">
        <f t="shared" si="13"/>
        <v>0.53</v>
      </c>
      <c r="T107" s="141">
        <f t="shared" si="16"/>
        <v>0.6</v>
      </c>
      <c r="U107" s="143">
        <f t="shared" si="14"/>
        <v>0.66999999999999993</v>
      </c>
      <c r="BP107" s="103">
        <f t="shared" si="10"/>
        <v>106</v>
      </c>
      <c r="BQ107" s="155" t="s">
        <v>278</v>
      </c>
      <c r="BR107" s="102" t="s">
        <v>166</v>
      </c>
      <c r="BS107" s="101" t="s">
        <v>192</v>
      </c>
      <c r="BT107" s="107" t="s">
        <v>168</v>
      </c>
      <c r="BU107" s="107"/>
      <c r="BV107" s="101">
        <v>1</v>
      </c>
      <c r="BW107" s="102" t="s">
        <v>877</v>
      </c>
      <c r="BX107"/>
      <c r="BZ107" s="103">
        <f t="shared" si="17"/>
        <v>106</v>
      </c>
      <c r="CA107" s="4" t="s">
        <v>502</v>
      </c>
      <c r="CB107" s="102" t="s">
        <v>169</v>
      </c>
      <c r="CC107" s="101" t="s">
        <v>167</v>
      </c>
      <c r="CD107" s="107" t="s">
        <v>168</v>
      </c>
      <c r="CE107" s="107"/>
      <c r="CF107" s="101">
        <v>1</v>
      </c>
      <c r="CG107" s="102" t="s">
        <v>692</v>
      </c>
      <c r="CH107"/>
    </row>
    <row r="108" spans="1:86" ht="13.2">
      <c r="A108" s="125"/>
      <c r="B108" s="126">
        <f t="shared" ca="1" si="15"/>
        <v>39692</v>
      </c>
      <c r="C108" s="113">
        <v>5.8747098498824021E-2</v>
      </c>
      <c r="D108" s="128">
        <v>0.6</v>
      </c>
      <c r="E108" s="128">
        <v>0.6</v>
      </c>
      <c r="F108" s="128">
        <v>0.19500000000000001</v>
      </c>
      <c r="G108" s="128">
        <v>0.20250000000000001</v>
      </c>
      <c r="H108" s="128">
        <v>0.21</v>
      </c>
      <c r="I108" s="127">
        <v>4.0260000000000007</v>
      </c>
      <c r="J108" s="128">
        <v>4.0310000000000006</v>
      </c>
      <c r="K108" s="113">
        <v>4.0360000000000005</v>
      </c>
      <c r="L108" s="128">
        <v>0.46</v>
      </c>
      <c r="M108" s="113">
        <v>0.04</v>
      </c>
      <c r="O108" s="97"/>
      <c r="P108" s="127"/>
      <c r="Q108" s="127"/>
      <c r="R108" s="280">
        <f t="shared" ca="1" si="12"/>
        <v>39692</v>
      </c>
      <c r="S108" s="142">
        <f t="shared" si="13"/>
        <v>0.53</v>
      </c>
      <c r="T108" s="141">
        <f t="shared" si="16"/>
        <v>0.6</v>
      </c>
      <c r="U108" s="143">
        <f t="shared" si="14"/>
        <v>0.66999999999999993</v>
      </c>
      <c r="BP108" s="103">
        <f t="shared" si="10"/>
        <v>107</v>
      </c>
      <c r="BQ108" s="155" t="s">
        <v>279</v>
      </c>
      <c r="BR108" s="102" t="s">
        <v>166</v>
      </c>
      <c r="BS108" s="101" t="s">
        <v>192</v>
      </c>
      <c r="BT108" s="107" t="s">
        <v>168</v>
      </c>
      <c r="BU108" s="107"/>
      <c r="BV108" s="101">
        <v>1</v>
      </c>
      <c r="BW108" s="102" t="s">
        <v>878</v>
      </c>
      <c r="BX108"/>
      <c r="BZ108" s="103">
        <f t="shared" si="17"/>
        <v>107</v>
      </c>
      <c r="CA108" s="4" t="s">
        <v>503</v>
      </c>
      <c r="CB108" s="102" t="s">
        <v>169</v>
      </c>
      <c r="CC108" s="101" t="s">
        <v>167</v>
      </c>
      <c r="CD108" s="107" t="s">
        <v>168</v>
      </c>
      <c r="CE108" s="107"/>
      <c r="CF108" s="101">
        <v>1</v>
      </c>
      <c r="CG108" s="102" t="s">
        <v>693</v>
      </c>
      <c r="CH108"/>
    </row>
    <row r="109" spans="1:86" ht="13.2">
      <c r="A109" s="125"/>
      <c r="B109" s="126">
        <f t="shared" ca="1" si="15"/>
        <v>39722</v>
      </c>
      <c r="C109" s="113">
        <v>5.8804222057458E-2</v>
      </c>
      <c r="D109" s="128">
        <v>0.65</v>
      </c>
      <c r="E109" s="128">
        <v>0.65</v>
      </c>
      <c r="F109" s="128">
        <v>0.19500000000000001</v>
      </c>
      <c r="G109" s="128">
        <v>0.20250000000000001</v>
      </c>
      <c r="H109" s="128">
        <v>0.21</v>
      </c>
      <c r="I109" s="127">
        <v>4.056</v>
      </c>
      <c r="J109" s="128">
        <v>4.0609999999999999</v>
      </c>
      <c r="K109" s="113">
        <v>4.0660000000000007</v>
      </c>
      <c r="L109" s="128">
        <v>0.47</v>
      </c>
      <c r="M109" s="113">
        <v>0.04</v>
      </c>
      <c r="O109" s="97"/>
      <c r="P109" s="127"/>
      <c r="Q109" s="127"/>
      <c r="R109" s="280">
        <f t="shared" ca="1" si="12"/>
        <v>39722</v>
      </c>
      <c r="S109" s="142">
        <f t="shared" si="13"/>
        <v>0.58000000000000007</v>
      </c>
      <c r="T109" s="141">
        <f t="shared" si="16"/>
        <v>0.65</v>
      </c>
      <c r="U109" s="143">
        <f t="shared" si="14"/>
        <v>0.72</v>
      </c>
      <c r="BP109" s="103">
        <f t="shared" si="10"/>
        <v>108</v>
      </c>
      <c r="BQ109" s="155" t="s">
        <v>280</v>
      </c>
      <c r="BR109" s="102" t="s">
        <v>166</v>
      </c>
      <c r="BS109" s="101" t="s">
        <v>192</v>
      </c>
      <c r="BT109" s="107" t="s">
        <v>168</v>
      </c>
      <c r="BU109" s="107"/>
      <c r="BV109" s="101">
        <v>1</v>
      </c>
      <c r="BW109" s="102" t="s">
        <v>879</v>
      </c>
      <c r="BX109"/>
      <c r="BZ109" s="103">
        <f t="shared" si="17"/>
        <v>108</v>
      </c>
      <c r="CA109" s="4" t="s">
        <v>504</v>
      </c>
      <c r="CB109" s="102" t="s">
        <v>169</v>
      </c>
      <c r="CC109" s="101" t="s">
        <v>167</v>
      </c>
      <c r="CD109" s="107" t="s">
        <v>168</v>
      </c>
      <c r="CE109" s="107"/>
      <c r="CF109" s="101">
        <v>1</v>
      </c>
      <c r="CG109" s="102" t="s">
        <v>694</v>
      </c>
      <c r="CH109"/>
    </row>
    <row r="110" spans="1:86" ht="13.2">
      <c r="A110" s="125"/>
      <c r="B110" s="126">
        <f t="shared" ca="1" si="15"/>
        <v>39753</v>
      </c>
      <c r="C110" s="113">
        <v>5.8863249735852996E-2</v>
      </c>
      <c r="D110" s="128">
        <v>0.95</v>
      </c>
      <c r="E110" s="128">
        <v>0.95</v>
      </c>
      <c r="F110" s="128">
        <v>0.19500000000000001</v>
      </c>
      <c r="G110" s="128">
        <v>0.20250000000000001</v>
      </c>
      <c r="H110" s="128">
        <v>0.21</v>
      </c>
      <c r="I110" s="127">
        <v>4.1960000000000006</v>
      </c>
      <c r="J110" s="128">
        <v>4.2010000000000005</v>
      </c>
      <c r="K110" s="113">
        <v>4.2060000000000004</v>
      </c>
      <c r="L110" s="128">
        <v>0.86</v>
      </c>
      <c r="M110" s="113">
        <v>0.04</v>
      </c>
      <c r="O110" s="97"/>
      <c r="P110" s="127"/>
      <c r="Q110" s="127"/>
      <c r="R110" s="280">
        <f t="shared" ca="1" si="12"/>
        <v>39753</v>
      </c>
      <c r="S110" s="142">
        <f t="shared" si="13"/>
        <v>0.87999999999999989</v>
      </c>
      <c r="T110" s="141">
        <f t="shared" si="16"/>
        <v>0.95</v>
      </c>
      <c r="U110" s="143">
        <f t="shared" si="14"/>
        <v>1.02</v>
      </c>
      <c r="BP110" s="103">
        <f t="shared" si="10"/>
        <v>109</v>
      </c>
      <c r="BQ110" s="155" t="s">
        <v>281</v>
      </c>
      <c r="BR110" s="102" t="s">
        <v>166</v>
      </c>
      <c r="BS110" s="101" t="s">
        <v>192</v>
      </c>
      <c r="BT110" s="107" t="s">
        <v>168</v>
      </c>
      <c r="BU110" s="107"/>
      <c r="BV110" s="101">
        <v>1</v>
      </c>
      <c r="BW110" s="102" t="s">
        <v>880</v>
      </c>
      <c r="BX110"/>
      <c r="BZ110" s="103">
        <f t="shared" si="17"/>
        <v>109</v>
      </c>
      <c r="CA110" s="4" t="s">
        <v>505</v>
      </c>
      <c r="CB110" s="102" t="s">
        <v>169</v>
      </c>
      <c r="CC110" s="101" t="s">
        <v>167</v>
      </c>
      <c r="CD110" s="107" t="s">
        <v>168</v>
      </c>
      <c r="CE110" s="107"/>
      <c r="CF110" s="101">
        <v>1</v>
      </c>
      <c r="CG110" s="102" t="s">
        <v>695</v>
      </c>
      <c r="CH110"/>
    </row>
    <row r="111" spans="1:86" ht="13.2">
      <c r="A111" s="125"/>
      <c r="B111" s="126">
        <f t="shared" ca="1" si="15"/>
        <v>39783</v>
      </c>
      <c r="C111" s="113">
        <v>5.8920373296692009E-2</v>
      </c>
      <c r="D111" s="128">
        <v>1.25</v>
      </c>
      <c r="E111" s="128">
        <v>1.25</v>
      </c>
      <c r="F111" s="128">
        <v>0.19750000000000001</v>
      </c>
      <c r="G111" s="128">
        <v>0.20499999999999999</v>
      </c>
      <c r="H111" s="128">
        <v>0.21249999999999999</v>
      </c>
      <c r="I111" s="127">
        <v>4.3210000000000006</v>
      </c>
      <c r="J111" s="128">
        <v>4.3260000000000005</v>
      </c>
      <c r="K111" s="113">
        <v>4.3310000000000004</v>
      </c>
      <c r="L111" s="128">
        <v>1.28</v>
      </c>
      <c r="M111" s="113">
        <v>0.04</v>
      </c>
      <c r="O111" s="97"/>
      <c r="P111" s="127"/>
      <c r="Q111" s="127"/>
      <c r="R111" s="280">
        <f t="shared" ca="1" si="12"/>
        <v>39783</v>
      </c>
      <c r="S111" s="142">
        <f t="shared" si="13"/>
        <v>1.18</v>
      </c>
      <c r="T111" s="141">
        <f t="shared" si="16"/>
        <v>1.25</v>
      </c>
      <c r="U111" s="143">
        <f t="shared" si="14"/>
        <v>1.32</v>
      </c>
      <c r="BP111" s="103">
        <f t="shared" si="10"/>
        <v>110</v>
      </c>
      <c r="BQ111" s="155" t="s">
        <v>282</v>
      </c>
      <c r="BR111" s="102" t="s">
        <v>166</v>
      </c>
      <c r="BS111" s="101" t="s">
        <v>192</v>
      </c>
      <c r="BT111" s="107" t="s">
        <v>168</v>
      </c>
      <c r="BU111" s="107"/>
      <c r="BV111" s="101">
        <v>1</v>
      </c>
      <c r="BW111" s="102" t="s">
        <v>881</v>
      </c>
      <c r="BX111"/>
      <c r="BZ111" s="103">
        <f t="shared" si="17"/>
        <v>110</v>
      </c>
      <c r="CA111" s="4" t="s">
        <v>506</v>
      </c>
      <c r="CB111" s="102" t="s">
        <v>169</v>
      </c>
      <c r="CC111" s="101" t="s">
        <v>167</v>
      </c>
      <c r="CD111" s="107" t="s">
        <v>168</v>
      </c>
      <c r="CE111" s="107"/>
      <c r="CF111" s="101">
        <v>1</v>
      </c>
      <c r="CG111" s="102" t="s">
        <v>696</v>
      </c>
      <c r="CH111"/>
    </row>
    <row r="112" spans="1:86" ht="13.2">
      <c r="A112" s="125"/>
      <c r="B112" s="126">
        <f t="shared" ca="1" si="15"/>
        <v>39814</v>
      </c>
      <c r="C112" s="113">
        <v>5.8979400977367008E-2</v>
      </c>
      <c r="D112" s="128">
        <v>1.45</v>
      </c>
      <c r="E112" s="128">
        <v>1.45</v>
      </c>
      <c r="F112" s="128">
        <v>0.19750000000000001</v>
      </c>
      <c r="G112" s="128">
        <v>0.20499999999999999</v>
      </c>
      <c r="H112" s="128">
        <v>0.21249999999999999</v>
      </c>
      <c r="I112" s="127">
        <v>4.4349999999999996</v>
      </c>
      <c r="J112" s="128">
        <v>4.4400000000000004</v>
      </c>
      <c r="K112" s="113">
        <v>4.4450000000000003</v>
      </c>
      <c r="L112" s="128">
        <v>1.61</v>
      </c>
      <c r="M112" s="113">
        <v>0.04</v>
      </c>
      <c r="O112" s="97"/>
      <c r="P112" s="127"/>
      <c r="Q112" s="127"/>
      <c r="R112" s="280">
        <f t="shared" ca="1" si="12"/>
        <v>39814</v>
      </c>
      <c r="S112" s="142">
        <f t="shared" si="13"/>
        <v>1.38</v>
      </c>
      <c r="T112" s="141">
        <f t="shared" si="16"/>
        <v>1.45</v>
      </c>
      <c r="U112" s="143">
        <f t="shared" si="14"/>
        <v>1.52</v>
      </c>
      <c r="BP112" s="103">
        <f t="shared" si="10"/>
        <v>111</v>
      </c>
      <c r="BQ112" s="155" t="s">
        <v>283</v>
      </c>
      <c r="BR112" s="102" t="s">
        <v>166</v>
      </c>
      <c r="BS112" s="101" t="s">
        <v>192</v>
      </c>
      <c r="BT112" s="107" t="s">
        <v>168</v>
      </c>
      <c r="BU112" s="107"/>
      <c r="BV112" s="101">
        <v>1</v>
      </c>
      <c r="BW112" s="102" t="s">
        <v>882</v>
      </c>
      <c r="BX112"/>
      <c r="BZ112" s="103">
        <f t="shared" si="17"/>
        <v>111</v>
      </c>
      <c r="CA112" s="4" t="s">
        <v>507</v>
      </c>
      <c r="CB112" s="102" t="s">
        <v>169</v>
      </c>
      <c r="CC112" s="101" t="s">
        <v>167</v>
      </c>
      <c r="CD112" s="107" t="s">
        <v>168</v>
      </c>
      <c r="CE112" s="107"/>
      <c r="CF112" s="101">
        <v>1</v>
      </c>
      <c r="CG112" s="102" t="s">
        <v>697</v>
      </c>
      <c r="CH112"/>
    </row>
    <row r="113" spans="1:86" ht="13.2">
      <c r="A113" s="125"/>
      <c r="B113" s="126">
        <f t="shared" ca="1" si="15"/>
        <v>39845</v>
      </c>
      <c r="C113" s="113">
        <v>5.9038428659197999E-2</v>
      </c>
      <c r="D113" s="128">
        <v>1.45</v>
      </c>
      <c r="E113" s="128">
        <v>1.45</v>
      </c>
      <c r="F113" s="128">
        <v>0.1925</v>
      </c>
      <c r="G113" s="128">
        <v>0.2</v>
      </c>
      <c r="H113" s="128">
        <v>0.20749999999999999</v>
      </c>
      <c r="I113" s="127">
        <v>4.3390000000000004</v>
      </c>
      <c r="J113" s="128">
        <v>4.3440000000000003</v>
      </c>
      <c r="K113" s="113">
        <v>4.3490000000000002</v>
      </c>
      <c r="L113" s="128">
        <v>1.57</v>
      </c>
      <c r="M113" s="113">
        <v>0.04</v>
      </c>
      <c r="O113" s="97"/>
      <c r="P113" s="127"/>
      <c r="Q113" s="127"/>
      <c r="R113" s="280">
        <f t="shared" ca="1" si="12"/>
        <v>39845</v>
      </c>
      <c r="S113" s="142">
        <f t="shared" si="13"/>
        <v>1.38</v>
      </c>
      <c r="T113" s="141">
        <f t="shared" si="16"/>
        <v>1.45</v>
      </c>
      <c r="U113" s="143">
        <f t="shared" si="14"/>
        <v>1.52</v>
      </c>
      <c r="BP113" s="103">
        <f t="shared" si="10"/>
        <v>112</v>
      </c>
      <c r="BQ113" s="155" t="s">
        <v>284</v>
      </c>
      <c r="BR113" s="102" t="s">
        <v>166</v>
      </c>
      <c r="BS113" s="101" t="s">
        <v>192</v>
      </c>
      <c r="BT113" s="107" t="s">
        <v>168</v>
      </c>
      <c r="BU113" s="107"/>
      <c r="BV113" s="101">
        <v>1</v>
      </c>
      <c r="BW113" s="102" t="s">
        <v>883</v>
      </c>
      <c r="BX113"/>
      <c r="BZ113" s="103">
        <f t="shared" si="17"/>
        <v>112</v>
      </c>
      <c r="CA113" s="4" t="s">
        <v>508</v>
      </c>
      <c r="CB113" s="102" t="s">
        <v>169</v>
      </c>
      <c r="CC113" s="101" t="s">
        <v>167</v>
      </c>
      <c r="CD113" s="107" t="s">
        <v>168</v>
      </c>
      <c r="CE113" s="107"/>
      <c r="CF113" s="101">
        <v>1</v>
      </c>
      <c r="CG113" s="102" t="s">
        <v>698</v>
      </c>
      <c r="CH113"/>
    </row>
    <row r="114" spans="1:86" ht="13.2">
      <c r="A114" s="125"/>
      <c r="B114" s="126">
        <f t="shared" ca="1" si="15"/>
        <v>39873</v>
      </c>
      <c r="C114" s="113">
        <v>5.9091743985720008E-2</v>
      </c>
      <c r="D114" s="128">
        <v>1</v>
      </c>
      <c r="E114" s="128">
        <v>1</v>
      </c>
      <c r="F114" s="128">
        <v>0.1825</v>
      </c>
      <c r="G114" s="128">
        <v>0.19</v>
      </c>
      <c r="H114" s="128">
        <v>0.19750000000000001</v>
      </c>
      <c r="I114" s="127">
        <v>4.1890000000000001</v>
      </c>
      <c r="J114" s="128">
        <v>4.1940000000000008</v>
      </c>
      <c r="K114" s="113">
        <v>4.1990000000000007</v>
      </c>
      <c r="L114" s="128">
        <v>0.93</v>
      </c>
      <c r="M114" s="113">
        <v>0.04</v>
      </c>
      <c r="O114" s="97"/>
      <c r="P114" s="127"/>
      <c r="Q114" s="127"/>
      <c r="R114" s="280">
        <f t="shared" ca="1" si="12"/>
        <v>39873</v>
      </c>
      <c r="S114" s="142">
        <f t="shared" si="13"/>
        <v>0.92999999999999994</v>
      </c>
      <c r="T114" s="141">
        <f t="shared" si="16"/>
        <v>1</v>
      </c>
      <c r="U114" s="143">
        <f t="shared" si="14"/>
        <v>1.07</v>
      </c>
      <c r="BP114" s="103">
        <f t="shared" si="10"/>
        <v>113</v>
      </c>
      <c r="BQ114" s="155" t="s">
        <v>285</v>
      </c>
      <c r="BR114" s="102" t="s">
        <v>166</v>
      </c>
      <c r="BS114" s="101" t="s">
        <v>192</v>
      </c>
      <c r="BT114" s="107" t="s">
        <v>168</v>
      </c>
      <c r="BU114" s="107"/>
      <c r="BV114" s="101">
        <v>1</v>
      </c>
      <c r="BW114" s="102" t="s">
        <v>884</v>
      </c>
      <c r="BX114"/>
      <c r="BZ114" s="103">
        <f t="shared" si="17"/>
        <v>113</v>
      </c>
      <c r="CA114" s="4" t="s">
        <v>509</v>
      </c>
      <c r="CB114" s="102" t="s">
        <v>169</v>
      </c>
      <c r="CC114" s="101" t="s">
        <v>167</v>
      </c>
      <c r="CD114" s="107" t="s">
        <v>168</v>
      </c>
      <c r="CE114" s="107"/>
      <c r="CF114" s="101">
        <v>1</v>
      </c>
      <c r="CG114" s="102" t="s">
        <v>699</v>
      </c>
      <c r="CH114"/>
    </row>
    <row r="115" spans="1:86" ht="13.2">
      <c r="A115" s="125"/>
      <c r="B115" s="126">
        <f t="shared" ca="1" si="15"/>
        <v>39904</v>
      </c>
      <c r="C115" s="113">
        <v>5.9150771669757012E-2</v>
      </c>
      <c r="D115" s="128">
        <v>0.45</v>
      </c>
      <c r="E115" s="128">
        <v>0.45</v>
      </c>
      <c r="F115" s="128">
        <v>0.1825</v>
      </c>
      <c r="G115" s="128">
        <v>0.19</v>
      </c>
      <c r="H115" s="128">
        <v>0.19750000000000001</v>
      </c>
      <c r="I115" s="127">
        <v>4.0060000000000002</v>
      </c>
      <c r="J115" s="128">
        <v>4.0110000000000001</v>
      </c>
      <c r="K115" s="113">
        <v>4.016</v>
      </c>
      <c r="L115" s="128">
        <v>0.5</v>
      </c>
      <c r="M115" s="113">
        <v>0.04</v>
      </c>
      <c r="O115" s="97"/>
      <c r="P115" s="127"/>
      <c r="Q115" s="127"/>
      <c r="R115" s="280">
        <f t="shared" ca="1" si="12"/>
        <v>39904</v>
      </c>
      <c r="S115" s="142">
        <f t="shared" si="13"/>
        <v>0.38</v>
      </c>
      <c r="T115" s="141">
        <f t="shared" si="16"/>
        <v>0.45</v>
      </c>
      <c r="U115" s="143">
        <f t="shared" si="14"/>
        <v>0.52</v>
      </c>
      <c r="BP115" s="103">
        <f t="shared" si="10"/>
        <v>114</v>
      </c>
      <c r="BQ115" s="155" t="s">
        <v>286</v>
      </c>
      <c r="BR115" s="102" t="s">
        <v>166</v>
      </c>
      <c r="BS115" s="101" t="s">
        <v>192</v>
      </c>
      <c r="BT115" s="107" t="s">
        <v>168</v>
      </c>
      <c r="BU115" s="107"/>
      <c r="BV115" s="101">
        <v>1</v>
      </c>
      <c r="BW115" s="102" t="s">
        <v>885</v>
      </c>
      <c r="BX115"/>
      <c r="BZ115" s="103">
        <f t="shared" si="17"/>
        <v>114</v>
      </c>
      <c r="CA115" s="4" t="s">
        <v>510</v>
      </c>
      <c r="CB115" s="102" t="s">
        <v>169</v>
      </c>
      <c r="CC115" s="101" t="s">
        <v>167</v>
      </c>
      <c r="CD115" s="107" t="s">
        <v>168</v>
      </c>
      <c r="CE115" s="107"/>
      <c r="CF115" s="101">
        <v>1</v>
      </c>
      <c r="CG115" s="102" t="s">
        <v>700</v>
      </c>
      <c r="CH115"/>
    </row>
    <row r="116" spans="1:86" ht="13.2">
      <c r="A116" s="125"/>
      <c r="B116" s="126">
        <f t="shared" ca="1" si="15"/>
        <v>39934</v>
      </c>
      <c r="C116" s="113">
        <v>5.9207895236056012E-2</v>
      </c>
      <c r="D116" s="128">
        <v>0.5</v>
      </c>
      <c r="E116" s="128">
        <v>0.5</v>
      </c>
      <c r="F116" s="128">
        <v>0.1825</v>
      </c>
      <c r="G116" s="128">
        <v>0.19</v>
      </c>
      <c r="H116" s="128">
        <v>0.19750000000000001</v>
      </c>
      <c r="I116" s="127">
        <v>3.9810000000000003</v>
      </c>
      <c r="J116" s="128">
        <v>3.9860000000000002</v>
      </c>
      <c r="K116" s="113">
        <v>3.9910000000000001</v>
      </c>
      <c r="L116" s="128">
        <v>0.44</v>
      </c>
      <c r="M116" s="113">
        <v>0.04</v>
      </c>
      <c r="O116" s="97"/>
      <c r="P116" s="127"/>
      <c r="Q116" s="127"/>
      <c r="R116" s="280">
        <f t="shared" ca="1" si="12"/>
        <v>39934</v>
      </c>
      <c r="S116" s="142">
        <f t="shared" si="13"/>
        <v>0.43</v>
      </c>
      <c r="T116" s="141">
        <f t="shared" si="16"/>
        <v>0.5</v>
      </c>
      <c r="U116" s="143">
        <f t="shared" si="14"/>
        <v>0.57000000000000006</v>
      </c>
      <c r="BP116" s="103">
        <f t="shared" si="10"/>
        <v>115</v>
      </c>
      <c r="BQ116" s="155" t="s">
        <v>287</v>
      </c>
      <c r="BR116" s="102" t="s">
        <v>166</v>
      </c>
      <c r="BS116" s="101" t="s">
        <v>192</v>
      </c>
      <c r="BT116" s="107" t="s">
        <v>168</v>
      </c>
      <c r="BU116" s="107"/>
      <c r="BV116" s="101">
        <v>1</v>
      </c>
      <c r="BW116" s="102" t="s">
        <v>886</v>
      </c>
      <c r="BX116"/>
      <c r="BZ116" s="103">
        <f t="shared" si="17"/>
        <v>115</v>
      </c>
      <c r="CA116" s="4" t="s">
        <v>511</v>
      </c>
      <c r="CB116" s="102" t="s">
        <v>169</v>
      </c>
      <c r="CC116" s="101" t="s">
        <v>167</v>
      </c>
      <c r="CD116" s="107" t="s">
        <v>168</v>
      </c>
      <c r="CE116" s="107"/>
      <c r="CF116" s="101">
        <v>1</v>
      </c>
      <c r="CG116" s="102" t="s">
        <v>701</v>
      </c>
      <c r="CH116"/>
    </row>
    <row r="117" spans="1:86" ht="13.2">
      <c r="A117" s="125"/>
      <c r="B117" s="126">
        <f t="shared" ca="1" si="15"/>
        <v>39965</v>
      </c>
      <c r="C117" s="113">
        <v>5.9266922922372012E-2</v>
      </c>
      <c r="D117" s="128">
        <v>0.5</v>
      </c>
      <c r="E117" s="128">
        <v>0.5</v>
      </c>
      <c r="F117" s="128">
        <v>0.1825</v>
      </c>
      <c r="G117" s="128">
        <v>0.19</v>
      </c>
      <c r="H117" s="128">
        <v>0.19750000000000001</v>
      </c>
      <c r="I117" s="127">
        <v>4.01</v>
      </c>
      <c r="J117" s="128">
        <v>4.0149999999999997</v>
      </c>
      <c r="K117" s="113">
        <v>4.0199999999999996</v>
      </c>
      <c r="L117" s="128">
        <v>0.44</v>
      </c>
      <c r="M117" s="113">
        <v>0.04</v>
      </c>
      <c r="O117" s="97"/>
      <c r="P117" s="127"/>
      <c r="Q117" s="127"/>
      <c r="R117" s="280">
        <f t="shared" ca="1" si="12"/>
        <v>39965</v>
      </c>
      <c r="S117" s="142">
        <f t="shared" si="13"/>
        <v>0.43</v>
      </c>
      <c r="T117" s="141">
        <f t="shared" si="16"/>
        <v>0.5</v>
      </c>
      <c r="U117" s="143">
        <f t="shared" si="14"/>
        <v>0.57000000000000006</v>
      </c>
      <c r="BP117" s="103">
        <f t="shared" si="10"/>
        <v>116</v>
      </c>
      <c r="BQ117" s="155" t="s">
        <v>288</v>
      </c>
      <c r="BR117" s="102" t="s">
        <v>166</v>
      </c>
      <c r="BS117" s="101" t="s">
        <v>192</v>
      </c>
      <c r="BT117" s="107" t="s">
        <v>168</v>
      </c>
      <c r="BU117" s="107"/>
      <c r="BV117" s="101">
        <v>1</v>
      </c>
      <c r="BW117" s="102" t="s">
        <v>887</v>
      </c>
      <c r="BX117"/>
      <c r="BZ117" s="103">
        <f t="shared" si="17"/>
        <v>116</v>
      </c>
      <c r="CA117" s="4" t="s">
        <v>512</v>
      </c>
      <c r="CB117" s="102" t="s">
        <v>169</v>
      </c>
      <c r="CC117" s="101" t="s">
        <v>167</v>
      </c>
      <c r="CD117" s="107" t="s">
        <v>168</v>
      </c>
      <c r="CE117" s="107"/>
      <c r="CF117" s="101">
        <v>1</v>
      </c>
      <c r="CG117" s="102" t="s">
        <v>702</v>
      </c>
      <c r="CH117"/>
    </row>
    <row r="118" spans="1:86" ht="13.2">
      <c r="A118" s="125"/>
      <c r="B118" s="126">
        <f t="shared" ca="1" si="15"/>
        <v>39995</v>
      </c>
      <c r="C118" s="113">
        <v>5.9324046490877018E-2</v>
      </c>
      <c r="D118" s="128">
        <v>0.5</v>
      </c>
      <c r="E118" s="128">
        <v>0.5</v>
      </c>
      <c r="F118" s="128">
        <v>0.1825</v>
      </c>
      <c r="G118" s="128">
        <v>0.19</v>
      </c>
      <c r="H118" s="128">
        <v>0.19750000000000001</v>
      </c>
      <c r="I118" s="127">
        <v>4.04</v>
      </c>
      <c r="J118" s="128">
        <v>4.0449999999999999</v>
      </c>
      <c r="K118" s="113">
        <v>4.05</v>
      </c>
      <c r="L118" s="128">
        <v>0.5</v>
      </c>
      <c r="M118" s="113">
        <v>0.04</v>
      </c>
      <c r="O118" s="97"/>
      <c r="P118" s="127"/>
      <c r="Q118" s="127"/>
      <c r="R118" s="280">
        <f t="shared" ca="1" si="12"/>
        <v>39995</v>
      </c>
      <c r="S118" s="142">
        <f t="shared" si="13"/>
        <v>0.43</v>
      </c>
      <c r="T118" s="141">
        <f t="shared" si="16"/>
        <v>0.5</v>
      </c>
      <c r="U118" s="143">
        <f t="shared" si="14"/>
        <v>0.57000000000000006</v>
      </c>
      <c r="BP118" s="103">
        <f t="shared" si="10"/>
        <v>117</v>
      </c>
      <c r="BQ118" s="155" t="s">
        <v>289</v>
      </c>
      <c r="BR118" s="102" t="s">
        <v>166</v>
      </c>
      <c r="BS118" s="101" t="s">
        <v>192</v>
      </c>
      <c r="BT118" s="107" t="s">
        <v>168</v>
      </c>
      <c r="BU118" s="107"/>
      <c r="BV118" s="101">
        <v>1</v>
      </c>
      <c r="BW118" s="102" t="s">
        <v>888</v>
      </c>
      <c r="BX118"/>
      <c r="BZ118" s="103">
        <f t="shared" si="17"/>
        <v>117</v>
      </c>
      <c r="CA118" s="4" t="s">
        <v>513</v>
      </c>
      <c r="CB118" s="102" t="s">
        <v>169</v>
      </c>
      <c r="CC118" s="101" t="s">
        <v>167</v>
      </c>
      <c r="CD118" s="107" t="s">
        <v>168</v>
      </c>
      <c r="CE118" s="107"/>
      <c r="CF118" s="101">
        <v>1</v>
      </c>
      <c r="CG118" s="102" t="s">
        <v>703</v>
      </c>
      <c r="CH118"/>
    </row>
    <row r="119" spans="1:86" ht="13.2">
      <c r="A119" s="125"/>
      <c r="B119" s="126">
        <f t="shared" ca="1" si="15"/>
        <v>40026</v>
      </c>
      <c r="C119" s="113">
        <v>5.9383074179471008E-2</v>
      </c>
      <c r="D119" s="128">
        <v>0.6</v>
      </c>
      <c r="E119" s="128">
        <v>0.6</v>
      </c>
      <c r="F119" s="128">
        <v>0.1825</v>
      </c>
      <c r="G119" s="128">
        <v>0.19</v>
      </c>
      <c r="H119" s="128">
        <v>0.19750000000000001</v>
      </c>
      <c r="I119" s="127">
        <v>4.0599999999999996</v>
      </c>
      <c r="J119" s="128">
        <v>4.0650000000000004</v>
      </c>
      <c r="K119" s="113">
        <v>4.07</v>
      </c>
      <c r="L119" s="128">
        <v>0.5</v>
      </c>
      <c r="M119" s="113">
        <v>0.04</v>
      </c>
      <c r="O119" s="97"/>
      <c r="P119" s="127"/>
      <c r="Q119" s="127"/>
      <c r="R119" s="280">
        <f t="shared" ca="1" si="12"/>
        <v>40026</v>
      </c>
      <c r="S119" s="142">
        <f t="shared" si="13"/>
        <v>0.53</v>
      </c>
      <c r="T119" s="141">
        <f t="shared" si="16"/>
        <v>0.6</v>
      </c>
      <c r="U119" s="143">
        <f t="shared" si="14"/>
        <v>0.66999999999999993</v>
      </c>
      <c r="BP119" s="103">
        <f t="shared" si="10"/>
        <v>118</v>
      </c>
      <c r="BQ119" s="155" t="s">
        <v>290</v>
      </c>
      <c r="BR119" s="102" t="s">
        <v>166</v>
      </c>
      <c r="BS119" s="101" t="s">
        <v>192</v>
      </c>
      <c r="BT119" s="107" t="s">
        <v>168</v>
      </c>
      <c r="BU119" s="107"/>
      <c r="BV119" s="101">
        <v>1</v>
      </c>
      <c r="BW119" s="102" t="s">
        <v>889</v>
      </c>
      <c r="BX119"/>
      <c r="BZ119" s="103">
        <f t="shared" si="17"/>
        <v>118</v>
      </c>
      <c r="CA119" s="4" t="s">
        <v>514</v>
      </c>
      <c r="CB119" s="102" t="s">
        <v>169</v>
      </c>
      <c r="CC119" s="101" t="s">
        <v>167</v>
      </c>
      <c r="CD119" s="107" t="s">
        <v>168</v>
      </c>
      <c r="CE119" s="107"/>
      <c r="CF119" s="101">
        <v>1</v>
      </c>
      <c r="CG119" s="102" t="s">
        <v>704</v>
      </c>
      <c r="CH119"/>
    </row>
    <row r="120" spans="1:86" ht="13.2">
      <c r="A120" s="125"/>
      <c r="B120" s="126">
        <f t="shared" ca="1" si="15"/>
        <v>40057</v>
      </c>
      <c r="C120" s="113">
        <v>5.9442101869222996E-2</v>
      </c>
      <c r="D120" s="128">
        <v>0.6</v>
      </c>
      <c r="E120" s="128">
        <v>0.6</v>
      </c>
      <c r="F120" s="128">
        <v>0.1825</v>
      </c>
      <c r="G120" s="128">
        <v>0.19</v>
      </c>
      <c r="H120" s="128">
        <v>0.19750000000000001</v>
      </c>
      <c r="I120" s="127">
        <v>4.0810000000000004</v>
      </c>
      <c r="J120" s="128">
        <v>4.0860000000000003</v>
      </c>
      <c r="K120" s="113">
        <v>4.0910000000000002</v>
      </c>
      <c r="L120" s="128">
        <v>0.46</v>
      </c>
      <c r="M120" s="113">
        <v>0.04</v>
      </c>
      <c r="O120" s="97"/>
      <c r="P120" s="127"/>
      <c r="Q120" s="127"/>
      <c r="R120" s="280">
        <f t="shared" ca="1" si="12"/>
        <v>40057</v>
      </c>
      <c r="S120" s="142">
        <f t="shared" si="13"/>
        <v>0.53</v>
      </c>
      <c r="T120" s="141">
        <f t="shared" si="16"/>
        <v>0.6</v>
      </c>
      <c r="U120" s="143">
        <f t="shared" si="14"/>
        <v>0.66999999999999993</v>
      </c>
      <c r="BP120" s="103">
        <f t="shared" si="10"/>
        <v>119</v>
      </c>
      <c r="BQ120" s="155" t="s">
        <v>291</v>
      </c>
      <c r="BR120" s="102" t="s">
        <v>166</v>
      </c>
      <c r="BS120" s="101" t="s">
        <v>192</v>
      </c>
      <c r="BT120" s="107" t="s">
        <v>168</v>
      </c>
      <c r="BU120" s="107"/>
      <c r="BV120" s="101">
        <v>1</v>
      </c>
      <c r="BW120" s="102" t="s">
        <v>890</v>
      </c>
      <c r="BX120"/>
      <c r="BZ120" s="103">
        <f t="shared" si="17"/>
        <v>119</v>
      </c>
      <c r="CA120" s="4" t="s">
        <v>515</v>
      </c>
      <c r="CB120" s="102" t="s">
        <v>169</v>
      </c>
      <c r="CC120" s="101" t="s">
        <v>167</v>
      </c>
      <c r="CD120" s="107" t="s">
        <v>168</v>
      </c>
      <c r="CE120" s="107"/>
      <c r="CF120" s="101">
        <v>1</v>
      </c>
      <c r="CG120" s="102" t="s">
        <v>705</v>
      </c>
      <c r="CH120"/>
    </row>
    <row r="121" spans="1:86" ht="13.2">
      <c r="A121" s="125"/>
      <c r="B121" s="126">
        <f t="shared" ca="1" si="15"/>
        <v>40087</v>
      </c>
      <c r="C121" s="113">
        <v>5.9499225441054016E-2</v>
      </c>
      <c r="D121" s="128">
        <v>0.65</v>
      </c>
      <c r="E121" s="128">
        <v>0.65</v>
      </c>
      <c r="F121" s="128">
        <v>0.1825</v>
      </c>
      <c r="G121" s="128">
        <v>0.19</v>
      </c>
      <c r="H121" s="128">
        <v>0.19750000000000001</v>
      </c>
      <c r="I121" s="127">
        <v>4.1110000000000007</v>
      </c>
      <c r="J121" s="128">
        <v>4.1160000000000005</v>
      </c>
      <c r="K121" s="113">
        <v>4.1210000000000004</v>
      </c>
      <c r="L121" s="128">
        <v>0.47</v>
      </c>
      <c r="M121" s="113">
        <v>0.04</v>
      </c>
      <c r="O121" s="97"/>
      <c r="P121" s="127"/>
      <c r="Q121" s="127"/>
      <c r="R121" s="280">
        <f t="shared" ca="1" si="12"/>
        <v>40087</v>
      </c>
      <c r="S121" s="142">
        <f t="shared" si="13"/>
        <v>0.58000000000000007</v>
      </c>
      <c r="T121" s="141">
        <f t="shared" si="16"/>
        <v>0.65</v>
      </c>
      <c r="U121" s="143">
        <f t="shared" si="14"/>
        <v>0.72</v>
      </c>
      <c r="BP121" s="103">
        <f t="shared" si="10"/>
        <v>120</v>
      </c>
      <c r="BQ121" s="155" t="s">
        <v>292</v>
      </c>
      <c r="BR121" s="102" t="s">
        <v>166</v>
      </c>
      <c r="BS121" s="101" t="s">
        <v>192</v>
      </c>
      <c r="BT121" s="107" t="s">
        <v>168</v>
      </c>
      <c r="BU121" s="107"/>
      <c r="BV121" s="101">
        <v>1</v>
      </c>
      <c r="BW121" s="102" t="s">
        <v>891</v>
      </c>
      <c r="BX121"/>
      <c r="BZ121" s="103">
        <f t="shared" si="17"/>
        <v>120</v>
      </c>
      <c r="CA121" s="4" t="s">
        <v>516</v>
      </c>
      <c r="CB121" s="102" t="s">
        <v>169</v>
      </c>
      <c r="CC121" s="101" t="s">
        <v>167</v>
      </c>
      <c r="CD121" s="107" t="s">
        <v>168</v>
      </c>
      <c r="CE121" s="107"/>
      <c r="CF121" s="101">
        <v>1</v>
      </c>
      <c r="CG121" s="102" t="s">
        <v>706</v>
      </c>
      <c r="CH121"/>
    </row>
    <row r="122" spans="1:86" ht="13.2">
      <c r="A122" s="125"/>
      <c r="B122" s="126">
        <f t="shared" ca="1" si="15"/>
        <v>40118</v>
      </c>
      <c r="C122" s="113">
        <v>5.9558253133085E-2</v>
      </c>
      <c r="D122" s="128">
        <v>0.95</v>
      </c>
      <c r="E122" s="128">
        <v>0.95</v>
      </c>
      <c r="F122" s="128">
        <v>0.1825</v>
      </c>
      <c r="G122" s="128">
        <v>0.19</v>
      </c>
      <c r="H122" s="128">
        <v>0.19750000000000001</v>
      </c>
      <c r="I122" s="127">
        <v>4.2510000000000003</v>
      </c>
      <c r="J122" s="128">
        <v>4.2560000000000002</v>
      </c>
      <c r="K122" s="113">
        <v>4.2610000000000001</v>
      </c>
      <c r="L122" s="128">
        <v>0.86</v>
      </c>
      <c r="M122" s="113">
        <v>0.04</v>
      </c>
      <c r="O122" s="97"/>
      <c r="P122" s="127"/>
      <c r="Q122" s="127"/>
      <c r="R122" s="280">
        <f t="shared" ca="1" si="12"/>
        <v>40118</v>
      </c>
      <c r="S122" s="142">
        <f t="shared" si="13"/>
        <v>0.87999999999999989</v>
      </c>
      <c r="T122" s="141">
        <f t="shared" si="16"/>
        <v>0.95</v>
      </c>
      <c r="U122" s="143">
        <f t="shared" si="14"/>
        <v>1.02</v>
      </c>
      <c r="BP122" s="103">
        <f t="shared" si="10"/>
        <v>121</v>
      </c>
      <c r="BQ122" s="155" t="s">
        <v>293</v>
      </c>
      <c r="BR122" s="102" t="s">
        <v>166</v>
      </c>
      <c r="BS122" s="101" t="s">
        <v>192</v>
      </c>
      <c r="BT122" s="107" t="s">
        <v>168</v>
      </c>
      <c r="BU122" s="107"/>
      <c r="BV122" s="101">
        <v>1</v>
      </c>
      <c r="BW122" s="102" t="s">
        <v>892</v>
      </c>
      <c r="BX122"/>
      <c r="BZ122" s="103">
        <f t="shared" si="17"/>
        <v>121</v>
      </c>
      <c r="CA122" s="4" t="s">
        <v>517</v>
      </c>
      <c r="CB122" s="102" t="s">
        <v>169</v>
      </c>
      <c r="CC122" s="101" t="s">
        <v>167</v>
      </c>
      <c r="CD122" s="107" t="s">
        <v>168</v>
      </c>
      <c r="CE122" s="107"/>
      <c r="CF122" s="101">
        <v>1</v>
      </c>
      <c r="CG122" s="102" t="s">
        <v>707</v>
      </c>
      <c r="CH122"/>
    </row>
    <row r="123" spans="1:86" ht="13.2">
      <c r="A123" s="125"/>
      <c r="B123" s="126">
        <f t="shared" ca="1" si="15"/>
        <v>40148</v>
      </c>
      <c r="C123" s="113">
        <v>5.9615376707121019E-2</v>
      </c>
      <c r="D123" s="128">
        <v>1.25</v>
      </c>
      <c r="E123" s="128">
        <v>1.25</v>
      </c>
      <c r="F123" s="128">
        <v>0.185</v>
      </c>
      <c r="G123" s="128">
        <v>0.1925</v>
      </c>
      <c r="H123" s="128">
        <v>0.2</v>
      </c>
      <c r="I123" s="127">
        <v>4.3760000000000003</v>
      </c>
      <c r="J123" s="128">
        <v>4.3810000000000002</v>
      </c>
      <c r="K123" s="113">
        <v>4.3860000000000001</v>
      </c>
      <c r="L123" s="128">
        <v>1.28</v>
      </c>
      <c r="M123" s="113">
        <v>0.04</v>
      </c>
      <c r="O123" s="97"/>
      <c r="P123" s="127"/>
      <c r="Q123" s="127"/>
      <c r="R123" s="280">
        <f t="shared" ca="1" si="12"/>
        <v>40148</v>
      </c>
      <c r="S123" s="142">
        <f t="shared" si="13"/>
        <v>1.18</v>
      </c>
      <c r="T123" s="141">
        <f t="shared" si="16"/>
        <v>1.25</v>
      </c>
      <c r="U123" s="143">
        <f t="shared" si="14"/>
        <v>1.32</v>
      </c>
      <c r="BP123" s="103">
        <f t="shared" si="10"/>
        <v>122</v>
      </c>
      <c r="BQ123" s="155" t="s">
        <v>294</v>
      </c>
      <c r="BR123" s="102" t="s">
        <v>166</v>
      </c>
      <c r="BS123" s="101" t="s">
        <v>192</v>
      </c>
      <c r="BT123" s="107" t="s">
        <v>168</v>
      </c>
      <c r="BU123" s="107"/>
      <c r="BV123" s="101">
        <v>1</v>
      </c>
      <c r="BW123" s="102" t="s">
        <v>893</v>
      </c>
      <c r="BX123"/>
      <c r="BZ123" s="103">
        <f t="shared" si="17"/>
        <v>122</v>
      </c>
      <c r="CA123" s="4" t="s">
        <v>518</v>
      </c>
      <c r="CB123" s="102" t="s">
        <v>169</v>
      </c>
      <c r="CC123" s="101" t="s">
        <v>167</v>
      </c>
      <c r="CD123" s="107" t="s">
        <v>168</v>
      </c>
      <c r="CE123" s="107"/>
      <c r="CF123" s="101">
        <v>1</v>
      </c>
      <c r="CG123" s="102" t="s">
        <v>708</v>
      </c>
      <c r="CH123"/>
    </row>
    <row r="124" spans="1:86" ht="13.2">
      <c r="A124" s="125"/>
      <c r="B124" s="126">
        <f t="shared" ca="1" si="15"/>
        <v>40179</v>
      </c>
      <c r="C124" s="113">
        <v>5.9674404401431014E-2</v>
      </c>
      <c r="D124" s="128">
        <v>1.45</v>
      </c>
      <c r="E124" s="128">
        <v>1.45</v>
      </c>
      <c r="F124" s="128">
        <v>0.185</v>
      </c>
      <c r="G124" s="128">
        <v>0.1925</v>
      </c>
      <c r="H124" s="128">
        <v>0.2</v>
      </c>
      <c r="I124" s="127">
        <v>4.5</v>
      </c>
      <c r="J124" s="128">
        <v>4.5049999999999999</v>
      </c>
      <c r="K124" s="113">
        <v>4.51</v>
      </c>
      <c r="L124" s="128">
        <v>1.61</v>
      </c>
      <c r="M124" s="113">
        <v>0.04</v>
      </c>
      <c r="O124" s="97"/>
      <c r="P124" s="127"/>
      <c r="Q124" s="127"/>
      <c r="R124" s="280">
        <f t="shared" ca="1" si="12"/>
        <v>40179</v>
      </c>
      <c r="S124" s="142">
        <f t="shared" si="13"/>
        <v>1.38</v>
      </c>
      <c r="T124" s="141">
        <f t="shared" si="16"/>
        <v>1.45</v>
      </c>
      <c r="U124" s="143">
        <f t="shared" si="14"/>
        <v>1.52</v>
      </c>
      <c r="BP124" s="103">
        <f t="shared" si="10"/>
        <v>123</v>
      </c>
      <c r="BQ124" s="155" t="s">
        <v>295</v>
      </c>
      <c r="BR124" s="102" t="s">
        <v>166</v>
      </c>
      <c r="BS124" s="101" t="s">
        <v>192</v>
      </c>
      <c r="BT124" s="107" t="s">
        <v>168</v>
      </c>
      <c r="BU124" s="107"/>
      <c r="BV124" s="101">
        <v>1</v>
      </c>
      <c r="BW124" s="102" t="s">
        <v>894</v>
      </c>
      <c r="BX124"/>
      <c r="BZ124" s="103">
        <f t="shared" si="17"/>
        <v>123</v>
      </c>
      <c r="CA124" s="4" t="s">
        <v>519</v>
      </c>
      <c r="CB124" s="102" t="s">
        <v>169</v>
      </c>
      <c r="CC124" s="101" t="s">
        <v>167</v>
      </c>
      <c r="CD124" s="107" t="s">
        <v>168</v>
      </c>
      <c r="CE124" s="107"/>
      <c r="CF124" s="101">
        <v>1</v>
      </c>
      <c r="CG124" s="102" t="s">
        <v>709</v>
      </c>
      <c r="CH124"/>
    </row>
    <row r="125" spans="1:86" ht="13.2">
      <c r="A125" s="125"/>
      <c r="B125" s="126">
        <f t="shared" ca="1" si="15"/>
        <v>40210</v>
      </c>
      <c r="C125" s="113">
        <v>5.9733432096898013E-2</v>
      </c>
      <c r="D125" s="128">
        <v>1.45</v>
      </c>
      <c r="E125" s="128">
        <v>1.45</v>
      </c>
      <c r="F125" s="128">
        <v>0.18</v>
      </c>
      <c r="G125" s="128">
        <v>0.1875</v>
      </c>
      <c r="H125" s="128">
        <v>0.19500000000000001</v>
      </c>
      <c r="I125" s="127">
        <v>4.4040000000000008</v>
      </c>
      <c r="J125" s="128">
        <v>4.4090000000000007</v>
      </c>
      <c r="K125" s="113">
        <v>4.4140000000000006</v>
      </c>
      <c r="L125" s="128">
        <v>1.57</v>
      </c>
      <c r="M125" s="113">
        <v>0.04</v>
      </c>
      <c r="O125" s="97"/>
      <c r="P125" s="127"/>
      <c r="Q125" s="127"/>
      <c r="R125" s="280">
        <f t="shared" ca="1" si="12"/>
        <v>40210</v>
      </c>
      <c r="S125" s="142">
        <f t="shared" si="13"/>
        <v>1.38</v>
      </c>
      <c r="T125" s="141">
        <f t="shared" si="16"/>
        <v>1.45</v>
      </c>
      <c r="U125" s="143">
        <f t="shared" si="14"/>
        <v>1.52</v>
      </c>
      <c r="BP125" s="103">
        <f t="shared" si="10"/>
        <v>124</v>
      </c>
      <c r="BQ125" s="155" t="s">
        <v>296</v>
      </c>
      <c r="BR125" s="102" t="s">
        <v>166</v>
      </c>
      <c r="BS125" s="101" t="s">
        <v>192</v>
      </c>
      <c r="BT125" s="107" t="s">
        <v>168</v>
      </c>
      <c r="BU125" s="107"/>
      <c r="BV125" s="101">
        <v>1</v>
      </c>
      <c r="BW125" s="102" t="s">
        <v>895</v>
      </c>
      <c r="BX125"/>
      <c r="BZ125" s="103">
        <f t="shared" si="17"/>
        <v>124</v>
      </c>
      <c r="CA125" s="4" t="s">
        <v>520</v>
      </c>
      <c r="CB125" s="102" t="s">
        <v>169</v>
      </c>
      <c r="CC125" s="101" t="s">
        <v>167</v>
      </c>
      <c r="CD125" s="107" t="s">
        <v>168</v>
      </c>
      <c r="CE125" s="107"/>
      <c r="CF125" s="101">
        <v>1</v>
      </c>
      <c r="CG125" s="102" t="s">
        <v>710</v>
      </c>
      <c r="CH125"/>
    </row>
    <row r="126" spans="1:86" ht="13.2">
      <c r="A126" s="125"/>
      <c r="B126" s="126">
        <f t="shared" ca="1" si="15"/>
        <v>40238</v>
      </c>
      <c r="C126" s="113">
        <v>5.9786747435735005E-2</v>
      </c>
      <c r="D126" s="128">
        <v>1</v>
      </c>
      <c r="E126" s="128">
        <v>1</v>
      </c>
      <c r="F126" s="128">
        <v>0.17749999999999999</v>
      </c>
      <c r="G126" s="128">
        <v>0.185</v>
      </c>
      <c r="H126" s="128">
        <v>0.1925</v>
      </c>
      <c r="I126" s="127">
        <v>4.2540000000000004</v>
      </c>
      <c r="J126" s="128">
        <v>4.2590000000000003</v>
      </c>
      <c r="K126" s="113">
        <v>4.2640000000000002</v>
      </c>
      <c r="L126" s="128">
        <v>0.93</v>
      </c>
      <c r="M126" s="113">
        <v>0.04</v>
      </c>
      <c r="O126" s="97"/>
      <c r="P126" s="127"/>
      <c r="Q126" s="127"/>
      <c r="R126" s="280">
        <f t="shared" ca="1" si="12"/>
        <v>40238</v>
      </c>
      <c r="S126" s="142">
        <f t="shared" si="13"/>
        <v>0.92999999999999994</v>
      </c>
      <c r="T126" s="141">
        <f t="shared" si="16"/>
        <v>1</v>
      </c>
      <c r="U126" s="143">
        <f t="shared" si="14"/>
        <v>1.07</v>
      </c>
      <c r="BP126" s="103">
        <f t="shared" si="10"/>
        <v>125</v>
      </c>
      <c r="BQ126" s="155" t="s">
        <v>297</v>
      </c>
      <c r="BR126" s="102" t="s">
        <v>166</v>
      </c>
      <c r="BS126" s="101" t="s">
        <v>192</v>
      </c>
      <c r="BT126" s="107" t="s">
        <v>168</v>
      </c>
      <c r="BU126" s="107"/>
      <c r="BV126" s="101">
        <v>1</v>
      </c>
      <c r="BW126" s="102" t="s">
        <v>896</v>
      </c>
      <c r="BX126"/>
      <c r="BZ126" s="103">
        <f t="shared" si="17"/>
        <v>125</v>
      </c>
      <c r="CA126" s="4" t="s">
        <v>521</v>
      </c>
      <c r="CB126" s="102" t="s">
        <v>169</v>
      </c>
      <c r="CC126" s="101" t="s">
        <v>167</v>
      </c>
      <c r="CD126" s="107" t="s">
        <v>168</v>
      </c>
      <c r="CE126" s="107"/>
      <c r="CF126" s="101">
        <v>1</v>
      </c>
      <c r="CG126" s="102" t="s">
        <v>711</v>
      </c>
      <c r="CH126"/>
    </row>
    <row r="127" spans="1:86" ht="13.2">
      <c r="A127" s="125"/>
      <c r="B127" s="126">
        <f t="shared" ca="1" si="15"/>
        <v>40269</v>
      </c>
      <c r="C127" s="113">
        <v>5.9845775133406012E-2</v>
      </c>
      <c r="D127" s="128">
        <v>0.45</v>
      </c>
      <c r="E127" s="128">
        <v>0.45</v>
      </c>
      <c r="F127" s="128">
        <v>0.17749999999999999</v>
      </c>
      <c r="G127" s="128">
        <v>0.185</v>
      </c>
      <c r="H127" s="128">
        <v>0.1925</v>
      </c>
      <c r="I127" s="127">
        <v>4.0710000000000006</v>
      </c>
      <c r="J127" s="128">
        <v>4.0760000000000005</v>
      </c>
      <c r="K127" s="113">
        <v>4.0810000000000004</v>
      </c>
      <c r="L127" s="128">
        <v>0.5</v>
      </c>
      <c r="M127" s="113">
        <v>0.04</v>
      </c>
      <c r="O127" s="97"/>
      <c r="P127" s="127"/>
      <c r="Q127" s="127"/>
      <c r="R127" s="280">
        <f t="shared" ca="1" si="12"/>
        <v>40269</v>
      </c>
      <c r="S127" s="142">
        <f t="shared" si="13"/>
        <v>0.38</v>
      </c>
      <c r="T127" s="141">
        <f t="shared" si="16"/>
        <v>0.45</v>
      </c>
      <c r="U127" s="143">
        <f t="shared" si="14"/>
        <v>0.52</v>
      </c>
      <c r="BP127" s="103">
        <f t="shared" si="10"/>
        <v>126</v>
      </c>
      <c r="BQ127" s="155" t="s">
        <v>298</v>
      </c>
      <c r="BR127" s="102" t="s">
        <v>166</v>
      </c>
      <c r="BS127" s="101" t="s">
        <v>192</v>
      </c>
      <c r="BT127" s="107" t="s">
        <v>168</v>
      </c>
      <c r="BU127" s="107"/>
      <c r="BV127" s="101">
        <v>1</v>
      </c>
      <c r="BW127" s="102" t="s">
        <v>897</v>
      </c>
      <c r="BX127"/>
      <c r="BZ127" s="103">
        <f t="shared" si="17"/>
        <v>126</v>
      </c>
      <c r="CA127" s="4" t="s">
        <v>522</v>
      </c>
      <c r="CB127" s="102" t="s">
        <v>169</v>
      </c>
      <c r="CC127" s="101" t="s">
        <v>167</v>
      </c>
      <c r="CD127" s="107" t="s">
        <v>168</v>
      </c>
      <c r="CE127" s="107"/>
      <c r="CF127" s="101">
        <v>1</v>
      </c>
      <c r="CG127" s="102" t="s">
        <v>712</v>
      </c>
      <c r="CH127"/>
    </row>
    <row r="128" spans="1:86" ht="13.2">
      <c r="A128" s="125"/>
      <c r="B128" s="126">
        <f t="shared" ca="1" si="15"/>
        <v>40299</v>
      </c>
      <c r="C128" s="113">
        <v>5.990289871290002E-2</v>
      </c>
      <c r="D128" s="128">
        <v>0.5</v>
      </c>
      <c r="E128" s="128">
        <v>0.5</v>
      </c>
      <c r="F128" s="128">
        <v>0.17749999999999999</v>
      </c>
      <c r="G128" s="128">
        <v>0.185</v>
      </c>
      <c r="H128" s="128">
        <v>0.1925</v>
      </c>
      <c r="I128" s="127">
        <v>4.0460000000000003</v>
      </c>
      <c r="J128" s="128">
        <v>4.0510000000000002</v>
      </c>
      <c r="K128" s="113">
        <v>4.056</v>
      </c>
      <c r="L128" s="128">
        <v>0.44</v>
      </c>
      <c r="M128" s="113">
        <v>0.04</v>
      </c>
      <c r="O128" s="97"/>
      <c r="P128" s="127"/>
      <c r="Q128" s="127"/>
      <c r="R128" s="280">
        <f t="shared" ca="1" si="12"/>
        <v>40299</v>
      </c>
      <c r="S128" s="142">
        <f t="shared" si="13"/>
        <v>0.43</v>
      </c>
      <c r="T128" s="141">
        <f t="shared" si="16"/>
        <v>0.5</v>
      </c>
      <c r="U128" s="143">
        <f t="shared" si="14"/>
        <v>0.57000000000000006</v>
      </c>
      <c r="BP128" s="103">
        <f t="shared" si="10"/>
        <v>127</v>
      </c>
      <c r="BQ128" s="155" t="s">
        <v>299</v>
      </c>
      <c r="BR128" s="102" t="s">
        <v>166</v>
      </c>
      <c r="BS128" s="101" t="s">
        <v>192</v>
      </c>
      <c r="BT128" s="107" t="s">
        <v>168</v>
      </c>
      <c r="BU128" s="107"/>
      <c r="BV128" s="101">
        <v>1</v>
      </c>
      <c r="BW128" s="102" t="s">
        <v>898</v>
      </c>
      <c r="BX128"/>
      <c r="BZ128" s="103">
        <f t="shared" si="17"/>
        <v>127</v>
      </c>
      <c r="CA128" s="4" t="s">
        <v>523</v>
      </c>
      <c r="CB128" s="102" t="s">
        <v>169</v>
      </c>
      <c r="CC128" s="101" t="s">
        <v>167</v>
      </c>
      <c r="CD128" s="107" t="s">
        <v>168</v>
      </c>
      <c r="CE128" s="107"/>
      <c r="CF128" s="101">
        <v>1</v>
      </c>
      <c r="CG128" s="102" t="s">
        <v>713</v>
      </c>
      <c r="CH128"/>
    </row>
    <row r="129" spans="1:86" ht="13.2">
      <c r="A129" s="125"/>
      <c r="B129" s="126">
        <f t="shared" ca="1" si="15"/>
        <v>40330</v>
      </c>
      <c r="C129" s="113">
        <v>5.9961926412849018E-2</v>
      </c>
      <c r="D129" s="128">
        <v>0.5</v>
      </c>
      <c r="E129" s="128">
        <v>0.5</v>
      </c>
      <c r="F129" s="128">
        <v>0.17749999999999999</v>
      </c>
      <c r="G129" s="128">
        <v>0.185</v>
      </c>
      <c r="H129" s="128">
        <v>0.1925</v>
      </c>
      <c r="I129" s="127">
        <v>4.0750000000000002</v>
      </c>
      <c r="J129" s="128">
        <v>4.08</v>
      </c>
      <c r="K129" s="113">
        <v>4.085</v>
      </c>
      <c r="L129" s="128">
        <v>0.44</v>
      </c>
      <c r="M129" s="113">
        <v>0.04</v>
      </c>
      <c r="O129" s="97"/>
      <c r="P129" s="127"/>
      <c r="Q129" s="127"/>
      <c r="R129" s="280">
        <f t="shared" ca="1" si="12"/>
        <v>40330</v>
      </c>
      <c r="S129" s="142">
        <f t="shared" si="13"/>
        <v>0.43</v>
      </c>
      <c r="T129" s="141">
        <f t="shared" si="16"/>
        <v>0.5</v>
      </c>
      <c r="U129" s="143">
        <f t="shared" si="14"/>
        <v>0.57000000000000006</v>
      </c>
      <c r="BP129" s="103">
        <f t="shared" si="10"/>
        <v>128</v>
      </c>
      <c r="BQ129" s="155" t="s">
        <v>300</v>
      </c>
      <c r="BR129" s="102" t="s">
        <v>166</v>
      </c>
      <c r="BS129" s="101" t="s">
        <v>192</v>
      </c>
      <c r="BT129" s="107" t="s">
        <v>168</v>
      </c>
      <c r="BU129" s="107"/>
      <c r="BV129" s="101">
        <v>1</v>
      </c>
      <c r="BW129" s="102" t="s">
        <v>899</v>
      </c>
      <c r="BX129"/>
      <c r="BZ129" s="103">
        <f t="shared" si="17"/>
        <v>128</v>
      </c>
      <c r="CA129" s="4" t="s">
        <v>524</v>
      </c>
      <c r="CB129" s="102" t="s">
        <v>169</v>
      </c>
      <c r="CC129" s="101" t="s">
        <v>167</v>
      </c>
      <c r="CD129" s="107" t="s">
        <v>168</v>
      </c>
      <c r="CE129" s="107"/>
      <c r="CF129" s="101">
        <v>1</v>
      </c>
      <c r="CG129" s="102" t="s">
        <v>714</v>
      </c>
      <c r="CH129"/>
    </row>
    <row r="130" spans="1:86" ht="13.2">
      <c r="A130" s="125"/>
      <c r="B130" s="126">
        <f t="shared" ca="1" si="15"/>
        <v>40360</v>
      </c>
      <c r="C130" s="113">
        <v>6.0019049994547019E-2</v>
      </c>
      <c r="D130" s="128">
        <v>0.5</v>
      </c>
      <c r="E130" s="128">
        <v>0.5</v>
      </c>
      <c r="F130" s="128">
        <v>0.17749999999999999</v>
      </c>
      <c r="G130" s="128">
        <v>0.185</v>
      </c>
      <c r="H130" s="128">
        <v>0.1925</v>
      </c>
      <c r="I130" s="127">
        <v>4.1050000000000004</v>
      </c>
      <c r="J130" s="128">
        <v>4.1100000000000003</v>
      </c>
      <c r="K130" s="113">
        <v>4.1150000000000002</v>
      </c>
      <c r="L130" s="128">
        <v>0.5</v>
      </c>
      <c r="M130" s="113">
        <v>0.04</v>
      </c>
      <c r="O130" s="97"/>
      <c r="P130" s="127"/>
      <c r="Q130" s="127"/>
      <c r="R130" s="280">
        <f t="shared" ca="1" si="12"/>
        <v>40360</v>
      </c>
      <c r="S130" s="142">
        <f t="shared" si="13"/>
        <v>0.43</v>
      </c>
      <c r="T130" s="141">
        <f t="shared" si="16"/>
        <v>0.5</v>
      </c>
      <c r="U130" s="143">
        <f t="shared" si="14"/>
        <v>0.57000000000000006</v>
      </c>
      <c r="BP130" s="103">
        <f t="shared" ref="BP130:BP193" si="18">BP129+BV130</f>
        <v>129</v>
      </c>
      <c r="BQ130" s="155" t="s">
        <v>301</v>
      </c>
      <c r="BR130" s="102" t="s">
        <v>166</v>
      </c>
      <c r="BS130" s="101" t="s">
        <v>192</v>
      </c>
      <c r="BT130" s="107" t="s">
        <v>168</v>
      </c>
      <c r="BU130" s="107"/>
      <c r="BV130" s="101">
        <v>1</v>
      </c>
      <c r="BW130" s="102" t="s">
        <v>900</v>
      </c>
      <c r="BX130"/>
      <c r="BZ130" s="103">
        <f t="shared" ref="BZ130:BZ161" si="19">BZ129+CF130</f>
        <v>129</v>
      </c>
      <c r="CA130" s="4" t="s">
        <v>525</v>
      </c>
      <c r="CB130" s="102" t="s">
        <v>169</v>
      </c>
      <c r="CC130" s="101" t="s">
        <v>167</v>
      </c>
      <c r="CD130" s="107" t="s">
        <v>168</v>
      </c>
      <c r="CE130" s="107"/>
      <c r="CF130" s="101">
        <v>1</v>
      </c>
      <c r="CG130" s="102" t="s">
        <v>715</v>
      </c>
      <c r="CH130"/>
    </row>
    <row r="131" spans="1:86" ht="13.2">
      <c r="A131" s="125"/>
      <c r="B131" s="126">
        <f t="shared" ca="1" si="15"/>
        <v>40391</v>
      </c>
      <c r="C131" s="113">
        <v>6.0078077696774007E-2</v>
      </c>
      <c r="D131" s="128">
        <v>0.6</v>
      </c>
      <c r="E131" s="128">
        <v>0.6</v>
      </c>
      <c r="F131" s="128">
        <v>0.17749999999999999</v>
      </c>
      <c r="G131" s="128">
        <v>0.185</v>
      </c>
      <c r="H131" s="128">
        <v>0.1925</v>
      </c>
      <c r="I131" s="127">
        <v>4.125</v>
      </c>
      <c r="J131" s="128">
        <v>4.13</v>
      </c>
      <c r="K131" s="113">
        <v>4.1349999999999998</v>
      </c>
      <c r="L131" s="128">
        <v>0.5</v>
      </c>
      <c r="M131" s="113">
        <v>0.04</v>
      </c>
      <c r="O131" s="97"/>
      <c r="P131" s="127"/>
      <c r="Q131" s="127"/>
      <c r="R131" s="280">
        <f t="shared" ca="1" si="12"/>
        <v>40391</v>
      </c>
      <c r="S131" s="142">
        <f t="shared" si="13"/>
        <v>0.53</v>
      </c>
      <c r="T131" s="141">
        <f t="shared" si="16"/>
        <v>0.6</v>
      </c>
      <c r="U131" s="143">
        <f t="shared" si="14"/>
        <v>0.66999999999999993</v>
      </c>
      <c r="BP131" s="103">
        <f t="shared" si="18"/>
        <v>130</v>
      </c>
      <c r="BQ131" s="155" t="s">
        <v>302</v>
      </c>
      <c r="BR131" s="102" t="s">
        <v>166</v>
      </c>
      <c r="BS131" s="101" t="s">
        <v>192</v>
      </c>
      <c r="BT131" s="107" t="s">
        <v>168</v>
      </c>
      <c r="BU131" s="107"/>
      <c r="BV131" s="101">
        <v>1</v>
      </c>
      <c r="BW131" s="102" t="s">
        <v>901</v>
      </c>
      <c r="BX131"/>
      <c r="BZ131" s="103">
        <f t="shared" si="19"/>
        <v>130</v>
      </c>
      <c r="CA131" s="4" t="s">
        <v>526</v>
      </c>
      <c r="CB131" s="102" t="s">
        <v>169</v>
      </c>
      <c r="CC131" s="101" t="s">
        <v>167</v>
      </c>
      <c r="CD131" s="107" t="s">
        <v>168</v>
      </c>
      <c r="CE131" s="107"/>
      <c r="CF131" s="101">
        <v>1</v>
      </c>
      <c r="CG131" s="102" t="s">
        <v>716</v>
      </c>
      <c r="CH131"/>
    </row>
    <row r="132" spans="1:86" ht="13.2">
      <c r="A132" s="125"/>
      <c r="B132" s="126">
        <f t="shared" ca="1" si="15"/>
        <v>40422</v>
      </c>
      <c r="C132" s="113">
        <v>6.0137105400160012E-2</v>
      </c>
      <c r="D132" s="128">
        <v>0.6</v>
      </c>
      <c r="E132" s="128">
        <v>0.6</v>
      </c>
      <c r="F132" s="128">
        <v>0.17749999999999999</v>
      </c>
      <c r="G132" s="128">
        <v>0.185</v>
      </c>
      <c r="H132" s="128">
        <v>0.1925</v>
      </c>
      <c r="I132" s="127">
        <v>4.1459999999999999</v>
      </c>
      <c r="J132" s="128">
        <v>4.1510000000000007</v>
      </c>
      <c r="K132" s="113">
        <v>4.1560000000000006</v>
      </c>
      <c r="L132" s="128">
        <v>0.46</v>
      </c>
      <c r="M132" s="113">
        <v>0.04</v>
      </c>
      <c r="O132" s="97"/>
      <c r="P132" s="127"/>
      <c r="Q132" s="127"/>
      <c r="R132" s="280">
        <f t="shared" ca="1" si="12"/>
        <v>40422</v>
      </c>
      <c r="S132" s="142">
        <f t="shared" si="13"/>
        <v>0.53</v>
      </c>
      <c r="T132" s="141">
        <f t="shared" si="16"/>
        <v>0.6</v>
      </c>
      <c r="U132" s="143">
        <f t="shared" si="14"/>
        <v>0.66999999999999993</v>
      </c>
      <c r="BP132" s="103">
        <f t="shared" si="18"/>
        <v>131</v>
      </c>
      <c r="BQ132" s="155" t="s">
        <v>303</v>
      </c>
      <c r="BR132" s="102" t="s">
        <v>166</v>
      </c>
      <c r="BS132" s="101" t="s">
        <v>192</v>
      </c>
      <c r="BT132" s="107" t="s">
        <v>168</v>
      </c>
      <c r="BU132" s="107"/>
      <c r="BV132" s="101">
        <v>1</v>
      </c>
      <c r="BW132" s="102" t="s">
        <v>902</v>
      </c>
      <c r="BX132"/>
      <c r="BZ132" s="103">
        <f t="shared" si="19"/>
        <v>131</v>
      </c>
      <c r="CA132" s="4" t="s">
        <v>527</v>
      </c>
      <c r="CB132" s="102" t="s">
        <v>169</v>
      </c>
      <c r="CC132" s="101" t="s">
        <v>167</v>
      </c>
      <c r="CD132" s="107" t="s">
        <v>168</v>
      </c>
      <c r="CE132" s="107"/>
      <c r="CF132" s="101">
        <v>1</v>
      </c>
      <c r="CG132" s="102" t="s">
        <v>717</v>
      </c>
      <c r="CH132"/>
    </row>
    <row r="133" spans="1:86" ht="13.2">
      <c r="A133" s="125"/>
      <c r="B133" s="126">
        <f t="shared" ca="1" si="15"/>
        <v>40452</v>
      </c>
      <c r="C133" s="113">
        <v>6.0194228985183014E-2</v>
      </c>
      <c r="D133" s="128">
        <v>0.65</v>
      </c>
      <c r="E133" s="128">
        <v>0.65</v>
      </c>
      <c r="F133" s="128">
        <v>0.17749999999999999</v>
      </c>
      <c r="G133" s="128">
        <v>0.185</v>
      </c>
      <c r="H133" s="128">
        <v>0.1925</v>
      </c>
      <c r="I133" s="127">
        <v>4.1760000000000002</v>
      </c>
      <c r="J133" s="128">
        <v>4.181</v>
      </c>
      <c r="K133" s="113">
        <v>4.1859999999999999</v>
      </c>
      <c r="L133" s="128">
        <v>0.47</v>
      </c>
      <c r="M133" s="113">
        <v>0.04</v>
      </c>
      <c r="O133" s="97"/>
      <c r="P133" s="127"/>
      <c r="Q133" s="127"/>
      <c r="R133" s="280">
        <f t="shared" ca="1" si="12"/>
        <v>40452</v>
      </c>
      <c r="S133" s="142">
        <f t="shared" si="13"/>
        <v>0.58000000000000007</v>
      </c>
      <c r="T133" s="141">
        <f t="shared" si="16"/>
        <v>0.65</v>
      </c>
      <c r="U133" s="143">
        <f t="shared" si="14"/>
        <v>0.72</v>
      </c>
      <c r="BP133" s="103">
        <f t="shared" si="18"/>
        <v>132</v>
      </c>
      <c r="BQ133" s="155" t="s">
        <v>304</v>
      </c>
      <c r="BR133" s="102" t="s">
        <v>166</v>
      </c>
      <c r="BS133" s="101" t="s">
        <v>192</v>
      </c>
      <c r="BT133" s="107" t="s">
        <v>168</v>
      </c>
      <c r="BU133" s="107"/>
      <c r="BV133" s="101">
        <v>1</v>
      </c>
      <c r="BW133" s="102" t="s">
        <v>903</v>
      </c>
      <c r="BX133"/>
      <c r="BZ133" s="103">
        <f t="shared" si="19"/>
        <v>132</v>
      </c>
      <c r="CA133" s="4" t="s">
        <v>528</v>
      </c>
      <c r="CB133" s="102" t="s">
        <v>169</v>
      </c>
      <c r="CC133" s="101" t="s">
        <v>167</v>
      </c>
      <c r="CD133" s="107" t="s">
        <v>168</v>
      </c>
      <c r="CE133" s="107"/>
      <c r="CF133" s="101">
        <v>1</v>
      </c>
      <c r="CG133" s="102" t="s">
        <v>718</v>
      </c>
      <c r="CH133"/>
    </row>
    <row r="134" spans="1:86" ht="13.2">
      <c r="A134" s="125"/>
      <c r="B134" s="126">
        <f t="shared" ca="1" si="15"/>
        <v>40483</v>
      </c>
      <c r="C134" s="113">
        <v>6.0253256690845011E-2</v>
      </c>
      <c r="D134" s="128">
        <v>0.95</v>
      </c>
      <c r="E134" s="128">
        <v>0.95</v>
      </c>
      <c r="F134" s="128">
        <v>0.17749999999999999</v>
      </c>
      <c r="G134" s="128">
        <v>0.185</v>
      </c>
      <c r="H134" s="128">
        <v>0.1925</v>
      </c>
      <c r="I134" s="127">
        <v>4.3160000000000007</v>
      </c>
      <c r="J134" s="128">
        <v>4.3210000000000006</v>
      </c>
      <c r="K134" s="113">
        <v>4.3260000000000005</v>
      </c>
      <c r="L134" s="128">
        <v>0.86</v>
      </c>
      <c r="M134" s="113">
        <v>0.04</v>
      </c>
      <c r="O134" s="97"/>
      <c r="P134" s="127"/>
      <c r="Q134" s="127"/>
      <c r="R134" s="280">
        <f t="shared" ca="1" si="12"/>
        <v>40483</v>
      </c>
      <c r="S134" s="142">
        <f t="shared" si="13"/>
        <v>0.87999999999999989</v>
      </c>
      <c r="T134" s="141">
        <f t="shared" si="16"/>
        <v>0.95</v>
      </c>
      <c r="U134" s="143">
        <f t="shared" si="14"/>
        <v>1.02</v>
      </c>
      <c r="BP134" s="103">
        <f t="shared" si="18"/>
        <v>133</v>
      </c>
      <c r="BQ134" s="155" t="s">
        <v>305</v>
      </c>
      <c r="BR134" s="102" t="s">
        <v>166</v>
      </c>
      <c r="BS134" s="101" t="s">
        <v>192</v>
      </c>
      <c r="BT134" s="107" t="s">
        <v>168</v>
      </c>
      <c r="BU134" s="107"/>
      <c r="BV134" s="101">
        <v>1</v>
      </c>
      <c r="BW134" s="102" t="s">
        <v>904</v>
      </c>
      <c r="BX134"/>
      <c r="BZ134" s="103">
        <f t="shared" si="19"/>
        <v>133</v>
      </c>
      <c r="CA134" s="4" t="s">
        <v>529</v>
      </c>
      <c r="CB134" s="102" t="s">
        <v>169</v>
      </c>
      <c r="CC134" s="101" t="s">
        <v>167</v>
      </c>
      <c r="CD134" s="107" t="s">
        <v>168</v>
      </c>
      <c r="CE134" s="107"/>
      <c r="CF134" s="101">
        <v>1</v>
      </c>
      <c r="CG134" s="102" t="s">
        <v>719</v>
      </c>
      <c r="CH134"/>
    </row>
    <row r="135" spans="1:86" ht="13.2">
      <c r="A135" s="125"/>
      <c r="B135" s="126">
        <f t="shared" ca="1" si="15"/>
        <v>40513</v>
      </c>
      <c r="C135" s="113">
        <v>6.0310380278073006E-2</v>
      </c>
      <c r="D135" s="128">
        <v>1.25</v>
      </c>
      <c r="E135" s="128">
        <v>1.25</v>
      </c>
      <c r="F135" s="128">
        <v>0.17749999999999999</v>
      </c>
      <c r="G135" s="128">
        <v>0.185</v>
      </c>
      <c r="H135" s="128">
        <v>0.1925</v>
      </c>
      <c r="I135" s="127">
        <v>4.4410000000000007</v>
      </c>
      <c r="J135" s="128">
        <v>4.4460000000000006</v>
      </c>
      <c r="K135" s="113">
        <v>4.4510000000000005</v>
      </c>
      <c r="L135" s="128">
        <v>1.28</v>
      </c>
      <c r="M135" s="113">
        <v>0.04</v>
      </c>
      <c r="O135" s="97"/>
      <c r="P135" s="127"/>
      <c r="Q135" s="127"/>
      <c r="R135" s="280">
        <f t="shared" ca="1" si="12"/>
        <v>40513</v>
      </c>
      <c r="S135" s="142">
        <f t="shared" si="13"/>
        <v>1.18</v>
      </c>
      <c r="T135" s="141">
        <f t="shared" si="16"/>
        <v>1.25</v>
      </c>
      <c r="U135" s="143">
        <f t="shared" si="14"/>
        <v>1.32</v>
      </c>
      <c r="BP135" s="103">
        <f t="shared" si="18"/>
        <v>134</v>
      </c>
      <c r="BQ135" s="155" t="s">
        <v>306</v>
      </c>
      <c r="BR135" s="102" t="s">
        <v>166</v>
      </c>
      <c r="BS135" s="101" t="s">
        <v>192</v>
      </c>
      <c r="BT135" s="107" t="s">
        <v>168</v>
      </c>
      <c r="BU135" s="107"/>
      <c r="BV135" s="101">
        <v>1</v>
      </c>
      <c r="BW135" s="102" t="s">
        <v>905</v>
      </c>
      <c r="BX135"/>
      <c r="BZ135" s="103">
        <f t="shared" si="19"/>
        <v>134</v>
      </c>
      <c r="CA135" s="4" t="s">
        <v>530</v>
      </c>
      <c r="CB135" s="102" t="s">
        <v>169</v>
      </c>
      <c r="CC135" s="101" t="s">
        <v>167</v>
      </c>
      <c r="CD135" s="107" t="s">
        <v>168</v>
      </c>
      <c r="CE135" s="107"/>
      <c r="CF135" s="101">
        <v>1</v>
      </c>
      <c r="CG135" s="102" t="s">
        <v>720</v>
      </c>
      <c r="CH135"/>
    </row>
    <row r="136" spans="1:86" ht="13.2">
      <c r="A136" s="125"/>
      <c r="B136" s="126">
        <f t="shared" ca="1" si="15"/>
        <v>40544</v>
      </c>
      <c r="C136" s="113">
        <v>6.0369407986013E-2</v>
      </c>
      <c r="D136" s="128">
        <v>1.45</v>
      </c>
      <c r="E136" s="128">
        <v>1.45</v>
      </c>
      <c r="F136" s="128">
        <v>0.17749999999999999</v>
      </c>
      <c r="G136" s="128">
        <v>0.185</v>
      </c>
      <c r="H136" s="128">
        <v>0.1925</v>
      </c>
      <c r="I136" s="127">
        <v>4.5750000000000002</v>
      </c>
      <c r="J136" s="128">
        <v>4.58</v>
      </c>
      <c r="K136" s="113">
        <v>4.585</v>
      </c>
      <c r="L136" s="128">
        <v>1.61</v>
      </c>
      <c r="M136" s="113">
        <v>0.04</v>
      </c>
      <c r="O136" s="97"/>
      <c r="P136" s="127"/>
      <c r="Q136" s="127"/>
      <c r="R136" s="280">
        <f t="shared" ca="1" si="12"/>
        <v>40544</v>
      </c>
      <c r="S136" s="142">
        <f t="shared" si="13"/>
        <v>1.38</v>
      </c>
      <c r="T136" s="141">
        <f t="shared" si="16"/>
        <v>1.45</v>
      </c>
      <c r="U136" s="143">
        <f t="shared" si="14"/>
        <v>1.52</v>
      </c>
      <c r="BP136" s="103">
        <f t="shared" si="18"/>
        <v>135</v>
      </c>
      <c r="BQ136" s="155" t="s">
        <v>307</v>
      </c>
      <c r="BR136" s="102" t="s">
        <v>166</v>
      </c>
      <c r="BS136" s="101" t="s">
        <v>192</v>
      </c>
      <c r="BT136" s="107" t="s">
        <v>168</v>
      </c>
      <c r="BU136" s="107"/>
      <c r="BV136" s="101">
        <v>1</v>
      </c>
      <c r="BW136" s="102" t="s">
        <v>906</v>
      </c>
      <c r="BX136"/>
      <c r="BZ136" s="103">
        <f t="shared" si="19"/>
        <v>135</v>
      </c>
      <c r="CA136" s="4" t="s">
        <v>531</v>
      </c>
      <c r="CB136" s="102" t="s">
        <v>169</v>
      </c>
      <c r="CC136" s="101" t="s">
        <v>167</v>
      </c>
      <c r="CD136" s="107" t="s">
        <v>168</v>
      </c>
      <c r="CE136" s="107"/>
      <c r="CF136" s="101">
        <v>1</v>
      </c>
      <c r="CG136" s="102" t="s">
        <v>721</v>
      </c>
      <c r="CH136"/>
    </row>
    <row r="137" spans="1:86" ht="13.2">
      <c r="A137" s="125"/>
      <c r="B137" s="126">
        <f t="shared" ca="1" si="15"/>
        <v>40575</v>
      </c>
      <c r="C137" s="113">
        <v>6.0406163350889004E-2</v>
      </c>
      <c r="D137" s="128">
        <v>1.45</v>
      </c>
      <c r="E137" s="128">
        <v>1.45</v>
      </c>
      <c r="F137" s="128">
        <v>0.17749999999999999</v>
      </c>
      <c r="G137" s="128">
        <v>0.185</v>
      </c>
      <c r="H137" s="128">
        <v>0.1925</v>
      </c>
      <c r="I137" s="127">
        <v>4.4790000000000001</v>
      </c>
      <c r="J137" s="128">
        <v>4.4840000000000009</v>
      </c>
      <c r="K137" s="113">
        <v>4.4890000000000008</v>
      </c>
      <c r="L137" s="128">
        <v>1.57</v>
      </c>
      <c r="M137" s="113">
        <v>0.04</v>
      </c>
      <c r="O137" s="97"/>
      <c r="P137" s="127"/>
      <c r="Q137" s="127"/>
      <c r="R137" s="280">
        <f t="shared" ca="1" si="12"/>
        <v>40575</v>
      </c>
      <c r="S137" s="142">
        <f t="shared" si="13"/>
        <v>1.38</v>
      </c>
      <c r="T137" s="141">
        <f t="shared" si="16"/>
        <v>1.45</v>
      </c>
      <c r="U137" s="143">
        <f t="shared" si="14"/>
        <v>1.52</v>
      </c>
      <c r="BP137" s="103">
        <f t="shared" si="18"/>
        <v>136</v>
      </c>
      <c r="BQ137" s="155" t="s">
        <v>308</v>
      </c>
      <c r="BR137" s="102" t="s">
        <v>166</v>
      </c>
      <c r="BS137" s="101" t="s">
        <v>192</v>
      </c>
      <c r="BT137" s="107" t="s">
        <v>168</v>
      </c>
      <c r="BU137" s="107"/>
      <c r="BV137" s="101">
        <v>1</v>
      </c>
      <c r="BW137" s="102" t="s">
        <v>907</v>
      </c>
      <c r="BX137"/>
      <c r="BZ137" s="103">
        <f t="shared" si="19"/>
        <v>136</v>
      </c>
      <c r="CA137" s="4" t="s">
        <v>533</v>
      </c>
      <c r="CB137" s="102" t="s">
        <v>169</v>
      </c>
      <c r="CC137" s="101" t="s">
        <v>167</v>
      </c>
      <c r="CD137" s="107" t="s">
        <v>168</v>
      </c>
      <c r="CE137" s="107"/>
      <c r="CF137" s="101">
        <v>1</v>
      </c>
      <c r="CG137" s="102" t="s">
        <v>722</v>
      </c>
      <c r="CH137"/>
    </row>
    <row r="138" spans="1:86" ht="13.2">
      <c r="A138" s="125"/>
      <c r="B138" s="126">
        <f t="shared" ca="1" si="15"/>
        <v>40603</v>
      </c>
      <c r="C138" s="113">
        <v>6.0428297419457017E-2</v>
      </c>
      <c r="D138" s="113">
        <v>1</v>
      </c>
      <c r="E138" s="113">
        <v>1</v>
      </c>
      <c r="F138" s="113">
        <v>0.17249999999999999</v>
      </c>
      <c r="G138" s="113">
        <v>0.18</v>
      </c>
      <c r="H138" s="113">
        <v>0.1875</v>
      </c>
      <c r="I138" s="114">
        <v>4.3290000000000006</v>
      </c>
      <c r="J138" s="113">
        <v>4.3340000000000005</v>
      </c>
      <c r="K138" s="113">
        <v>4.3390000000000004</v>
      </c>
      <c r="L138" s="113">
        <v>0.93</v>
      </c>
      <c r="M138" s="113">
        <v>0.04</v>
      </c>
      <c r="O138" s="97"/>
      <c r="P138" s="127"/>
      <c r="Q138" s="127"/>
      <c r="R138" s="280">
        <f t="shared" ca="1" si="12"/>
        <v>40603</v>
      </c>
      <c r="S138" s="142">
        <f t="shared" si="13"/>
        <v>0.92999999999999994</v>
      </c>
      <c r="T138" s="141">
        <f t="shared" si="16"/>
        <v>1</v>
      </c>
      <c r="U138" s="143">
        <f t="shared" si="14"/>
        <v>1.07</v>
      </c>
      <c r="BP138" s="103">
        <f t="shared" si="18"/>
        <v>137</v>
      </c>
      <c r="BQ138" s="155" t="s">
        <v>309</v>
      </c>
      <c r="BR138" s="102" t="s">
        <v>166</v>
      </c>
      <c r="BS138" s="101" t="s">
        <v>192</v>
      </c>
      <c r="BT138" s="107" t="s">
        <v>168</v>
      </c>
      <c r="BU138" s="107"/>
      <c r="BV138" s="101">
        <v>1</v>
      </c>
      <c r="BW138" s="102" t="s">
        <v>908</v>
      </c>
      <c r="BX138"/>
      <c r="BZ138" s="103">
        <f t="shared" si="19"/>
        <v>137</v>
      </c>
      <c r="CA138" s="4" t="s">
        <v>534</v>
      </c>
      <c r="CB138" s="102" t="s">
        <v>169</v>
      </c>
      <c r="CC138" s="101" t="s">
        <v>167</v>
      </c>
      <c r="CD138" s="107" t="s">
        <v>168</v>
      </c>
      <c r="CE138" s="107"/>
      <c r="CF138" s="101">
        <v>1</v>
      </c>
      <c r="CG138" s="102" t="s">
        <v>723</v>
      </c>
      <c r="CH138"/>
    </row>
    <row r="139" spans="1:86" ht="13.2">
      <c r="A139" s="125"/>
      <c r="B139" s="126">
        <f t="shared" ca="1" si="15"/>
        <v>40634</v>
      </c>
      <c r="C139" s="113">
        <v>6.0452802995560002E-2</v>
      </c>
      <c r="D139" s="113">
        <v>0.45</v>
      </c>
      <c r="E139" s="113">
        <v>0.45</v>
      </c>
      <c r="F139" s="113">
        <v>0.17249999999999999</v>
      </c>
      <c r="G139" s="113">
        <v>0.18</v>
      </c>
      <c r="H139" s="113">
        <v>0.1875</v>
      </c>
      <c r="I139" s="114">
        <v>4.1459999999999999</v>
      </c>
      <c r="J139" s="113">
        <v>4.1510000000000007</v>
      </c>
      <c r="K139" s="113">
        <v>4.1560000000000006</v>
      </c>
      <c r="L139" s="113">
        <v>0.5</v>
      </c>
      <c r="M139" s="113">
        <v>0.04</v>
      </c>
      <c r="O139" s="97"/>
      <c r="P139" s="127"/>
      <c r="Q139" s="127"/>
      <c r="R139" s="280">
        <f t="shared" ca="1" si="12"/>
        <v>40634</v>
      </c>
      <c r="S139" s="142">
        <f t="shared" si="13"/>
        <v>0.38</v>
      </c>
      <c r="T139" s="141">
        <f t="shared" si="16"/>
        <v>0.45</v>
      </c>
      <c r="U139" s="143">
        <f t="shared" si="14"/>
        <v>0.52</v>
      </c>
      <c r="BP139" s="103">
        <f t="shared" si="18"/>
        <v>138</v>
      </c>
      <c r="BQ139" s="155" t="s">
        <v>310</v>
      </c>
      <c r="BR139" s="102" t="s">
        <v>166</v>
      </c>
      <c r="BS139" s="101" t="s">
        <v>192</v>
      </c>
      <c r="BT139" s="107" t="s">
        <v>168</v>
      </c>
      <c r="BU139" s="107"/>
      <c r="BV139" s="101">
        <v>1</v>
      </c>
      <c r="BW139" s="102" t="s">
        <v>909</v>
      </c>
      <c r="BX139"/>
      <c r="BZ139" s="103">
        <f t="shared" si="19"/>
        <v>138</v>
      </c>
      <c r="CA139" s="4" t="s">
        <v>535</v>
      </c>
      <c r="CB139" s="102" t="s">
        <v>169</v>
      </c>
      <c r="CC139" s="101" t="s">
        <v>167</v>
      </c>
      <c r="CD139" s="107" t="s">
        <v>168</v>
      </c>
      <c r="CE139" s="107"/>
      <c r="CF139" s="101">
        <v>1</v>
      </c>
      <c r="CG139" s="102" t="s">
        <v>724</v>
      </c>
      <c r="CH139"/>
    </row>
    <row r="140" spans="1:86" ht="13.2">
      <c r="A140" s="125"/>
      <c r="B140" s="126">
        <f t="shared" ca="1" si="15"/>
        <v>40664</v>
      </c>
      <c r="C140" s="113">
        <v>6.0476518069398015E-2</v>
      </c>
      <c r="D140" s="113">
        <v>0.5</v>
      </c>
      <c r="E140" s="113">
        <v>0.5</v>
      </c>
      <c r="F140" s="113">
        <v>0.17249999999999999</v>
      </c>
      <c r="G140" s="113">
        <v>0.18</v>
      </c>
      <c r="H140" s="113">
        <v>0.1875</v>
      </c>
      <c r="I140" s="114">
        <v>4.1210000000000004</v>
      </c>
      <c r="J140" s="113">
        <v>4.1260000000000003</v>
      </c>
      <c r="K140" s="113">
        <v>4.1310000000000002</v>
      </c>
      <c r="L140" s="113">
        <v>0.44</v>
      </c>
      <c r="M140" s="113">
        <v>0.04</v>
      </c>
      <c r="O140" s="97"/>
      <c r="P140" s="127"/>
      <c r="Q140" s="127"/>
      <c r="R140" s="280">
        <f t="shared" ca="1" si="12"/>
        <v>40664</v>
      </c>
      <c r="S140" s="142">
        <f t="shared" si="13"/>
        <v>0.43</v>
      </c>
      <c r="T140" s="141">
        <f t="shared" si="16"/>
        <v>0.5</v>
      </c>
      <c r="U140" s="143">
        <f t="shared" si="14"/>
        <v>0.57000000000000006</v>
      </c>
      <c r="BP140" s="103">
        <f t="shared" si="18"/>
        <v>139</v>
      </c>
      <c r="BQ140" s="155" t="s">
        <v>311</v>
      </c>
      <c r="BR140" s="102" t="s">
        <v>166</v>
      </c>
      <c r="BS140" s="101" t="s">
        <v>192</v>
      </c>
      <c r="BT140" s="107" t="s">
        <v>168</v>
      </c>
      <c r="BU140" s="107"/>
      <c r="BV140" s="101">
        <v>1</v>
      </c>
      <c r="BW140" s="102" t="s">
        <v>910</v>
      </c>
      <c r="BX140"/>
      <c r="BZ140" s="103">
        <f t="shared" si="19"/>
        <v>139</v>
      </c>
      <c r="CA140" s="4" t="s">
        <v>536</v>
      </c>
      <c r="CB140" s="102" t="s">
        <v>169</v>
      </c>
      <c r="CC140" s="101" t="s">
        <v>167</v>
      </c>
      <c r="CD140" s="107" t="s">
        <v>168</v>
      </c>
      <c r="CE140" s="107"/>
      <c r="CF140" s="101">
        <v>1</v>
      </c>
      <c r="CG140" s="102" t="s">
        <v>725</v>
      </c>
      <c r="CH140"/>
    </row>
    <row r="141" spans="1:86" ht="13.2">
      <c r="A141" s="125"/>
      <c r="B141" s="126">
        <f t="shared" ca="1" si="15"/>
        <v>40695</v>
      </c>
      <c r="C141" s="113">
        <v>6.0501023645895005E-2</v>
      </c>
      <c r="D141" s="113">
        <v>0.5</v>
      </c>
      <c r="E141" s="113">
        <v>0.5</v>
      </c>
      <c r="F141" s="113">
        <v>0.17249999999999999</v>
      </c>
      <c r="G141" s="113">
        <v>0.18</v>
      </c>
      <c r="H141" s="113">
        <v>0.1875</v>
      </c>
      <c r="I141" s="114">
        <v>4.1500000000000004</v>
      </c>
      <c r="J141" s="113">
        <v>4.1550000000000002</v>
      </c>
      <c r="K141" s="113">
        <v>4.16</v>
      </c>
      <c r="L141" s="113">
        <v>0.44</v>
      </c>
      <c r="M141" s="113">
        <v>0.04</v>
      </c>
      <c r="O141" s="97"/>
      <c r="P141" s="127"/>
      <c r="Q141" s="127"/>
      <c r="R141" s="280">
        <f t="shared" ca="1" si="12"/>
        <v>40695</v>
      </c>
      <c r="S141" s="142">
        <f t="shared" si="13"/>
        <v>0.43</v>
      </c>
      <c r="T141" s="141">
        <f t="shared" si="16"/>
        <v>0.5</v>
      </c>
      <c r="U141" s="143">
        <f t="shared" si="14"/>
        <v>0.57000000000000006</v>
      </c>
      <c r="BP141" s="103">
        <f t="shared" si="18"/>
        <v>140</v>
      </c>
      <c r="BQ141" s="155" t="s">
        <v>312</v>
      </c>
      <c r="BR141" s="102" t="s">
        <v>166</v>
      </c>
      <c r="BS141" s="101" t="s">
        <v>192</v>
      </c>
      <c r="BT141" s="107" t="s">
        <v>168</v>
      </c>
      <c r="BU141" s="107"/>
      <c r="BV141" s="101">
        <v>1</v>
      </c>
      <c r="BW141" s="102" t="s">
        <v>911</v>
      </c>
      <c r="BX141"/>
      <c r="BZ141" s="103">
        <f t="shared" si="19"/>
        <v>140</v>
      </c>
      <c r="CA141" s="4" t="s">
        <v>537</v>
      </c>
      <c r="CB141" s="102" t="s">
        <v>169</v>
      </c>
      <c r="CC141" s="101" t="s">
        <v>167</v>
      </c>
      <c r="CD141" s="107" t="s">
        <v>168</v>
      </c>
      <c r="CE141" s="107"/>
      <c r="CF141" s="101">
        <v>1</v>
      </c>
      <c r="CG141" s="102" t="s">
        <v>726</v>
      </c>
      <c r="CH141"/>
    </row>
    <row r="142" spans="1:86" ht="13.2">
      <c r="A142" s="125"/>
      <c r="B142" s="126">
        <f t="shared" ca="1" si="15"/>
        <v>40725</v>
      </c>
      <c r="C142" s="113">
        <v>6.0524738720113012E-2</v>
      </c>
      <c r="D142" s="113">
        <v>0.5</v>
      </c>
      <c r="E142" s="113">
        <v>0.5</v>
      </c>
      <c r="F142" s="113">
        <v>0.17249999999999999</v>
      </c>
      <c r="G142" s="113">
        <v>0.18</v>
      </c>
      <c r="H142" s="113">
        <v>0.1875</v>
      </c>
      <c r="I142" s="114">
        <v>4.18</v>
      </c>
      <c r="J142" s="113">
        <v>4.1849999999999996</v>
      </c>
      <c r="K142" s="113">
        <v>4.1900000000000004</v>
      </c>
      <c r="L142" s="113">
        <v>0.5</v>
      </c>
      <c r="M142" s="113">
        <v>0.04</v>
      </c>
      <c r="O142" s="97"/>
      <c r="P142" s="127"/>
      <c r="Q142" s="127"/>
      <c r="R142" s="280">
        <f t="shared" ca="1" si="12"/>
        <v>40725</v>
      </c>
      <c r="S142" s="142">
        <f t="shared" si="13"/>
        <v>0.43</v>
      </c>
      <c r="T142" s="141">
        <f t="shared" si="16"/>
        <v>0.5</v>
      </c>
      <c r="U142" s="143">
        <f t="shared" si="14"/>
        <v>0.57000000000000006</v>
      </c>
      <c r="BP142" s="103">
        <f t="shared" si="18"/>
        <v>141</v>
      </c>
      <c r="BQ142" s="155" t="s">
        <v>313</v>
      </c>
      <c r="BR142" s="102" t="s">
        <v>166</v>
      </c>
      <c r="BS142" s="101" t="s">
        <v>192</v>
      </c>
      <c r="BT142" s="107" t="s">
        <v>168</v>
      </c>
      <c r="BU142" s="107"/>
      <c r="BV142" s="101">
        <v>1</v>
      </c>
      <c r="BW142" s="102" t="s">
        <v>912</v>
      </c>
      <c r="BX142"/>
      <c r="BZ142" s="103">
        <f t="shared" si="19"/>
        <v>141</v>
      </c>
      <c r="CA142" s="4" t="s">
        <v>538</v>
      </c>
      <c r="CB142" s="102" t="s">
        <v>169</v>
      </c>
      <c r="CC142" s="101" t="s">
        <v>167</v>
      </c>
      <c r="CD142" s="107" t="s">
        <v>168</v>
      </c>
      <c r="CE142" s="107"/>
      <c r="CF142" s="101">
        <v>1</v>
      </c>
      <c r="CG142" s="102" t="s">
        <v>727</v>
      </c>
      <c r="CH142"/>
    </row>
    <row r="143" spans="1:86" ht="13.2">
      <c r="A143" s="125"/>
      <c r="B143" s="126">
        <f t="shared" ca="1" si="15"/>
        <v>40756</v>
      </c>
      <c r="C143" s="113">
        <v>6.0549244297002008E-2</v>
      </c>
      <c r="D143" s="113">
        <v>0.6</v>
      </c>
      <c r="E143" s="113">
        <v>0.6</v>
      </c>
      <c r="F143" s="113">
        <v>0.17249999999999999</v>
      </c>
      <c r="G143" s="113">
        <v>0.18</v>
      </c>
      <c r="H143" s="113">
        <v>0.1875</v>
      </c>
      <c r="I143" s="114">
        <v>4.2</v>
      </c>
      <c r="J143" s="113">
        <v>4.2050000000000001</v>
      </c>
      <c r="K143" s="113">
        <v>4.21</v>
      </c>
      <c r="L143" s="113">
        <v>0.5</v>
      </c>
      <c r="M143" s="113">
        <v>0.04</v>
      </c>
      <c r="O143" s="97"/>
      <c r="P143" s="127"/>
      <c r="Q143" s="127"/>
      <c r="R143" s="280">
        <f t="shared" ca="1" si="12"/>
        <v>40756</v>
      </c>
      <c r="S143" s="142">
        <f t="shared" si="13"/>
        <v>0.53</v>
      </c>
      <c r="T143" s="141">
        <f t="shared" si="16"/>
        <v>0.6</v>
      </c>
      <c r="U143" s="143">
        <f t="shared" si="14"/>
        <v>0.66999999999999993</v>
      </c>
      <c r="BP143" s="103">
        <f t="shared" si="18"/>
        <v>142</v>
      </c>
      <c r="BQ143" s="155" t="s">
        <v>314</v>
      </c>
      <c r="BR143" s="102" t="s">
        <v>166</v>
      </c>
      <c r="BS143" s="101" t="s">
        <v>192</v>
      </c>
      <c r="BT143" s="107" t="s">
        <v>168</v>
      </c>
      <c r="BU143" s="107"/>
      <c r="BV143" s="101">
        <v>1</v>
      </c>
      <c r="BW143" s="102" t="s">
        <v>913</v>
      </c>
      <c r="BX143"/>
      <c r="BZ143" s="103">
        <f t="shared" si="19"/>
        <v>142</v>
      </c>
      <c r="CA143" s="4" t="s">
        <v>539</v>
      </c>
      <c r="CB143" s="102" t="s">
        <v>169</v>
      </c>
      <c r="CC143" s="101" t="s">
        <v>167</v>
      </c>
      <c r="CD143" s="107" t="s">
        <v>168</v>
      </c>
      <c r="CE143" s="107"/>
      <c r="CF143" s="101">
        <v>1</v>
      </c>
      <c r="CG143" s="102" t="s">
        <v>728</v>
      </c>
      <c r="CH143"/>
    </row>
    <row r="144" spans="1:86" ht="13.2">
      <c r="A144" s="125"/>
      <c r="B144" s="126">
        <f t="shared" ca="1" si="15"/>
        <v>40787</v>
      </c>
      <c r="C144" s="113">
        <v>6.0573749874090005E-2</v>
      </c>
      <c r="D144" s="113">
        <v>0.6</v>
      </c>
      <c r="E144" s="113">
        <v>0.6</v>
      </c>
      <c r="F144" s="113">
        <v>0.17249999999999999</v>
      </c>
      <c r="G144" s="113">
        <v>0.18</v>
      </c>
      <c r="H144" s="113">
        <v>0.1875</v>
      </c>
      <c r="I144" s="114">
        <v>4.2210000000000001</v>
      </c>
      <c r="J144" s="113">
        <v>4.226</v>
      </c>
      <c r="K144" s="113">
        <v>4.2309999999999999</v>
      </c>
      <c r="L144" s="113">
        <v>0.46</v>
      </c>
      <c r="M144" s="113">
        <v>0.04</v>
      </c>
      <c r="O144" s="97"/>
      <c r="P144" s="127"/>
      <c r="Q144" s="127"/>
      <c r="R144" s="280">
        <f t="shared" ca="1" si="12"/>
        <v>40787</v>
      </c>
      <c r="S144" s="142">
        <f t="shared" si="13"/>
        <v>0.53</v>
      </c>
      <c r="T144" s="141">
        <f t="shared" si="16"/>
        <v>0.6</v>
      </c>
      <c r="U144" s="143">
        <f t="shared" si="14"/>
        <v>0.66999999999999993</v>
      </c>
      <c r="BP144" s="103">
        <f t="shared" si="18"/>
        <v>143</v>
      </c>
      <c r="BQ144" s="155" t="s">
        <v>315</v>
      </c>
      <c r="BR144" s="102" t="s">
        <v>166</v>
      </c>
      <c r="BS144" s="101" t="s">
        <v>192</v>
      </c>
      <c r="BT144" s="107" t="s">
        <v>168</v>
      </c>
      <c r="BU144" s="107"/>
      <c r="BV144" s="101">
        <v>1</v>
      </c>
      <c r="BW144" s="102" t="s">
        <v>914</v>
      </c>
      <c r="BX144"/>
      <c r="BZ144" s="103">
        <f t="shared" si="19"/>
        <v>143</v>
      </c>
      <c r="CA144" s="4" t="s">
        <v>540</v>
      </c>
      <c r="CB144" s="102" t="s">
        <v>169</v>
      </c>
      <c r="CC144" s="101" t="s">
        <v>167</v>
      </c>
      <c r="CD144" s="107" t="s">
        <v>168</v>
      </c>
      <c r="CE144" s="107"/>
      <c r="CF144" s="101">
        <v>1</v>
      </c>
      <c r="CG144" s="102" t="s">
        <v>729</v>
      </c>
      <c r="CH144"/>
    </row>
    <row r="145" spans="1:86" ht="13.2">
      <c r="A145" s="125"/>
      <c r="B145" s="126">
        <f t="shared" ca="1" si="15"/>
        <v>40817</v>
      </c>
      <c r="C145" s="113">
        <v>6.0597464948881012E-2</v>
      </c>
      <c r="D145" s="113">
        <v>0.65</v>
      </c>
      <c r="E145" s="113">
        <v>0.65</v>
      </c>
      <c r="F145" s="113">
        <v>0.17249999999999999</v>
      </c>
      <c r="G145" s="113">
        <v>0.18</v>
      </c>
      <c r="H145" s="113">
        <v>0.1875</v>
      </c>
      <c r="I145" s="114">
        <v>4.2510000000000003</v>
      </c>
      <c r="J145" s="113">
        <v>4.2560000000000002</v>
      </c>
      <c r="K145" s="113">
        <v>4.2610000000000001</v>
      </c>
      <c r="L145" s="113">
        <v>0.47</v>
      </c>
      <c r="M145" s="113">
        <v>0.04</v>
      </c>
      <c r="O145" s="97"/>
      <c r="P145" s="127"/>
      <c r="Q145" s="127"/>
      <c r="R145" s="280">
        <f t="shared" ref="R145:R208" ca="1" si="20">B145</f>
        <v>40817</v>
      </c>
      <c r="S145" s="142">
        <f t="shared" ref="S145:S208" si="21">T145-$S$16</f>
        <v>0.58000000000000007</v>
      </c>
      <c r="T145" s="141">
        <f t="shared" si="16"/>
        <v>0.65</v>
      </c>
      <c r="U145" s="143">
        <f t="shared" ref="U145:U208" si="22">$U$16+T145</f>
        <v>0.72</v>
      </c>
      <c r="BP145" s="103">
        <f t="shared" si="18"/>
        <v>144</v>
      </c>
      <c r="BQ145" s="155" t="s">
        <v>316</v>
      </c>
      <c r="BR145" s="102" t="s">
        <v>166</v>
      </c>
      <c r="BS145" s="101" t="s">
        <v>192</v>
      </c>
      <c r="BT145" s="107" t="s">
        <v>168</v>
      </c>
      <c r="BU145" s="107"/>
      <c r="BV145" s="101">
        <v>1</v>
      </c>
      <c r="BW145" s="102" t="s">
        <v>915</v>
      </c>
      <c r="BX145"/>
      <c r="BZ145" s="103">
        <f t="shared" si="19"/>
        <v>144</v>
      </c>
      <c r="CA145" s="4" t="s">
        <v>541</v>
      </c>
      <c r="CB145" s="102" t="s">
        <v>169</v>
      </c>
      <c r="CC145" s="101" t="s">
        <v>167</v>
      </c>
      <c r="CD145" s="107" t="s">
        <v>168</v>
      </c>
      <c r="CE145" s="107"/>
      <c r="CF145" s="101">
        <v>1</v>
      </c>
      <c r="CG145" s="102" t="s">
        <v>730</v>
      </c>
      <c r="CH145"/>
    </row>
    <row r="146" spans="1:86" ht="13.2">
      <c r="A146" s="125"/>
      <c r="B146" s="126">
        <f t="shared" ref="B146:B209" ca="1" si="23">NextMonth(B145)</f>
        <v>40848</v>
      </c>
      <c r="C146" s="113">
        <v>6.0621970526362007E-2</v>
      </c>
      <c r="D146" s="113">
        <v>0.95</v>
      </c>
      <c r="E146" s="113">
        <v>0.95</v>
      </c>
      <c r="F146" s="113">
        <v>0.17249999999999999</v>
      </c>
      <c r="G146" s="113">
        <v>0.18</v>
      </c>
      <c r="H146" s="113">
        <v>0.1875</v>
      </c>
      <c r="I146" s="114">
        <v>4.391</v>
      </c>
      <c r="J146" s="113">
        <v>4.3959999999999999</v>
      </c>
      <c r="K146" s="113">
        <v>4.4010000000000007</v>
      </c>
      <c r="L146" s="113">
        <v>0.86</v>
      </c>
      <c r="M146" s="113">
        <v>0.04</v>
      </c>
      <c r="O146" s="97"/>
      <c r="P146" s="127"/>
      <c r="Q146" s="127"/>
      <c r="R146" s="280">
        <f t="shared" ca="1" si="20"/>
        <v>40848</v>
      </c>
      <c r="S146" s="142">
        <f t="shared" si="21"/>
        <v>0.87999999999999989</v>
      </c>
      <c r="T146" s="141">
        <f t="shared" ref="T146:T209" si="24">D146</f>
        <v>0.95</v>
      </c>
      <c r="U146" s="143">
        <f t="shared" si="22"/>
        <v>1.02</v>
      </c>
      <c r="BP146" s="103">
        <f t="shared" si="18"/>
        <v>145</v>
      </c>
      <c r="BQ146" s="155" t="s">
        <v>317</v>
      </c>
      <c r="BR146" s="102" t="s">
        <v>166</v>
      </c>
      <c r="BS146" s="101" t="s">
        <v>192</v>
      </c>
      <c r="BT146" s="107" t="s">
        <v>168</v>
      </c>
      <c r="BU146" s="107"/>
      <c r="BV146" s="101">
        <v>1</v>
      </c>
      <c r="BW146" s="102" t="s">
        <v>916</v>
      </c>
      <c r="BX146"/>
      <c r="BZ146" s="103">
        <f t="shared" si="19"/>
        <v>145</v>
      </c>
      <c r="CA146" s="4" t="s">
        <v>542</v>
      </c>
      <c r="CB146" s="102" t="s">
        <v>169</v>
      </c>
      <c r="CC146" s="101" t="s">
        <v>167</v>
      </c>
      <c r="CD146" s="107" t="s">
        <v>168</v>
      </c>
      <c r="CE146" s="107"/>
      <c r="CF146" s="101">
        <v>1</v>
      </c>
      <c r="CG146" s="102" t="s">
        <v>731</v>
      </c>
      <c r="CH146"/>
    </row>
    <row r="147" spans="1:86" ht="13.2">
      <c r="A147" s="125"/>
      <c r="B147" s="126">
        <f t="shared" ca="1" si="23"/>
        <v>40878</v>
      </c>
      <c r="C147" s="113">
        <v>6.0645685601532003E-2</v>
      </c>
      <c r="D147" s="113">
        <v>1.25</v>
      </c>
      <c r="E147" s="113">
        <v>1.25</v>
      </c>
      <c r="F147" s="113">
        <v>0.17249999999999999</v>
      </c>
      <c r="G147" s="113">
        <v>0.18</v>
      </c>
      <c r="H147" s="113">
        <v>0.1875</v>
      </c>
      <c r="I147" s="114">
        <v>4.516</v>
      </c>
      <c r="J147" s="113">
        <v>4.5209999999999999</v>
      </c>
      <c r="K147" s="113">
        <v>4.5260000000000007</v>
      </c>
      <c r="L147" s="113">
        <v>1.28</v>
      </c>
      <c r="M147" s="113">
        <v>0.04</v>
      </c>
      <c r="O147" s="97"/>
      <c r="P147" s="127"/>
      <c r="Q147" s="127"/>
      <c r="R147" s="280">
        <f t="shared" ca="1" si="20"/>
        <v>40878</v>
      </c>
      <c r="S147" s="142">
        <f t="shared" si="21"/>
        <v>1.18</v>
      </c>
      <c r="T147" s="141">
        <f t="shared" si="24"/>
        <v>1.25</v>
      </c>
      <c r="U147" s="143">
        <f t="shared" si="22"/>
        <v>1.32</v>
      </c>
      <c r="BP147" s="103">
        <f t="shared" si="18"/>
        <v>146</v>
      </c>
      <c r="BQ147" s="155" t="s">
        <v>318</v>
      </c>
      <c r="BR147" s="102" t="s">
        <v>166</v>
      </c>
      <c r="BS147" s="101" t="s">
        <v>192</v>
      </c>
      <c r="BT147" s="107" t="s">
        <v>168</v>
      </c>
      <c r="BU147" s="107"/>
      <c r="BV147" s="101">
        <v>1</v>
      </c>
      <c r="BW147" s="102" t="s">
        <v>917</v>
      </c>
      <c r="BX147"/>
      <c r="BZ147" s="103">
        <f t="shared" si="19"/>
        <v>146</v>
      </c>
      <c r="CA147" s="4" t="s">
        <v>543</v>
      </c>
      <c r="CB147" s="102" t="s">
        <v>169</v>
      </c>
      <c r="CC147" s="101" t="s">
        <v>167</v>
      </c>
      <c r="CD147" s="107" t="s">
        <v>168</v>
      </c>
      <c r="CE147" s="107"/>
      <c r="CF147" s="101">
        <v>1</v>
      </c>
      <c r="CG147" s="102" t="s">
        <v>732</v>
      </c>
      <c r="CH147"/>
    </row>
    <row r="148" spans="1:86" ht="13.2">
      <c r="A148" s="125"/>
      <c r="B148" s="126">
        <f t="shared" ca="1" si="23"/>
        <v>40909</v>
      </c>
      <c r="C148" s="113">
        <v>6.0670191179406016E-2</v>
      </c>
      <c r="D148" s="113">
        <v>1.45</v>
      </c>
      <c r="E148" s="113">
        <v>1.45</v>
      </c>
      <c r="F148" s="113">
        <v>0.17249999999999999</v>
      </c>
      <c r="G148" s="113">
        <v>0.18</v>
      </c>
      <c r="H148" s="113">
        <v>0.1875</v>
      </c>
      <c r="I148" s="114">
        <v>4.6550000000000002</v>
      </c>
      <c r="J148" s="113">
        <v>4.66</v>
      </c>
      <c r="K148" s="113">
        <v>4.665</v>
      </c>
      <c r="L148" s="113">
        <v>1.61</v>
      </c>
      <c r="M148" s="113">
        <v>0.04</v>
      </c>
      <c r="O148" s="97"/>
      <c r="P148" s="127"/>
      <c r="Q148" s="127"/>
      <c r="R148" s="280">
        <f t="shared" ca="1" si="20"/>
        <v>40909</v>
      </c>
      <c r="S148" s="142">
        <f t="shared" si="21"/>
        <v>1.38</v>
      </c>
      <c r="T148" s="141">
        <f t="shared" si="24"/>
        <v>1.45</v>
      </c>
      <c r="U148" s="143">
        <f t="shared" si="22"/>
        <v>1.52</v>
      </c>
      <c r="BP148" s="103">
        <f t="shared" si="18"/>
        <v>147</v>
      </c>
      <c r="BQ148" s="155" t="s">
        <v>319</v>
      </c>
      <c r="BR148" s="102" t="s">
        <v>166</v>
      </c>
      <c r="BS148" s="101" t="s">
        <v>192</v>
      </c>
      <c r="BT148" s="107" t="s">
        <v>168</v>
      </c>
      <c r="BU148" s="107"/>
      <c r="BV148" s="101">
        <v>1</v>
      </c>
      <c r="BW148" s="102" t="s">
        <v>918</v>
      </c>
      <c r="BX148"/>
      <c r="BZ148" s="103">
        <f t="shared" si="19"/>
        <v>147</v>
      </c>
      <c r="CA148" s="4" t="s">
        <v>544</v>
      </c>
      <c r="CB148" s="102" t="s">
        <v>169</v>
      </c>
      <c r="CC148" s="101" t="s">
        <v>167</v>
      </c>
      <c r="CD148" s="107" t="s">
        <v>168</v>
      </c>
      <c r="CE148" s="107"/>
      <c r="CF148" s="101">
        <v>1</v>
      </c>
      <c r="CG148" s="102" t="s">
        <v>733</v>
      </c>
      <c r="CH148"/>
    </row>
    <row r="149" spans="1:86" ht="13.2">
      <c r="A149" s="125"/>
      <c r="B149" s="126">
        <f t="shared" ca="1" si="23"/>
        <v>40940</v>
      </c>
      <c r="C149" s="113">
        <v>6.0694696757479009E-2</v>
      </c>
      <c r="D149" s="113">
        <v>1.45</v>
      </c>
      <c r="E149" s="113">
        <v>1.45</v>
      </c>
      <c r="F149" s="113">
        <v>0.16750000000000001</v>
      </c>
      <c r="G149" s="113">
        <v>0.17499999999999999</v>
      </c>
      <c r="H149" s="113">
        <v>0.1825</v>
      </c>
      <c r="I149" s="114">
        <v>4.5590000000000002</v>
      </c>
      <c r="J149" s="113">
        <v>4.5640000000000001</v>
      </c>
      <c r="K149" s="113">
        <v>4.5690000000000008</v>
      </c>
      <c r="L149" s="113">
        <v>1.57</v>
      </c>
      <c r="M149" s="113">
        <v>0.04</v>
      </c>
      <c r="O149" s="97"/>
      <c r="P149" s="127"/>
      <c r="Q149" s="127"/>
      <c r="R149" s="280">
        <f t="shared" ca="1" si="20"/>
        <v>40940</v>
      </c>
      <c r="S149" s="142">
        <f t="shared" si="21"/>
        <v>1.38</v>
      </c>
      <c r="T149" s="141">
        <f t="shared" si="24"/>
        <v>1.45</v>
      </c>
      <c r="U149" s="143">
        <f t="shared" si="22"/>
        <v>1.52</v>
      </c>
      <c r="BP149" s="103">
        <f t="shared" si="18"/>
        <v>148</v>
      </c>
      <c r="BQ149" s="155" t="s">
        <v>320</v>
      </c>
      <c r="BR149" s="102" t="s">
        <v>166</v>
      </c>
      <c r="BS149" s="101" t="s">
        <v>192</v>
      </c>
      <c r="BT149" s="107" t="s">
        <v>168</v>
      </c>
      <c r="BU149" s="107"/>
      <c r="BV149" s="101">
        <v>1</v>
      </c>
      <c r="BW149" s="102" t="s">
        <v>919</v>
      </c>
      <c r="BX149"/>
      <c r="BZ149" s="103">
        <f t="shared" si="19"/>
        <v>148</v>
      </c>
      <c r="CA149" s="4" t="s">
        <v>545</v>
      </c>
      <c r="CB149" s="102" t="s">
        <v>169</v>
      </c>
      <c r="CC149" s="101" t="s">
        <v>167</v>
      </c>
      <c r="CD149" s="107" t="s">
        <v>168</v>
      </c>
      <c r="CE149" s="107"/>
      <c r="CF149" s="101">
        <v>1</v>
      </c>
      <c r="CG149" s="102" t="s">
        <v>734</v>
      </c>
      <c r="CH149"/>
    </row>
    <row r="150" spans="1:86" ht="13.2">
      <c r="A150" s="125"/>
      <c r="B150" s="126">
        <f t="shared" ca="1" si="23"/>
        <v>40969</v>
      </c>
      <c r="C150" s="113">
        <v>6.0717621330694999E-2</v>
      </c>
      <c r="D150" s="113">
        <v>1</v>
      </c>
      <c r="E150" s="113">
        <v>1</v>
      </c>
      <c r="F150" s="113">
        <v>0.16250000000000001</v>
      </c>
      <c r="G150" s="113">
        <v>0.17</v>
      </c>
      <c r="H150" s="113">
        <v>0.17749999999999999</v>
      </c>
      <c r="I150" s="114">
        <v>4.4090000000000007</v>
      </c>
      <c r="J150" s="113">
        <v>4.4140000000000006</v>
      </c>
      <c r="K150" s="113">
        <v>4.4190000000000005</v>
      </c>
      <c r="L150" s="113">
        <v>0.93</v>
      </c>
      <c r="M150" s="113">
        <v>0.04</v>
      </c>
      <c r="O150" s="97"/>
      <c r="P150" s="127"/>
      <c r="Q150" s="127"/>
      <c r="R150" s="280">
        <f t="shared" ca="1" si="20"/>
        <v>40969</v>
      </c>
      <c r="S150" s="142">
        <f t="shared" si="21"/>
        <v>0.92999999999999994</v>
      </c>
      <c r="T150" s="141">
        <f t="shared" si="24"/>
        <v>1</v>
      </c>
      <c r="U150" s="143">
        <f t="shared" si="22"/>
        <v>1.07</v>
      </c>
      <c r="BP150" s="103">
        <f t="shared" si="18"/>
        <v>149</v>
      </c>
      <c r="BQ150" s="155" t="s">
        <v>321</v>
      </c>
      <c r="BR150" s="102" t="s">
        <v>166</v>
      </c>
      <c r="BS150" s="101" t="s">
        <v>192</v>
      </c>
      <c r="BT150" s="107" t="s">
        <v>168</v>
      </c>
      <c r="BU150" s="107"/>
      <c r="BV150" s="101">
        <v>1</v>
      </c>
      <c r="BW150" s="102" t="s">
        <v>920</v>
      </c>
      <c r="BX150"/>
      <c r="BZ150" s="103">
        <f t="shared" si="19"/>
        <v>149</v>
      </c>
      <c r="CA150" s="4" t="s">
        <v>546</v>
      </c>
      <c r="CB150" s="102" t="s">
        <v>169</v>
      </c>
      <c r="CC150" s="101" t="s">
        <v>167</v>
      </c>
      <c r="CD150" s="107" t="s">
        <v>168</v>
      </c>
      <c r="CE150" s="107"/>
      <c r="CF150" s="101">
        <v>1</v>
      </c>
      <c r="CG150" s="102" t="s">
        <v>735</v>
      </c>
      <c r="CH150"/>
    </row>
    <row r="151" spans="1:86" ht="13.2">
      <c r="A151" s="125"/>
      <c r="B151" s="126">
        <f t="shared" ca="1" si="23"/>
        <v>41000</v>
      </c>
      <c r="C151" s="113">
        <v>6.0742126909153003E-2</v>
      </c>
      <c r="D151" s="113">
        <v>0.45</v>
      </c>
      <c r="E151" s="113">
        <v>0.45</v>
      </c>
      <c r="F151" s="113">
        <v>0.16250000000000001</v>
      </c>
      <c r="G151" s="113">
        <v>0.17</v>
      </c>
      <c r="H151" s="113">
        <v>0.17749999999999999</v>
      </c>
      <c r="I151" s="114">
        <v>4.226</v>
      </c>
      <c r="J151" s="113">
        <v>4.2309999999999999</v>
      </c>
      <c r="K151" s="113">
        <v>4.2360000000000007</v>
      </c>
      <c r="L151" s="113">
        <v>0.5</v>
      </c>
      <c r="M151" s="113">
        <v>0.04</v>
      </c>
      <c r="O151" s="97"/>
      <c r="P151" s="127"/>
      <c r="Q151" s="127"/>
      <c r="R151" s="280">
        <f t="shared" ca="1" si="20"/>
        <v>41000</v>
      </c>
      <c r="S151" s="142">
        <f t="shared" si="21"/>
        <v>0.38</v>
      </c>
      <c r="T151" s="141">
        <f t="shared" si="24"/>
        <v>0.45</v>
      </c>
      <c r="U151" s="143">
        <f t="shared" si="22"/>
        <v>0.52</v>
      </c>
      <c r="BP151" s="103">
        <f t="shared" si="18"/>
        <v>150</v>
      </c>
      <c r="BQ151" s="155" t="s">
        <v>322</v>
      </c>
      <c r="BR151" s="102" t="s">
        <v>166</v>
      </c>
      <c r="BS151" s="101" t="s">
        <v>192</v>
      </c>
      <c r="BT151" s="107" t="s">
        <v>168</v>
      </c>
      <c r="BU151" s="107"/>
      <c r="BV151" s="101">
        <v>1</v>
      </c>
      <c r="BW151" s="102" t="s">
        <v>921</v>
      </c>
      <c r="BX151"/>
      <c r="BZ151" s="103">
        <f t="shared" si="19"/>
        <v>150</v>
      </c>
      <c r="CA151" s="4" t="s">
        <v>547</v>
      </c>
      <c r="CB151" s="102" t="s">
        <v>169</v>
      </c>
      <c r="CC151" s="101" t="s">
        <v>167</v>
      </c>
      <c r="CD151" s="107" t="s">
        <v>168</v>
      </c>
      <c r="CE151" s="107"/>
      <c r="CF151" s="101">
        <v>1</v>
      </c>
      <c r="CG151" s="102" t="s">
        <v>736</v>
      </c>
      <c r="CH151"/>
    </row>
    <row r="152" spans="1:86" ht="13.2">
      <c r="A152" s="125"/>
      <c r="B152" s="126">
        <f t="shared" ca="1" si="23"/>
        <v>41030</v>
      </c>
      <c r="C152" s="113">
        <v>6.0765841985271012E-2</v>
      </c>
      <c r="D152" s="113">
        <v>0.5</v>
      </c>
      <c r="E152" s="113">
        <v>0.5</v>
      </c>
      <c r="F152" s="113">
        <v>0.16250000000000001</v>
      </c>
      <c r="G152" s="113">
        <v>0.17</v>
      </c>
      <c r="H152" s="113">
        <v>0.17749999999999999</v>
      </c>
      <c r="I152" s="114">
        <v>4.2010000000000005</v>
      </c>
      <c r="J152" s="113">
        <v>4.2060000000000004</v>
      </c>
      <c r="K152" s="113">
        <v>4.2110000000000003</v>
      </c>
      <c r="L152" s="113">
        <v>0.44</v>
      </c>
      <c r="M152" s="113">
        <v>0.04</v>
      </c>
      <c r="O152" s="97"/>
      <c r="P152" s="127"/>
      <c r="Q152" s="127"/>
      <c r="R152" s="280">
        <f t="shared" ca="1" si="20"/>
        <v>41030</v>
      </c>
      <c r="S152" s="142">
        <f t="shared" si="21"/>
        <v>0.43</v>
      </c>
      <c r="T152" s="141">
        <f t="shared" si="24"/>
        <v>0.5</v>
      </c>
      <c r="U152" s="143">
        <f t="shared" si="22"/>
        <v>0.57000000000000006</v>
      </c>
      <c r="BP152" s="103">
        <f t="shared" si="18"/>
        <v>151</v>
      </c>
      <c r="BQ152" s="155" t="s">
        <v>323</v>
      </c>
      <c r="BR152" s="102" t="s">
        <v>166</v>
      </c>
      <c r="BS152" s="101" t="s">
        <v>192</v>
      </c>
      <c r="BT152" s="107" t="s">
        <v>168</v>
      </c>
      <c r="BU152" s="107"/>
      <c r="BV152" s="101">
        <v>1</v>
      </c>
      <c r="BW152" s="102" t="s">
        <v>922</v>
      </c>
      <c r="BX152"/>
      <c r="BZ152" s="103">
        <f t="shared" si="19"/>
        <v>151</v>
      </c>
      <c r="CA152" s="4" t="s">
        <v>548</v>
      </c>
      <c r="CB152" s="102" t="s">
        <v>169</v>
      </c>
      <c r="CC152" s="101" t="s">
        <v>167</v>
      </c>
      <c r="CD152" s="107" t="s">
        <v>168</v>
      </c>
      <c r="CE152" s="107"/>
      <c r="CF152" s="101">
        <v>1</v>
      </c>
      <c r="CG152" s="102" t="s">
        <v>737</v>
      </c>
      <c r="CH152"/>
    </row>
    <row r="153" spans="1:86" ht="13.2">
      <c r="A153" s="125"/>
      <c r="B153" s="126">
        <f t="shared" ca="1" si="23"/>
        <v>41061</v>
      </c>
      <c r="C153" s="113">
        <v>6.0790347564122001E-2</v>
      </c>
      <c r="D153" s="113">
        <v>0.5</v>
      </c>
      <c r="E153" s="113">
        <v>0.5</v>
      </c>
      <c r="F153" s="113">
        <v>0.16250000000000001</v>
      </c>
      <c r="G153" s="113">
        <v>0.17</v>
      </c>
      <c r="H153" s="113">
        <v>0.17749999999999999</v>
      </c>
      <c r="I153" s="114">
        <v>4.2300000000000004</v>
      </c>
      <c r="J153" s="113">
        <v>4.2350000000000003</v>
      </c>
      <c r="K153" s="113">
        <v>4.24</v>
      </c>
      <c r="L153" s="113">
        <v>0.44</v>
      </c>
      <c r="M153" s="113">
        <v>0.04</v>
      </c>
      <c r="O153" s="97"/>
      <c r="P153" s="127"/>
      <c r="Q153" s="127"/>
      <c r="R153" s="280">
        <f t="shared" ca="1" si="20"/>
        <v>41061</v>
      </c>
      <c r="S153" s="142">
        <f t="shared" si="21"/>
        <v>0.43</v>
      </c>
      <c r="T153" s="141">
        <f t="shared" si="24"/>
        <v>0.5</v>
      </c>
      <c r="U153" s="143">
        <f t="shared" si="22"/>
        <v>0.57000000000000006</v>
      </c>
      <c r="BP153" s="103">
        <f t="shared" si="18"/>
        <v>152</v>
      </c>
      <c r="BQ153" s="155" t="s">
        <v>324</v>
      </c>
      <c r="BR153" s="102" t="s">
        <v>166</v>
      </c>
      <c r="BS153" s="101" t="s">
        <v>192</v>
      </c>
      <c r="BT153" s="107" t="s">
        <v>168</v>
      </c>
      <c r="BU153" s="107"/>
      <c r="BV153" s="101">
        <v>1</v>
      </c>
      <c r="BW153" s="102" t="s">
        <v>923</v>
      </c>
      <c r="BX153"/>
      <c r="BZ153" s="103">
        <f t="shared" si="19"/>
        <v>152</v>
      </c>
      <c r="CA153" s="4" t="s">
        <v>549</v>
      </c>
      <c r="CB153" s="102" t="s">
        <v>169</v>
      </c>
      <c r="CC153" s="101" t="s">
        <v>167</v>
      </c>
      <c r="CD153" s="107" t="s">
        <v>168</v>
      </c>
      <c r="CE153" s="107"/>
      <c r="CF153" s="101">
        <v>1</v>
      </c>
      <c r="CG153" s="102" t="s">
        <v>738</v>
      </c>
      <c r="CH153"/>
    </row>
    <row r="154" spans="1:86" ht="13.2">
      <c r="A154" s="125"/>
      <c r="B154" s="126">
        <f t="shared" ca="1" si="23"/>
        <v>41091</v>
      </c>
      <c r="C154" s="113">
        <v>6.0814062640619018E-2</v>
      </c>
      <c r="D154" s="113">
        <v>0.5</v>
      </c>
      <c r="E154" s="113">
        <v>0.5</v>
      </c>
      <c r="F154" s="113">
        <v>0.16250000000000001</v>
      </c>
      <c r="G154" s="113">
        <v>0.17</v>
      </c>
      <c r="H154" s="113">
        <v>0.17749999999999999</v>
      </c>
      <c r="I154" s="114">
        <v>4.26</v>
      </c>
      <c r="J154" s="113">
        <v>4.2649999999999997</v>
      </c>
      <c r="K154" s="113">
        <v>4.2699999999999996</v>
      </c>
      <c r="L154" s="113">
        <v>0.5</v>
      </c>
      <c r="M154" s="113">
        <v>0.04</v>
      </c>
      <c r="O154" s="97"/>
      <c r="P154" s="127"/>
      <c r="Q154" s="127"/>
      <c r="R154" s="280">
        <f t="shared" ca="1" si="20"/>
        <v>41091</v>
      </c>
      <c r="S154" s="142">
        <f t="shared" si="21"/>
        <v>0.43</v>
      </c>
      <c r="T154" s="141">
        <f t="shared" si="24"/>
        <v>0.5</v>
      </c>
      <c r="U154" s="143">
        <f t="shared" si="22"/>
        <v>0.57000000000000006</v>
      </c>
      <c r="BP154" s="103">
        <f t="shared" si="18"/>
        <v>153</v>
      </c>
      <c r="BQ154" s="155" t="s">
        <v>325</v>
      </c>
      <c r="BR154" s="102" t="s">
        <v>166</v>
      </c>
      <c r="BS154" s="101" t="s">
        <v>192</v>
      </c>
      <c r="BT154" s="107" t="s">
        <v>168</v>
      </c>
      <c r="BU154" s="107"/>
      <c r="BV154" s="101">
        <v>1</v>
      </c>
      <c r="BW154" s="102" t="s">
        <v>924</v>
      </c>
      <c r="BX154"/>
      <c r="BZ154" s="103">
        <f t="shared" si="19"/>
        <v>153</v>
      </c>
      <c r="CA154" s="4" t="s">
        <v>550</v>
      </c>
      <c r="CB154" s="102" t="s">
        <v>169</v>
      </c>
      <c r="CC154" s="101" t="s">
        <v>167</v>
      </c>
      <c r="CD154" s="107" t="s">
        <v>168</v>
      </c>
      <c r="CE154" s="107"/>
      <c r="CF154" s="101">
        <v>1</v>
      </c>
      <c r="CG154" s="102" t="s">
        <v>739</v>
      </c>
      <c r="CH154"/>
    </row>
    <row r="155" spans="1:86" ht="13.2">
      <c r="A155" s="125"/>
      <c r="B155" s="126">
        <f t="shared" ca="1" si="23"/>
        <v>41122</v>
      </c>
      <c r="C155" s="113">
        <v>6.0838568219863005E-2</v>
      </c>
      <c r="D155" s="113">
        <v>0.6</v>
      </c>
      <c r="E155" s="113">
        <v>0.6</v>
      </c>
      <c r="F155" s="113">
        <v>0.16250000000000001</v>
      </c>
      <c r="G155" s="113">
        <v>0.17</v>
      </c>
      <c r="H155" s="113">
        <v>0.17749999999999999</v>
      </c>
      <c r="I155" s="114">
        <v>4.28</v>
      </c>
      <c r="J155" s="113">
        <v>4.2850000000000001</v>
      </c>
      <c r="K155" s="113">
        <v>4.29</v>
      </c>
      <c r="L155" s="113">
        <v>0.5</v>
      </c>
      <c r="M155" s="113">
        <v>0.04</v>
      </c>
      <c r="O155" s="97"/>
      <c r="P155" s="127"/>
      <c r="Q155" s="127"/>
      <c r="R155" s="280">
        <f t="shared" ca="1" si="20"/>
        <v>41122</v>
      </c>
      <c r="S155" s="142">
        <f t="shared" si="21"/>
        <v>0.53</v>
      </c>
      <c r="T155" s="141">
        <f t="shared" si="24"/>
        <v>0.6</v>
      </c>
      <c r="U155" s="143">
        <f t="shared" si="22"/>
        <v>0.66999999999999993</v>
      </c>
      <c r="BP155" s="103">
        <f t="shared" si="18"/>
        <v>154</v>
      </c>
      <c r="BQ155" s="155" t="s">
        <v>326</v>
      </c>
      <c r="BR155" s="102" t="s">
        <v>166</v>
      </c>
      <c r="BS155" s="101" t="s">
        <v>192</v>
      </c>
      <c r="BT155" s="107" t="s">
        <v>168</v>
      </c>
      <c r="BU155" s="107"/>
      <c r="BV155" s="101">
        <v>1</v>
      </c>
      <c r="BW155" s="102" t="s">
        <v>925</v>
      </c>
      <c r="BX155"/>
      <c r="BZ155" s="103">
        <f t="shared" si="19"/>
        <v>154</v>
      </c>
      <c r="CA155" s="4" t="s">
        <v>551</v>
      </c>
      <c r="CB155" s="102" t="s">
        <v>169</v>
      </c>
      <c r="CC155" s="101" t="s">
        <v>167</v>
      </c>
      <c r="CD155" s="107" t="s">
        <v>168</v>
      </c>
      <c r="CE155" s="107"/>
      <c r="CF155" s="101">
        <v>1</v>
      </c>
      <c r="CG155" s="102" t="s">
        <v>740</v>
      </c>
      <c r="CH155"/>
    </row>
    <row r="156" spans="1:86" ht="13.2">
      <c r="A156" s="125"/>
      <c r="B156" s="126">
        <f t="shared" ca="1" si="23"/>
        <v>41153</v>
      </c>
      <c r="C156" s="113">
        <v>6.0863073799306021E-2</v>
      </c>
      <c r="D156" s="113">
        <v>0.6</v>
      </c>
      <c r="E156" s="113">
        <v>0.6</v>
      </c>
      <c r="F156" s="113">
        <v>0.16250000000000001</v>
      </c>
      <c r="G156" s="113">
        <v>0.17</v>
      </c>
      <c r="H156" s="113">
        <v>0.17749999999999999</v>
      </c>
      <c r="I156" s="114">
        <v>4.3010000000000002</v>
      </c>
      <c r="J156" s="113">
        <v>4.306</v>
      </c>
      <c r="K156" s="113">
        <v>4.3109999999999999</v>
      </c>
      <c r="L156" s="113">
        <v>0.46</v>
      </c>
      <c r="M156" s="113">
        <v>0.04</v>
      </c>
      <c r="O156" s="97"/>
      <c r="P156" s="127"/>
      <c r="Q156" s="127"/>
      <c r="R156" s="280">
        <f t="shared" ca="1" si="20"/>
        <v>41153</v>
      </c>
      <c r="S156" s="142">
        <f t="shared" si="21"/>
        <v>0.53</v>
      </c>
      <c r="T156" s="141">
        <f t="shared" si="24"/>
        <v>0.6</v>
      </c>
      <c r="U156" s="143">
        <f t="shared" si="22"/>
        <v>0.66999999999999993</v>
      </c>
      <c r="BP156" s="103">
        <f t="shared" si="18"/>
        <v>155</v>
      </c>
      <c r="BQ156" s="155" t="s">
        <v>327</v>
      </c>
      <c r="BR156" s="102" t="s">
        <v>166</v>
      </c>
      <c r="BS156" s="101" t="s">
        <v>192</v>
      </c>
      <c r="BT156" s="107" t="s">
        <v>168</v>
      </c>
      <c r="BU156" s="107"/>
      <c r="BV156" s="101">
        <v>1</v>
      </c>
      <c r="BW156" s="102" t="s">
        <v>926</v>
      </c>
      <c r="BX156"/>
      <c r="BZ156" s="103">
        <f t="shared" si="19"/>
        <v>155</v>
      </c>
      <c r="CA156" s="4" t="s">
        <v>552</v>
      </c>
      <c r="CB156" s="102" t="s">
        <v>169</v>
      </c>
      <c r="CC156" s="101" t="s">
        <v>167</v>
      </c>
      <c r="CD156" s="107" t="s">
        <v>168</v>
      </c>
      <c r="CE156" s="107"/>
      <c r="CF156" s="101">
        <v>1</v>
      </c>
      <c r="CG156" s="102" t="s">
        <v>741</v>
      </c>
      <c r="CH156"/>
    </row>
    <row r="157" spans="1:86" ht="13.2">
      <c r="A157" s="125"/>
      <c r="B157" s="126">
        <f t="shared" ca="1" si="23"/>
        <v>41183</v>
      </c>
      <c r="C157" s="113">
        <v>6.0886788876376018E-2</v>
      </c>
      <c r="D157" s="113">
        <v>0.65</v>
      </c>
      <c r="E157" s="113">
        <v>0.65</v>
      </c>
      <c r="F157" s="113">
        <v>0.16250000000000001</v>
      </c>
      <c r="G157" s="113">
        <v>0.17</v>
      </c>
      <c r="H157" s="113">
        <v>0.17749999999999999</v>
      </c>
      <c r="I157" s="114">
        <v>4.3310000000000004</v>
      </c>
      <c r="J157" s="113">
        <v>4.3360000000000003</v>
      </c>
      <c r="K157" s="113">
        <v>4.3410000000000002</v>
      </c>
      <c r="L157" s="113">
        <v>0.47</v>
      </c>
      <c r="M157" s="113">
        <v>0.04</v>
      </c>
      <c r="O157" s="97"/>
      <c r="P157" s="127"/>
      <c r="Q157" s="127"/>
      <c r="R157" s="280">
        <f t="shared" ca="1" si="20"/>
        <v>41183</v>
      </c>
      <c r="S157" s="142">
        <f t="shared" si="21"/>
        <v>0.58000000000000007</v>
      </c>
      <c r="T157" s="141">
        <f t="shared" si="24"/>
        <v>0.65</v>
      </c>
      <c r="U157" s="143">
        <f t="shared" si="22"/>
        <v>0.72</v>
      </c>
      <c r="BP157" s="103">
        <f t="shared" si="18"/>
        <v>156</v>
      </c>
      <c r="BQ157" s="155" t="s">
        <v>328</v>
      </c>
      <c r="BR157" s="102" t="s">
        <v>166</v>
      </c>
      <c r="BS157" s="101" t="s">
        <v>192</v>
      </c>
      <c r="BT157" s="107" t="s">
        <v>168</v>
      </c>
      <c r="BU157" s="107"/>
      <c r="BV157" s="101">
        <v>1</v>
      </c>
      <c r="BW157" s="102" t="s">
        <v>927</v>
      </c>
      <c r="BX157"/>
      <c r="BZ157" s="103">
        <f t="shared" si="19"/>
        <v>156</v>
      </c>
      <c r="CA157" s="4" t="s">
        <v>553</v>
      </c>
      <c r="CB157" s="102" t="s">
        <v>169</v>
      </c>
      <c r="CC157" s="101" t="s">
        <v>167</v>
      </c>
      <c r="CD157" s="107" t="s">
        <v>168</v>
      </c>
      <c r="CE157" s="107"/>
      <c r="CF157" s="101">
        <v>1</v>
      </c>
      <c r="CG157" s="102" t="s">
        <v>742</v>
      </c>
      <c r="CH157"/>
    </row>
    <row r="158" spans="1:86" ht="13.2">
      <c r="A158" s="125"/>
      <c r="B158" s="126">
        <f t="shared" ca="1" si="23"/>
        <v>41214</v>
      </c>
      <c r="C158" s="113">
        <v>6.0911294456211018E-2</v>
      </c>
      <c r="D158" s="113">
        <v>0.95</v>
      </c>
      <c r="E158" s="113">
        <v>0.95</v>
      </c>
      <c r="F158" s="113">
        <v>0.16250000000000001</v>
      </c>
      <c r="G158" s="113">
        <v>0.17</v>
      </c>
      <c r="H158" s="113">
        <v>0.17749999999999999</v>
      </c>
      <c r="I158" s="114">
        <v>4.4710000000000001</v>
      </c>
      <c r="J158" s="113">
        <v>4.476</v>
      </c>
      <c r="K158" s="113">
        <v>4.4810000000000008</v>
      </c>
      <c r="L158" s="113">
        <v>0.86</v>
      </c>
      <c r="M158" s="113">
        <v>0.04</v>
      </c>
      <c r="O158" s="97"/>
      <c r="P158" s="127"/>
      <c r="Q158" s="127"/>
      <c r="R158" s="280">
        <f t="shared" ca="1" si="20"/>
        <v>41214</v>
      </c>
      <c r="S158" s="142">
        <f t="shared" si="21"/>
        <v>0.87999999999999989</v>
      </c>
      <c r="T158" s="141">
        <f t="shared" si="24"/>
        <v>0.95</v>
      </c>
      <c r="U158" s="143">
        <f t="shared" si="22"/>
        <v>1.02</v>
      </c>
      <c r="BP158" s="103">
        <f t="shared" si="18"/>
        <v>157</v>
      </c>
      <c r="BQ158" s="155" t="s">
        <v>329</v>
      </c>
      <c r="BR158" s="102" t="s">
        <v>166</v>
      </c>
      <c r="BS158" s="101" t="s">
        <v>192</v>
      </c>
      <c r="BT158" s="107" t="s">
        <v>168</v>
      </c>
      <c r="BU158" s="107"/>
      <c r="BV158" s="101">
        <v>1</v>
      </c>
      <c r="BW158" s="102" t="s">
        <v>928</v>
      </c>
      <c r="BX158"/>
      <c r="BZ158" s="103">
        <f t="shared" si="19"/>
        <v>157</v>
      </c>
      <c r="CA158" s="4" t="s">
        <v>554</v>
      </c>
      <c r="CB158" s="102" t="s">
        <v>169</v>
      </c>
      <c r="CC158" s="101" t="s">
        <v>167</v>
      </c>
      <c r="CD158" s="107" t="s">
        <v>168</v>
      </c>
      <c r="CE158" s="107"/>
      <c r="CF158" s="101">
        <v>1</v>
      </c>
      <c r="CG158" s="102" t="s">
        <v>743</v>
      </c>
      <c r="CH158"/>
    </row>
    <row r="159" spans="1:86" ht="13.2">
      <c r="A159" s="125"/>
      <c r="B159" s="126">
        <f t="shared" ca="1" si="23"/>
        <v>41244</v>
      </c>
      <c r="C159" s="113">
        <v>6.0935009533661016E-2</v>
      </c>
      <c r="D159" s="113">
        <v>1.25</v>
      </c>
      <c r="E159" s="113">
        <v>1.25</v>
      </c>
      <c r="F159" s="113">
        <v>0.16250000000000001</v>
      </c>
      <c r="G159" s="113">
        <v>0.17</v>
      </c>
      <c r="H159" s="113">
        <v>0.17749999999999999</v>
      </c>
      <c r="I159" s="114">
        <v>4.5960000000000001</v>
      </c>
      <c r="J159" s="113">
        <v>4.601</v>
      </c>
      <c r="K159" s="113">
        <v>4.6060000000000008</v>
      </c>
      <c r="L159" s="113">
        <v>1.28</v>
      </c>
      <c r="M159" s="113">
        <v>0.04</v>
      </c>
      <c r="O159" s="97"/>
      <c r="P159" s="127"/>
      <c r="Q159" s="127"/>
      <c r="R159" s="280">
        <f t="shared" ca="1" si="20"/>
        <v>41244</v>
      </c>
      <c r="S159" s="142">
        <f t="shared" si="21"/>
        <v>1.18</v>
      </c>
      <c r="T159" s="141">
        <f t="shared" si="24"/>
        <v>1.25</v>
      </c>
      <c r="U159" s="143">
        <f t="shared" si="22"/>
        <v>1.32</v>
      </c>
      <c r="BP159" s="103">
        <f t="shared" si="18"/>
        <v>158</v>
      </c>
      <c r="BQ159" s="155" t="s">
        <v>330</v>
      </c>
      <c r="BR159" s="102" t="s">
        <v>166</v>
      </c>
      <c r="BS159" s="101" t="s">
        <v>192</v>
      </c>
      <c r="BT159" s="107" t="s">
        <v>168</v>
      </c>
      <c r="BU159" s="107"/>
      <c r="BV159" s="101">
        <v>1</v>
      </c>
      <c r="BW159" s="102" t="s">
        <v>929</v>
      </c>
      <c r="BX159"/>
      <c r="BZ159" s="103">
        <f t="shared" si="19"/>
        <v>158</v>
      </c>
      <c r="CA159" s="4" t="s">
        <v>555</v>
      </c>
      <c r="CB159" s="102" t="s">
        <v>169</v>
      </c>
      <c r="CC159" s="101" t="s">
        <v>167</v>
      </c>
      <c r="CD159" s="107" t="s">
        <v>168</v>
      </c>
      <c r="CE159" s="107"/>
      <c r="CF159" s="101">
        <v>1</v>
      </c>
      <c r="CG159" s="102" t="s">
        <v>744</v>
      </c>
      <c r="CH159"/>
    </row>
    <row r="160" spans="1:86" ht="13.2">
      <c r="A160" s="125"/>
      <c r="B160" s="126">
        <f t="shared" ca="1" si="23"/>
        <v>41275</v>
      </c>
      <c r="C160" s="113">
        <v>6.0959515113889022E-2</v>
      </c>
      <c r="D160" s="113">
        <v>1.45</v>
      </c>
      <c r="E160" s="113">
        <v>1.45</v>
      </c>
      <c r="F160" s="113">
        <v>0.16250000000000001</v>
      </c>
      <c r="G160" s="113">
        <v>0.17</v>
      </c>
      <c r="H160" s="113">
        <v>0.17749999999999999</v>
      </c>
      <c r="I160" s="114">
        <v>4.74</v>
      </c>
      <c r="J160" s="113">
        <v>4.7450000000000001</v>
      </c>
      <c r="K160" s="113">
        <v>4.75</v>
      </c>
      <c r="L160" s="113">
        <v>1.61</v>
      </c>
      <c r="M160" s="113">
        <v>0.04</v>
      </c>
      <c r="O160" s="97"/>
      <c r="P160" s="127"/>
      <c r="Q160" s="127"/>
      <c r="R160" s="280">
        <f t="shared" ca="1" si="20"/>
        <v>41275</v>
      </c>
      <c r="S160" s="142">
        <f t="shared" si="21"/>
        <v>1.38</v>
      </c>
      <c r="T160" s="141">
        <f t="shared" si="24"/>
        <v>1.45</v>
      </c>
      <c r="U160" s="143">
        <f t="shared" si="22"/>
        <v>1.52</v>
      </c>
      <c r="BP160" s="103">
        <f t="shared" si="18"/>
        <v>159</v>
      </c>
      <c r="BQ160" s="155" t="s">
        <v>331</v>
      </c>
      <c r="BR160" s="102" t="s">
        <v>166</v>
      </c>
      <c r="BS160" s="101" t="s">
        <v>192</v>
      </c>
      <c r="BT160" s="107" t="s">
        <v>168</v>
      </c>
      <c r="BU160" s="107"/>
      <c r="BV160" s="101">
        <v>1</v>
      </c>
      <c r="BW160" s="102" t="s">
        <v>930</v>
      </c>
      <c r="BX160"/>
      <c r="BZ160" s="103">
        <f t="shared" si="19"/>
        <v>159</v>
      </c>
      <c r="CA160" s="4" t="s">
        <v>556</v>
      </c>
      <c r="CB160" s="102" t="s">
        <v>169</v>
      </c>
      <c r="CC160" s="101" t="s">
        <v>167</v>
      </c>
      <c r="CD160" s="107" t="s">
        <v>168</v>
      </c>
      <c r="CE160" s="107"/>
      <c r="CF160" s="101">
        <v>1</v>
      </c>
      <c r="CG160" s="102" t="s">
        <v>745</v>
      </c>
      <c r="CH160"/>
    </row>
    <row r="161" spans="1:86" ht="13.2">
      <c r="A161" s="125"/>
      <c r="B161" s="126">
        <f t="shared" ca="1" si="23"/>
        <v>41306</v>
      </c>
      <c r="C161" s="113">
        <v>6.0984020694317007E-2</v>
      </c>
      <c r="D161" s="113">
        <v>1.45</v>
      </c>
      <c r="E161" s="113">
        <v>1.45</v>
      </c>
      <c r="F161" s="113">
        <v>0.16250000000000001</v>
      </c>
      <c r="G161" s="113">
        <v>0.17</v>
      </c>
      <c r="H161" s="113">
        <v>0.17749999999999999</v>
      </c>
      <c r="I161" s="114">
        <v>4.6440000000000001</v>
      </c>
      <c r="J161" s="113">
        <v>4.649</v>
      </c>
      <c r="K161" s="113">
        <v>4.6540000000000008</v>
      </c>
      <c r="L161" s="113">
        <v>1.57</v>
      </c>
      <c r="M161" s="113">
        <v>0.04</v>
      </c>
      <c r="O161" s="97"/>
      <c r="P161" s="127"/>
      <c r="Q161" s="127"/>
      <c r="R161" s="280">
        <f t="shared" ca="1" si="20"/>
        <v>41306</v>
      </c>
      <c r="S161" s="142">
        <f t="shared" si="21"/>
        <v>1.38</v>
      </c>
      <c r="T161" s="141">
        <f t="shared" si="24"/>
        <v>1.45</v>
      </c>
      <c r="U161" s="143">
        <f t="shared" si="22"/>
        <v>1.52</v>
      </c>
      <c r="BP161" s="103">
        <f t="shared" si="18"/>
        <v>160</v>
      </c>
      <c r="BQ161" s="155" t="s">
        <v>332</v>
      </c>
      <c r="BR161" s="102" t="s">
        <v>166</v>
      </c>
      <c r="BS161" s="101" t="s">
        <v>192</v>
      </c>
      <c r="BT161" s="107" t="s">
        <v>168</v>
      </c>
      <c r="BU161" s="107"/>
      <c r="BV161" s="101">
        <v>1</v>
      </c>
      <c r="BW161" s="102" t="s">
        <v>931</v>
      </c>
      <c r="BX161"/>
      <c r="BZ161" s="103">
        <f t="shared" si="19"/>
        <v>160</v>
      </c>
      <c r="CA161" s="4" t="s">
        <v>557</v>
      </c>
      <c r="CB161" s="102" t="s">
        <v>169</v>
      </c>
      <c r="CC161" s="101" t="s">
        <v>167</v>
      </c>
      <c r="CD161" s="107" t="s">
        <v>168</v>
      </c>
      <c r="CE161" s="107"/>
      <c r="CF161" s="101">
        <v>1</v>
      </c>
      <c r="CG161" s="102" t="s">
        <v>746</v>
      </c>
      <c r="CH161"/>
    </row>
    <row r="162" spans="1:86" ht="13.2">
      <c r="A162" s="125"/>
      <c r="B162" s="126">
        <f t="shared" ca="1" si="23"/>
        <v>41334</v>
      </c>
      <c r="C162" s="113">
        <v>6.1006154767133003E-2</v>
      </c>
      <c r="D162" s="113">
        <v>1</v>
      </c>
      <c r="E162" s="113">
        <v>1</v>
      </c>
      <c r="F162" s="113">
        <v>0.16250000000000001</v>
      </c>
      <c r="G162" s="113">
        <v>0.17</v>
      </c>
      <c r="H162" s="113">
        <v>0.17749999999999999</v>
      </c>
      <c r="I162" s="114">
        <v>4.4940000000000007</v>
      </c>
      <c r="J162" s="113">
        <v>4.4990000000000006</v>
      </c>
      <c r="K162" s="113">
        <v>4.5040000000000004</v>
      </c>
      <c r="L162" s="113">
        <v>0.93</v>
      </c>
      <c r="M162" s="113">
        <v>0.04</v>
      </c>
      <c r="O162" s="97"/>
      <c r="P162" s="127"/>
      <c r="Q162" s="127"/>
      <c r="R162" s="280">
        <f t="shared" ca="1" si="20"/>
        <v>41334</v>
      </c>
      <c r="S162" s="142">
        <f t="shared" si="21"/>
        <v>0.92999999999999994</v>
      </c>
      <c r="T162" s="141">
        <f t="shared" si="24"/>
        <v>1</v>
      </c>
      <c r="U162" s="143">
        <f t="shared" si="22"/>
        <v>1.07</v>
      </c>
      <c r="BP162" s="103">
        <f t="shared" si="18"/>
        <v>161</v>
      </c>
      <c r="BQ162" s="155" t="s">
        <v>333</v>
      </c>
      <c r="BR162" s="102" t="s">
        <v>166</v>
      </c>
      <c r="BS162" s="101" t="s">
        <v>192</v>
      </c>
      <c r="BT162" s="107" t="s">
        <v>168</v>
      </c>
      <c r="BU162" s="107"/>
      <c r="BV162" s="101">
        <v>1</v>
      </c>
      <c r="BW162" s="102" t="s">
        <v>932</v>
      </c>
      <c r="BX162"/>
      <c r="BZ162" s="103">
        <f t="shared" ref="BZ162:BZ186" si="25">BZ161+CF162</f>
        <v>161</v>
      </c>
      <c r="CA162" s="4" t="s">
        <v>558</v>
      </c>
      <c r="CB162" s="102" t="s">
        <v>169</v>
      </c>
      <c r="CC162" s="101" t="s">
        <v>167</v>
      </c>
      <c r="CD162" s="107" t="s">
        <v>168</v>
      </c>
      <c r="CE162" s="107"/>
      <c r="CF162" s="101">
        <v>1</v>
      </c>
      <c r="CG162" s="102" t="s">
        <v>747</v>
      </c>
      <c r="CH162"/>
    </row>
    <row r="163" spans="1:86" ht="13.2">
      <c r="A163" s="125"/>
      <c r="B163" s="126">
        <f t="shared" ca="1" si="23"/>
        <v>41365</v>
      </c>
      <c r="C163" s="113">
        <v>6.1030660347939004E-2</v>
      </c>
      <c r="D163" s="113">
        <v>0.45</v>
      </c>
      <c r="E163" s="113">
        <v>0.45</v>
      </c>
      <c r="F163" s="113">
        <v>0.16250000000000001</v>
      </c>
      <c r="G163" s="113">
        <v>0.17</v>
      </c>
      <c r="H163" s="113">
        <v>0.17749999999999999</v>
      </c>
      <c r="I163" s="114">
        <v>4.3109999999999999</v>
      </c>
      <c r="J163" s="113">
        <v>4.3160000000000007</v>
      </c>
      <c r="K163" s="113">
        <v>4.3210000000000006</v>
      </c>
      <c r="L163" s="113">
        <v>0.5</v>
      </c>
      <c r="M163" s="113">
        <v>0.04</v>
      </c>
      <c r="O163" s="97"/>
      <c r="P163" s="127"/>
      <c r="Q163" s="127"/>
      <c r="R163" s="280">
        <f t="shared" ca="1" si="20"/>
        <v>41365</v>
      </c>
      <c r="S163" s="142">
        <f t="shared" si="21"/>
        <v>0.38</v>
      </c>
      <c r="T163" s="141">
        <f t="shared" si="24"/>
        <v>0.45</v>
      </c>
      <c r="U163" s="143">
        <f t="shared" si="22"/>
        <v>0.52</v>
      </c>
      <c r="BP163" s="103">
        <f t="shared" si="18"/>
        <v>162</v>
      </c>
      <c r="BQ163" s="155" t="s">
        <v>334</v>
      </c>
      <c r="BR163" s="102" t="s">
        <v>166</v>
      </c>
      <c r="BS163" s="101" t="s">
        <v>192</v>
      </c>
      <c r="BT163" s="107" t="s">
        <v>168</v>
      </c>
      <c r="BU163" s="107"/>
      <c r="BV163" s="101">
        <v>1</v>
      </c>
      <c r="BW163" s="102" t="s">
        <v>933</v>
      </c>
      <c r="BX163"/>
      <c r="BZ163" s="103">
        <f t="shared" si="25"/>
        <v>162</v>
      </c>
      <c r="CA163" s="4" t="s">
        <v>559</v>
      </c>
      <c r="CB163" s="102" t="s">
        <v>169</v>
      </c>
      <c r="CC163" s="101" t="s">
        <v>167</v>
      </c>
      <c r="CD163" s="107" t="s">
        <v>168</v>
      </c>
      <c r="CE163" s="107"/>
      <c r="CF163" s="101">
        <v>1</v>
      </c>
      <c r="CG163" s="102" t="s">
        <v>748</v>
      </c>
      <c r="CH163"/>
    </row>
    <row r="164" spans="1:86" ht="13.2">
      <c r="A164" s="125"/>
      <c r="B164" s="126">
        <f t="shared" ca="1" si="23"/>
        <v>41395</v>
      </c>
      <c r="C164" s="113">
        <v>6.1054375426330014E-2</v>
      </c>
      <c r="D164" s="113">
        <v>0.5</v>
      </c>
      <c r="E164" s="113">
        <v>0.5</v>
      </c>
      <c r="F164" s="113">
        <v>0.16250000000000001</v>
      </c>
      <c r="G164" s="113">
        <v>0.17</v>
      </c>
      <c r="H164" s="113">
        <v>0.17749999999999999</v>
      </c>
      <c r="I164" s="114">
        <v>4.2860000000000005</v>
      </c>
      <c r="J164" s="113">
        <v>4.2910000000000004</v>
      </c>
      <c r="K164" s="113">
        <v>4.2960000000000003</v>
      </c>
      <c r="L164" s="113">
        <v>0.44</v>
      </c>
      <c r="M164" s="113">
        <v>0.04</v>
      </c>
      <c r="O164" s="97"/>
      <c r="P164" s="127"/>
      <c r="Q164" s="127"/>
      <c r="R164" s="280">
        <f t="shared" ca="1" si="20"/>
        <v>41395</v>
      </c>
      <c r="S164" s="142">
        <f t="shared" si="21"/>
        <v>0.43</v>
      </c>
      <c r="T164" s="141">
        <f t="shared" si="24"/>
        <v>0.5</v>
      </c>
      <c r="U164" s="143">
        <f t="shared" si="22"/>
        <v>0.57000000000000006</v>
      </c>
      <c r="BP164" s="103">
        <f t="shared" si="18"/>
        <v>163</v>
      </c>
      <c r="BQ164" s="155" t="s">
        <v>335</v>
      </c>
      <c r="BR164" s="102" t="s">
        <v>166</v>
      </c>
      <c r="BS164" s="101" t="s">
        <v>192</v>
      </c>
      <c r="BT164" s="107" t="s">
        <v>168</v>
      </c>
      <c r="BU164" s="107"/>
      <c r="BV164" s="101">
        <v>1</v>
      </c>
      <c r="BW164" s="102" t="s">
        <v>934</v>
      </c>
      <c r="BX164"/>
      <c r="BZ164" s="103">
        <f t="shared" si="25"/>
        <v>163</v>
      </c>
      <c r="CA164" s="4" t="s">
        <v>560</v>
      </c>
      <c r="CB164" s="102" t="s">
        <v>169</v>
      </c>
      <c r="CC164" s="101" t="s">
        <v>167</v>
      </c>
      <c r="CD164" s="107" t="s">
        <v>168</v>
      </c>
      <c r="CE164" s="107"/>
      <c r="CF164" s="101">
        <v>1</v>
      </c>
      <c r="CG164" s="102" t="s">
        <v>749</v>
      </c>
      <c r="CH164"/>
    </row>
    <row r="165" spans="1:86" ht="13.2">
      <c r="A165" s="125"/>
      <c r="B165" s="126">
        <f t="shared" ca="1" si="23"/>
        <v>41426</v>
      </c>
      <c r="C165" s="113">
        <v>6.1078881007529021E-2</v>
      </c>
      <c r="D165" s="113">
        <v>0.5</v>
      </c>
      <c r="E165" s="113">
        <v>0.5</v>
      </c>
      <c r="F165" s="113">
        <v>0.16250000000000001</v>
      </c>
      <c r="G165" s="113">
        <v>0.17</v>
      </c>
      <c r="H165" s="113">
        <v>0.17749999999999999</v>
      </c>
      <c r="I165" s="114">
        <v>4.3150000000000004</v>
      </c>
      <c r="J165" s="113">
        <v>4.32</v>
      </c>
      <c r="K165" s="113">
        <v>4.3250000000000002</v>
      </c>
      <c r="L165" s="113">
        <v>0.44</v>
      </c>
      <c r="M165" s="113">
        <v>0.04</v>
      </c>
      <c r="O165" s="97"/>
      <c r="P165" s="127"/>
      <c r="Q165" s="127"/>
      <c r="R165" s="280">
        <f t="shared" ca="1" si="20"/>
        <v>41426</v>
      </c>
      <c r="S165" s="142">
        <f t="shared" si="21"/>
        <v>0.43</v>
      </c>
      <c r="T165" s="141">
        <f t="shared" si="24"/>
        <v>0.5</v>
      </c>
      <c r="U165" s="143">
        <f t="shared" si="22"/>
        <v>0.57000000000000006</v>
      </c>
      <c r="BP165" s="103">
        <f t="shared" si="18"/>
        <v>164</v>
      </c>
      <c r="BQ165" s="155" t="s">
        <v>336</v>
      </c>
      <c r="BR165" s="102" t="s">
        <v>166</v>
      </c>
      <c r="BS165" s="101" t="s">
        <v>192</v>
      </c>
      <c r="BT165" s="107" t="s">
        <v>168</v>
      </c>
      <c r="BU165" s="107"/>
      <c r="BV165" s="101">
        <v>1</v>
      </c>
      <c r="BW165" s="102" t="s">
        <v>935</v>
      </c>
      <c r="BX165"/>
      <c r="BZ165" s="103">
        <f t="shared" si="25"/>
        <v>164</v>
      </c>
      <c r="CA165" s="4" t="s">
        <v>561</v>
      </c>
      <c r="CB165" s="102" t="s">
        <v>169</v>
      </c>
      <c r="CC165" s="101" t="s">
        <v>167</v>
      </c>
      <c r="CD165" s="107" t="s">
        <v>168</v>
      </c>
      <c r="CE165" s="107"/>
      <c r="CF165" s="101">
        <v>1</v>
      </c>
      <c r="CG165" s="102" t="s">
        <v>750</v>
      </c>
      <c r="CH165"/>
    </row>
    <row r="166" spans="1:86" ht="13.2">
      <c r="A166" s="125"/>
      <c r="B166" s="126">
        <f t="shared" ca="1" si="23"/>
        <v>41456</v>
      </c>
      <c r="C166" s="113">
        <v>6.1102596086299005E-2</v>
      </c>
      <c r="D166" s="113">
        <v>0.5</v>
      </c>
      <c r="E166" s="113">
        <v>0.5</v>
      </c>
      <c r="F166" s="113">
        <v>0.16250000000000001</v>
      </c>
      <c r="G166" s="113">
        <v>0.17</v>
      </c>
      <c r="H166" s="113">
        <v>0.17749999999999999</v>
      </c>
      <c r="I166" s="114">
        <v>4.3449999999999998</v>
      </c>
      <c r="J166" s="113">
        <v>4.3499999999999996</v>
      </c>
      <c r="K166" s="113">
        <v>4.3550000000000004</v>
      </c>
      <c r="L166" s="113">
        <v>0.5</v>
      </c>
      <c r="M166" s="113">
        <v>0.04</v>
      </c>
      <c r="O166" s="97"/>
      <c r="P166" s="127"/>
      <c r="Q166" s="127"/>
      <c r="R166" s="280">
        <f t="shared" ca="1" si="20"/>
        <v>41456</v>
      </c>
      <c r="S166" s="142">
        <f t="shared" si="21"/>
        <v>0.43</v>
      </c>
      <c r="T166" s="141">
        <f t="shared" si="24"/>
        <v>0.5</v>
      </c>
      <c r="U166" s="143">
        <f t="shared" si="22"/>
        <v>0.57000000000000006</v>
      </c>
      <c r="BP166" s="103">
        <f t="shared" si="18"/>
        <v>165</v>
      </c>
      <c r="BQ166" s="155" t="s">
        <v>337</v>
      </c>
      <c r="BR166" s="102" t="s">
        <v>166</v>
      </c>
      <c r="BS166" s="101" t="s">
        <v>192</v>
      </c>
      <c r="BT166" s="107" t="s">
        <v>168</v>
      </c>
      <c r="BU166" s="107"/>
      <c r="BV166" s="101">
        <v>1</v>
      </c>
      <c r="BW166" s="102" t="s">
        <v>936</v>
      </c>
      <c r="BX166"/>
      <c r="BZ166" s="103">
        <f t="shared" si="25"/>
        <v>165</v>
      </c>
      <c r="CA166" s="4" t="s">
        <v>562</v>
      </c>
      <c r="CB166" s="102" t="s">
        <v>169</v>
      </c>
      <c r="CC166" s="101" t="s">
        <v>167</v>
      </c>
      <c r="CD166" s="107" t="s">
        <v>168</v>
      </c>
      <c r="CE166" s="107"/>
      <c r="CF166" s="101">
        <v>1</v>
      </c>
      <c r="CG166" s="102" t="s">
        <v>751</v>
      </c>
      <c r="CH166"/>
    </row>
    <row r="167" spans="1:86" ht="13.2">
      <c r="A167" s="125"/>
      <c r="B167" s="126">
        <f t="shared" ca="1" si="23"/>
        <v>41487</v>
      </c>
      <c r="C167" s="113">
        <v>6.1127101667890003E-2</v>
      </c>
      <c r="D167" s="113">
        <v>0.6</v>
      </c>
      <c r="E167" s="113">
        <v>0.6</v>
      </c>
      <c r="F167" s="113">
        <v>0.16250000000000001</v>
      </c>
      <c r="G167" s="113">
        <v>0.17</v>
      </c>
      <c r="H167" s="113">
        <v>0.17749999999999999</v>
      </c>
      <c r="I167" s="114">
        <v>4.3650000000000002</v>
      </c>
      <c r="J167" s="113">
        <v>4.37</v>
      </c>
      <c r="K167" s="113">
        <v>4.375</v>
      </c>
      <c r="L167" s="113">
        <v>0.5</v>
      </c>
      <c r="M167" s="113">
        <v>0.04</v>
      </c>
      <c r="O167" s="97"/>
      <c r="P167" s="127"/>
      <c r="Q167" s="127"/>
      <c r="R167" s="280">
        <f t="shared" ca="1" si="20"/>
        <v>41487</v>
      </c>
      <c r="S167" s="142">
        <f t="shared" si="21"/>
        <v>0.53</v>
      </c>
      <c r="T167" s="141">
        <f t="shared" si="24"/>
        <v>0.6</v>
      </c>
      <c r="U167" s="143">
        <f t="shared" si="22"/>
        <v>0.66999999999999993</v>
      </c>
      <c r="BP167" s="103">
        <f t="shared" si="18"/>
        <v>166</v>
      </c>
      <c r="BQ167" s="155" t="s">
        <v>338</v>
      </c>
      <c r="BR167" s="102" t="s">
        <v>166</v>
      </c>
      <c r="BS167" s="101" t="s">
        <v>192</v>
      </c>
      <c r="BT167" s="107" t="s">
        <v>168</v>
      </c>
      <c r="BU167" s="107"/>
      <c r="BV167" s="101">
        <v>1</v>
      </c>
      <c r="BW167" s="102" t="s">
        <v>937</v>
      </c>
      <c r="BX167"/>
      <c r="BZ167" s="103">
        <f t="shared" si="25"/>
        <v>166</v>
      </c>
      <c r="CA167" s="4" t="s">
        <v>563</v>
      </c>
      <c r="CB167" s="102" t="s">
        <v>169</v>
      </c>
      <c r="CC167" s="101" t="s">
        <v>167</v>
      </c>
      <c r="CD167" s="107" t="s">
        <v>168</v>
      </c>
      <c r="CE167" s="107"/>
      <c r="CF167" s="101">
        <v>1</v>
      </c>
      <c r="CG167" s="102" t="s">
        <v>752</v>
      </c>
      <c r="CH167"/>
    </row>
    <row r="168" spans="1:86" ht="13.2">
      <c r="A168" s="125"/>
      <c r="B168" s="126">
        <f t="shared" ca="1" si="23"/>
        <v>41518</v>
      </c>
      <c r="C168" s="113">
        <v>6.1151607249682015E-2</v>
      </c>
      <c r="D168" s="113">
        <v>0.6</v>
      </c>
      <c r="E168" s="113">
        <v>0.6</v>
      </c>
      <c r="F168" s="113">
        <v>0.16250000000000001</v>
      </c>
      <c r="G168" s="113">
        <v>0.17</v>
      </c>
      <c r="H168" s="113">
        <v>0.17749999999999999</v>
      </c>
      <c r="I168" s="114">
        <v>4.3860000000000001</v>
      </c>
      <c r="J168" s="113">
        <v>4.391</v>
      </c>
      <c r="K168" s="113">
        <v>4.3959999999999999</v>
      </c>
      <c r="L168" s="113">
        <v>0.46</v>
      </c>
      <c r="M168" s="113">
        <v>0.04</v>
      </c>
      <c r="O168" s="97"/>
      <c r="P168" s="127"/>
      <c r="Q168" s="127"/>
      <c r="R168" s="280">
        <f t="shared" ca="1" si="20"/>
        <v>41518</v>
      </c>
      <c r="S168" s="142">
        <f t="shared" si="21"/>
        <v>0.53</v>
      </c>
      <c r="T168" s="141">
        <f t="shared" si="24"/>
        <v>0.6</v>
      </c>
      <c r="U168" s="143">
        <f t="shared" si="22"/>
        <v>0.66999999999999993</v>
      </c>
      <c r="BP168" s="103">
        <f t="shared" si="18"/>
        <v>167</v>
      </c>
      <c r="BQ168" s="155" t="s">
        <v>339</v>
      </c>
      <c r="BR168" s="102" t="s">
        <v>166</v>
      </c>
      <c r="BS168" s="101" t="s">
        <v>192</v>
      </c>
      <c r="BT168" s="107" t="s">
        <v>168</v>
      </c>
      <c r="BU168" s="107"/>
      <c r="BV168" s="101">
        <v>1</v>
      </c>
      <c r="BW168" s="102" t="s">
        <v>938</v>
      </c>
      <c r="BX168"/>
      <c r="BZ168" s="103">
        <f t="shared" si="25"/>
        <v>167</v>
      </c>
      <c r="CA168" s="4" t="s">
        <v>564</v>
      </c>
      <c r="CB168" s="102" t="s">
        <v>169</v>
      </c>
      <c r="CC168" s="101" t="s">
        <v>167</v>
      </c>
      <c r="CD168" s="107" t="s">
        <v>168</v>
      </c>
      <c r="CE168" s="107"/>
      <c r="CF168" s="101">
        <v>1</v>
      </c>
      <c r="CG168" s="102" t="s">
        <v>753</v>
      </c>
      <c r="CH168"/>
    </row>
    <row r="169" spans="1:86" ht="13.2">
      <c r="A169" s="125"/>
      <c r="B169" s="126">
        <f t="shared" ca="1" si="23"/>
        <v>41548</v>
      </c>
      <c r="C169" s="113">
        <v>6.1175322329025013E-2</v>
      </c>
      <c r="D169" s="113">
        <v>0.65</v>
      </c>
      <c r="E169" s="113">
        <v>0.65</v>
      </c>
      <c r="F169" s="113">
        <v>0.16250000000000001</v>
      </c>
      <c r="G169" s="113">
        <v>0.17</v>
      </c>
      <c r="H169" s="113">
        <v>0.17749999999999999</v>
      </c>
      <c r="I169" s="114">
        <v>4.4160000000000004</v>
      </c>
      <c r="J169" s="113">
        <v>4.4210000000000003</v>
      </c>
      <c r="K169" s="113">
        <v>4.4260000000000002</v>
      </c>
      <c r="L169" s="113">
        <v>0.47</v>
      </c>
      <c r="M169" s="113">
        <v>0.04</v>
      </c>
      <c r="O169" s="97"/>
      <c r="P169" s="127"/>
      <c r="Q169" s="127"/>
      <c r="R169" s="280">
        <f t="shared" ca="1" si="20"/>
        <v>41548</v>
      </c>
      <c r="S169" s="142">
        <f t="shared" si="21"/>
        <v>0.58000000000000007</v>
      </c>
      <c r="T169" s="141">
        <f t="shared" si="24"/>
        <v>0.65</v>
      </c>
      <c r="U169" s="143">
        <f t="shared" si="22"/>
        <v>0.72</v>
      </c>
      <c r="BP169" s="103">
        <f t="shared" si="18"/>
        <v>168</v>
      </c>
      <c r="BQ169" s="155" t="s">
        <v>340</v>
      </c>
      <c r="BR169" s="102" t="s">
        <v>166</v>
      </c>
      <c r="BS169" s="101" t="s">
        <v>192</v>
      </c>
      <c r="BT169" s="107" t="s">
        <v>168</v>
      </c>
      <c r="BU169" s="107"/>
      <c r="BV169" s="101">
        <v>1</v>
      </c>
      <c r="BW169" s="102" t="s">
        <v>939</v>
      </c>
      <c r="BX169"/>
      <c r="BZ169" s="103">
        <f t="shared" si="25"/>
        <v>168</v>
      </c>
      <c r="CA169" s="4" t="s">
        <v>565</v>
      </c>
      <c r="CB169" s="102" t="s">
        <v>169</v>
      </c>
      <c r="CC169" s="101" t="s">
        <v>167</v>
      </c>
      <c r="CD169" s="107" t="s">
        <v>168</v>
      </c>
      <c r="CE169" s="107"/>
      <c r="CF169" s="101">
        <v>1</v>
      </c>
      <c r="CG169" s="102" t="s">
        <v>754</v>
      </c>
      <c r="CH169"/>
    </row>
    <row r="170" spans="1:86" ht="13.2">
      <c r="A170" s="125"/>
      <c r="B170" s="126">
        <f t="shared" ca="1" si="23"/>
        <v>41579</v>
      </c>
      <c r="C170" s="113">
        <v>6.1199827911208003E-2</v>
      </c>
      <c r="D170" s="113">
        <v>0.95</v>
      </c>
      <c r="E170" s="113">
        <v>0.95</v>
      </c>
      <c r="F170" s="113">
        <v>0.16250000000000001</v>
      </c>
      <c r="G170" s="113">
        <v>0.17</v>
      </c>
      <c r="H170" s="113">
        <v>0.17749999999999999</v>
      </c>
      <c r="I170" s="114">
        <v>4.556</v>
      </c>
      <c r="J170" s="113">
        <v>4.5609999999999999</v>
      </c>
      <c r="K170" s="113">
        <v>4.5660000000000007</v>
      </c>
      <c r="L170" s="113">
        <v>0.86</v>
      </c>
      <c r="M170" s="113">
        <v>0.04</v>
      </c>
      <c r="O170" s="97"/>
      <c r="P170" s="127"/>
      <c r="Q170" s="127"/>
      <c r="R170" s="280">
        <f t="shared" ca="1" si="20"/>
        <v>41579</v>
      </c>
      <c r="S170" s="142">
        <f t="shared" si="21"/>
        <v>0.87999999999999989</v>
      </c>
      <c r="T170" s="141">
        <f t="shared" si="24"/>
        <v>0.95</v>
      </c>
      <c r="U170" s="143">
        <f t="shared" si="22"/>
        <v>1.02</v>
      </c>
      <c r="BP170" s="103">
        <f t="shared" si="18"/>
        <v>169</v>
      </c>
      <c r="BQ170" s="155" t="s">
        <v>341</v>
      </c>
      <c r="BR170" s="102" t="s">
        <v>166</v>
      </c>
      <c r="BS170" s="101" t="s">
        <v>192</v>
      </c>
      <c r="BT170" s="107" t="s">
        <v>168</v>
      </c>
      <c r="BU170" s="107"/>
      <c r="BV170" s="101">
        <v>1</v>
      </c>
      <c r="BW170" s="102" t="s">
        <v>940</v>
      </c>
      <c r="BX170"/>
      <c r="BZ170" s="103">
        <f t="shared" si="25"/>
        <v>169</v>
      </c>
      <c r="CA170" s="4" t="s">
        <v>566</v>
      </c>
      <c r="CB170" s="102" t="s">
        <v>169</v>
      </c>
      <c r="CC170" s="101" t="s">
        <v>167</v>
      </c>
      <c r="CD170" s="107" t="s">
        <v>168</v>
      </c>
      <c r="CE170" s="107"/>
      <c r="CF170" s="101">
        <v>1</v>
      </c>
      <c r="CG170" s="102" t="s">
        <v>755</v>
      </c>
      <c r="CH170"/>
    </row>
    <row r="171" spans="1:86" ht="13.2">
      <c r="A171" s="125"/>
      <c r="B171" s="126">
        <f t="shared" ca="1" si="23"/>
        <v>41609</v>
      </c>
      <c r="C171" s="113">
        <v>6.1223542990930011E-2</v>
      </c>
      <c r="D171" s="113">
        <v>1.25</v>
      </c>
      <c r="E171" s="113">
        <v>1.25</v>
      </c>
      <c r="F171" s="113">
        <v>0.16250000000000001</v>
      </c>
      <c r="G171" s="113">
        <v>0.17</v>
      </c>
      <c r="H171" s="113">
        <v>0.17749999999999999</v>
      </c>
      <c r="I171" s="114">
        <v>4.681</v>
      </c>
      <c r="J171" s="113">
        <v>4.6859999999999999</v>
      </c>
      <c r="K171" s="113">
        <v>4.6910000000000007</v>
      </c>
      <c r="L171" s="113">
        <v>1.28</v>
      </c>
      <c r="M171" s="113">
        <v>0.04</v>
      </c>
      <c r="O171" s="97"/>
      <c r="P171" s="127"/>
      <c r="Q171" s="127"/>
      <c r="R171" s="280">
        <f t="shared" ca="1" si="20"/>
        <v>41609</v>
      </c>
      <c r="S171" s="142">
        <f t="shared" si="21"/>
        <v>1.18</v>
      </c>
      <c r="T171" s="141">
        <f t="shared" si="24"/>
        <v>1.25</v>
      </c>
      <c r="U171" s="143">
        <f t="shared" si="22"/>
        <v>1.32</v>
      </c>
      <c r="BP171" s="103">
        <f t="shared" si="18"/>
        <v>170</v>
      </c>
      <c r="BQ171" s="155" t="s">
        <v>342</v>
      </c>
      <c r="BR171" s="102" t="s">
        <v>166</v>
      </c>
      <c r="BS171" s="101" t="s">
        <v>192</v>
      </c>
      <c r="BT171" s="107" t="s">
        <v>168</v>
      </c>
      <c r="BU171" s="107"/>
      <c r="BV171" s="101">
        <v>1</v>
      </c>
      <c r="BW171" s="102" t="s">
        <v>941</v>
      </c>
      <c r="BX171"/>
      <c r="BZ171" s="103">
        <f t="shared" si="25"/>
        <v>170</v>
      </c>
      <c r="CA171" s="4" t="s">
        <v>567</v>
      </c>
      <c r="CB171" s="102" t="s">
        <v>169</v>
      </c>
      <c r="CC171" s="101" t="s">
        <v>167</v>
      </c>
      <c r="CD171" s="107" t="s">
        <v>168</v>
      </c>
      <c r="CE171" s="107"/>
      <c r="CF171" s="101">
        <v>1</v>
      </c>
      <c r="CG171" s="102" t="s">
        <v>756</v>
      </c>
      <c r="CH171"/>
    </row>
    <row r="172" spans="1:86" ht="13.2">
      <c r="A172" s="125"/>
      <c r="B172" s="126">
        <f t="shared" ca="1" si="23"/>
        <v>41640</v>
      </c>
      <c r="C172" s="113">
        <v>6.1248048573506006E-2</v>
      </c>
      <c r="D172" s="113">
        <v>1.45</v>
      </c>
      <c r="E172" s="113">
        <v>1.45</v>
      </c>
      <c r="F172" s="113">
        <v>0.16250000000000001</v>
      </c>
      <c r="G172" s="113">
        <v>0.17</v>
      </c>
      <c r="H172" s="113">
        <v>0.17749999999999999</v>
      </c>
      <c r="I172" s="114">
        <v>4.83</v>
      </c>
      <c r="J172" s="113">
        <v>4.835</v>
      </c>
      <c r="K172" s="113">
        <v>4.84</v>
      </c>
      <c r="L172" s="113">
        <v>1.61</v>
      </c>
      <c r="M172" s="113">
        <v>0.04</v>
      </c>
      <c r="O172" s="97"/>
      <c r="P172" s="127"/>
      <c r="Q172" s="127"/>
      <c r="R172" s="280">
        <f t="shared" ca="1" si="20"/>
        <v>41640</v>
      </c>
      <c r="S172" s="142">
        <f t="shared" si="21"/>
        <v>1.38</v>
      </c>
      <c r="T172" s="141">
        <f t="shared" si="24"/>
        <v>1.45</v>
      </c>
      <c r="U172" s="143">
        <f t="shared" si="22"/>
        <v>1.52</v>
      </c>
      <c r="BP172" s="103">
        <f t="shared" si="18"/>
        <v>171</v>
      </c>
      <c r="BQ172" s="155" t="s">
        <v>343</v>
      </c>
      <c r="BR172" s="102" t="s">
        <v>166</v>
      </c>
      <c r="BS172" s="101" t="s">
        <v>192</v>
      </c>
      <c r="BT172" s="107" t="s">
        <v>168</v>
      </c>
      <c r="BU172" s="107"/>
      <c r="BV172" s="101">
        <v>1</v>
      </c>
      <c r="BW172" s="102" t="s">
        <v>942</v>
      </c>
      <c r="BX172"/>
      <c r="BZ172" s="103">
        <f t="shared" si="25"/>
        <v>171</v>
      </c>
      <c r="CA172" s="4" t="s">
        <v>568</v>
      </c>
      <c r="CB172" s="102" t="s">
        <v>169</v>
      </c>
      <c r="CC172" s="101" t="s">
        <v>167</v>
      </c>
      <c r="CD172" s="107" t="s">
        <v>168</v>
      </c>
      <c r="CE172" s="107"/>
      <c r="CF172" s="101">
        <v>1</v>
      </c>
      <c r="CG172" s="102" t="s">
        <v>757</v>
      </c>
      <c r="CH172"/>
    </row>
    <row r="173" spans="1:86" ht="13.2">
      <c r="A173" s="125"/>
      <c r="B173" s="126">
        <f t="shared" ca="1" si="23"/>
        <v>41671</v>
      </c>
      <c r="C173" s="113">
        <v>6.1272554156282015E-2</v>
      </c>
      <c r="D173" s="113">
        <v>1.45</v>
      </c>
      <c r="E173" s="113">
        <v>1.45</v>
      </c>
      <c r="F173" s="113">
        <v>0.16250000000000001</v>
      </c>
      <c r="G173" s="113">
        <v>0.17</v>
      </c>
      <c r="H173" s="113">
        <v>0.17749999999999999</v>
      </c>
      <c r="I173" s="114">
        <v>4.7340000000000009</v>
      </c>
      <c r="J173" s="113">
        <v>4.7390000000000008</v>
      </c>
      <c r="K173" s="113">
        <v>4.7440000000000007</v>
      </c>
      <c r="L173" s="113">
        <v>1.57</v>
      </c>
      <c r="M173" s="113">
        <v>0.04</v>
      </c>
      <c r="O173" s="97"/>
      <c r="P173" s="127"/>
      <c r="Q173" s="127"/>
      <c r="R173" s="280">
        <f t="shared" ca="1" si="20"/>
        <v>41671</v>
      </c>
      <c r="S173" s="142">
        <f t="shared" si="21"/>
        <v>1.38</v>
      </c>
      <c r="T173" s="141">
        <f t="shared" si="24"/>
        <v>1.45</v>
      </c>
      <c r="U173" s="143">
        <f t="shared" si="22"/>
        <v>1.52</v>
      </c>
      <c r="BP173" s="103">
        <f t="shared" si="18"/>
        <v>172</v>
      </c>
      <c r="BQ173" s="155" t="s">
        <v>344</v>
      </c>
      <c r="BR173" s="102" t="s">
        <v>166</v>
      </c>
      <c r="BS173" s="101" t="s">
        <v>192</v>
      </c>
      <c r="BT173" s="107" t="s">
        <v>168</v>
      </c>
      <c r="BU173" s="107"/>
      <c r="BV173" s="101">
        <v>1</v>
      </c>
      <c r="BW173" s="102" t="s">
        <v>943</v>
      </c>
      <c r="BX173"/>
      <c r="BZ173" s="103">
        <f t="shared" si="25"/>
        <v>172</v>
      </c>
      <c r="CA173" s="4" t="s">
        <v>569</v>
      </c>
      <c r="CB173" s="102" t="s">
        <v>169</v>
      </c>
      <c r="CC173" s="101" t="s">
        <v>167</v>
      </c>
      <c r="CD173" s="107" t="s">
        <v>168</v>
      </c>
      <c r="CE173" s="107"/>
      <c r="CF173" s="101">
        <v>1</v>
      </c>
      <c r="CG173" s="102" t="s">
        <v>758</v>
      </c>
      <c r="CH173"/>
    </row>
    <row r="174" spans="1:86" ht="13.2">
      <c r="A174" s="125"/>
      <c r="B174" s="126">
        <f t="shared" ca="1" si="23"/>
        <v>41699</v>
      </c>
      <c r="C174" s="113">
        <v>6.1294688231218003E-2</v>
      </c>
      <c r="D174" s="113">
        <v>1</v>
      </c>
      <c r="E174" s="113">
        <v>1</v>
      </c>
      <c r="F174" s="113">
        <v>0.16250000000000001</v>
      </c>
      <c r="G174" s="113">
        <v>0.17</v>
      </c>
      <c r="H174" s="113">
        <v>0.17749999999999999</v>
      </c>
      <c r="I174" s="114">
        <v>4.5840000000000005</v>
      </c>
      <c r="J174" s="113">
        <v>4.5890000000000004</v>
      </c>
      <c r="K174" s="113">
        <v>4.5940000000000003</v>
      </c>
      <c r="L174" s="113">
        <v>0.93</v>
      </c>
      <c r="M174" s="113">
        <v>0.04</v>
      </c>
      <c r="O174" s="97"/>
      <c r="P174" s="127"/>
      <c r="Q174" s="127"/>
      <c r="R174" s="280">
        <f t="shared" ca="1" si="20"/>
        <v>41699</v>
      </c>
      <c r="S174" s="142">
        <f t="shared" si="21"/>
        <v>0.92999999999999994</v>
      </c>
      <c r="T174" s="141">
        <f t="shared" si="24"/>
        <v>1</v>
      </c>
      <c r="U174" s="143">
        <f t="shared" si="22"/>
        <v>1.07</v>
      </c>
      <c r="BP174" s="103">
        <f t="shared" si="18"/>
        <v>173</v>
      </c>
      <c r="BQ174" s="155" t="s">
        <v>345</v>
      </c>
      <c r="BR174" s="102" t="s">
        <v>166</v>
      </c>
      <c r="BS174" s="101" t="s">
        <v>192</v>
      </c>
      <c r="BT174" s="107" t="s">
        <v>168</v>
      </c>
      <c r="BU174" s="107"/>
      <c r="BV174" s="101">
        <v>1</v>
      </c>
      <c r="BW174" s="102" t="s">
        <v>944</v>
      </c>
      <c r="BX174"/>
      <c r="BZ174" s="103">
        <f t="shared" si="25"/>
        <v>173</v>
      </c>
      <c r="CA174" s="4" t="s">
        <v>570</v>
      </c>
      <c r="CB174" s="102" t="s">
        <v>169</v>
      </c>
      <c r="CC174" s="101" t="s">
        <v>167</v>
      </c>
      <c r="CD174" s="107" t="s">
        <v>168</v>
      </c>
      <c r="CE174" s="107"/>
      <c r="CF174" s="101">
        <v>1</v>
      </c>
      <c r="CG174" s="102" t="s">
        <v>759</v>
      </c>
      <c r="CH174"/>
    </row>
    <row r="175" spans="1:86" ht="13.2">
      <c r="A175" s="125"/>
      <c r="B175" s="126">
        <f t="shared" ca="1" si="23"/>
        <v>41730</v>
      </c>
      <c r="C175" s="113">
        <v>6.1319193814373014E-2</v>
      </c>
      <c r="D175" s="113">
        <v>0.45</v>
      </c>
      <c r="E175" s="113">
        <v>0.45</v>
      </c>
      <c r="F175" s="113">
        <v>0.16250000000000001</v>
      </c>
      <c r="G175" s="113">
        <v>0.17</v>
      </c>
      <c r="H175" s="113">
        <v>0.17749999999999999</v>
      </c>
      <c r="I175" s="114">
        <v>4.4010000000000007</v>
      </c>
      <c r="J175" s="113">
        <v>4.4060000000000006</v>
      </c>
      <c r="K175" s="113">
        <v>4.4110000000000005</v>
      </c>
      <c r="L175" s="113">
        <v>0.5</v>
      </c>
      <c r="M175" s="113">
        <v>0.04</v>
      </c>
      <c r="O175" s="97"/>
      <c r="P175" s="127"/>
      <c r="Q175" s="127"/>
      <c r="R175" s="280">
        <f t="shared" ca="1" si="20"/>
        <v>41730</v>
      </c>
      <c r="S175" s="142">
        <f t="shared" si="21"/>
        <v>0.38</v>
      </c>
      <c r="T175" s="141">
        <f t="shared" si="24"/>
        <v>0.45</v>
      </c>
      <c r="U175" s="143">
        <f t="shared" si="22"/>
        <v>0.52</v>
      </c>
      <c r="BP175" s="103">
        <f t="shared" si="18"/>
        <v>174</v>
      </c>
      <c r="BQ175" s="155" t="s">
        <v>346</v>
      </c>
      <c r="BR175" s="102" t="s">
        <v>166</v>
      </c>
      <c r="BS175" s="101" t="s">
        <v>192</v>
      </c>
      <c r="BT175" s="107" t="s">
        <v>168</v>
      </c>
      <c r="BU175" s="107"/>
      <c r="BV175" s="101">
        <v>1</v>
      </c>
      <c r="BW175" s="102" t="s">
        <v>945</v>
      </c>
      <c r="BX175"/>
      <c r="BZ175" s="103">
        <f t="shared" si="25"/>
        <v>174</v>
      </c>
      <c r="CA175" s="4" t="s">
        <v>571</v>
      </c>
      <c r="CB175" s="102" t="s">
        <v>169</v>
      </c>
      <c r="CC175" s="101" t="s">
        <v>167</v>
      </c>
      <c r="CD175" s="107" t="s">
        <v>168</v>
      </c>
      <c r="CE175" s="107"/>
      <c r="CF175" s="101">
        <v>1</v>
      </c>
      <c r="CG175" s="102" t="s">
        <v>760</v>
      </c>
      <c r="CH175"/>
    </row>
    <row r="176" spans="1:86" ht="13.2">
      <c r="A176" s="125"/>
      <c r="B176" s="126">
        <f t="shared" ca="1" si="23"/>
        <v>41760</v>
      </c>
      <c r="C176" s="113">
        <v>6.1342908895035013E-2</v>
      </c>
      <c r="D176" s="113">
        <v>0.5</v>
      </c>
      <c r="E176" s="113">
        <v>0.5</v>
      </c>
      <c r="F176" s="113">
        <v>0.16250000000000001</v>
      </c>
      <c r="G176" s="113">
        <v>0.17</v>
      </c>
      <c r="H176" s="113">
        <v>0.17749999999999999</v>
      </c>
      <c r="I176" s="114">
        <v>4.3760000000000003</v>
      </c>
      <c r="J176" s="113">
        <v>4.3810000000000002</v>
      </c>
      <c r="K176" s="113">
        <v>4.3860000000000001</v>
      </c>
      <c r="L176" s="113">
        <v>0.44</v>
      </c>
      <c r="M176" s="113">
        <v>0.04</v>
      </c>
      <c r="O176" s="97"/>
      <c r="P176" s="127"/>
      <c r="Q176" s="127"/>
      <c r="R176" s="280">
        <f t="shared" ca="1" si="20"/>
        <v>41760</v>
      </c>
      <c r="S176" s="142">
        <f t="shared" si="21"/>
        <v>0.43</v>
      </c>
      <c r="T176" s="141">
        <f t="shared" si="24"/>
        <v>0.5</v>
      </c>
      <c r="U176" s="143">
        <f t="shared" si="22"/>
        <v>0.57000000000000006</v>
      </c>
      <c r="BP176" s="103">
        <f t="shared" si="18"/>
        <v>175</v>
      </c>
      <c r="BQ176" s="155" t="s">
        <v>347</v>
      </c>
      <c r="BR176" s="102" t="s">
        <v>166</v>
      </c>
      <c r="BS176" s="101" t="s">
        <v>192</v>
      </c>
      <c r="BT176" s="107" t="s">
        <v>168</v>
      </c>
      <c r="BU176" s="107"/>
      <c r="BV176" s="101">
        <v>1</v>
      </c>
      <c r="BW176" s="102" t="s">
        <v>946</v>
      </c>
      <c r="BX176"/>
      <c r="BZ176" s="103">
        <f t="shared" si="25"/>
        <v>175</v>
      </c>
      <c r="CA176" s="4" t="s">
        <v>572</v>
      </c>
      <c r="CB176" s="102" t="s">
        <v>169</v>
      </c>
      <c r="CC176" s="101" t="s">
        <v>167</v>
      </c>
      <c r="CD176" s="107" t="s">
        <v>168</v>
      </c>
      <c r="CE176" s="107"/>
      <c r="CF176" s="101">
        <v>1</v>
      </c>
      <c r="CG176" s="102" t="s">
        <v>761</v>
      </c>
      <c r="CH176"/>
    </row>
    <row r="177" spans="1:86" ht="13.2">
      <c r="A177" s="125"/>
      <c r="B177" s="126">
        <f t="shared" ca="1" si="23"/>
        <v>41791</v>
      </c>
      <c r="C177" s="113">
        <v>6.1367414478582995E-2</v>
      </c>
      <c r="D177" s="113">
        <v>0.5</v>
      </c>
      <c r="E177" s="113">
        <v>0.5</v>
      </c>
      <c r="F177" s="113">
        <v>0.16250000000000001</v>
      </c>
      <c r="G177" s="113">
        <v>0.17</v>
      </c>
      <c r="H177" s="113">
        <v>0.17749999999999999</v>
      </c>
      <c r="I177" s="114">
        <v>4.4050000000000002</v>
      </c>
      <c r="J177" s="113">
        <v>4.41</v>
      </c>
      <c r="K177" s="113">
        <v>4.415</v>
      </c>
      <c r="L177" s="113">
        <v>0.44</v>
      </c>
      <c r="M177" s="113">
        <v>0.04</v>
      </c>
      <c r="O177" s="97"/>
      <c r="P177" s="127"/>
      <c r="Q177" s="127"/>
      <c r="R177" s="280">
        <f t="shared" ca="1" si="20"/>
        <v>41791</v>
      </c>
      <c r="S177" s="142">
        <f t="shared" si="21"/>
        <v>0.43</v>
      </c>
      <c r="T177" s="141">
        <f t="shared" si="24"/>
        <v>0.5</v>
      </c>
      <c r="U177" s="143">
        <f t="shared" si="22"/>
        <v>0.57000000000000006</v>
      </c>
      <c r="BP177" s="103">
        <f t="shared" si="18"/>
        <v>176</v>
      </c>
      <c r="BQ177" s="155" t="s">
        <v>348</v>
      </c>
      <c r="BR177" s="102" t="s">
        <v>166</v>
      </c>
      <c r="BS177" s="101" t="s">
        <v>192</v>
      </c>
      <c r="BT177" s="107" t="s">
        <v>168</v>
      </c>
      <c r="BU177" s="107"/>
      <c r="BV177" s="101">
        <v>1</v>
      </c>
      <c r="BW177" s="102" t="s">
        <v>947</v>
      </c>
      <c r="BX177"/>
      <c r="BZ177" s="103">
        <f t="shared" si="25"/>
        <v>176</v>
      </c>
      <c r="CA177" s="4" t="s">
        <v>573</v>
      </c>
      <c r="CB177" s="102" t="s">
        <v>169</v>
      </c>
      <c r="CC177" s="101" t="s">
        <v>167</v>
      </c>
      <c r="CD177" s="107" t="s">
        <v>168</v>
      </c>
      <c r="CE177" s="107"/>
      <c r="CF177" s="101">
        <v>1</v>
      </c>
      <c r="CG177" s="102" t="s">
        <v>762</v>
      </c>
      <c r="CH177"/>
    </row>
    <row r="178" spans="1:86" ht="13.2">
      <c r="A178" s="125"/>
      <c r="B178" s="126">
        <f t="shared" ca="1" si="23"/>
        <v>41821</v>
      </c>
      <c r="C178" s="113">
        <v>6.1391129559625009E-2</v>
      </c>
      <c r="D178" s="113">
        <v>0.5</v>
      </c>
      <c r="E178" s="113">
        <v>0.5</v>
      </c>
      <c r="F178" s="113">
        <v>0.16250000000000001</v>
      </c>
      <c r="G178" s="113">
        <v>0.17</v>
      </c>
      <c r="H178" s="113">
        <v>0.17749999999999999</v>
      </c>
      <c r="I178" s="114">
        <v>4.4349999999999996</v>
      </c>
      <c r="J178" s="113">
        <v>4.4400000000000004</v>
      </c>
      <c r="K178" s="113">
        <v>4.4450000000000003</v>
      </c>
      <c r="L178" s="113">
        <v>0.5</v>
      </c>
      <c r="M178" s="113">
        <v>0.04</v>
      </c>
      <c r="O178" s="97"/>
      <c r="P178" s="127"/>
      <c r="Q178" s="127"/>
      <c r="R178" s="280">
        <f t="shared" ca="1" si="20"/>
        <v>41821</v>
      </c>
      <c r="S178" s="142">
        <f t="shared" si="21"/>
        <v>0.43</v>
      </c>
      <c r="T178" s="141">
        <f t="shared" si="24"/>
        <v>0.5</v>
      </c>
      <c r="U178" s="143">
        <f t="shared" si="22"/>
        <v>0.57000000000000006</v>
      </c>
      <c r="BP178" s="103">
        <f t="shared" si="18"/>
        <v>177</v>
      </c>
      <c r="BQ178" s="155" t="s">
        <v>349</v>
      </c>
      <c r="BR178" s="102" t="s">
        <v>166</v>
      </c>
      <c r="BS178" s="101" t="s">
        <v>192</v>
      </c>
      <c r="BT178" s="107" t="s">
        <v>168</v>
      </c>
      <c r="BU178" s="107"/>
      <c r="BV178" s="101">
        <v>1</v>
      </c>
      <c r="BW178" s="102" t="s">
        <v>948</v>
      </c>
      <c r="BX178"/>
      <c r="BZ178" s="103">
        <f t="shared" si="25"/>
        <v>177</v>
      </c>
      <c r="CA178" s="4" t="s">
        <v>574</v>
      </c>
      <c r="CB178" s="102" t="s">
        <v>169</v>
      </c>
      <c r="CC178" s="101" t="s">
        <v>167</v>
      </c>
      <c r="CD178" s="107" t="s">
        <v>168</v>
      </c>
      <c r="CE178" s="107"/>
      <c r="CF178" s="101">
        <v>1</v>
      </c>
      <c r="CG178" s="102" t="s">
        <v>763</v>
      </c>
      <c r="CH178"/>
    </row>
    <row r="179" spans="1:86" ht="13.2">
      <c r="A179" s="125"/>
      <c r="B179" s="126">
        <f t="shared" ca="1" si="23"/>
        <v>41852</v>
      </c>
      <c r="C179" s="113">
        <v>6.141563514356501E-2</v>
      </c>
      <c r="D179" s="113">
        <v>0.6</v>
      </c>
      <c r="E179" s="113">
        <v>0.6</v>
      </c>
      <c r="F179" s="113">
        <v>0.16250000000000001</v>
      </c>
      <c r="G179" s="113">
        <v>0.17</v>
      </c>
      <c r="H179" s="113">
        <v>0.17749999999999999</v>
      </c>
      <c r="I179" s="114">
        <v>4.4550000000000001</v>
      </c>
      <c r="J179" s="113">
        <v>4.46</v>
      </c>
      <c r="K179" s="113">
        <v>4.4649999999999999</v>
      </c>
      <c r="L179" s="113">
        <v>0.5</v>
      </c>
      <c r="M179" s="113">
        <v>0.04</v>
      </c>
      <c r="O179" s="97"/>
      <c r="P179" s="127"/>
      <c r="Q179" s="127"/>
      <c r="R179" s="280">
        <f t="shared" ca="1" si="20"/>
        <v>41852</v>
      </c>
      <c r="S179" s="142">
        <f t="shared" si="21"/>
        <v>0.53</v>
      </c>
      <c r="T179" s="141">
        <f t="shared" si="24"/>
        <v>0.6</v>
      </c>
      <c r="U179" s="143">
        <f t="shared" si="22"/>
        <v>0.66999999999999993</v>
      </c>
      <c r="BP179" s="103">
        <f t="shared" si="18"/>
        <v>178</v>
      </c>
      <c r="BQ179" s="155" t="s">
        <v>350</v>
      </c>
      <c r="BR179" s="102" t="s">
        <v>166</v>
      </c>
      <c r="BS179" s="101" t="s">
        <v>192</v>
      </c>
      <c r="BT179" s="107" t="s">
        <v>168</v>
      </c>
      <c r="BU179" s="107"/>
      <c r="BV179" s="101">
        <v>1</v>
      </c>
      <c r="BW179" s="102" t="s">
        <v>949</v>
      </c>
      <c r="BX179"/>
      <c r="BZ179" s="103">
        <f t="shared" si="25"/>
        <v>178</v>
      </c>
      <c r="CA179" s="4" t="s">
        <v>575</v>
      </c>
      <c r="CB179" s="102" t="s">
        <v>169</v>
      </c>
      <c r="CC179" s="101" t="s">
        <v>167</v>
      </c>
      <c r="CD179" s="107" t="s">
        <v>168</v>
      </c>
      <c r="CE179" s="107"/>
      <c r="CF179" s="101">
        <v>1</v>
      </c>
      <c r="CG179" s="102" t="s">
        <v>764</v>
      </c>
      <c r="CH179"/>
    </row>
    <row r="180" spans="1:86" ht="13.2">
      <c r="A180" s="125"/>
      <c r="B180" s="126">
        <f t="shared" ca="1" si="23"/>
        <v>41883</v>
      </c>
      <c r="C180" s="113">
        <v>6.1440140727703998E-2</v>
      </c>
      <c r="D180" s="113">
        <v>0.6</v>
      </c>
      <c r="E180" s="113">
        <v>0.6</v>
      </c>
      <c r="F180" s="113">
        <v>0.16250000000000001</v>
      </c>
      <c r="G180" s="113">
        <v>0.17</v>
      </c>
      <c r="H180" s="113">
        <v>0.17749999999999999</v>
      </c>
      <c r="I180" s="114">
        <v>4.476</v>
      </c>
      <c r="J180" s="113">
        <v>4.4810000000000008</v>
      </c>
      <c r="K180" s="113">
        <v>4.4860000000000007</v>
      </c>
      <c r="L180" s="113">
        <v>0.46</v>
      </c>
      <c r="M180" s="113">
        <v>0.04</v>
      </c>
      <c r="O180" s="97"/>
      <c r="P180" s="127"/>
      <c r="Q180" s="127"/>
      <c r="R180" s="280">
        <f t="shared" ca="1" si="20"/>
        <v>41883</v>
      </c>
      <c r="S180" s="142">
        <f t="shared" si="21"/>
        <v>0.53</v>
      </c>
      <c r="T180" s="141">
        <f t="shared" si="24"/>
        <v>0.6</v>
      </c>
      <c r="U180" s="143">
        <f t="shared" si="22"/>
        <v>0.66999999999999993</v>
      </c>
      <c r="BP180" s="103">
        <f t="shared" si="18"/>
        <v>179</v>
      </c>
      <c r="BQ180" s="155" t="s">
        <v>351</v>
      </c>
      <c r="BR180" s="102" t="s">
        <v>166</v>
      </c>
      <c r="BS180" s="101" t="s">
        <v>192</v>
      </c>
      <c r="BT180" s="107" t="s">
        <v>168</v>
      </c>
      <c r="BU180" s="107"/>
      <c r="BV180" s="101">
        <v>1</v>
      </c>
      <c r="BW180" s="102" t="s">
        <v>950</v>
      </c>
      <c r="BX180"/>
      <c r="BZ180" s="103">
        <f t="shared" si="25"/>
        <v>179</v>
      </c>
      <c r="CA180" s="4" t="s">
        <v>576</v>
      </c>
      <c r="CB180" s="102" t="s">
        <v>169</v>
      </c>
      <c r="CC180" s="101" t="s">
        <v>167</v>
      </c>
      <c r="CD180" s="107" t="s">
        <v>168</v>
      </c>
      <c r="CE180" s="107"/>
      <c r="CF180" s="101">
        <v>1</v>
      </c>
      <c r="CG180" s="102" t="s">
        <v>765</v>
      </c>
      <c r="CH180"/>
    </row>
    <row r="181" spans="1:86" ht="13.2">
      <c r="A181" s="125"/>
      <c r="B181" s="126">
        <f t="shared" ca="1" si="23"/>
        <v>41913</v>
      </c>
      <c r="C181" s="113">
        <v>6.1463855809319012E-2</v>
      </c>
      <c r="D181" s="113">
        <v>0.65</v>
      </c>
      <c r="E181" s="113">
        <v>0.65</v>
      </c>
      <c r="F181" s="113">
        <v>0.16250000000000001</v>
      </c>
      <c r="G181" s="113">
        <v>0.17</v>
      </c>
      <c r="H181" s="113">
        <v>0.17749999999999999</v>
      </c>
      <c r="I181" s="114">
        <v>4.5060000000000002</v>
      </c>
      <c r="J181" s="113">
        <v>4.5110000000000001</v>
      </c>
      <c r="K181" s="113">
        <v>4.516</v>
      </c>
      <c r="L181" s="113">
        <v>0.47</v>
      </c>
      <c r="M181" s="113">
        <v>0.04</v>
      </c>
      <c r="O181" s="97"/>
      <c r="P181" s="127"/>
      <c r="Q181" s="127"/>
      <c r="R181" s="280">
        <f t="shared" ca="1" si="20"/>
        <v>41913</v>
      </c>
      <c r="S181" s="142">
        <f t="shared" si="21"/>
        <v>0.58000000000000007</v>
      </c>
      <c r="T181" s="141">
        <f t="shared" si="24"/>
        <v>0.65</v>
      </c>
      <c r="U181" s="143">
        <f t="shared" si="22"/>
        <v>0.72</v>
      </c>
      <c r="BP181" s="103">
        <f t="shared" si="18"/>
        <v>180</v>
      </c>
      <c r="BQ181" s="155" t="s">
        <v>352</v>
      </c>
      <c r="BR181" s="102" t="s">
        <v>166</v>
      </c>
      <c r="BS181" s="101" t="s">
        <v>192</v>
      </c>
      <c r="BT181" s="107" t="s">
        <v>168</v>
      </c>
      <c r="BU181" s="107"/>
      <c r="BV181" s="101">
        <v>1</v>
      </c>
      <c r="BW181" s="102" t="s">
        <v>951</v>
      </c>
      <c r="BX181"/>
      <c r="BZ181" s="103">
        <f t="shared" si="25"/>
        <v>180</v>
      </c>
      <c r="CA181" s="4" t="s">
        <v>577</v>
      </c>
      <c r="CB181" s="102" t="s">
        <v>169</v>
      </c>
      <c r="CC181" s="101" t="s">
        <v>167</v>
      </c>
      <c r="CD181" s="107" t="s">
        <v>168</v>
      </c>
      <c r="CE181" s="107"/>
      <c r="CF181" s="101">
        <v>1</v>
      </c>
      <c r="CG181" s="102" t="s">
        <v>766</v>
      </c>
      <c r="CH181"/>
    </row>
    <row r="182" spans="1:86" ht="13.2">
      <c r="A182" s="125"/>
      <c r="B182" s="126">
        <f t="shared" ca="1" si="23"/>
        <v>41944</v>
      </c>
      <c r="C182" s="113">
        <v>6.1488361393850006E-2</v>
      </c>
      <c r="D182" s="113">
        <v>0.95</v>
      </c>
      <c r="E182" s="113">
        <v>0.95</v>
      </c>
      <c r="F182" s="113">
        <v>0.16250000000000001</v>
      </c>
      <c r="G182" s="113">
        <v>0.17</v>
      </c>
      <c r="H182" s="113">
        <v>0.17749999999999999</v>
      </c>
      <c r="I182" s="114">
        <v>4.6459999999999999</v>
      </c>
      <c r="J182" s="113">
        <v>4.6510000000000007</v>
      </c>
      <c r="K182" s="113">
        <v>4.6560000000000006</v>
      </c>
      <c r="L182" s="113">
        <v>0.86</v>
      </c>
      <c r="M182" s="113">
        <v>0.04</v>
      </c>
      <c r="O182" s="97"/>
      <c r="P182" s="127"/>
      <c r="Q182" s="127"/>
      <c r="R182" s="280">
        <f t="shared" ca="1" si="20"/>
        <v>41944</v>
      </c>
      <c r="S182" s="142">
        <f t="shared" si="21"/>
        <v>0.87999999999999989</v>
      </c>
      <c r="T182" s="141">
        <f t="shared" si="24"/>
        <v>0.95</v>
      </c>
      <c r="U182" s="143">
        <f t="shared" si="22"/>
        <v>1.02</v>
      </c>
      <c r="BP182" s="103">
        <f t="shared" si="18"/>
        <v>181</v>
      </c>
      <c r="BQ182" s="155" t="s">
        <v>353</v>
      </c>
      <c r="BR182" s="102" t="s">
        <v>166</v>
      </c>
      <c r="BS182" s="101" t="s">
        <v>192</v>
      </c>
      <c r="BT182" s="107" t="s">
        <v>168</v>
      </c>
      <c r="BU182" s="107"/>
      <c r="BV182" s="101">
        <v>1</v>
      </c>
      <c r="BW182" s="102" t="s">
        <v>952</v>
      </c>
      <c r="BX182"/>
      <c r="BZ182" s="103">
        <f t="shared" si="25"/>
        <v>181</v>
      </c>
      <c r="CA182" s="4" t="s">
        <v>579</v>
      </c>
      <c r="CB182" s="102" t="s">
        <v>169</v>
      </c>
      <c r="CC182" s="101" t="s">
        <v>167</v>
      </c>
      <c r="CD182" s="107" t="s">
        <v>168</v>
      </c>
      <c r="CE182" s="107"/>
      <c r="CF182" s="101">
        <v>1</v>
      </c>
      <c r="CG182" s="102" t="s">
        <v>767</v>
      </c>
      <c r="CH182"/>
    </row>
    <row r="183" spans="1:86" ht="13.2">
      <c r="A183" s="125"/>
      <c r="B183" s="126">
        <f t="shared" ca="1" si="23"/>
        <v>41974</v>
      </c>
      <c r="C183" s="113">
        <v>6.1512076475844009E-2</v>
      </c>
      <c r="D183" s="113">
        <v>1.25</v>
      </c>
      <c r="E183" s="113">
        <v>1.25</v>
      </c>
      <c r="F183" s="113">
        <v>0.16250000000000001</v>
      </c>
      <c r="G183" s="113">
        <v>0.17</v>
      </c>
      <c r="H183" s="113">
        <v>0.17749999999999999</v>
      </c>
      <c r="I183" s="114">
        <v>4.7709999999999999</v>
      </c>
      <c r="J183" s="113">
        <v>4.7760000000000007</v>
      </c>
      <c r="K183" s="113">
        <v>4.7810000000000006</v>
      </c>
      <c r="L183" s="113">
        <v>1.28</v>
      </c>
      <c r="M183" s="113">
        <v>0.04</v>
      </c>
      <c r="O183" s="97"/>
      <c r="P183" s="127"/>
      <c r="Q183" s="127"/>
      <c r="R183" s="280">
        <f t="shared" ca="1" si="20"/>
        <v>41974</v>
      </c>
      <c r="S183" s="142">
        <f t="shared" si="21"/>
        <v>1.18</v>
      </c>
      <c r="T183" s="141">
        <f t="shared" si="24"/>
        <v>1.25</v>
      </c>
      <c r="U183" s="143">
        <f t="shared" si="22"/>
        <v>1.32</v>
      </c>
      <c r="BP183" s="103">
        <f t="shared" si="18"/>
        <v>182</v>
      </c>
      <c r="BQ183" s="155" t="s">
        <v>354</v>
      </c>
      <c r="BR183" s="102" t="s">
        <v>166</v>
      </c>
      <c r="BS183" s="101" t="s">
        <v>192</v>
      </c>
      <c r="BT183" s="107" t="s">
        <v>168</v>
      </c>
      <c r="BU183" s="107"/>
      <c r="BV183" s="101">
        <v>1</v>
      </c>
      <c r="BW183" s="102" t="s">
        <v>953</v>
      </c>
      <c r="BX183"/>
      <c r="BZ183" s="103">
        <f t="shared" si="25"/>
        <v>182</v>
      </c>
      <c r="CA183" s="4" t="s">
        <v>580</v>
      </c>
      <c r="CB183" s="102" t="s">
        <v>169</v>
      </c>
      <c r="CC183" s="101" t="s">
        <v>167</v>
      </c>
      <c r="CD183" s="107" t="s">
        <v>168</v>
      </c>
      <c r="CE183" s="107"/>
      <c r="CF183" s="101">
        <v>1</v>
      </c>
      <c r="CG183" s="102" t="s">
        <v>768</v>
      </c>
      <c r="CH183"/>
    </row>
    <row r="184" spans="1:86" ht="13.2">
      <c r="A184" s="125"/>
      <c r="B184" s="126">
        <f t="shared" ca="1" si="23"/>
        <v>42005</v>
      </c>
      <c r="C184" s="113">
        <v>6.1536582060768001E-2</v>
      </c>
      <c r="D184" s="113">
        <v>1.45</v>
      </c>
      <c r="E184" s="113">
        <v>1.45</v>
      </c>
      <c r="F184" s="113">
        <v>0.16250000000000001</v>
      </c>
      <c r="G184" s="113">
        <v>0.17</v>
      </c>
      <c r="H184" s="113">
        <v>0.17749999999999999</v>
      </c>
      <c r="I184" s="114">
        <v>4.9249999999999998</v>
      </c>
      <c r="J184" s="113">
        <v>4.93</v>
      </c>
      <c r="K184" s="113">
        <v>4.9349999999999996</v>
      </c>
      <c r="L184" s="113">
        <v>1.61</v>
      </c>
      <c r="M184" s="113">
        <v>0.04</v>
      </c>
      <c r="O184" s="97"/>
      <c r="P184" s="127"/>
      <c r="Q184" s="127"/>
      <c r="R184" s="280">
        <f t="shared" ca="1" si="20"/>
        <v>42005</v>
      </c>
      <c r="S184" s="142">
        <f t="shared" si="21"/>
        <v>1.38</v>
      </c>
      <c r="T184" s="141">
        <f t="shared" si="24"/>
        <v>1.45</v>
      </c>
      <c r="U184" s="143">
        <f t="shared" si="22"/>
        <v>1.52</v>
      </c>
      <c r="BP184" s="103">
        <f t="shared" si="18"/>
        <v>183</v>
      </c>
      <c r="BQ184" s="155" t="s">
        <v>355</v>
      </c>
      <c r="BR184" s="102" t="s">
        <v>166</v>
      </c>
      <c r="BS184" s="101" t="s">
        <v>192</v>
      </c>
      <c r="BT184" s="107" t="s">
        <v>168</v>
      </c>
      <c r="BU184" s="107"/>
      <c r="BV184" s="101">
        <v>1</v>
      </c>
      <c r="BW184" s="102" t="s">
        <v>954</v>
      </c>
      <c r="BX184"/>
      <c r="BZ184" s="103">
        <f t="shared" si="25"/>
        <v>183</v>
      </c>
      <c r="CA184" s="4" t="s">
        <v>582</v>
      </c>
      <c r="CB184" s="102" t="s">
        <v>169</v>
      </c>
      <c r="CC184" s="101" t="s">
        <v>167</v>
      </c>
      <c r="CD184" s="107" t="s">
        <v>168</v>
      </c>
      <c r="CE184" s="107"/>
      <c r="CF184" s="101">
        <v>1</v>
      </c>
      <c r="CG184" s="102" t="s">
        <v>769</v>
      </c>
      <c r="CH184"/>
    </row>
    <row r="185" spans="1:86" ht="13.2">
      <c r="A185" s="125"/>
      <c r="B185" s="126">
        <f t="shared" ca="1" si="23"/>
        <v>42036</v>
      </c>
      <c r="C185" s="113">
        <v>6.1561087645891022E-2</v>
      </c>
      <c r="D185" s="113">
        <v>1.45</v>
      </c>
      <c r="E185" s="113">
        <v>1.45</v>
      </c>
      <c r="F185" s="113">
        <v>0.16250000000000001</v>
      </c>
      <c r="G185" s="113">
        <v>0.17</v>
      </c>
      <c r="H185" s="113">
        <v>0.17749999999999999</v>
      </c>
      <c r="I185" s="114">
        <v>4.8290000000000006</v>
      </c>
      <c r="J185" s="113">
        <v>4.8340000000000005</v>
      </c>
      <c r="K185" s="113">
        <v>4.8390000000000004</v>
      </c>
      <c r="L185" s="113">
        <v>1.57</v>
      </c>
      <c r="M185" s="113">
        <v>0.04</v>
      </c>
      <c r="O185" s="97"/>
      <c r="P185" s="127"/>
      <c r="Q185" s="127"/>
      <c r="R185" s="280">
        <f t="shared" ca="1" si="20"/>
        <v>42036</v>
      </c>
      <c r="S185" s="142">
        <f t="shared" si="21"/>
        <v>1.38</v>
      </c>
      <c r="T185" s="141">
        <f t="shared" si="24"/>
        <v>1.45</v>
      </c>
      <c r="U185" s="143">
        <f t="shared" si="22"/>
        <v>1.52</v>
      </c>
      <c r="BP185" s="103">
        <f t="shared" si="18"/>
        <v>184</v>
      </c>
      <c r="BQ185" s="155" t="s">
        <v>356</v>
      </c>
      <c r="BR185" s="102" t="s">
        <v>166</v>
      </c>
      <c r="BS185" s="101" t="s">
        <v>192</v>
      </c>
      <c r="BT185" s="107" t="s">
        <v>168</v>
      </c>
      <c r="BU185" s="107"/>
      <c r="BV185" s="101">
        <v>1</v>
      </c>
      <c r="BW185" s="102" t="s">
        <v>955</v>
      </c>
      <c r="BX185"/>
      <c r="BZ185" s="103">
        <f t="shared" si="25"/>
        <v>184</v>
      </c>
      <c r="CA185" s="4" t="s">
        <v>583</v>
      </c>
      <c r="CB185" s="102" t="s">
        <v>169</v>
      </c>
      <c r="CC185" s="101" t="s">
        <v>167</v>
      </c>
      <c r="CD185" s="107" t="s">
        <v>168</v>
      </c>
      <c r="CE185" s="107"/>
      <c r="CF185" s="101">
        <v>1</v>
      </c>
      <c r="CG185" s="102" t="s">
        <v>770</v>
      </c>
      <c r="CH185"/>
    </row>
    <row r="186" spans="1:86" ht="13.2">
      <c r="A186" s="125"/>
      <c r="B186" s="126">
        <f t="shared" ca="1" si="23"/>
        <v>42064</v>
      </c>
      <c r="C186" s="113">
        <v>6.1583221722948008E-2</v>
      </c>
      <c r="D186" s="113">
        <v>1</v>
      </c>
      <c r="E186" s="113">
        <v>1</v>
      </c>
      <c r="F186" s="113">
        <v>0.16250000000000001</v>
      </c>
      <c r="G186" s="113">
        <v>0.17</v>
      </c>
      <c r="H186" s="113">
        <v>0.17749999999999999</v>
      </c>
      <c r="I186" s="114">
        <v>4.6790000000000003</v>
      </c>
      <c r="J186" s="113">
        <v>4.6840000000000002</v>
      </c>
      <c r="K186" s="113">
        <v>4.6890000000000001</v>
      </c>
      <c r="L186" s="113">
        <v>0.93</v>
      </c>
      <c r="M186" s="113">
        <v>0.04</v>
      </c>
      <c r="O186" s="97"/>
      <c r="P186" s="127"/>
      <c r="Q186" s="127"/>
      <c r="R186" s="280">
        <f t="shared" ca="1" si="20"/>
        <v>42064</v>
      </c>
      <c r="S186" s="142">
        <f t="shared" si="21"/>
        <v>0.92999999999999994</v>
      </c>
      <c r="T186" s="141">
        <f t="shared" si="24"/>
        <v>1</v>
      </c>
      <c r="U186" s="143">
        <f t="shared" si="22"/>
        <v>1.07</v>
      </c>
      <c r="BP186" s="103">
        <f t="shared" si="18"/>
        <v>185</v>
      </c>
      <c r="BQ186" s="155" t="s">
        <v>357</v>
      </c>
      <c r="BR186" s="102" t="s">
        <v>166</v>
      </c>
      <c r="BS186" s="101" t="s">
        <v>192</v>
      </c>
      <c r="BT186" s="107" t="s">
        <v>168</v>
      </c>
      <c r="BU186" s="107"/>
      <c r="BV186" s="101">
        <v>1</v>
      </c>
      <c r="BW186" s="102" t="s">
        <v>956</v>
      </c>
      <c r="BX186"/>
      <c r="BZ186" s="103">
        <f t="shared" si="25"/>
        <v>185</v>
      </c>
      <c r="CA186" s="4" t="s">
        <v>585</v>
      </c>
      <c r="CB186" s="102" t="s">
        <v>169</v>
      </c>
      <c r="CC186" s="101" t="s">
        <v>167</v>
      </c>
      <c r="CD186" s="107" t="s">
        <v>168</v>
      </c>
      <c r="CE186" s="107"/>
      <c r="CF186" s="101">
        <v>1</v>
      </c>
      <c r="CG186" s="102" t="s">
        <v>771</v>
      </c>
      <c r="CH186"/>
    </row>
    <row r="187" spans="1:86" ht="13.2">
      <c r="A187" s="125"/>
      <c r="B187" s="126">
        <f t="shared" ca="1" si="23"/>
        <v>42095</v>
      </c>
      <c r="C187" s="113">
        <v>6.1607727308451016E-2</v>
      </c>
      <c r="D187" s="113">
        <v>0.45</v>
      </c>
      <c r="E187" s="113">
        <v>0.45</v>
      </c>
      <c r="F187" s="113">
        <v>0.16250000000000001</v>
      </c>
      <c r="G187" s="113">
        <v>0.17</v>
      </c>
      <c r="H187" s="113">
        <v>0.17749999999999999</v>
      </c>
      <c r="I187" s="114">
        <v>4.4960000000000004</v>
      </c>
      <c r="J187" s="113">
        <v>4.5010000000000003</v>
      </c>
      <c r="K187" s="113">
        <v>4.5060000000000002</v>
      </c>
      <c r="L187" s="113">
        <v>0.5</v>
      </c>
      <c r="M187" s="113">
        <v>0.04</v>
      </c>
      <c r="O187" s="97"/>
      <c r="P187" s="127"/>
      <c r="Q187" s="127"/>
      <c r="R187" s="280">
        <f t="shared" ca="1" si="20"/>
        <v>42095</v>
      </c>
      <c r="S187" s="142">
        <f t="shared" si="21"/>
        <v>0.38</v>
      </c>
      <c r="T187" s="141">
        <f t="shared" si="24"/>
        <v>0.45</v>
      </c>
      <c r="U187" s="143">
        <f t="shared" si="22"/>
        <v>0.52</v>
      </c>
      <c r="BP187" s="103">
        <f t="shared" si="18"/>
        <v>186</v>
      </c>
      <c r="BQ187" s="155" t="s">
        <v>358</v>
      </c>
      <c r="BR187" s="102" t="s">
        <v>166</v>
      </c>
      <c r="BS187" s="101" t="s">
        <v>192</v>
      </c>
      <c r="BT187" s="107" t="s">
        <v>168</v>
      </c>
      <c r="BU187" s="107"/>
      <c r="BV187" s="101">
        <v>1</v>
      </c>
      <c r="BW187" s="102" t="s">
        <v>957</v>
      </c>
      <c r="BX187"/>
    </row>
    <row r="188" spans="1:86" ht="13.2">
      <c r="A188" s="125"/>
      <c r="B188" s="126">
        <f t="shared" ca="1" si="23"/>
        <v>42125</v>
      </c>
      <c r="C188" s="113">
        <v>6.1631442391386022E-2</v>
      </c>
      <c r="D188" s="113">
        <v>0.5</v>
      </c>
      <c r="E188" s="113">
        <v>0.5</v>
      </c>
      <c r="F188" s="113">
        <v>0.16250000000000001</v>
      </c>
      <c r="G188" s="113">
        <v>0.17</v>
      </c>
      <c r="H188" s="113">
        <v>0.17749999999999999</v>
      </c>
      <c r="I188" s="114">
        <v>4.4710000000000001</v>
      </c>
      <c r="J188" s="113">
        <v>4.476</v>
      </c>
      <c r="K188" s="113">
        <v>4.4810000000000008</v>
      </c>
      <c r="L188" s="113">
        <v>0.44</v>
      </c>
      <c r="M188" s="113">
        <v>0.04</v>
      </c>
      <c r="O188" s="97"/>
      <c r="P188" s="127"/>
      <c r="Q188" s="127"/>
      <c r="R188" s="280">
        <f t="shared" ca="1" si="20"/>
        <v>42125</v>
      </c>
      <c r="S188" s="142">
        <f t="shared" si="21"/>
        <v>0.43</v>
      </c>
      <c r="T188" s="141">
        <f t="shared" si="24"/>
        <v>0.5</v>
      </c>
      <c r="U188" s="143">
        <f t="shared" si="22"/>
        <v>0.57000000000000006</v>
      </c>
      <c r="BP188" s="103">
        <f t="shared" si="18"/>
        <v>187</v>
      </c>
      <c r="BQ188" s="155" t="s">
        <v>359</v>
      </c>
      <c r="BR188" s="102" t="s">
        <v>166</v>
      </c>
      <c r="BS188" s="101" t="s">
        <v>192</v>
      </c>
      <c r="BT188" s="107" t="s">
        <v>168</v>
      </c>
      <c r="BU188" s="107"/>
      <c r="BV188" s="101">
        <v>1</v>
      </c>
      <c r="BW188" s="102" t="s">
        <v>958</v>
      </c>
      <c r="BX188"/>
    </row>
    <row r="189" spans="1:86" ht="13.2">
      <c r="A189" s="125"/>
      <c r="B189" s="126">
        <f t="shared" ca="1" si="23"/>
        <v>42156</v>
      </c>
      <c r="C189" s="113">
        <v>6.165594797728001E-2</v>
      </c>
      <c r="D189" s="113">
        <v>0.5</v>
      </c>
      <c r="E189" s="113">
        <v>0.5</v>
      </c>
      <c r="F189" s="113">
        <v>0.16250000000000001</v>
      </c>
      <c r="G189" s="113">
        <v>0.17</v>
      </c>
      <c r="H189" s="113">
        <v>0.17749999999999999</v>
      </c>
      <c r="I189" s="114">
        <v>4.5</v>
      </c>
      <c r="J189" s="113">
        <v>4.5049999999999999</v>
      </c>
      <c r="K189" s="113">
        <v>4.51</v>
      </c>
      <c r="L189" s="113">
        <v>0.44</v>
      </c>
      <c r="M189" s="113">
        <v>0.04</v>
      </c>
      <c r="O189" s="97"/>
      <c r="P189" s="127"/>
      <c r="Q189" s="127"/>
      <c r="R189" s="280">
        <f t="shared" ca="1" si="20"/>
        <v>42156</v>
      </c>
      <c r="S189" s="142">
        <f t="shared" si="21"/>
        <v>0.43</v>
      </c>
      <c r="T189" s="141">
        <f t="shared" si="24"/>
        <v>0.5</v>
      </c>
      <c r="U189" s="143">
        <f t="shared" si="22"/>
        <v>0.57000000000000006</v>
      </c>
      <c r="BP189" s="103">
        <f t="shared" si="18"/>
        <v>188</v>
      </c>
      <c r="BQ189" s="155" t="s">
        <v>360</v>
      </c>
      <c r="BR189" s="102" t="s">
        <v>166</v>
      </c>
      <c r="BS189" s="101" t="s">
        <v>192</v>
      </c>
      <c r="BT189" s="107" t="s">
        <v>168</v>
      </c>
      <c r="BU189" s="107"/>
      <c r="BV189" s="101">
        <v>1</v>
      </c>
      <c r="BW189" s="102" t="s">
        <v>959</v>
      </c>
      <c r="BX189"/>
    </row>
    <row r="190" spans="1:86" ht="13.2">
      <c r="A190" s="125"/>
      <c r="B190" s="126">
        <f t="shared" ca="1" si="23"/>
        <v>42186</v>
      </c>
      <c r="C190" s="113">
        <v>6.1679663060593998E-2</v>
      </c>
      <c r="D190" s="113">
        <v>0.5</v>
      </c>
      <c r="E190" s="113">
        <v>0.5</v>
      </c>
      <c r="F190" s="113">
        <v>0.16250000000000001</v>
      </c>
      <c r="G190" s="113">
        <v>0.17</v>
      </c>
      <c r="H190" s="113">
        <v>0.17749999999999999</v>
      </c>
      <c r="I190" s="114">
        <v>4.53</v>
      </c>
      <c r="J190" s="113">
        <v>4.5350000000000001</v>
      </c>
      <c r="K190" s="113">
        <v>4.54</v>
      </c>
      <c r="L190" s="113">
        <v>0.5</v>
      </c>
      <c r="M190" s="113">
        <v>0.04</v>
      </c>
      <c r="O190" s="97"/>
      <c r="P190" s="127"/>
      <c r="Q190" s="127"/>
      <c r="R190" s="280">
        <f t="shared" ca="1" si="20"/>
        <v>42186</v>
      </c>
      <c r="S190" s="142">
        <f t="shared" si="21"/>
        <v>0.43</v>
      </c>
      <c r="T190" s="141">
        <f t="shared" si="24"/>
        <v>0.5</v>
      </c>
      <c r="U190" s="143">
        <f t="shared" si="22"/>
        <v>0.57000000000000006</v>
      </c>
      <c r="BP190" s="103">
        <f t="shared" si="18"/>
        <v>189</v>
      </c>
      <c r="BQ190" s="155" t="s">
        <v>361</v>
      </c>
      <c r="BR190" s="102" t="s">
        <v>166</v>
      </c>
      <c r="BS190" s="101" t="s">
        <v>192</v>
      </c>
      <c r="BT190" s="107" t="s">
        <v>168</v>
      </c>
      <c r="BU190" s="107"/>
      <c r="BV190" s="101">
        <v>1</v>
      </c>
      <c r="BW190" s="102" t="s">
        <v>960</v>
      </c>
      <c r="BX190"/>
    </row>
    <row r="191" spans="1:86" ht="13.2">
      <c r="A191" s="125"/>
      <c r="B191" s="126">
        <f t="shared" ca="1" si="23"/>
        <v>42217</v>
      </c>
      <c r="C191" s="113">
        <v>6.1704168646881018E-2</v>
      </c>
      <c r="D191" s="113">
        <v>0.6</v>
      </c>
      <c r="E191" s="113">
        <v>0.6</v>
      </c>
      <c r="F191" s="113">
        <v>0.16250000000000001</v>
      </c>
      <c r="G191" s="113">
        <v>0.17</v>
      </c>
      <c r="H191" s="113">
        <v>0.17749999999999999</v>
      </c>
      <c r="I191" s="114">
        <v>4.55</v>
      </c>
      <c r="J191" s="113">
        <v>4.5549999999999997</v>
      </c>
      <c r="K191" s="113">
        <v>4.5599999999999996</v>
      </c>
      <c r="L191" s="113">
        <v>0.5</v>
      </c>
      <c r="M191" s="113">
        <v>0.03</v>
      </c>
      <c r="O191" s="97"/>
      <c r="P191" s="127"/>
      <c r="Q191" s="127"/>
      <c r="R191" s="280">
        <f t="shared" ca="1" si="20"/>
        <v>42217</v>
      </c>
      <c r="S191" s="142">
        <f t="shared" si="21"/>
        <v>0.53</v>
      </c>
      <c r="T191" s="141">
        <f t="shared" si="24"/>
        <v>0.6</v>
      </c>
      <c r="U191" s="143">
        <f t="shared" si="22"/>
        <v>0.66999999999999993</v>
      </c>
      <c r="BP191" s="103">
        <f t="shared" si="18"/>
        <v>190</v>
      </c>
      <c r="BQ191" s="155" t="s">
        <v>362</v>
      </c>
      <c r="BR191" s="102" t="s">
        <v>166</v>
      </c>
      <c r="BS191" s="101" t="s">
        <v>192</v>
      </c>
      <c r="BT191" s="107" t="s">
        <v>168</v>
      </c>
      <c r="BU191" s="107"/>
      <c r="BV191" s="101">
        <v>1</v>
      </c>
      <c r="BW191" s="102" t="s">
        <v>961</v>
      </c>
      <c r="BX191"/>
    </row>
    <row r="192" spans="1:86" ht="13.2">
      <c r="A192" s="125"/>
      <c r="B192" s="126">
        <f t="shared" ca="1" si="23"/>
        <v>42248</v>
      </c>
      <c r="C192" s="113">
        <v>6.1728674233368017E-2</v>
      </c>
      <c r="D192" s="113">
        <v>0.6</v>
      </c>
      <c r="E192" s="113">
        <v>0.6</v>
      </c>
      <c r="F192" s="113">
        <v>0.16250000000000001</v>
      </c>
      <c r="G192" s="113">
        <v>0.17</v>
      </c>
      <c r="H192" s="113">
        <v>0.17749999999999999</v>
      </c>
      <c r="I192" s="114">
        <v>4.5710000000000006</v>
      </c>
      <c r="J192" s="113">
        <v>4.5760000000000005</v>
      </c>
      <c r="K192" s="113">
        <v>4.5810000000000004</v>
      </c>
      <c r="L192" s="113">
        <v>0.46</v>
      </c>
      <c r="M192" s="113">
        <v>0.03</v>
      </c>
      <c r="O192" s="97"/>
      <c r="P192" s="127"/>
      <c r="Q192" s="127"/>
      <c r="R192" s="280">
        <f t="shared" ca="1" si="20"/>
        <v>42248</v>
      </c>
      <c r="S192" s="142">
        <f t="shared" si="21"/>
        <v>0.53</v>
      </c>
      <c r="T192" s="141">
        <f t="shared" si="24"/>
        <v>0.6</v>
      </c>
      <c r="U192" s="143">
        <f t="shared" si="22"/>
        <v>0.66999999999999993</v>
      </c>
      <c r="BP192" s="103">
        <f t="shared" si="18"/>
        <v>191</v>
      </c>
      <c r="BQ192" s="155" t="s">
        <v>363</v>
      </c>
      <c r="BR192" s="102" t="s">
        <v>166</v>
      </c>
      <c r="BS192" s="101" t="s">
        <v>192</v>
      </c>
      <c r="BT192" s="107" t="s">
        <v>168</v>
      </c>
      <c r="BU192" s="107"/>
      <c r="BV192" s="101">
        <v>1</v>
      </c>
      <c r="BW192" s="102" t="s">
        <v>962</v>
      </c>
      <c r="BX192"/>
    </row>
    <row r="193" spans="1:76" ht="13.2">
      <c r="A193" s="125"/>
      <c r="B193" s="126">
        <f t="shared" ca="1" si="23"/>
        <v>42278</v>
      </c>
      <c r="C193" s="113">
        <v>6.1752389317255005E-2</v>
      </c>
      <c r="D193" s="113">
        <v>0.65</v>
      </c>
      <c r="E193" s="113">
        <v>0.65</v>
      </c>
      <c r="F193" s="113">
        <v>0.16250000000000001</v>
      </c>
      <c r="G193" s="113">
        <v>0.17</v>
      </c>
      <c r="H193" s="113">
        <v>0.17749999999999999</v>
      </c>
      <c r="I193" s="114">
        <v>4.601</v>
      </c>
      <c r="J193" s="113">
        <v>4.6060000000000008</v>
      </c>
      <c r="K193" s="113">
        <v>4.6110000000000007</v>
      </c>
      <c r="L193" s="113">
        <v>0.47</v>
      </c>
      <c r="M193" s="113">
        <v>0.03</v>
      </c>
      <c r="O193" s="97"/>
      <c r="P193" s="127"/>
      <c r="Q193" s="127"/>
      <c r="R193" s="280">
        <f t="shared" ca="1" si="20"/>
        <v>42278</v>
      </c>
      <c r="S193" s="142">
        <f t="shared" si="21"/>
        <v>0.58000000000000007</v>
      </c>
      <c r="T193" s="141">
        <f t="shared" si="24"/>
        <v>0.65</v>
      </c>
      <c r="U193" s="143">
        <f t="shared" si="22"/>
        <v>0.72</v>
      </c>
      <c r="BP193" s="103">
        <f t="shared" si="18"/>
        <v>192</v>
      </c>
      <c r="BQ193" s="155" t="s">
        <v>364</v>
      </c>
      <c r="BR193" s="102" t="s">
        <v>166</v>
      </c>
      <c r="BS193" s="101" t="s">
        <v>192</v>
      </c>
      <c r="BT193" s="107" t="s">
        <v>168</v>
      </c>
      <c r="BU193" s="107"/>
      <c r="BV193" s="101">
        <v>1</v>
      </c>
      <c r="BW193" s="102" t="s">
        <v>963</v>
      </c>
      <c r="BX193"/>
    </row>
    <row r="194" spans="1:76" ht="13.2">
      <c r="A194" s="125"/>
      <c r="B194" s="126">
        <f t="shared" ca="1" si="23"/>
        <v>42309</v>
      </c>
      <c r="C194" s="113">
        <v>6.177689490413401E-2</v>
      </c>
      <c r="D194" s="113">
        <v>0.95</v>
      </c>
      <c r="E194" s="113">
        <v>0.95</v>
      </c>
      <c r="F194" s="113">
        <v>0.16250000000000001</v>
      </c>
      <c r="G194" s="113">
        <v>0.17</v>
      </c>
      <c r="H194" s="113">
        <v>0.17749999999999999</v>
      </c>
      <c r="I194" s="114">
        <v>4.7410000000000005</v>
      </c>
      <c r="J194" s="113">
        <v>4.7460000000000004</v>
      </c>
      <c r="K194" s="113">
        <v>4.7510000000000003</v>
      </c>
      <c r="L194" s="113">
        <v>0.86</v>
      </c>
      <c r="M194" s="113">
        <v>0.03</v>
      </c>
      <c r="O194" s="97"/>
      <c r="P194" s="127"/>
      <c r="Q194" s="127"/>
      <c r="R194" s="280">
        <f t="shared" ca="1" si="20"/>
        <v>42309</v>
      </c>
      <c r="S194" s="142">
        <f t="shared" si="21"/>
        <v>0.87999999999999989</v>
      </c>
      <c r="T194" s="141">
        <f t="shared" si="24"/>
        <v>0.95</v>
      </c>
      <c r="U194" s="143">
        <f t="shared" si="22"/>
        <v>1.02</v>
      </c>
      <c r="BP194" s="103">
        <f t="shared" ref="BP194:BP257" si="26">BP193+BV194</f>
        <v>193</v>
      </c>
      <c r="BQ194" s="155" t="s">
        <v>365</v>
      </c>
      <c r="BR194" s="102" t="s">
        <v>166</v>
      </c>
      <c r="BS194" s="101" t="s">
        <v>192</v>
      </c>
      <c r="BT194" s="107" t="s">
        <v>168</v>
      </c>
      <c r="BU194" s="107"/>
      <c r="BV194" s="101">
        <v>1</v>
      </c>
      <c r="BW194" s="102" t="s">
        <v>964</v>
      </c>
      <c r="BX194"/>
    </row>
    <row r="195" spans="1:76" ht="13.2">
      <c r="A195" s="125"/>
      <c r="B195" s="126">
        <f t="shared" ca="1" si="23"/>
        <v>42339</v>
      </c>
      <c r="C195" s="113">
        <v>6.1800609988399015E-2</v>
      </c>
      <c r="D195" s="113">
        <v>1.25</v>
      </c>
      <c r="E195" s="113">
        <v>1.25</v>
      </c>
      <c r="F195" s="113">
        <v>0.16250000000000001</v>
      </c>
      <c r="G195" s="113">
        <v>0.17</v>
      </c>
      <c r="H195" s="113">
        <v>0.17749999999999999</v>
      </c>
      <c r="I195" s="114">
        <v>4.8660000000000005</v>
      </c>
      <c r="J195" s="113">
        <v>4.8710000000000004</v>
      </c>
      <c r="K195" s="113">
        <v>4.8760000000000003</v>
      </c>
      <c r="L195" s="113">
        <v>1.28</v>
      </c>
      <c r="M195" s="113">
        <v>0.03</v>
      </c>
      <c r="O195" s="97"/>
      <c r="P195" s="127"/>
      <c r="Q195" s="127"/>
      <c r="R195" s="280">
        <f t="shared" ca="1" si="20"/>
        <v>42339</v>
      </c>
      <c r="S195" s="142">
        <f t="shared" si="21"/>
        <v>1.18</v>
      </c>
      <c r="T195" s="141">
        <f t="shared" si="24"/>
        <v>1.25</v>
      </c>
      <c r="U195" s="143">
        <f t="shared" si="22"/>
        <v>1.32</v>
      </c>
      <c r="BP195" s="103">
        <f t="shared" si="26"/>
        <v>194</v>
      </c>
      <c r="BQ195" s="155" t="s">
        <v>366</v>
      </c>
      <c r="BR195" s="102" t="s">
        <v>166</v>
      </c>
      <c r="BS195" s="101" t="s">
        <v>192</v>
      </c>
      <c r="BT195" s="107" t="s">
        <v>168</v>
      </c>
      <c r="BU195" s="107"/>
      <c r="BV195" s="101">
        <v>1</v>
      </c>
      <c r="BW195" s="102" t="s">
        <v>965</v>
      </c>
      <c r="BX195"/>
    </row>
    <row r="196" spans="1:76" ht="13.2">
      <c r="A196" s="125"/>
      <c r="B196" s="126">
        <f t="shared" ca="1" si="23"/>
        <v>42370</v>
      </c>
      <c r="C196" s="113">
        <v>6.1825115575671025E-2</v>
      </c>
      <c r="D196" s="113">
        <v>1.45</v>
      </c>
      <c r="E196" s="113">
        <v>1.45</v>
      </c>
      <c r="F196" s="113">
        <v>0.16250000000000001</v>
      </c>
      <c r="G196" s="113">
        <v>0.17</v>
      </c>
      <c r="H196" s="113">
        <v>0.17749999999999999</v>
      </c>
      <c r="I196" s="114">
        <v>5.0250000000000004</v>
      </c>
      <c r="J196" s="113">
        <v>5.03</v>
      </c>
      <c r="K196" s="113">
        <v>5.0350000000000001</v>
      </c>
      <c r="L196" s="113">
        <v>1.61</v>
      </c>
      <c r="M196" s="113">
        <v>0.03</v>
      </c>
      <c r="O196" s="97"/>
      <c r="P196" s="127"/>
      <c r="Q196" s="127"/>
      <c r="R196" s="280">
        <f t="shared" ca="1" si="20"/>
        <v>42370</v>
      </c>
      <c r="S196" s="142">
        <f t="shared" si="21"/>
        <v>1.38</v>
      </c>
      <c r="T196" s="141">
        <f t="shared" si="24"/>
        <v>1.45</v>
      </c>
      <c r="U196" s="143">
        <f t="shared" si="22"/>
        <v>1.52</v>
      </c>
      <c r="BP196" s="103">
        <f t="shared" si="26"/>
        <v>195</v>
      </c>
      <c r="BQ196" s="155" t="s">
        <v>367</v>
      </c>
      <c r="BR196" s="102" t="s">
        <v>166</v>
      </c>
      <c r="BS196" s="101" t="s">
        <v>192</v>
      </c>
      <c r="BT196" s="107" t="s">
        <v>168</v>
      </c>
      <c r="BU196" s="107"/>
      <c r="BV196" s="101">
        <v>1</v>
      </c>
      <c r="BW196" s="102" t="s">
        <v>966</v>
      </c>
      <c r="BX196"/>
    </row>
    <row r="197" spans="1:76" ht="13.2">
      <c r="A197" s="125"/>
      <c r="B197" s="126">
        <f t="shared" ca="1" si="23"/>
        <v>42401</v>
      </c>
      <c r="C197" s="113">
        <v>6.1849621163141015E-2</v>
      </c>
      <c r="D197" s="113">
        <v>1.45</v>
      </c>
      <c r="E197" s="113">
        <v>1.45</v>
      </c>
      <c r="F197" s="113">
        <v>0.16250000000000001</v>
      </c>
      <c r="G197" s="113">
        <v>0.17</v>
      </c>
      <c r="H197" s="113">
        <v>0.17749999999999999</v>
      </c>
      <c r="I197" s="114">
        <v>4.9290000000000003</v>
      </c>
      <c r="J197" s="113">
        <v>4.9340000000000002</v>
      </c>
      <c r="K197" s="113">
        <v>4.9390000000000001</v>
      </c>
      <c r="L197" s="113">
        <v>1.57</v>
      </c>
      <c r="M197" s="113">
        <v>0.03</v>
      </c>
      <c r="O197" s="97"/>
      <c r="P197" s="127"/>
      <c r="Q197" s="127"/>
      <c r="R197" s="280">
        <f t="shared" ca="1" si="20"/>
        <v>42401</v>
      </c>
      <c r="S197" s="142">
        <f t="shared" si="21"/>
        <v>1.38</v>
      </c>
      <c r="T197" s="141">
        <f t="shared" si="24"/>
        <v>1.45</v>
      </c>
      <c r="U197" s="143">
        <f t="shared" si="22"/>
        <v>1.52</v>
      </c>
      <c r="BP197" s="103">
        <f t="shared" si="26"/>
        <v>196</v>
      </c>
      <c r="BQ197" s="155" t="s">
        <v>368</v>
      </c>
      <c r="BR197" s="102" t="s">
        <v>166</v>
      </c>
      <c r="BS197" s="101" t="s">
        <v>192</v>
      </c>
      <c r="BT197" s="107" t="s">
        <v>168</v>
      </c>
      <c r="BU197" s="107"/>
      <c r="BV197" s="101">
        <v>1</v>
      </c>
      <c r="BW197" s="102" t="s">
        <v>967</v>
      </c>
      <c r="BX197"/>
    </row>
    <row r="198" spans="1:76" ht="13.2">
      <c r="A198" s="125"/>
      <c r="B198" s="126">
        <f t="shared" ca="1" si="23"/>
        <v>42430</v>
      </c>
      <c r="C198" s="113">
        <v>6.187254574514902E-2</v>
      </c>
      <c r="D198" s="113">
        <v>1</v>
      </c>
      <c r="E198" s="113">
        <v>1</v>
      </c>
      <c r="F198" s="113">
        <v>0.16250000000000001</v>
      </c>
      <c r="G198" s="113">
        <v>0.17</v>
      </c>
      <c r="H198" s="113">
        <v>0.17749999999999999</v>
      </c>
      <c r="I198" s="114">
        <v>4.7790000000000008</v>
      </c>
      <c r="J198" s="113">
        <v>4.7840000000000007</v>
      </c>
      <c r="K198" s="113">
        <v>4.7890000000000006</v>
      </c>
      <c r="L198" s="113">
        <v>0.93</v>
      </c>
      <c r="M198" s="113">
        <v>0.03</v>
      </c>
      <c r="O198" s="97"/>
      <c r="P198" s="127"/>
      <c r="Q198" s="127"/>
      <c r="R198" s="280">
        <f t="shared" ca="1" si="20"/>
        <v>42430</v>
      </c>
      <c r="S198" s="142">
        <f t="shared" si="21"/>
        <v>0.92999999999999994</v>
      </c>
      <c r="T198" s="141">
        <f t="shared" si="24"/>
        <v>1</v>
      </c>
      <c r="U198" s="143">
        <f t="shared" si="22"/>
        <v>1.07</v>
      </c>
      <c r="BP198" s="103">
        <f t="shared" si="26"/>
        <v>197</v>
      </c>
      <c r="BQ198" s="155" t="s">
        <v>369</v>
      </c>
      <c r="BR198" s="102" t="s">
        <v>166</v>
      </c>
      <c r="BS198" s="101" t="s">
        <v>192</v>
      </c>
      <c r="BT198" s="107" t="s">
        <v>168</v>
      </c>
      <c r="BU198" s="107"/>
      <c r="BV198" s="101">
        <v>1</v>
      </c>
      <c r="BW198" s="102" t="s">
        <v>968</v>
      </c>
      <c r="BX198"/>
    </row>
    <row r="199" spans="1:76" ht="13.2">
      <c r="A199" s="125"/>
      <c r="B199" s="126">
        <f t="shared" ca="1" si="23"/>
        <v>42461</v>
      </c>
      <c r="C199" s="113">
        <v>6.1897051333005014E-2</v>
      </c>
      <c r="D199" s="113">
        <v>0.45</v>
      </c>
      <c r="E199" s="113">
        <v>0.45</v>
      </c>
      <c r="F199" s="113">
        <v>0.16250000000000001</v>
      </c>
      <c r="G199" s="113">
        <v>0.17</v>
      </c>
      <c r="H199" s="113">
        <v>0.17749999999999999</v>
      </c>
      <c r="I199" s="114">
        <v>4.5960000000000001</v>
      </c>
      <c r="J199" s="113">
        <v>4.601</v>
      </c>
      <c r="K199" s="113">
        <v>4.6060000000000008</v>
      </c>
      <c r="L199" s="113">
        <v>0.5</v>
      </c>
      <c r="M199" s="113">
        <v>0.03</v>
      </c>
      <c r="O199" s="97"/>
      <c r="P199" s="127"/>
      <c r="Q199" s="127"/>
      <c r="R199" s="280">
        <f t="shared" ca="1" si="20"/>
        <v>42461</v>
      </c>
      <c r="S199" s="142">
        <f t="shared" si="21"/>
        <v>0.38</v>
      </c>
      <c r="T199" s="141">
        <f t="shared" si="24"/>
        <v>0.45</v>
      </c>
      <c r="U199" s="143">
        <f t="shared" si="22"/>
        <v>0.52</v>
      </c>
      <c r="BP199" s="103">
        <f t="shared" si="26"/>
        <v>198</v>
      </c>
      <c r="BQ199" s="155" t="s">
        <v>370</v>
      </c>
      <c r="BR199" s="102" t="s">
        <v>166</v>
      </c>
      <c r="BS199" s="101" t="s">
        <v>192</v>
      </c>
      <c r="BT199" s="107" t="s">
        <v>168</v>
      </c>
      <c r="BU199" s="107"/>
      <c r="BV199" s="101">
        <v>1</v>
      </c>
      <c r="BW199" s="102" t="s">
        <v>969</v>
      </c>
      <c r="BX199"/>
    </row>
    <row r="200" spans="1:76" ht="13.2">
      <c r="A200" s="125"/>
      <c r="B200" s="126">
        <f t="shared" ca="1" si="23"/>
        <v>42491</v>
      </c>
      <c r="C200" s="113">
        <v>6.1920766418217012E-2</v>
      </c>
      <c r="D200" s="113">
        <v>0.5</v>
      </c>
      <c r="E200" s="113">
        <v>0.5</v>
      </c>
      <c r="F200" s="113">
        <v>0.16250000000000001</v>
      </c>
      <c r="G200" s="113">
        <v>0.17</v>
      </c>
      <c r="H200" s="113">
        <v>0.17749999999999999</v>
      </c>
      <c r="I200" s="114">
        <v>4.5710000000000006</v>
      </c>
      <c r="J200" s="113">
        <v>4.5760000000000005</v>
      </c>
      <c r="K200" s="113">
        <v>4.5810000000000004</v>
      </c>
      <c r="L200" s="113">
        <v>0.44</v>
      </c>
      <c r="M200" s="113">
        <v>0.03</v>
      </c>
      <c r="O200" s="97"/>
      <c r="P200" s="127"/>
      <c r="Q200" s="127"/>
      <c r="R200" s="280">
        <f t="shared" ca="1" si="20"/>
        <v>42491</v>
      </c>
      <c r="S200" s="142">
        <f t="shared" si="21"/>
        <v>0.43</v>
      </c>
      <c r="T200" s="141">
        <f t="shared" si="24"/>
        <v>0.5</v>
      </c>
      <c r="U200" s="143">
        <f t="shared" si="22"/>
        <v>0.57000000000000006</v>
      </c>
      <c r="BP200" s="103">
        <f t="shared" si="26"/>
        <v>199</v>
      </c>
      <c r="BQ200" s="155" t="s">
        <v>371</v>
      </c>
      <c r="BR200" s="102" t="s">
        <v>166</v>
      </c>
      <c r="BS200" s="101" t="s">
        <v>192</v>
      </c>
      <c r="BT200" s="107" t="s">
        <v>168</v>
      </c>
      <c r="BU200" s="107"/>
      <c r="BV200" s="101">
        <v>1</v>
      </c>
      <c r="BW200" s="102" t="s">
        <v>970</v>
      </c>
      <c r="BX200"/>
    </row>
    <row r="201" spans="1:76" ht="13.2">
      <c r="A201" s="125"/>
      <c r="B201" s="126">
        <f t="shared" ca="1" si="23"/>
        <v>42522</v>
      </c>
      <c r="C201" s="113">
        <v>6.1945272006466004E-2</v>
      </c>
      <c r="D201" s="113">
        <v>0.5</v>
      </c>
      <c r="E201" s="113">
        <v>0.5</v>
      </c>
      <c r="F201" s="113">
        <v>0.16250000000000001</v>
      </c>
      <c r="G201" s="113">
        <v>0.17</v>
      </c>
      <c r="H201" s="113">
        <v>0.17749999999999999</v>
      </c>
      <c r="I201" s="114">
        <v>4.5999999999999996</v>
      </c>
      <c r="J201" s="113">
        <v>4.6050000000000004</v>
      </c>
      <c r="K201" s="113">
        <v>4.6100000000000003</v>
      </c>
      <c r="L201" s="113">
        <v>0.44</v>
      </c>
      <c r="M201" s="113">
        <v>0.03</v>
      </c>
      <c r="O201" s="97"/>
      <c r="P201" s="127"/>
      <c r="Q201" s="127"/>
      <c r="R201" s="280">
        <f t="shared" ca="1" si="20"/>
        <v>42522</v>
      </c>
      <c r="S201" s="142">
        <f t="shared" si="21"/>
        <v>0.43</v>
      </c>
      <c r="T201" s="141">
        <f t="shared" si="24"/>
        <v>0.5</v>
      </c>
      <c r="U201" s="143">
        <f t="shared" si="22"/>
        <v>0.57000000000000006</v>
      </c>
      <c r="BP201" s="103">
        <f t="shared" si="26"/>
        <v>200</v>
      </c>
      <c r="BQ201" s="155" t="s">
        <v>372</v>
      </c>
      <c r="BR201" s="102" t="s">
        <v>166</v>
      </c>
      <c r="BS201" s="101" t="s">
        <v>192</v>
      </c>
      <c r="BT201" s="107" t="s">
        <v>168</v>
      </c>
      <c r="BU201" s="107"/>
      <c r="BV201" s="101">
        <v>1</v>
      </c>
      <c r="BW201" s="102" t="s">
        <v>971</v>
      </c>
      <c r="BX201"/>
    </row>
    <row r="202" spans="1:76" ht="13.2">
      <c r="A202" s="125"/>
      <c r="B202" s="126">
        <f t="shared" ca="1" si="23"/>
        <v>42552</v>
      </c>
      <c r="C202" s="113">
        <v>6.1968987092058017E-2</v>
      </c>
      <c r="D202" s="113">
        <v>0.5</v>
      </c>
      <c r="E202" s="113">
        <v>0.5</v>
      </c>
      <c r="F202" s="113">
        <v>0.16250000000000001</v>
      </c>
      <c r="G202" s="113">
        <v>0.17</v>
      </c>
      <c r="H202" s="113">
        <v>0.17749999999999999</v>
      </c>
      <c r="I202" s="114">
        <v>4.63</v>
      </c>
      <c r="J202" s="113">
        <v>4.6349999999999998</v>
      </c>
      <c r="K202" s="113">
        <v>4.6399999999999997</v>
      </c>
      <c r="L202" s="113">
        <v>0.5</v>
      </c>
      <c r="M202" s="113">
        <v>0.03</v>
      </c>
      <c r="O202" s="97"/>
      <c r="P202" s="127"/>
      <c r="Q202" s="127"/>
      <c r="R202" s="280">
        <f t="shared" ca="1" si="20"/>
        <v>42552</v>
      </c>
      <c r="S202" s="142">
        <f t="shared" si="21"/>
        <v>0.43</v>
      </c>
      <c r="T202" s="141">
        <f t="shared" si="24"/>
        <v>0.5</v>
      </c>
      <c r="U202" s="143">
        <f t="shared" si="22"/>
        <v>0.57000000000000006</v>
      </c>
      <c r="BP202" s="103">
        <f t="shared" si="26"/>
        <v>201</v>
      </c>
      <c r="BQ202" s="155" t="s">
        <v>373</v>
      </c>
      <c r="BR202" s="102" t="s">
        <v>166</v>
      </c>
      <c r="BS202" s="101" t="s">
        <v>192</v>
      </c>
      <c r="BT202" s="107" t="s">
        <v>168</v>
      </c>
      <c r="BU202" s="107"/>
      <c r="BV202" s="101">
        <v>1</v>
      </c>
      <c r="BW202" s="102" t="s">
        <v>972</v>
      </c>
      <c r="BX202"/>
    </row>
    <row r="203" spans="1:76" ht="13.2">
      <c r="A203" s="125"/>
      <c r="B203" s="126">
        <f t="shared" ca="1" si="23"/>
        <v>42583</v>
      </c>
      <c r="C203" s="113">
        <v>6.1993492680699001E-2</v>
      </c>
      <c r="D203" s="113">
        <v>0.6</v>
      </c>
      <c r="E203" s="113">
        <v>0.6</v>
      </c>
      <c r="F203" s="113">
        <v>0.16250000000000001</v>
      </c>
      <c r="G203" s="113">
        <v>0.17</v>
      </c>
      <c r="H203" s="113">
        <v>0.17749999999999999</v>
      </c>
      <c r="I203" s="114">
        <v>4.6500000000000004</v>
      </c>
      <c r="J203" s="113">
        <v>4.6550000000000002</v>
      </c>
      <c r="K203" s="113">
        <v>4.66</v>
      </c>
      <c r="L203" s="113">
        <v>0.5</v>
      </c>
      <c r="M203" s="113">
        <v>0.03</v>
      </c>
      <c r="O203" s="97"/>
      <c r="P203" s="127"/>
      <c r="Q203" s="127"/>
      <c r="R203" s="280">
        <f t="shared" ca="1" si="20"/>
        <v>42583</v>
      </c>
      <c r="S203" s="142">
        <f t="shared" si="21"/>
        <v>0.53</v>
      </c>
      <c r="T203" s="141">
        <f t="shared" si="24"/>
        <v>0.6</v>
      </c>
      <c r="U203" s="143">
        <f t="shared" si="22"/>
        <v>0.66999999999999993</v>
      </c>
      <c r="BP203" s="103">
        <f t="shared" si="26"/>
        <v>202</v>
      </c>
      <c r="BQ203" s="155" t="s">
        <v>374</v>
      </c>
      <c r="BR203" s="102" t="s">
        <v>166</v>
      </c>
      <c r="BS203" s="101" t="s">
        <v>192</v>
      </c>
      <c r="BT203" s="107" t="s">
        <v>168</v>
      </c>
      <c r="BU203" s="107"/>
      <c r="BV203" s="101">
        <v>1</v>
      </c>
      <c r="BW203" s="102" t="s">
        <v>973</v>
      </c>
      <c r="BX203"/>
    </row>
    <row r="204" spans="1:76" ht="13.2">
      <c r="A204" s="125"/>
      <c r="B204" s="126">
        <f t="shared" ca="1" si="23"/>
        <v>42614</v>
      </c>
      <c r="C204" s="113">
        <v>6.2017998269539007E-2</v>
      </c>
      <c r="D204" s="113">
        <v>0.6</v>
      </c>
      <c r="E204" s="113">
        <v>0.6</v>
      </c>
      <c r="F204" s="113">
        <v>0.16250000000000001</v>
      </c>
      <c r="G204" s="113">
        <v>0.17</v>
      </c>
      <c r="H204" s="113">
        <v>0.17749999999999999</v>
      </c>
      <c r="I204" s="114">
        <v>4.6710000000000003</v>
      </c>
      <c r="J204" s="113">
        <v>4.6760000000000002</v>
      </c>
      <c r="K204" s="113">
        <v>4.681</v>
      </c>
      <c r="L204" s="113">
        <v>0.46</v>
      </c>
      <c r="M204" s="113">
        <v>0.03</v>
      </c>
      <c r="O204" s="97"/>
      <c r="P204" s="127"/>
      <c r="Q204" s="127"/>
      <c r="R204" s="280">
        <f t="shared" ca="1" si="20"/>
        <v>42614</v>
      </c>
      <c r="S204" s="142">
        <f t="shared" si="21"/>
        <v>0.53</v>
      </c>
      <c r="T204" s="141">
        <f t="shared" si="24"/>
        <v>0.6</v>
      </c>
      <c r="U204" s="143">
        <f t="shared" si="22"/>
        <v>0.66999999999999993</v>
      </c>
      <c r="BP204" s="103">
        <f t="shared" si="26"/>
        <v>203</v>
      </c>
      <c r="BQ204" s="155" t="s">
        <v>375</v>
      </c>
      <c r="BR204" s="102" t="s">
        <v>166</v>
      </c>
      <c r="BS204" s="101" t="s">
        <v>192</v>
      </c>
      <c r="BT204" s="107" t="s">
        <v>168</v>
      </c>
      <c r="BU204" s="107"/>
      <c r="BV204" s="101">
        <v>1</v>
      </c>
      <c r="BW204" s="102" t="s">
        <v>974</v>
      </c>
      <c r="BX204"/>
    </row>
    <row r="205" spans="1:76" ht="13.2">
      <c r="A205" s="125"/>
      <c r="B205" s="126">
        <f t="shared" ca="1" si="23"/>
        <v>42644</v>
      </c>
      <c r="C205" s="113">
        <v>6.2041713355704027E-2</v>
      </c>
      <c r="D205" s="113">
        <v>0.65</v>
      </c>
      <c r="E205" s="113">
        <v>0.65</v>
      </c>
      <c r="F205" s="113">
        <v>0.16250000000000001</v>
      </c>
      <c r="G205" s="113">
        <v>0.17</v>
      </c>
      <c r="H205" s="113">
        <v>0.17749999999999999</v>
      </c>
      <c r="I205" s="114">
        <v>4.7010000000000005</v>
      </c>
      <c r="J205" s="113">
        <v>4.7060000000000004</v>
      </c>
      <c r="K205" s="113">
        <v>4.7110000000000003</v>
      </c>
      <c r="L205" s="113">
        <v>0.47</v>
      </c>
      <c r="M205" s="113">
        <v>0.03</v>
      </c>
      <c r="O205" s="97"/>
      <c r="P205" s="127"/>
      <c r="Q205" s="127"/>
      <c r="R205" s="280">
        <f t="shared" ca="1" si="20"/>
        <v>42644</v>
      </c>
      <c r="S205" s="142">
        <f t="shared" si="21"/>
        <v>0.58000000000000007</v>
      </c>
      <c r="T205" s="141">
        <f t="shared" si="24"/>
        <v>0.65</v>
      </c>
      <c r="U205" s="143">
        <f t="shared" si="22"/>
        <v>0.72</v>
      </c>
      <c r="BP205" s="103">
        <f t="shared" si="26"/>
        <v>204</v>
      </c>
      <c r="BQ205" s="155" t="s">
        <v>376</v>
      </c>
      <c r="BR205" s="102" t="s">
        <v>166</v>
      </c>
      <c r="BS205" s="101" t="s">
        <v>192</v>
      </c>
      <c r="BT205" s="107" t="s">
        <v>168</v>
      </c>
      <c r="BU205" s="107"/>
      <c r="BV205" s="101">
        <v>1</v>
      </c>
      <c r="BW205" s="102" t="s">
        <v>975</v>
      </c>
      <c r="BX205"/>
    </row>
    <row r="206" spans="1:76" ht="13.2">
      <c r="A206" s="125"/>
      <c r="B206" s="126">
        <f t="shared" ca="1" si="23"/>
        <v>42675</v>
      </c>
      <c r="C206" s="113">
        <v>6.2066218944936004E-2</v>
      </c>
      <c r="D206" s="113">
        <v>0.95</v>
      </c>
      <c r="E206" s="113">
        <v>0.95</v>
      </c>
      <c r="F206" s="113">
        <v>0.16250000000000001</v>
      </c>
      <c r="G206" s="113">
        <v>0.17</v>
      </c>
      <c r="H206" s="113">
        <v>0.17749999999999999</v>
      </c>
      <c r="I206" s="114">
        <v>4.8410000000000002</v>
      </c>
      <c r="J206" s="113">
        <v>4.8460000000000001</v>
      </c>
      <c r="K206" s="113">
        <v>4.851</v>
      </c>
      <c r="L206" s="113">
        <v>0.86</v>
      </c>
      <c r="M206" s="113">
        <v>0.03</v>
      </c>
      <c r="O206" s="97"/>
      <c r="P206" s="127"/>
      <c r="Q206" s="127"/>
      <c r="R206" s="280">
        <f t="shared" ca="1" si="20"/>
        <v>42675</v>
      </c>
      <c r="S206" s="142">
        <f t="shared" si="21"/>
        <v>0.87999999999999989</v>
      </c>
      <c r="T206" s="141">
        <f t="shared" si="24"/>
        <v>0.95</v>
      </c>
      <c r="U206" s="143">
        <f t="shared" si="22"/>
        <v>1.02</v>
      </c>
      <c r="BP206" s="103">
        <f t="shared" si="26"/>
        <v>205</v>
      </c>
      <c r="BQ206" s="155" t="s">
        <v>377</v>
      </c>
      <c r="BR206" s="102" t="s">
        <v>166</v>
      </c>
      <c r="BS206" s="101" t="s">
        <v>192</v>
      </c>
      <c r="BT206" s="107" t="s">
        <v>168</v>
      </c>
      <c r="BU206" s="107"/>
      <c r="BV206" s="101">
        <v>1</v>
      </c>
      <c r="BW206" s="102" t="s">
        <v>976</v>
      </c>
      <c r="BX206"/>
    </row>
    <row r="207" spans="1:76" ht="13.2">
      <c r="A207" s="125"/>
      <c r="B207" s="126">
        <f t="shared" ca="1" si="23"/>
        <v>42705</v>
      </c>
      <c r="C207" s="113">
        <v>6.2089934031479006E-2</v>
      </c>
      <c r="D207" s="113">
        <v>1.25</v>
      </c>
      <c r="E207" s="113">
        <v>1.25</v>
      </c>
      <c r="F207" s="113">
        <v>0.16250000000000001</v>
      </c>
      <c r="G207" s="113">
        <v>0.17</v>
      </c>
      <c r="H207" s="113">
        <v>0.17749999999999999</v>
      </c>
      <c r="I207" s="114">
        <v>4.9660000000000002</v>
      </c>
      <c r="J207" s="113">
        <v>4.9710000000000001</v>
      </c>
      <c r="K207" s="113">
        <v>4.976</v>
      </c>
      <c r="L207" s="113">
        <v>1.28</v>
      </c>
      <c r="M207" s="113">
        <v>0.03</v>
      </c>
      <c r="O207" s="97"/>
      <c r="P207" s="127"/>
      <c r="Q207" s="127"/>
      <c r="R207" s="280">
        <f t="shared" ca="1" si="20"/>
        <v>42705</v>
      </c>
      <c r="S207" s="142">
        <f t="shared" si="21"/>
        <v>1.18</v>
      </c>
      <c r="T207" s="141">
        <f t="shared" si="24"/>
        <v>1.25</v>
      </c>
      <c r="U207" s="143">
        <f t="shared" si="22"/>
        <v>1.32</v>
      </c>
      <c r="BP207" s="103">
        <f t="shared" si="26"/>
        <v>206</v>
      </c>
      <c r="BQ207" s="155" t="s">
        <v>378</v>
      </c>
      <c r="BR207" s="102" t="s">
        <v>166</v>
      </c>
      <c r="BS207" s="101" t="s">
        <v>192</v>
      </c>
      <c r="BT207" s="107" t="s">
        <v>168</v>
      </c>
      <c r="BU207" s="107"/>
      <c r="BV207" s="101">
        <v>1</v>
      </c>
      <c r="BW207" s="102" t="s">
        <v>977</v>
      </c>
      <c r="BX207"/>
    </row>
    <row r="208" spans="1:76" ht="13.2">
      <c r="A208" s="125"/>
      <c r="B208" s="126">
        <f t="shared" ca="1" si="23"/>
        <v>42736</v>
      </c>
      <c r="C208" s="113">
        <v>6.2114439621104002E-2</v>
      </c>
      <c r="D208" s="113">
        <v>1.45</v>
      </c>
      <c r="E208" s="113">
        <v>1.45</v>
      </c>
      <c r="F208" s="113">
        <v>0.16250000000000001</v>
      </c>
      <c r="G208" s="113">
        <v>0.17</v>
      </c>
      <c r="H208" s="113">
        <v>0.17749999999999999</v>
      </c>
      <c r="I208" s="114">
        <v>5.13</v>
      </c>
      <c r="J208" s="113">
        <v>5.1349999999999998</v>
      </c>
      <c r="K208" s="113">
        <v>5.14</v>
      </c>
      <c r="L208" s="113">
        <v>1.61</v>
      </c>
      <c r="M208" s="113">
        <v>0</v>
      </c>
      <c r="O208" s="97"/>
      <c r="P208" s="127"/>
      <c r="Q208" s="127"/>
      <c r="R208" s="280">
        <f t="shared" ca="1" si="20"/>
        <v>42736</v>
      </c>
      <c r="S208" s="142">
        <f t="shared" si="21"/>
        <v>1.38</v>
      </c>
      <c r="T208" s="141">
        <f t="shared" si="24"/>
        <v>1.45</v>
      </c>
      <c r="U208" s="143">
        <f t="shared" si="22"/>
        <v>1.52</v>
      </c>
      <c r="BP208" s="103">
        <f t="shared" si="26"/>
        <v>207</v>
      </c>
      <c r="BQ208" s="155" t="s">
        <v>379</v>
      </c>
      <c r="BR208" s="102" t="s">
        <v>166</v>
      </c>
      <c r="BS208" s="101" t="s">
        <v>192</v>
      </c>
      <c r="BT208" s="107" t="s">
        <v>168</v>
      </c>
      <c r="BU208" s="107"/>
      <c r="BV208" s="101">
        <v>1</v>
      </c>
      <c r="BW208" s="102" t="s">
        <v>978</v>
      </c>
      <c r="BX208"/>
    </row>
    <row r="209" spans="1:76" ht="13.2">
      <c r="A209" s="125"/>
      <c r="B209" s="126">
        <f t="shared" ca="1" si="23"/>
        <v>42767</v>
      </c>
      <c r="C209" s="113">
        <v>6.2138945210927998E-2</v>
      </c>
      <c r="D209" s="113">
        <v>1.45</v>
      </c>
      <c r="E209" s="113">
        <v>1.45</v>
      </c>
      <c r="F209" s="113">
        <v>0.16250000000000001</v>
      </c>
      <c r="G209" s="113">
        <v>0.17</v>
      </c>
      <c r="H209" s="113">
        <v>0.17749999999999999</v>
      </c>
      <c r="I209" s="114">
        <v>5.0340000000000007</v>
      </c>
      <c r="J209" s="113">
        <v>5.0390000000000006</v>
      </c>
      <c r="K209" s="113">
        <v>5.0440000000000005</v>
      </c>
      <c r="L209" s="113">
        <v>1.57</v>
      </c>
      <c r="M209" s="113">
        <v>0</v>
      </c>
      <c r="O209" s="97"/>
      <c r="P209" s="127"/>
      <c r="Q209" s="127"/>
      <c r="R209" s="280">
        <f t="shared" ref="R209:R272" ca="1" si="27">B209</f>
        <v>42767</v>
      </c>
      <c r="S209" s="142">
        <f t="shared" ref="S209:S233" si="28">T209-$S$16</f>
        <v>1.38</v>
      </c>
      <c r="T209" s="141">
        <f t="shared" si="24"/>
        <v>1.45</v>
      </c>
      <c r="U209" s="143">
        <f t="shared" ref="U209:U272" si="29">$U$16+T209</f>
        <v>1.52</v>
      </c>
      <c r="BP209" s="103">
        <f t="shared" si="26"/>
        <v>208</v>
      </c>
      <c r="BQ209" s="155" t="s">
        <v>380</v>
      </c>
      <c r="BR209" s="102" t="s">
        <v>166</v>
      </c>
      <c r="BS209" s="101" t="s">
        <v>192</v>
      </c>
      <c r="BT209" s="107" t="s">
        <v>168</v>
      </c>
      <c r="BU209" s="107"/>
      <c r="BV209" s="101">
        <v>1</v>
      </c>
      <c r="BW209" s="102" t="s">
        <v>979</v>
      </c>
      <c r="BX209"/>
    </row>
    <row r="210" spans="1:76" ht="13.2">
      <c r="A210" s="125"/>
      <c r="B210" s="126">
        <f t="shared" ref="B210:B273" ca="1" si="30">NextMonth(B209)</f>
        <v>42795</v>
      </c>
      <c r="C210" s="113">
        <v>6.2161079292231011E-2</v>
      </c>
      <c r="D210" s="113">
        <v>1</v>
      </c>
      <c r="E210" s="113">
        <v>1</v>
      </c>
      <c r="F210" s="113">
        <v>0.16250000000000001</v>
      </c>
      <c r="G210" s="113">
        <v>0.17</v>
      </c>
      <c r="H210" s="113">
        <v>0.17749999999999999</v>
      </c>
      <c r="I210" s="114">
        <v>4.8840000000000003</v>
      </c>
      <c r="J210" s="113">
        <v>4.8890000000000002</v>
      </c>
      <c r="K210" s="113">
        <v>4.8940000000000001</v>
      </c>
      <c r="L210" s="113">
        <v>0.93</v>
      </c>
      <c r="M210" s="113">
        <v>0</v>
      </c>
      <c r="O210" s="97"/>
      <c r="P210" s="127"/>
      <c r="Q210" s="127"/>
      <c r="R210" s="280">
        <f t="shared" ca="1" si="27"/>
        <v>42795</v>
      </c>
      <c r="S210" s="142">
        <f t="shared" si="28"/>
        <v>0.92999999999999994</v>
      </c>
      <c r="T210" s="141">
        <f t="shared" ref="T210:T233" si="31">D210</f>
        <v>1</v>
      </c>
      <c r="U210" s="143">
        <f t="shared" si="29"/>
        <v>1.07</v>
      </c>
      <c r="BP210" s="103">
        <f t="shared" si="26"/>
        <v>209</v>
      </c>
      <c r="BQ210" s="155" t="s">
        <v>381</v>
      </c>
      <c r="BR210" s="102" t="s">
        <v>166</v>
      </c>
      <c r="BS210" s="101" t="s">
        <v>192</v>
      </c>
      <c r="BT210" s="107" t="s">
        <v>168</v>
      </c>
      <c r="BU210" s="107"/>
      <c r="BV210" s="101">
        <v>1</v>
      </c>
      <c r="BW210" s="102" t="s">
        <v>980</v>
      </c>
      <c r="BX210"/>
    </row>
    <row r="211" spans="1:76" ht="13.2">
      <c r="A211" s="125"/>
      <c r="B211" s="126">
        <f t="shared" ca="1" si="30"/>
        <v>42826</v>
      </c>
      <c r="C211" s="113">
        <v>6.2185584882435009E-2</v>
      </c>
      <c r="D211" s="113">
        <v>0.45</v>
      </c>
      <c r="E211" s="113">
        <v>0.45</v>
      </c>
      <c r="F211" s="113">
        <v>0.16250000000000001</v>
      </c>
      <c r="G211" s="113">
        <v>0.17</v>
      </c>
      <c r="H211" s="113">
        <v>0.17749999999999999</v>
      </c>
      <c r="I211" s="114">
        <v>4.7010000000000005</v>
      </c>
      <c r="J211" s="113">
        <v>4.7060000000000004</v>
      </c>
      <c r="K211" s="113">
        <v>4.7110000000000003</v>
      </c>
      <c r="L211" s="113">
        <v>0.5</v>
      </c>
      <c r="M211" s="113">
        <v>0</v>
      </c>
      <c r="O211" s="97"/>
      <c r="P211" s="127"/>
      <c r="Q211" s="127"/>
      <c r="R211" s="280">
        <f t="shared" ca="1" si="27"/>
        <v>42826</v>
      </c>
      <c r="S211" s="142">
        <f t="shared" si="28"/>
        <v>0.38</v>
      </c>
      <c r="T211" s="141">
        <f t="shared" si="31"/>
        <v>0.45</v>
      </c>
      <c r="U211" s="143">
        <f t="shared" si="29"/>
        <v>0.52</v>
      </c>
      <c r="BP211" s="103">
        <f t="shared" si="26"/>
        <v>210</v>
      </c>
      <c r="BQ211" s="155" t="s">
        <v>382</v>
      </c>
      <c r="BR211" s="102" t="s">
        <v>166</v>
      </c>
      <c r="BS211" s="101" t="s">
        <v>192</v>
      </c>
      <c r="BT211" s="107" t="s">
        <v>168</v>
      </c>
      <c r="BU211" s="107"/>
      <c r="BV211" s="101">
        <v>1</v>
      </c>
      <c r="BW211" s="102" t="s">
        <v>981</v>
      </c>
      <c r="BX211"/>
    </row>
    <row r="212" spans="1:76" ht="13.2">
      <c r="A212" s="125"/>
      <c r="B212" s="126">
        <f t="shared" ca="1" si="30"/>
        <v>42856</v>
      </c>
      <c r="C212" s="113">
        <v>6.2209299969918003E-2</v>
      </c>
      <c r="D212" s="113">
        <v>0.5</v>
      </c>
      <c r="E212" s="113">
        <v>0.5</v>
      </c>
      <c r="F212" s="113">
        <v>0.16250000000000001</v>
      </c>
      <c r="G212" s="113">
        <v>0.17</v>
      </c>
      <c r="H212" s="113">
        <v>0.17749999999999999</v>
      </c>
      <c r="I212" s="114">
        <v>4.6760000000000002</v>
      </c>
      <c r="J212" s="113">
        <v>4.681</v>
      </c>
      <c r="K212" s="113">
        <v>4.6859999999999999</v>
      </c>
      <c r="L212" s="113">
        <v>0.44</v>
      </c>
      <c r="M212" s="113">
        <v>0</v>
      </c>
      <c r="O212" s="97"/>
      <c r="P212" s="127"/>
      <c r="Q212" s="127"/>
      <c r="R212" s="280">
        <f t="shared" ca="1" si="27"/>
        <v>42856</v>
      </c>
      <c r="S212" s="142">
        <f t="shared" si="28"/>
        <v>0.43</v>
      </c>
      <c r="T212" s="141">
        <f t="shared" si="31"/>
        <v>0.5</v>
      </c>
      <c r="U212" s="143">
        <f t="shared" si="29"/>
        <v>0.57000000000000006</v>
      </c>
      <c r="BP212" s="103">
        <f t="shared" si="26"/>
        <v>211</v>
      </c>
      <c r="BQ212" s="155" t="s">
        <v>383</v>
      </c>
      <c r="BR212" s="102" t="s">
        <v>166</v>
      </c>
      <c r="BS212" s="101" t="s">
        <v>192</v>
      </c>
      <c r="BT212" s="107" t="s">
        <v>168</v>
      </c>
      <c r="BU212" s="107"/>
      <c r="BV212" s="101">
        <v>1</v>
      </c>
      <c r="BW212" s="102" t="s">
        <v>982</v>
      </c>
      <c r="BX212"/>
    </row>
    <row r="213" spans="1:76" ht="13.2">
      <c r="A213" s="125"/>
      <c r="B213" s="126">
        <f t="shared" ca="1" si="30"/>
        <v>42887</v>
      </c>
      <c r="C213" s="113">
        <v>6.2233805560513007E-2</v>
      </c>
      <c r="D213" s="113">
        <v>0.5</v>
      </c>
      <c r="E213" s="113">
        <v>0.5</v>
      </c>
      <c r="F213" s="113">
        <v>0.16250000000000001</v>
      </c>
      <c r="G213" s="113">
        <v>0.17</v>
      </c>
      <c r="H213" s="113">
        <v>0.17749999999999999</v>
      </c>
      <c r="I213" s="114">
        <v>4.7050000000000001</v>
      </c>
      <c r="J213" s="113">
        <v>4.71</v>
      </c>
      <c r="K213" s="113">
        <v>4.7149999999999999</v>
      </c>
      <c r="L213" s="113">
        <v>0.44</v>
      </c>
      <c r="M213" s="113">
        <v>0</v>
      </c>
      <c r="O213" s="97"/>
      <c r="P213" s="127"/>
      <c r="Q213" s="127"/>
      <c r="R213" s="280">
        <f t="shared" ca="1" si="27"/>
        <v>42887</v>
      </c>
      <c r="S213" s="142">
        <f t="shared" si="28"/>
        <v>0.43</v>
      </c>
      <c r="T213" s="141">
        <f t="shared" si="31"/>
        <v>0.5</v>
      </c>
      <c r="U213" s="143">
        <f t="shared" si="29"/>
        <v>0.57000000000000006</v>
      </c>
      <c r="BP213" s="103">
        <f t="shared" si="26"/>
        <v>212</v>
      </c>
      <c r="BQ213" s="155" t="s">
        <v>384</v>
      </c>
      <c r="BR213" s="102" t="s">
        <v>166</v>
      </c>
      <c r="BS213" s="101" t="s">
        <v>192</v>
      </c>
      <c r="BT213" s="107" t="s">
        <v>168</v>
      </c>
      <c r="BU213" s="107"/>
      <c r="BV213" s="101">
        <v>1</v>
      </c>
      <c r="BW213" s="102" t="s">
        <v>983</v>
      </c>
      <c r="BX213"/>
    </row>
    <row r="214" spans="1:76" ht="13.2">
      <c r="A214" s="125"/>
      <c r="B214" s="126">
        <f t="shared" ca="1" si="30"/>
        <v>42917</v>
      </c>
      <c r="C214" s="113">
        <v>6.2257520648377022E-2</v>
      </c>
      <c r="D214" s="113">
        <v>0.5</v>
      </c>
      <c r="E214" s="113">
        <v>0.5</v>
      </c>
      <c r="F214" s="113">
        <v>0.16250000000000001</v>
      </c>
      <c r="G214" s="113">
        <v>0.17</v>
      </c>
      <c r="H214" s="113">
        <v>0.17749999999999999</v>
      </c>
      <c r="I214" s="114">
        <v>4.7350000000000003</v>
      </c>
      <c r="J214" s="113">
        <v>4.74</v>
      </c>
      <c r="K214" s="113">
        <v>4.7450000000000001</v>
      </c>
      <c r="L214" s="113">
        <v>0.5</v>
      </c>
      <c r="M214" s="113">
        <v>0</v>
      </c>
      <c r="O214" s="97"/>
      <c r="P214" s="127"/>
      <c r="Q214" s="127"/>
      <c r="R214" s="280">
        <f t="shared" ca="1" si="27"/>
        <v>42917</v>
      </c>
      <c r="S214" s="142">
        <f t="shared" si="28"/>
        <v>0.43</v>
      </c>
      <c r="T214" s="141">
        <f t="shared" si="31"/>
        <v>0.5</v>
      </c>
      <c r="U214" s="143">
        <f t="shared" si="29"/>
        <v>0.57000000000000006</v>
      </c>
      <c r="BP214" s="103">
        <f t="shared" si="26"/>
        <v>213</v>
      </c>
      <c r="BQ214" s="155" t="s">
        <v>385</v>
      </c>
      <c r="BR214" s="102" t="s">
        <v>166</v>
      </c>
      <c r="BS214" s="101" t="s">
        <v>192</v>
      </c>
      <c r="BT214" s="107" t="s">
        <v>168</v>
      </c>
      <c r="BU214" s="107"/>
      <c r="BV214" s="101">
        <v>1</v>
      </c>
      <c r="BW214" s="102" t="s">
        <v>984</v>
      </c>
      <c r="BX214"/>
    </row>
    <row r="215" spans="1:76" ht="13.2">
      <c r="A215" s="125"/>
      <c r="B215" s="126">
        <f t="shared" ca="1" si="30"/>
        <v>42948</v>
      </c>
      <c r="C215" s="113">
        <v>6.2282026239364997E-2</v>
      </c>
      <c r="D215" s="113">
        <v>0.6</v>
      </c>
      <c r="E215" s="113">
        <v>0.6</v>
      </c>
      <c r="F215" s="113">
        <v>0.16250000000000001</v>
      </c>
      <c r="G215" s="113">
        <v>0.17</v>
      </c>
      <c r="H215" s="113">
        <v>0.17749999999999999</v>
      </c>
      <c r="I215" s="114">
        <v>4.7549999999999999</v>
      </c>
      <c r="J215" s="113">
        <v>4.76</v>
      </c>
      <c r="K215" s="113">
        <v>4.7649999999999997</v>
      </c>
      <c r="L215" s="113">
        <v>0.5</v>
      </c>
      <c r="M215" s="113">
        <v>0</v>
      </c>
      <c r="O215" s="97"/>
      <c r="P215" s="127"/>
      <c r="Q215" s="127"/>
      <c r="R215" s="280">
        <f t="shared" ca="1" si="27"/>
        <v>42948</v>
      </c>
      <c r="S215" s="142">
        <f t="shared" si="28"/>
        <v>0.53</v>
      </c>
      <c r="T215" s="141">
        <f t="shared" si="31"/>
        <v>0.6</v>
      </c>
      <c r="U215" s="143">
        <f t="shared" si="29"/>
        <v>0.66999999999999993</v>
      </c>
      <c r="BP215" s="103">
        <f t="shared" si="26"/>
        <v>214</v>
      </c>
      <c r="BQ215" s="155" t="s">
        <v>386</v>
      </c>
      <c r="BR215" s="102" t="s">
        <v>166</v>
      </c>
      <c r="BS215" s="101" t="s">
        <v>192</v>
      </c>
      <c r="BT215" s="107" t="s">
        <v>168</v>
      </c>
      <c r="BU215" s="107"/>
      <c r="BV215" s="101">
        <v>1</v>
      </c>
      <c r="BW215" s="102" t="s">
        <v>985</v>
      </c>
      <c r="BX215"/>
    </row>
    <row r="216" spans="1:76" ht="13.2">
      <c r="A216" s="125"/>
      <c r="B216" s="126">
        <f t="shared" ca="1" si="30"/>
        <v>42979</v>
      </c>
      <c r="C216" s="113">
        <v>6.2306531830551029E-2</v>
      </c>
      <c r="D216" s="113">
        <v>0.6</v>
      </c>
      <c r="E216" s="113">
        <v>0.6</v>
      </c>
      <c r="F216" s="113">
        <v>0.16250000000000001</v>
      </c>
      <c r="G216" s="113">
        <v>0.17</v>
      </c>
      <c r="H216" s="113">
        <v>0.17749999999999999</v>
      </c>
      <c r="I216" s="114">
        <v>4.7760000000000007</v>
      </c>
      <c r="J216" s="113">
        <v>4.7810000000000006</v>
      </c>
      <c r="K216" s="113">
        <v>4.7860000000000005</v>
      </c>
      <c r="L216" s="113">
        <v>0.46</v>
      </c>
      <c r="M216" s="113">
        <v>0</v>
      </c>
      <c r="O216" s="97"/>
      <c r="P216" s="127"/>
      <c r="Q216" s="127"/>
      <c r="R216" s="280">
        <f t="shared" ca="1" si="27"/>
        <v>42979</v>
      </c>
      <c r="S216" s="142">
        <f t="shared" si="28"/>
        <v>0.53</v>
      </c>
      <c r="T216" s="141">
        <f t="shared" si="31"/>
        <v>0.6</v>
      </c>
      <c r="U216" s="143">
        <f t="shared" si="29"/>
        <v>0.66999999999999993</v>
      </c>
      <c r="BP216" s="103">
        <f t="shared" si="26"/>
        <v>215</v>
      </c>
      <c r="BQ216" s="155" t="s">
        <v>387</v>
      </c>
      <c r="BR216" s="102" t="s">
        <v>166</v>
      </c>
      <c r="BS216" s="101" t="s">
        <v>192</v>
      </c>
      <c r="BT216" s="107" t="s">
        <v>168</v>
      </c>
      <c r="BU216" s="107"/>
      <c r="BV216" s="101">
        <v>1</v>
      </c>
      <c r="BW216" s="102" t="s">
        <v>986</v>
      </c>
      <c r="BX216"/>
    </row>
    <row r="217" spans="1:76" ht="13.2">
      <c r="A217" s="125"/>
      <c r="B217" s="126">
        <f t="shared" ca="1" si="30"/>
        <v>43009</v>
      </c>
      <c r="C217" s="113">
        <v>6.2330246918987003E-2</v>
      </c>
      <c r="D217" s="113">
        <v>0.65</v>
      </c>
      <c r="E217" s="113">
        <v>0.65</v>
      </c>
      <c r="F217" s="113">
        <v>0.16250000000000001</v>
      </c>
      <c r="G217" s="113">
        <v>0.17</v>
      </c>
      <c r="H217" s="113">
        <v>0.17749999999999999</v>
      </c>
      <c r="I217" s="114">
        <v>4.806</v>
      </c>
      <c r="J217" s="113">
        <v>4.8109999999999999</v>
      </c>
      <c r="K217" s="113">
        <v>4.8160000000000007</v>
      </c>
      <c r="L217" s="113">
        <v>0.47</v>
      </c>
      <c r="M217" s="113">
        <v>0</v>
      </c>
      <c r="O217" s="97"/>
      <c r="P217" s="127"/>
      <c r="Q217" s="127"/>
      <c r="R217" s="280">
        <f t="shared" ca="1" si="27"/>
        <v>43009</v>
      </c>
      <c r="S217" s="142">
        <f t="shared" si="28"/>
        <v>0.58000000000000007</v>
      </c>
      <c r="T217" s="141">
        <f t="shared" si="31"/>
        <v>0.65</v>
      </c>
      <c r="U217" s="143">
        <f t="shared" si="29"/>
        <v>0.72</v>
      </c>
      <c r="BP217" s="103">
        <f t="shared" si="26"/>
        <v>216</v>
      </c>
      <c r="BQ217" s="155" t="s">
        <v>388</v>
      </c>
      <c r="BR217" s="102" t="s">
        <v>166</v>
      </c>
      <c r="BS217" s="101" t="s">
        <v>192</v>
      </c>
      <c r="BT217" s="107" t="s">
        <v>168</v>
      </c>
      <c r="BU217" s="107"/>
      <c r="BV217" s="101">
        <v>1</v>
      </c>
      <c r="BW217" s="102" t="s">
        <v>987</v>
      </c>
      <c r="BX217"/>
    </row>
    <row r="218" spans="1:76" ht="13.2">
      <c r="A218" s="125"/>
      <c r="B218" s="126">
        <f t="shared" ca="1" si="30"/>
        <v>43040</v>
      </c>
      <c r="C218" s="113">
        <v>6.2354752510566012E-2</v>
      </c>
      <c r="D218" s="113">
        <v>0.95</v>
      </c>
      <c r="E218" s="113">
        <v>0.95</v>
      </c>
      <c r="F218" s="113">
        <v>0.16250000000000001</v>
      </c>
      <c r="G218" s="113">
        <v>0.17</v>
      </c>
      <c r="H218" s="113">
        <v>0.17749999999999999</v>
      </c>
      <c r="I218" s="114">
        <v>4.9460000000000006</v>
      </c>
      <c r="J218" s="113">
        <v>4.9510000000000005</v>
      </c>
      <c r="K218" s="113">
        <v>4.9560000000000004</v>
      </c>
      <c r="L218" s="113">
        <v>0.86</v>
      </c>
      <c r="M218" s="113">
        <v>0</v>
      </c>
      <c r="O218" s="97"/>
      <c r="P218" s="127"/>
      <c r="Q218" s="127"/>
      <c r="R218" s="280">
        <f t="shared" ca="1" si="27"/>
        <v>43040</v>
      </c>
      <c r="S218" s="142">
        <f t="shared" si="28"/>
        <v>0.87999999999999989</v>
      </c>
      <c r="T218" s="141">
        <f t="shared" si="31"/>
        <v>0.95</v>
      </c>
      <c r="U218" s="143">
        <f t="shared" si="29"/>
        <v>1.02</v>
      </c>
      <c r="BP218" s="103">
        <f t="shared" si="26"/>
        <v>217</v>
      </c>
      <c r="BQ218" s="155" t="s">
        <v>389</v>
      </c>
      <c r="BR218" s="102" t="s">
        <v>166</v>
      </c>
      <c r="BS218" s="101" t="s">
        <v>192</v>
      </c>
      <c r="BT218" s="107" t="s">
        <v>168</v>
      </c>
      <c r="BU218" s="107"/>
      <c r="BV218" s="101">
        <v>1</v>
      </c>
      <c r="BW218" s="102" t="s">
        <v>988</v>
      </c>
      <c r="BX218"/>
    </row>
    <row r="219" spans="1:76" ht="13.2">
      <c r="A219" s="125"/>
      <c r="B219" s="126">
        <f t="shared" ca="1" si="30"/>
        <v>43070</v>
      </c>
      <c r="C219" s="113">
        <v>6.237846759938101E-2</v>
      </c>
      <c r="D219" s="113">
        <v>1.25</v>
      </c>
      <c r="E219" s="113">
        <v>1.25</v>
      </c>
      <c r="F219" s="113">
        <v>0.16250000000000001</v>
      </c>
      <c r="G219" s="113">
        <v>0.17</v>
      </c>
      <c r="H219" s="113">
        <v>0.17749999999999999</v>
      </c>
      <c r="I219" s="114">
        <v>5.0710000000000006</v>
      </c>
      <c r="J219" s="113">
        <v>5.0760000000000005</v>
      </c>
      <c r="K219" s="113">
        <v>5.0810000000000004</v>
      </c>
      <c r="L219" s="113">
        <v>1.28</v>
      </c>
      <c r="M219" s="113">
        <v>0</v>
      </c>
      <c r="O219" s="97"/>
      <c r="P219" s="127"/>
      <c r="Q219" s="127"/>
      <c r="R219" s="280">
        <f t="shared" ca="1" si="27"/>
        <v>43070</v>
      </c>
      <c r="S219" s="142">
        <f t="shared" si="28"/>
        <v>1.18</v>
      </c>
      <c r="T219" s="141">
        <f t="shared" si="31"/>
        <v>1.25</v>
      </c>
      <c r="U219" s="143">
        <f t="shared" si="29"/>
        <v>1.32</v>
      </c>
      <c r="BP219" s="103">
        <f t="shared" si="26"/>
        <v>218</v>
      </c>
      <c r="BQ219" s="155" t="s">
        <v>390</v>
      </c>
      <c r="BR219" s="102" t="s">
        <v>166</v>
      </c>
      <c r="BS219" s="101" t="s">
        <v>192</v>
      </c>
      <c r="BT219" s="107" t="s">
        <v>168</v>
      </c>
      <c r="BU219" s="107"/>
      <c r="BV219" s="101">
        <v>1</v>
      </c>
      <c r="BW219" s="102" t="s">
        <v>989</v>
      </c>
      <c r="BX219"/>
    </row>
    <row r="220" spans="1:76" ht="13.2">
      <c r="A220" s="125"/>
      <c r="B220" s="126">
        <f t="shared" ca="1" si="30"/>
        <v>43101</v>
      </c>
      <c r="C220" s="113">
        <v>6.2402973191352018E-2</v>
      </c>
      <c r="D220" s="113">
        <v>1.45</v>
      </c>
      <c r="E220" s="113">
        <v>1.45</v>
      </c>
      <c r="F220" s="113">
        <v>0.16250000000000001</v>
      </c>
      <c r="G220" s="113">
        <v>0.17</v>
      </c>
      <c r="H220" s="113">
        <v>0.17749999999999999</v>
      </c>
      <c r="I220" s="114">
        <v>5.24</v>
      </c>
      <c r="J220" s="113">
        <v>5.2450000000000001</v>
      </c>
      <c r="K220" s="113">
        <v>5.25</v>
      </c>
      <c r="L220" s="113">
        <v>1.61</v>
      </c>
      <c r="M220" s="113">
        <v>0</v>
      </c>
      <c r="O220" s="97"/>
      <c r="P220" s="127"/>
      <c r="Q220" s="127"/>
      <c r="R220" s="280">
        <f t="shared" ca="1" si="27"/>
        <v>43101</v>
      </c>
      <c r="S220" s="142">
        <f t="shared" si="28"/>
        <v>1.38</v>
      </c>
      <c r="T220" s="141">
        <f t="shared" si="31"/>
        <v>1.45</v>
      </c>
      <c r="U220" s="143">
        <f t="shared" si="29"/>
        <v>1.52</v>
      </c>
      <c r="BP220" s="103">
        <f t="shared" si="26"/>
        <v>219</v>
      </c>
      <c r="BQ220" s="155" t="s">
        <v>391</v>
      </c>
      <c r="BR220" s="102" t="s">
        <v>166</v>
      </c>
      <c r="BS220" s="101" t="s">
        <v>192</v>
      </c>
      <c r="BT220" s="107" t="s">
        <v>168</v>
      </c>
      <c r="BU220" s="107"/>
      <c r="BV220" s="101">
        <v>1</v>
      </c>
      <c r="BW220" s="102" t="s">
        <v>990</v>
      </c>
      <c r="BX220"/>
    </row>
    <row r="221" spans="1:76" ht="13.2">
      <c r="A221" s="125"/>
      <c r="B221" s="126">
        <f t="shared" ca="1" si="30"/>
        <v>43132</v>
      </c>
      <c r="C221" s="113">
        <v>6.2427478783523012E-2</v>
      </c>
      <c r="D221" s="113">
        <v>1.45</v>
      </c>
      <c r="E221" s="113">
        <v>1.45</v>
      </c>
      <c r="F221" s="113">
        <v>0.16250000000000001</v>
      </c>
      <c r="G221" s="113">
        <v>0.17</v>
      </c>
      <c r="H221" s="113">
        <v>0.17749999999999999</v>
      </c>
      <c r="I221" s="114">
        <v>5.1440000000000001</v>
      </c>
      <c r="J221" s="113">
        <v>5.149</v>
      </c>
      <c r="K221" s="113">
        <v>5.1539999999999999</v>
      </c>
      <c r="L221" s="113">
        <v>1.57</v>
      </c>
      <c r="M221" s="113">
        <v>0</v>
      </c>
      <c r="O221" s="97"/>
      <c r="P221" s="127"/>
      <c r="Q221" s="127"/>
      <c r="R221" s="280">
        <f t="shared" ca="1" si="27"/>
        <v>43132</v>
      </c>
      <c r="S221" s="142">
        <f t="shared" si="28"/>
        <v>1.38</v>
      </c>
      <c r="T221" s="141">
        <f t="shared" si="31"/>
        <v>1.45</v>
      </c>
      <c r="U221" s="143">
        <f t="shared" si="29"/>
        <v>1.52</v>
      </c>
      <c r="BP221" s="103">
        <f t="shared" si="26"/>
        <v>220</v>
      </c>
      <c r="BQ221" s="155" t="s">
        <v>392</v>
      </c>
      <c r="BR221" s="102" t="s">
        <v>166</v>
      </c>
      <c r="BS221" s="101" t="s">
        <v>192</v>
      </c>
      <c r="BT221" s="107" t="s">
        <v>168</v>
      </c>
      <c r="BU221" s="107"/>
      <c r="BV221" s="101">
        <v>1</v>
      </c>
      <c r="BW221" s="102" t="s">
        <v>991</v>
      </c>
      <c r="BX221"/>
    </row>
    <row r="222" spans="1:76" ht="13.2">
      <c r="A222" s="125"/>
      <c r="B222" s="126">
        <f t="shared" ca="1" si="30"/>
        <v>43160</v>
      </c>
      <c r="C222" s="113">
        <v>6.244961286694601E-2</v>
      </c>
      <c r="D222" s="113">
        <v>1</v>
      </c>
      <c r="E222" s="113">
        <v>1</v>
      </c>
      <c r="F222" s="113">
        <v>0.16250000000000001</v>
      </c>
      <c r="G222" s="113">
        <v>0.17</v>
      </c>
      <c r="H222" s="113">
        <v>0.17749999999999999</v>
      </c>
      <c r="I222" s="114">
        <v>4.9940000000000007</v>
      </c>
      <c r="J222" s="113">
        <v>4.9990000000000006</v>
      </c>
      <c r="K222" s="113">
        <v>5.0040000000000004</v>
      </c>
      <c r="L222" s="113">
        <v>0.93</v>
      </c>
      <c r="M222" s="113">
        <v>0</v>
      </c>
      <c r="O222" s="97"/>
      <c r="P222" s="127"/>
      <c r="Q222" s="127"/>
      <c r="R222" s="280">
        <f t="shared" ca="1" si="27"/>
        <v>43160</v>
      </c>
      <c r="S222" s="142">
        <f t="shared" si="28"/>
        <v>0.92999999999999994</v>
      </c>
      <c r="T222" s="141">
        <f t="shared" si="31"/>
        <v>1</v>
      </c>
      <c r="U222" s="143">
        <f t="shared" si="29"/>
        <v>1.07</v>
      </c>
      <c r="BP222" s="103">
        <f t="shared" si="26"/>
        <v>221</v>
      </c>
      <c r="BQ222" s="155" t="s">
        <v>393</v>
      </c>
      <c r="BR222" s="102" t="s">
        <v>166</v>
      </c>
      <c r="BS222" s="101" t="s">
        <v>192</v>
      </c>
      <c r="BT222" s="107" t="s">
        <v>168</v>
      </c>
      <c r="BU222" s="107"/>
      <c r="BV222" s="101">
        <v>1</v>
      </c>
      <c r="BW222" s="102" t="s">
        <v>992</v>
      </c>
      <c r="BX222"/>
    </row>
    <row r="223" spans="1:76" ht="13.2">
      <c r="A223" s="125"/>
      <c r="B223" s="126">
        <f t="shared" ca="1" si="30"/>
        <v>43191</v>
      </c>
      <c r="C223" s="113">
        <v>6.247411845949602E-2</v>
      </c>
      <c r="D223" s="113">
        <v>0.45</v>
      </c>
      <c r="E223" s="113">
        <v>0.45</v>
      </c>
      <c r="F223" s="113">
        <v>0.16250000000000001</v>
      </c>
      <c r="G223" s="113">
        <v>0.17</v>
      </c>
      <c r="H223" s="113">
        <v>0.17749999999999999</v>
      </c>
      <c r="I223" s="114">
        <v>4.8109999999999999</v>
      </c>
      <c r="J223" s="113">
        <v>4.8160000000000007</v>
      </c>
      <c r="K223" s="113">
        <v>4.8210000000000006</v>
      </c>
      <c r="L223" s="113">
        <v>0.5</v>
      </c>
      <c r="M223" s="113">
        <v>0</v>
      </c>
      <c r="O223" s="97"/>
      <c r="P223" s="127"/>
      <c r="Q223" s="127"/>
      <c r="R223" s="280">
        <f t="shared" ca="1" si="27"/>
        <v>43191</v>
      </c>
      <c r="S223" s="142">
        <f t="shared" si="28"/>
        <v>0.38</v>
      </c>
      <c r="T223" s="141">
        <f t="shared" si="31"/>
        <v>0.45</v>
      </c>
      <c r="U223" s="143">
        <f t="shared" si="29"/>
        <v>0.52</v>
      </c>
      <c r="BP223" s="103">
        <f t="shared" si="26"/>
        <v>222</v>
      </c>
      <c r="BQ223" s="155" t="s">
        <v>394</v>
      </c>
      <c r="BR223" s="102" t="s">
        <v>166</v>
      </c>
      <c r="BS223" s="101" t="s">
        <v>192</v>
      </c>
      <c r="BT223" s="107" t="s">
        <v>168</v>
      </c>
      <c r="BU223" s="107"/>
      <c r="BV223" s="101">
        <v>1</v>
      </c>
      <c r="BW223" s="102" t="s">
        <v>993</v>
      </c>
      <c r="BX223"/>
    </row>
    <row r="224" spans="1:76" ht="13.2">
      <c r="A224" s="125"/>
      <c r="B224" s="126">
        <f t="shared" ca="1" si="30"/>
        <v>43221</v>
      </c>
      <c r="C224" s="113">
        <v>6.2497833549250016E-2</v>
      </c>
      <c r="D224" s="113">
        <v>0.5</v>
      </c>
      <c r="E224" s="113">
        <v>0.5</v>
      </c>
      <c r="F224" s="113">
        <v>0.16250000000000001</v>
      </c>
      <c r="G224" s="113">
        <v>0.17</v>
      </c>
      <c r="H224" s="113">
        <v>0.17749999999999999</v>
      </c>
      <c r="I224" s="114">
        <v>4.7860000000000005</v>
      </c>
      <c r="J224" s="113">
        <v>4.7910000000000004</v>
      </c>
      <c r="K224" s="113">
        <v>4.7960000000000003</v>
      </c>
      <c r="L224" s="113">
        <v>0.44</v>
      </c>
      <c r="M224" s="113">
        <v>0</v>
      </c>
      <c r="O224" s="97"/>
      <c r="P224" s="127"/>
      <c r="Q224" s="127"/>
      <c r="R224" s="280">
        <f t="shared" ca="1" si="27"/>
        <v>43221</v>
      </c>
      <c r="S224" s="142">
        <f t="shared" si="28"/>
        <v>0.43</v>
      </c>
      <c r="T224" s="141">
        <f t="shared" si="31"/>
        <v>0.5</v>
      </c>
      <c r="U224" s="143">
        <f t="shared" si="29"/>
        <v>0.57000000000000006</v>
      </c>
      <c r="BP224" s="103">
        <f t="shared" si="26"/>
        <v>223</v>
      </c>
      <c r="BQ224" s="155" t="s">
        <v>395</v>
      </c>
      <c r="BR224" s="102" t="s">
        <v>166</v>
      </c>
      <c r="BS224" s="101" t="s">
        <v>192</v>
      </c>
      <c r="BT224" s="107" t="s">
        <v>168</v>
      </c>
      <c r="BU224" s="107"/>
      <c r="BV224" s="101">
        <v>1</v>
      </c>
      <c r="BW224" s="102" t="s">
        <v>994</v>
      </c>
      <c r="BX224"/>
    </row>
    <row r="225" spans="1:76" ht="13.2">
      <c r="A225" s="125"/>
      <c r="B225" s="126">
        <f t="shared" ca="1" si="30"/>
        <v>43252</v>
      </c>
      <c r="C225" s="113">
        <v>6.2522339142193017E-2</v>
      </c>
      <c r="D225" s="113">
        <v>0.5</v>
      </c>
      <c r="E225" s="113">
        <v>0.5</v>
      </c>
      <c r="F225" s="113">
        <v>0.16250000000000001</v>
      </c>
      <c r="G225" s="113">
        <v>0.17</v>
      </c>
      <c r="H225" s="113">
        <v>0.17749999999999999</v>
      </c>
      <c r="I225" s="114">
        <v>4.8150000000000004</v>
      </c>
      <c r="J225" s="113">
        <v>4.82</v>
      </c>
      <c r="K225" s="113">
        <v>4.8250000000000002</v>
      </c>
      <c r="L225" s="113">
        <v>0.44</v>
      </c>
      <c r="M225" s="113">
        <v>0</v>
      </c>
      <c r="O225" s="97"/>
      <c r="P225" s="127"/>
      <c r="Q225" s="127"/>
      <c r="R225" s="280">
        <f t="shared" ca="1" si="27"/>
        <v>43252</v>
      </c>
      <c r="S225" s="142">
        <f t="shared" si="28"/>
        <v>0.43</v>
      </c>
      <c r="T225" s="141">
        <f t="shared" si="31"/>
        <v>0.5</v>
      </c>
      <c r="U225" s="143">
        <f t="shared" si="29"/>
        <v>0.57000000000000006</v>
      </c>
      <c r="BP225" s="103">
        <f t="shared" si="26"/>
        <v>224</v>
      </c>
      <c r="BQ225" s="155" t="s">
        <v>396</v>
      </c>
      <c r="BR225" s="102" t="s">
        <v>166</v>
      </c>
      <c r="BS225" s="101" t="s">
        <v>192</v>
      </c>
      <c r="BT225" s="107" t="s">
        <v>168</v>
      </c>
      <c r="BU225" s="107"/>
      <c r="BV225" s="101">
        <v>1</v>
      </c>
      <c r="BW225" s="102" t="s">
        <v>995</v>
      </c>
      <c r="BX225"/>
    </row>
    <row r="226" spans="1:76" ht="13.2">
      <c r="A226" s="125"/>
      <c r="B226" s="126">
        <f t="shared" ca="1" si="30"/>
        <v>43282</v>
      </c>
      <c r="C226" s="113">
        <v>6.2546054232326023E-2</v>
      </c>
      <c r="D226" s="113">
        <v>0.5</v>
      </c>
      <c r="E226" s="113">
        <v>0.5</v>
      </c>
      <c r="F226" s="113">
        <v>0.16250000000000001</v>
      </c>
      <c r="G226" s="113">
        <v>0.17</v>
      </c>
      <c r="H226" s="113">
        <v>0.17749999999999999</v>
      </c>
      <c r="I226" s="114">
        <v>4.8449999999999998</v>
      </c>
      <c r="J226" s="113">
        <v>4.8499999999999996</v>
      </c>
      <c r="K226" s="113">
        <v>4.8550000000000004</v>
      </c>
      <c r="L226" s="113">
        <v>0.5</v>
      </c>
      <c r="M226" s="113">
        <v>0</v>
      </c>
      <c r="O226" s="97"/>
      <c r="P226" s="127"/>
      <c r="Q226" s="127"/>
      <c r="R226" s="280">
        <f t="shared" ca="1" si="27"/>
        <v>43282</v>
      </c>
      <c r="S226" s="142">
        <f t="shared" si="28"/>
        <v>0.43</v>
      </c>
      <c r="T226" s="141">
        <f t="shared" si="31"/>
        <v>0.5</v>
      </c>
      <c r="U226" s="143">
        <f t="shared" si="29"/>
        <v>0.57000000000000006</v>
      </c>
      <c r="BP226" s="103">
        <f t="shared" si="26"/>
        <v>225</v>
      </c>
      <c r="BQ226" s="155" t="s">
        <v>397</v>
      </c>
      <c r="BR226" s="102" t="s">
        <v>166</v>
      </c>
      <c r="BS226" s="101" t="s">
        <v>192</v>
      </c>
      <c r="BT226" s="107" t="s">
        <v>168</v>
      </c>
      <c r="BU226" s="107"/>
      <c r="BV226" s="101">
        <v>1</v>
      </c>
      <c r="BW226" s="102" t="s">
        <v>996</v>
      </c>
      <c r="BX226"/>
    </row>
    <row r="227" spans="1:76" ht="13.2">
      <c r="A227" s="125"/>
      <c r="B227" s="126">
        <f t="shared" ca="1" si="30"/>
        <v>43313</v>
      </c>
      <c r="C227" s="113">
        <v>6.2570559825661023E-2</v>
      </c>
      <c r="D227" s="113">
        <v>0.6</v>
      </c>
      <c r="E227" s="113">
        <v>0.6</v>
      </c>
      <c r="F227" s="113">
        <v>0.16250000000000001</v>
      </c>
      <c r="G227" s="113">
        <v>0.17</v>
      </c>
      <c r="H227" s="113">
        <v>0.17749999999999999</v>
      </c>
      <c r="I227" s="114">
        <v>4.8650000000000002</v>
      </c>
      <c r="J227" s="113">
        <v>4.87</v>
      </c>
      <c r="K227" s="113">
        <v>4.875</v>
      </c>
      <c r="L227" s="113">
        <v>0.5</v>
      </c>
      <c r="M227" s="113">
        <v>0</v>
      </c>
      <c r="O227" s="97"/>
      <c r="P227" s="127"/>
      <c r="Q227" s="127"/>
      <c r="R227" s="280">
        <f t="shared" ca="1" si="27"/>
        <v>43313</v>
      </c>
      <c r="S227" s="142">
        <f t="shared" si="28"/>
        <v>0.53</v>
      </c>
      <c r="T227" s="141">
        <f t="shared" si="31"/>
        <v>0.6</v>
      </c>
      <c r="U227" s="143">
        <f t="shared" si="29"/>
        <v>0.66999999999999993</v>
      </c>
      <c r="BP227" s="103">
        <f t="shared" si="26"/>
        <v>226</v>
      </c>
      <c r="BQ227" s="155" t="s">
        <v>398</v>
      </c>
      <c r="BR227" s="102" t="s">
        <v>166</v>
      </c>
      <c r="BS227" s="101" t="s">
        <v>192</v>
      </c>
      <c r="BT227" s="107" t="s">
        <v>168</v>
      </c>
      <c r="BU227" s="107"/>
      <c r="BV227" s="101">
        <v>1</v>
      </c>
      <c r="BW227" s="102" t="s">
        <v>997</v>
      </c>
      <c r="BX227"/>
    </row>
    <row r="228" spans="1:76" ht="13.2">
      <c r="A228" s="125"/>
      <c r="B228" s="126">
        <f t="shared" ca="1" si="30"/>
        <v>43344</v>
      </c>
      <c r="C228" s="113">
        <v>6.2595065419194004E-2</v>
      </c>
      <c r="D228" s="113">
        <v>0.6</v>
      </c>
      <c r="E228" s="113">
        <v>0.6</v>
      </c>
      <c r="F228" s="113">
        <v>0.16250000000000001</v>
      </c>
      <c r="G228" s="113">
        <v>0.17</v>
      </c>
      <c r="H228" s="113">
        <v>0.17749999999999999</v>
      </c>
      <c r="I228" s="114">
        <v>4.8860000000000001</v>
      </c>
      <c r="J228" s="113">
        <v>4.891</v>
      </c>
      <c r="K228" s="113">
        <v>4.8959999999999999</v>
      </c>
      <c r="L228" s="113">
        <v>0.46</v>
      </c>
      <c r="M228" s="113">
        <v>0</v>
      </c>
      <c r="O228" s="97"/>
      <c r="P228" s="127"/>
      <c r="Q228" s="127"/>
      <c r="R228" s="280">
        <f t="shared" ca="1" si="27"/>
        <v>43344</v>
      </c>
      <c r="S228" s="142">
        <f t="shared" si="28"/>
        <v>0.53</v>
      </c>
      <c r="T228" s="141">
        <f t="shared" si="31"/>
        <v>0.6</v>
      </c>
      <c r="U228" s="143">
        <f t="shared" si="29"/>
        <v>0.66999999999999993</v>
      </c>
      <c r="BP228" s="103">
        <f t="shared" si="26"/>
        <v>227</v>
      </c>
      <c r="BQ228" s="155" t="s">
        <v>399</v>
      </c>
      <c r="BR228" s="102" t="s">
        <v>166</v>
      </c>
      <c r="BS228" s="101" t="s">
        <v>192</v>
      </c>
      <c r="BT228" s="107" t="s">
        <v>168</v>
      </c>
      <c r="BU228" s="107"/>
      <c r="BV228" s="101">
        <v>1</v>
      </c>
      <c r="BW228" s="102" t="s">
        <v>998</v>
      </c>
      <c r="BX228"/>
    </row>
    <row r="229" spans="1:76" ht="13.2">
      <c r="A229" s="125"/>
      <c r="B229" s="126">
        <f t="shared" ca="1" si="30"/>
        <v>43374</v>
      </c>
      <c r="C229" s="113">
        <v>6.2618780509901009E-2</v>
      </c>
      <c r="D229" s="113">
        <v>0.65</v>
      </c>
      <c r="E229" s="113">
        <v>0.65</v>
      </c>
      <c r="F229" s="113">
        <v>0.16250000000000001</v>
      </c>
      <c r="G229" s="113">
        <v>0.17</v>
      </c>
      <c r="H229" s="113">
        <v>0.17749999999999999</v>
      </c>
      <c r="I229" s="114">
        <v>4.9160000000000004</v>
      </c>
      <c r="J229" s="113">
        <v>4.9210000000000003</v>
      </c>
      <c r="K229" s="113">
        <v>4.9260000000000002</v>
      </c>
      <c r="L229" s="113">
        <v>0.47</v>
      </c>
      <c r="M229" s="113">
        <v>0</v>
      </c>
      <c r="O229" s="97"/>
      <c r="P229" s="127"/>
      <c r="Q229" s="127"/>
      <c r="R229" s="280">
        <f t="shared" ca="1" si="27"/>
        <v>43374</v>
      </c>
      <c r="S229" s="142">
        <f t="shared" si="28"/>
        <v>0.58000000000000007</v>
      </c>
      <c r="T229" s="141">
        <f t="shared" si="31"/>
        <v>0.65</v>
      </c>
      <c r="U229" s="143">
        <f t="shared" si="29"/>
        <v>0.72</v>
      </c>
      <c r="BP229" s="103">
        <f t="shared" si="26"/>
        <v>228</v>
      </c>
      <c r="BQ229" s="155" t="s">
        <v>400</v>
      </c>
      <c r="BR229" s="102" t="s">
        <v>166</v>
      </c>
      <c r="BS229" s="101" t="s">
        <v>192</v>
      </c>
      <c r="BT229" s="107" t="s">
        <v>168</v>
      </c>
      <c r="BU229" s="107"/>
      <c r="BV229" s="101">
        <v>1</v>
      </c>
      <c r="BW229" s="102" t="s">
        <v>999</v>
      </c>
      <c r="BX229"/>
    </row>
    <row r="230" spans="1:76" ht="13.2">
      <c r="A230" s="125"/>
      <c r="B230" s="126">
        <f t="shared" ca="1" si="30"/>
        <v>43405</v>
      </c>
      <c r="C230" s="113">
        <v>6.2643286103827009E-2</v>
      </c>
      <c r="D230" s="113">
        <v>0.95</v>
      </c>
      <c r="E230" s="113">
        <v>0.95</v>
      </c>
      <c r="F230" s="113">
        <v>0.16250000000000001</v>
      </c>
      <c r="G230" s="113">
        <v>0.17</v>
      </c>
      <c r="H230" s="113">
        <v>0.17749999999999999</v>
      </c>
      <c r="I230" s="114">
        <v>5.056</v>
      </c>
      <c r="J230" s="113">
        <v>5.0609999999999999</v>
      </c>
      <c r="K230" s="113">
        <v>5.0660000000000007</v>
      </c>
      <c r="L230" s="113">
        <v>0.86</v>
      </c>
      <c r="M230" s="113">
        <v>0</v>
      </c>
      <c r="O230" s="97"/>
      <c r="P230" s="127"/>
      <c r="Q230" s="127"/>
      <c r="R230" s="280">
        <f t="shared" ca="1" si="27"/>
        <v>43405</v>
      </c>
      <c r="S230" s="142">
        <f t="shared" si="28"/>
        <v>0.87999999999999989</v>
      </c>
      <c r="T230" s="141">
        <f t="shared" si="31"/>
        <v>0.95</v>
      </c>
      <c r="U230" s="143">
        <f t="shared" si="29"/>
        <v>1.02</v>
      </c>
      <c r="BP230" s="103">
        <f t="shared" si="26"/>
        <v>229</v>
      </c>
      <c r="BQ230" s="155" t="s">
        <v>401</v>
      </c>
      <c r="BR230" s="102" t="s">
        <v>166</v>
      </c>
      <c r="BS230" s="101" t="s">
        <v>192</v>
      </c>
      <c r="BT230" s="107" t="s">
        <v>168</v>
      </c>
      <c r="BU230" s="107"/>
      <c r="BV230" s="101">
        <v>1</v>
      </c>
      <c r="BW230" s="102" t="s">
        <v>1000</v>
      </c>
      <c r="BX230"/>
    </row>
    <row r="231" spans="1:76" ht="13.2">
      <c r="A231" s="125"/>
      <c r="B231" s="126">
        <f t="shared" ca="1" si="30"/>
        <v>43435</v>
      </c>
      <c r="C231" s="113">
        <v>6.2667001194912017E-2</v>
      </c>
      <c r="D231" s="113">
        <v>1.25</v>
      </c>
      <c r="E231" s="113">
        <v>1.25</v>
      </c>
      <c r="F231" s="113">
        <v>0.16250000000000001</v>
      </c>
      <c r="G231" s="113">
        <v>0.17</v>
      </c>
      <c r="H231" s="113">
        <v>0.17749999999999999</v>
      </c>
      <c r="I231" s="114">
        <v>5.181</v>
      </c>
      <c r="J231" s="113">
        <v>5.1859999999999999</v>
      </c>
      <c r="K231" s="113">
        <v>5.1910000000000007</v>
      </c>
      <c r="L231" s="113">
        <v>1.28</v>
      </c>
      <c r="M231" s="113">
        <v>0</v>
      </c>
      <c r="O231" s="97"/>
      <c r="P231" s="127"/>
      <c r="Q231" s="127"/>
      <c r="R231" s="280">
        <f t="shared" ca="1" si="27"/>
        <v>43435</v>
      </c>
      <c r="S231" s="142">
        <f t="shared" si="28"/>
        <v>1.18</v>
      </c>
      <c r="T231" s="141">
        <f t="shared" si="31"/>
        <v>1.25</v>
      </c>
      <c r="U231" s="143">
        <f t="shared" si="29"/>
        <v>1.32</v>
      </c>
      <c r="BP231" s="103">
        <f t="shared" si="26"/>
        <v>230</v>
      </c>
      <c r="BQ231" s="155" t="s">
        <v>402</v>
      </c>
      <c r="BR231" s="102" t="s">
        <v>166</v>
      </c>
      <c r="BS231" s="101" t="s">
        <v>192</v>
      </c>
      <c r="BT231" s="107" t="s">
        <v>168</v>
      </c>
      <c r="BU231" s="107"/>
      <c r="BV231" s="101">
        <v>1</v>
      </c>
      <c r="BW231" s="102" t="s">
        <v>1001</v>
      </c>
      <c r="BX231"/>
    </row>
    <row r="232" spans="1:76" ht="13.2">
      <c r="A232" s="125"/>
      <c r="B232" s="126">
        <f t="shared" ca="1" si="30"/>
        <v>43466</v>
      </c>
      <c r="C232" s="113">
        <v>6.2691506789231022E-2</v>
      </c>
      <c r="D232" s="113">
        <v>1.45</v>
      </c>
      <c r="E232" s="113">
        <v>1.45</v>
      </c>
      <c r="F232" s="113">
        <v>0.16250000000000001</v>
      </c>
      <c r="G232" s="113">
        <v>0.17</v>
      </c>
      <c r="H232" s="113">
        <v>0.17749999999999999</v>
      </c>
      <c r="I232" s="114">
        <v>5.35</v>
      </c>
      <c r="J232" s="113">
        <v>5.3550000000000004</v>
      </c>
      <c r="K232" s="113">
        <v>5.36</v>
      </c>
      <c r="L232" s="113">
        <v>1.61</v>
      </c>
      <c r="M232" s="113">
        <v>0</v>
      </c>
      <c r="O232" s="97"/>
      <c r="P232" s="127"/>
      <c r="Q232" s="127"/>
      <c r="R232" s="280">
        <f t="shared" ca="1" si="27"/>
        <v>43466</v>
      </c>
      <c r="S232" s="142">
        <f t="shared" si="28"/>
        <v>1.38</v>
      </c>
      <c r="T232" s="141">
        <f t="shared" si="31"/>
        <v>1.45</v>
      </c>
      <c r="U232" s="143">
        <f t="shared" si="29"/>
        <v>1.52</v>
      </c>
      <c r="BP232" s="103">
        <f t="shared" si="26"/>
        <v>231</v>
      </c>
      <c r="BQ232" s="155" t="s">
        <v>403</v>
      </c>
      <c r="BR232" s="102" t="s">
        <v>166</v>
      </c>
      <c r="BS232" s="101" t="s">
        <v>192</v>
      </c>
      <c r="BT232" s="107" t="s">
        <v>168</v>
      </c>
      <c r="BU232" s="107"/>
      <c r="BV232" s="101">
        <v>1</v>
      </c>
      <c r="BW232" s="102" t="s">
        <v>1002</v>
      </c>
      <c r="BX232"/>
    </row>
    <row r="233" spans="1:76" ht="13.2">
      <c r="A233" s="125"/>
      <c r="B233" s="126">
        <f t="shared" ca="1" si="30"/>
        <v>43497</v>
      </c>
      <c r="C233" s="113">
        <v>6.2716012383748007E-2</v>
      </c>
      <c r="D233" s="113">
        <v>1.45</v>
      </c>
      <c r="E233" s="113">
        <v>1.45</v>
      </c>
      <c r="F233" s="113">
        <v>0.16250000000000001</v>
      </c>
      <c r="G233" s="113">
        <v>0.17</v>
      </c>
      <c r="H233" s="113">
        <v>0.17749999999999999</v>
      </c>
      <c r="I233" s="114">
        <v>5.2539999999999996</v>
      </c>
      <c r="J233" s="113">
        <v>5.2589999999999995</v>
      </c>
      <c r="K233" s="113">
        <v>5.2640000000000002</v>
      </c>
      <c r="L233" s="113">
        <v>1.57</v>
      </c>
      <c r="M233" s="113">
        <v>0</v>
      </c>
      <c r="O233" s="97"/>
      <c r="P233" s="127"/>
      <c r="Q233" s="127"/>
      <c r="R233" s="280">
        <f t="shared" ca="1" si="27"/>
        <v>43497</v>
      </c>
      <c r="S233" s="142">
        <f t="shared" si="28"/>
        <v>1.38</v>
      </c>
      <c r="T233" s="141">
        <f t="shared" si="31"/>
        <v>1.45</v>
      </c>
      <c r="U233" s="143">
        <f t="shared" si="29"/>
        <v>1.52</v>
      </c>
      <c r="BP233" s="103">
        <f t="shared" si="26"/>
        <v>232</v>
      </c>
      <c r="BQ233" s="155" t="s">
        <v>404</v>
      </c>
      <c r="BR233" s="102" t="s">
        <v>166</v>
      </c>
      <c r="BS233" s="101" t="s">
        <v>192</v>
      </c>
      <c r="BT233" s="107" t="s">
        <v>168</v>
      </c>
      <c r="BU233" s="107"/>
      <c r="BV233" s="101">
        <v>1</v>
      </c>
      <c r="BW233" s="102" t="s">
        <v>1003</v>
      </c>
      <c r="BX233"/>
    </row>
    <row r="234" spans="1:76" ht="13.2">
      <c r="A234" s="125"/>
      <c r="B234" s="126">
        <f t="shared" ca="1" si="30"/>
        <v>43525</v>
      </c>
      <c r="C234" s="113">
        <v>6.2738146469289005E-2</v>
      </c>
      <c r="D234" s="113">
        <v>1</v>
      </c>
      <c r="E234" s="113">
        <v>1</v>
      </c>
      <c r="F234" s="113">
        <v>0.16250000000000001</v>
      </c>
      <c r="G234" s="113">
        <v>0.17</v>
      </c>
      <c r="H234" s="113">
        <v>0.17749999999999999</v>
      </c>
      <c r="I234" s="114">
        <v>5.1040000000000001</v>
      </c>
      <c r="J234" s="113">
        <v>5.1090000000000009</v>
      </c>
      <c r="K234" s="113">
        <v>5.1140000000000008</v>
      </c>
      <c r="L234" s="113">
        <v>0.93</v>
      </c>
      <c r="M234" s="113">
        <v>0</v>
      </c>
      <c r="O234" s="97"/>
      <c r="P234" s="127"/>
      <c r="Q234" s="127"/>
      <c r="R234" s="280">
        <f t="shared" ca="1" si="27"/>
        <v>43525</v>
      </c>
      <c r="S234" s="142">
        <f t="shared" ref="S234:S254" si="32">T234-$S$16</f>
        <v>0.92999999999999994</v>
      </c>
      <c r="T234" s="141">
        <f t="shared" ref="T234:T254" si="33">D234</f>
        <v>1</v>
      </c>
      <c r="U234" s="143">
        <f t="shared" si="29"/>
        <v>1.07</v>
      </c>
      <c r="BP234" s="103">
        <f t="shared" si="26"/>
        <v>233</v>
      </c>
      <c r="BQ234" s="155" t="s">
        <v>405</v>
      </c>
      <c r="BR234" s="102" t="s">
        <v>166</v>
      </c>
      <c r="BS234" s="101" t="s">
        <v>192</v>
      </c>
      <c r="BT234" s="107" t="s">
        <v>168</v>
      </c>
      <c r="BU234" s="107"/>
      <c r="BV234" s="101">
        <v>1</v>
      </c>
      <c r="BW234" s="102" t="s">
        <v>1004</v>
      </c>
      <c r="BX234"/>
    </row>
    <row r="235" spans="1:76" ht="13.2">
      <c r="A235" s="125"/>
      <c r="B235" s="126">
        <f t="shared" ca="1" si="30"/>
        <v>43556</v>
      </c>
      <c r="C235" s="113">
        <v>6.2762652064186006E-2</v>
      </c>
      <c r="D235" s="113">
        <v>0.45</v>
      </c>
      <c r="E235" s="113">
        <v>0.45</v>
      </c>
      <c r="F235" s="113">
        <v>0.16250000000000001</v>
      </c>
      <c r="G235" s="113">
        <v>0.17</v>
      </c>
      <c r="H235" s="113">
        <v>0.17749999999999999</v>
      </c>
      <c r="I235" s="114">
        <v>4.9210000000000003</v>
      </c>
      <c r="J235" s="113">
        <v>4.9260000000000002</v>
      </c>
      <c r="K235" s="113">
        <v>4.931</v>
      </c>
      <c r="L235" s="113">
        <v>0.5</v>
      </c>
      <c r="M235" s="113">
        <v>0</v>
      </c>
      <c r="O235" s="97"/>
      <c r="P235" s="127"/>
      <c r="Q235" s="127"/>
      <c r="R235" s="280">
        <f t="shared" ca="1" si="27"/>
        <v>43556</v>
      </c>
      <c r="S235" s="142">
        <f t="shared" si="32"/>
        <v>0.38</v>
      </c>
      <c r="T235" s="141">
        <f t="shared" si="33"/>
        <v>0.45</v>
      </c>
      <c r="U235" s="143">
        <f t="shared" si="29"/>
        <v>0.52</v>
      </c>
      <c r="BP235" s="103">
        <f t="shared" si="26"/>
        <v>234</v>
      </c>
      <c r="BQ235" s="155" t="s">
        <v>406</v>
      </c>
      <c r="BR235" s="102" t="s">
        <v>166</v>
      </c>
      <c r="BS235" s="101" t="s">
        <v>192</v>
      </c>
      <c r="BT235" s="107" t="s">
        <v>168</v>
      </c>
      <c r="BU235" s="107"/>
      <c r="BV235" s="101">
        <v>1</v>
      </c>
      <c r="BW235" s="102" t="s">
        <v>1005</v>
      </c>
      <c r="BX235"/>
    </row>
    <row r="236" spans="1:76" ht="13.2">
      <c r="A236" s="125"/>
      <c r="B236" s="126">
        <f t="shared" ca="1" si="30"/>
        <v>43586</v>
      </c>
      <c r="C236" s="113">
        <v>6.2786367156211012E-2</v>
      </c>
      <c r="D236" s="113">
        <v>0.5</v>
      </c>
      <c r="E236" s="113">
        <v>0.5</v>
      </c>
      <c r="F236" s="113">
        <v>0.16250000000000001</v>
      </c>
      <c r="G236" s="113">
        <v>0.17</v>
      </c>
      <c r="H236" s="113">
        <v>0.17749999999999999</v>
      </c>
      <c r="I236" s="114">
        <v>4.8959999999999999</v>
      </c>
      <c r="J236" s="113">
        <v>4.9010000000000007</v>
      </c>
      <c r="K236" s="113">
        <v>4.9060000000000006</v>
      </c>
      <c r="L236" s="113">
        <v>0.44</v>
      </c>
      <c r="M236" s="113">
        <v>0</v>
      </c>
      <c r="O236" s="97"/>
      <c r="P236" s="127"/>
      <c r="Q236" s="127"/>
      <c r="R236" s="280">
        <f t="shared" ca="1" si="27"/>
        <v>43586</v>
      </c>
      <c r="S236" s="142">
        <f t="shared" si="32"/>
        <v>0.43</v>
      </c>
      <c r="T236" s="141">
        <f t="shared" si="33"/>
        <v>0.5</v>
      </c>
      <c r="U236" s="143">
        <f t="shared" si="29"/>
        <v>0.57000000000000006</v>
      </c>
      <c r="BP236" s="103">
        <f t="shared" si="26"/>
        <v>235</v>
      </c>
      <c r="BQ236" s="155" t="s">
        <v>407</v>
      </c>
      <c r="BR236" s="102" t="s">
        <v>166</v>
      </c>
      <c r="BS236" s="101" t="s">
        <v>192</v>
      </c>
      <c r="BT236" s="107" t="s">
        <v>168</v>
      </c>
      <c r="BU236" s="107"/>
      <c r="BV236" s="101">
        <v>1</v>
      </c>
      <c r="BW236" s="102" t="s">
        <v>1006</v>
      </c>
      <c r="BX236"/>
    </row>
    <row r="237" spans="1:76" ht="13.2">
      <c r="A237" s="125"/>
      <c r="B237" s="126">
        <f t="shared" ca="1" si="30"/>
        <v>43617</v>
      </c>
      <c r="C237" s="113">
        <v>6.2810872751499019E-2</v>
      </c>
      <c r="D237" s="113">
        <v>0.5</v>
      </c>
      <c r="E237" s="113">
        <v>0.5</v>
      </c>
      <c r="F237" s="113">
        <v>0.16250000000000001</v>
      </c>
      <c r="G237" s="113">
        <v>0.17</v>
      </c>
      <c r="H237" s="113">
        <v>0.17749999999999999</v>
      </c>
      <c r="I237" s="114">
        <v>4.9249999999999998</v>
      </c>
      <c r="J237" s="113">
        <v>4.93</v>
      </c>
      <c r="K237" s="113">
        <v>4.9349999999999996</v>
      </c>
      <c r="L237" s="113">
        <v>0.44</v>
      </c>
      <c r="M237" s="113">
        <v>0</v>
      </c>
      <c r="O237" s="97"/>
      <c r="P237" s="127"/>
      <c r="Q237" s="127"/>
      <c r="R237" s="280">
        <f t="shared" ca="1" si="27"/>
        <v>43617</v>
      </c>
      <c r="S237" s="142">
        <f t="shared" si="32"/>
        <v>0.43</v>
      </c>
      <c r="T237" s="141">
        <f t="shared" si="33"/>
        <v>0.5</v>
      </c>
      <c r="U237" s="143">
        <f t="shared" si="29"/>
        <v>0.57000000000000006</v>
      </c>
      <c r="BP237" s="103">
        <f t="shared" si="26"/>
        <v>236</v>
      </c>
      <c r="BQ237" s="155" t="s">
        <v>408</v>
      </c>
      <c r="BR237" s="102" t="s">
        <v>166</v>
      </c>
      <c r="BS237" s="101" t="s">
        <v>192</v>
      </c>
      <c r="BT237" s="107" t="s">
        <v>168</v>
      </c>
      <c r="BU237" s="107"/>
      <c r="BV237" s="101">
        <v>1</v>
      </c>
      <c r="BW237" s="102" t="s">
        <v>1007</v>
      </c>
      <c r="BX237"/>
    </row>
    <row r="238" spans="1:76" ht="13.2">
      <c r="A238" s="125"/>
      <c r="B238" s="126">
        <f t="shared" ca="1" si="30"/>
        <v>43647</v>
      </c>
      <c r="C238" s="113">
        <v>6.2834587843904013E-2</v>
      </c>
      <c r="D238" s="113">
        <v>0.5</v>
      </c>
      <c r="E238" s="113">
        <v>0.5</v>
      </c>
      <c r="F238" s="113">
        <v>0.16250000000000001</v>
      </c>
      <c r="G238" s="113">
        <v>0.17</v>
      </c>
      <c r="H238" s="113">
        <v>0.17749999999999999</v>
      </c>
      <c r="I238" s="114">
        <v>4.9550000000000001</v>
      </c>
      <c r="J238" s="113">
        <v>4.96</v>
      </c>
      <c r="K238" s="113">
        <v>4.9649999999999999</v>
      </c>
      <c r="L238" s="113">
        <v>0.5</v>
      </c>
      <c r="M238" s="113">
        <v>0</v>
      </c>
      <c r="O238" s="97"/>
      <c r="P238" s="127"/>
      <c r="Q238" s="127"/>
      <c r="R238" s="280">
        <f t="shared" ca="1" si="27"/>
        <v>43647</v>
      </c>
      <c r="S238" s="142">
        <f t="shared" si="32"/>
        <v>0.43</v>
      </c>
      <c r="T238" s="141">
        <f t="shared" si="33"/>
        <v>0.5</v>
      </c>
      <c r="U238" s="143">
        <f t="shared" si="29"/>
        <v>0.57000000000000006</v>
      </c>
      <c r="BP238" s="103">
        <f t="shared" si="26"/>
        <v>237</v>
      </c>
      <c r="BQ238" s="155" t="s">
        <v>409</v>
      </c>
      <c r="BR238" s="102" t="s">
        <v>166</v>
      </c>
      <c r="BS238" s="101" t="s">
        <v>192</v>
      </c>
      <c r="BT238" s="107" t="s">
        <v>168</v>
      </c>
      <c r="BU238" s="107"/>
      <c r="BV238" s="101">
        <v>1</v>
      </c>
      <c r="BW238" s="102" t="s">
        <v>1008</v>
      </c>
      <c r="BX238"/>
    </row>
    <row r="239" spans="1:76" ht="13.2">
      <c r="A239" s="125"/>
      <c r="B239" s="126">
        <f t="shared" ca="1" si="30"/>
        <v>43678</v>
      </c>
      <c r="C239" s="113">
        <v>6.2859093439584013E-2</v>
      </c>
      <c r="D239" s="113">
        <v>0.6</v>
      </c>
      <c r="E239" s="113">
        <v>0.6</v>
      </c>
      <c r="F239" s="113">
        <v>0.16250000000000001</v>
      </c>
      <c r="G239" s="113">
        <v>0.17</v>
      </c>
      <c r="H239" s="113">
        <v>0.17749999999999999</v>
      </c>
      <c r="I239" s="114">
        <v>4.9749999999999996</v>
      </c>
      <c r="J239" s="113">
        <v>4.9800000000000004</v>
      </c>
      <c r="K239" s="113">
        <v>4.9850000000000003</v>
      </c>
      <c r="L239" s="113">
        <v>0.5</v>
      </c>
      <c r="M239" s="113">
        <v>0</v>
      </c>
      <c r="O239" s="97"/>
      <c r="P239" s="127"/>
      <c r="Q239" s="127"/>
      <c r="R239" s="280">
        <f t="shared" ca="1" si="27"/>
        <v>43678</v>
      </c>
      <c r="S239" s="142">
        <f t="shared" si="32"/>
        <v>0.53</v>
      </c>
      <c r="T239" s="141">
        <f t="shared" si="33"/>
        <v>0.6</v>
      </c>
      <c r="U239" s="143">
        <f t="shared" si="29"/>
        <v>0.66999999999999993</v>
      </c>
      <c r="BP239" s="103">
        <f t="shared" si="26"/>
        <v>238</v>
      </c>
      <c r="BQ239" s="155" t="s">
        <v>410</v>
      </c>
      <c r="BR239" s="102" t="s">
        <v>166</v>
      </c>
      <c r="BS239" s="101" t="s">
        <v>192</v>
      </c>
      <c r="BT239" s="107" t="s">
        <v>168</v>
      </c>
      <c r="BU239" s="107"/>
      <c r="BV239" s="101">
        <v>1</v>
      </c>
      <c r="BW239" s="102" t="s">
        <v>1009</v>
      </c>
      <c r="BX239"/>
    </row>
    <row r="240" spans="1:76" ht="13.2">
      <c r="A240" s="125"/>
      <c r="B240" s="126">
        <f t="shared" ca="1" si="30"/>
        <v>43709</v>
      </c>
      <c r="C240" s="113">
        <v>6.2883599035464005E-2</v>
      </c>
      <c r="D240" s="113">
        <v>0.6</v>
      </c>
      <c r="E240" s="113">
        <v>0.6</v>
      </c>
      <c r="F240" s="113">
        <v>0.16250000000000001</v>
      </c>
      <c r="G240" s="113">
        <v>0.17</v>
      </c>
      <c r="H240" s="113">
        <v>0.17749999999999999</v>
      </c>
      <c r="I240" s="114">
        <v>4.9960000000000004</v>
      </c>
      <c r="J240" s="113">
        <v>5.0010000000000003</v>
      </c>
      <c r="K240" s="113">
        <v>5.0060000000000002</v>
      </c>
      <c r="L240" s="113">
        <v>0.46</v>
      </c>
      <c r="M240" s="113">
        <v>0</v>
      </c>
      <c r="O240" s="97"/>
      <c r="P240" s="127"/>
      <c r="Q240" s="127"/>
      <c r="R240" s="280">
        <f t="shared" ca="1" si="27"/>
        <v>43709</v>
      </c>
      <c r="S240" s="142">
        <f t="shared" si="32"/>
        <v>0.53</v>
      </c>
      <c r="T240" s="141">
        <f t="shared" si="33"/>
        <v>0.6</v>
      </c>
      <c r="U240" s="143">
        <f t="shared" si="29"/>
        <v>0.66999999999999993</v>
      </c>
      <c r="BP240" s="103">
        <f t="shared" si="26"/>
        <v>239</v>
      </c>
      <c r="BQ240" s="155" t="s">
        <v>411</v>
      </c>
      <c r="BR240" s="102" t="s">
        <v>166</v>
      </c>
      <c r="BS240" s="101" t="s">
        <v>192</v>
      </c>
      <c r="BT240" s="107" t="s">
        <v>168</v>
      </c>
      <c r="BU240" s="107"/>
      <c r="BV240" s="101">
        <v>1</v>
      </c>
      <c r="BW240" s="102" t="s">
        <v>1010</v>
      </c>
      <c r="BX240"/>
    </row>
    <row r="241" spans="1:76" ht="13.2">
      <c r="A241" s="125"/>
      <c r="B241" s="126">
        <f t="shared" ca="1" si="30"/>
        <v>43739</v>
      </c>
      <c r="C241" s="113">
        <v>6.2907314128441014E-2</v>
      </c>
      <c r="D241" s="113">
        <v>0.65</v>
      </c>
      <c r="E241" s="113">
        <v>0.65</v>
      </c>
      <c r="F241" s="113">
        <v>0.16250000000000001</v>
      </c>
      <c r="G241" s="113">
        <v>0.17</v>
      </c>
      <c r="H241" s="113">
        <v>0.17749999999999999</v>
      </c>
      <c r="I241" s="114">
        <v>5.0260000000000007</v>
      </c>
      <c r="J241" s="113">
        <v>5.0310000000000006</v>
      </c>
      <c r="K241" s="113">
        <v>5.0360000000000005</v>
      </c>
      <c r="L241" s="113">
        <v>0.47</v>
      </c>
      <c r="M241" s="113">
        <v>0</v>
      </c>
      <c r="O241" s="97"/>
      <c r="P241" s="127"/>
      <c r="Q241" s="127"/>
      <c r="R241" s="280">
        <f t="shared" ca="1" si="27"/>
        <v>43739</v>
      </c>
      <c r="S241" s="142">
        <f t="shared" si="32"/>
        <v>0.58000000000000007</v>
      </c>
      <c r="T241" s="141">
        <f t="shared" si="33"/>
        <v>0.65</v>
      </c>
      <c r="U241" s="143">
        <f t="shared" si="29"/>
        <v>0.72</v>
      </c>
      <c r="BP241" s="103">
        <f t="shared" si="26"/>
        <v>240</v>
      </c>
      <c r="BQ241" s="155" t="s">
        <v>412</v>
      </c>
      <c r="BR241" s="102" t="s">
        <v>166</v>
      </c>
      <c r="BS241" s="101" t="s">
        <v>192</v>
      </c>
      <c r="BT241" s="107" t="s">
        <v>168</v>
      </c>
      <c r="BU241" s="107"/>
      <c r="BV241" s="101">
        <v>1</v>
      </c>
      <c r="BW241" s="102" t="s">
        <v>1011</v>
      </c>
      <c r="BX241"/>
    </row>
    <row r="242" spans="1:76" ht="13.2">
      <c r="A242" s="125"/>
      <c r="B242" s="126">
        <f t="shared" ca="1" si="30"/>
        <v>43770</v>
      </c>
      <c r="C242" s="113">
        <v>6.2931819724713012E-2</v>
      </c>
      <c r="D242" s="113">
        <v>0.95</v>
      </c>
      <c r="E242" s="113">
        <v>0.95</v>
      </c>
      <c r="F242" s="113">
        <v>0.16250000000000001</v>
      </c>
      <c r="G242" s="113">
        <v>0.17</v>
      </c>
      <c r="H242" s="113">
        <v>0.17749999999999999</v>
      </c>
      <c r="I242" s="114">
        <v>5.1660000000000004</v>
      </c>
      <c r="J242" s="113">
        <v>5.1710000000000003</v>
      </c>
      <c r="K242" s="113">
        <v>5.1760000000000002</v>
      </c>
      <c r="L242" s="113">
        <v>0.86</v>
      </c>
      <c r="M242" s="113">
        <v>0</v>
      </c>
      <c r="O242" s="97"/>
      <c r="P242" s="127"/>
      <c r="Q242" s="127"/>
      <c r="R242" s="280">
        <f t="shared" ca="1" si="27"/>
        <v>43770</v>
      </c>
      <c r="S242" s="142">
        <f t="shared" si="32"/>
        <v>0.87999999999999989</v>
      </c>
      <c r="T242" s="141">
        <f t="shared" si="33"/>
        <v>0.95</v>
      </c>
      <c r="U242" s="143">
        <f t="shared" si="29"/>
        <v>1.02</v>
      </c>
      <c r="BP242" s="103">
        <f t="shared" si="26"/>
        <v>241</v>
      </c>
      <c r="BQ242" s="155" t="s">
        <v>413</v>
      </c>
      <c r="BR242" s="102" t="s">
        <v>166</v>
      </c>
      <c r="BS242" s="101" t="s">
        <v>192</v>
      </c>
      <c r="BT242" s="107" t="s">
        <v>168</v>
      </c>
      <c r="BU242" s="107"/>
      <c r="BV242" s="101">
        <v>1</v>
      </c>
      <c r="BW242" s="102" t="s">
        <v>1012</v>
      </c>
      <c r="BX242"/>
    </row>
    <row r="243" spans="1:76" ht="13.2">
      <c r="A243" s="125"/>
      <c r="B243" s="126">
        <f t="shared" ca="1" si="30"/>
        <v>43800</v>
      </c>
      <c r="C243" s="113">
        <v>6.2955534818069009E-2</v>
      </c>
      <c r="D243" s="113">
        <v>1.25</v>
      </c>
      <c r="E243" s="113">
        <v>1.25</v>
      </c>
      <c r="F243" s="113">
        <v>0.16250000000000001</v>
      </c>
      <c r="G243" s="113">
        <v>0.17</v>
      </c>
      <c r="H243" s="113">
        <v>0.17749999999999999</v>
      </c>
      <c r="I243" s="114">
        <v>5.2910000000000004</v>
      </c>
      <c r="J243" s="113">
        <v>5.2960000000000003</v>
      </c>
      <c r="K243" s="113">
        <v>5.3010000000000002</v>
      </c>
      <c r="L243" s="113">
        <v>1.28</v>
      </c>
      <c r="M243" s="113">
        <v>0</v>
      </c>
      <c r="O243" s="97"/>
      <c r="P243" s="127"/>
      <c r="Q243" s="127"/>
      <c r="R243" s="280">
        <f t="shared" ca="1" si="27"/>
        <v>43800</v>
      </c>
      <c r="S243" s="142">
        <f t="shared" si="32"/>
        <v>1.18</v>
      </c>
      <c r="T243" s="141">
        <f t="shared" si="33"/>
        <v>1.25</v>
      </c>
      <c r="U243" s="143">
        <f t="shared" si="29"/>
        <v>1.32</v>
      </c>
      <c r="BP243" s="103">
        <f t="shared" si="26"/>
        <v>242</v>
      </c>
      <c r="BQ243" s="155" t="s">
        <v>414</v>
      </c>
      <c r="BR243" s="102" t="s">
        <v>166</v>
      </c>
      <c r="BS243" s="101" t="s">
        <v>192</v>
      </c>
      <c r="BT243" s="107" t="s">
        <v>168</v>
      </c>
      <c r="BU243" s="107"/>
      <c r="BV243" s="101">
        <v>1</v>
      </c>
      <c r="BW243" s="102" t="s">
        <v>1013</v>
      </c>
      <c r="BX243"/>
    </row>
    <row r="244" spans="1:76" ht="13.2">
      <c r="A244" s="125"/>
      <c r="B244" s="126">
        <f t="shared" ca="1" si="30"/>
        <v>43831</v>
      </c>
      <c r="C244" s="113">
        <v>6.2980040414732999E-2</v>
      </c>
      <c r="D244" s="113">
        <v>1.45</v>
      </c>
      <c r="E244" s="113">
        <v>1.45</v>
      </c>
      <c r="F244" s="113">
        <v>0.16250000000000001</v>
      </c>
      <c r="G244" s="113">
        <v>0.17</v>
      </c>
      <c r="H244" s="113">
        <v>0.17749999999999999</v>
      </c>
      <c r="I244" s="114">
        <v>5.46</v>
      </c>
      <c r="J244" s="113">
        <v>5.4649999999999999</v>
      </c>
      <c r="K244" s="113">
        <v>5.47</v>
      </c>
      <c r="L244" s="113">
        <v>1.61</v>
      </c>
      <c r="M244" s="113">
        <v>0</v>
      </c>
      <c r="O244" s="97"/>
      <c r="P244" s="127"/>
      <c r="Q244" s="127"/>
      <c r="R244" s="280">
        <f t="shared" ca="1" si="27"/>
        <v>43831</v>
      </c>
      <c r="S244" s="142">
        <f t="shared" si="32"/>
        <v>1.38</v>
      </c>
      <c r="T244" s="141">
        <f t="shared" si="33"/>
        <v>1.45</v>
      </c>
      <c r="U244" s="143">
        <f t="shared" si="29"/>
        <v>1.52</v>
      </c>
      <c r="BP244" s="103">
        <f t="shared" si="26"/>
        <v>243</v>
      </c>
      <c r="BQ244" s="155" t="s">
        <v>415</v>
      </c>
      <c r="BR244" s="102" t="s">
        <v>166</v>
      </c>
      <c r="BS244" s="101" t="s">
        <v>192</v>
      </c>
      <c r="BT244" s="107" t="s">
        <v>168</v>
      </c>
      <c r="BU244" s="107"/>
      <c r="BV244" s="101">
        <v>1</v>
      </c>
      <c r="BW244" s="102" t="s">
        <v>1014</v>
      </c>
      <c r="BX244"/>
    </row>
    <row r="245" spans="1:76" ht="13.2">
      <c r="A245" s="125"/>
      <c r="B245" s="126">
        <f t="shared" ca="1" si="30"/>
        <v>43862</v>
      </c>
      <c r="C245" s="113">
        <v>6.300454601159701E-2</v>
      </c>
      <c r="D245" s="113">
        <v>1.45</v>
      </c>
      <c r="E245" s="113">
        <v>1.45</v>
      </c>
      <c r="F245" s="113">
        <v>0.16250000000000001</v>
      </c>
      <c r="G245" s="113">
        <v>0.17</v>
      </c>
      <c r="H245" s="113">
        <v>0.17749999999999999</v>
      </c>
      <c r="I245" s="114">
        <v>5.3639999999999999</v>
      </c>
      <c r="J245" s="113">
        <v>5.3689999999999998</v>
      </c>
      <c r="K245" s="113">
        <v>5.3739999999999997</v>
      </c>
      <c r="L245" s="113">
        <v>1.57</v>
      </c>
      <c r="M245" s="113">
        <v>0</v>
      </c>
      <c r="O245" s="97"/>
      <c r="P245" s="127"/>
      <c r="Q245" s="127"/>
      <c r="R245" s="280">
        <f t="shared" ca="1" si="27"/>
        <v>43862</v>
      </c>
      <c r="S245" s="142">
        <f t="shared" si="32"/>
        <v>1.38</v>
      </c>
      <c r="T245" s="141">
        <f t="shared" si="33"/>
        <v>1.45</v>
      </c>
      <c r="U245" s="143">
        <f t="shared" si="29"/>
        <v>1.52</v>
      </c>
      <c r="BP245" s="103">
        <f t="shared" si="26"/>
        <v>244</v>
      </c>
      <c r="BQ245" s="155" t="s">
        <v>416</v>
      </c>
      <c r="BR245" s="102" t="s">
        <v>166</v>
      </c>
      <c r="BS245" s="101" t="s">
        <v>192</v>
      </c>
      <c r="BT245" s="107" t="s">
        <v>168</v>
      </c>
      <c r="BU245" s="107"/>
      <c r="BV245" s="101">
        <v>1</v>
      </c>
      <c r="BW245" s="102" t="s">
        <v>1015</v>
      </c>
      <c r="BX245"/>
    </row>
    <row r="246" spans="1:76" ht="13.2">
      <c r="A246" s="125"/>
      <c r="B246" s="126">
        <f t="shared" ca="1" si="30"/>
        <v>43891</v>
      </c>
      <c r="C246" s="113">
        <v>6.3027470602391014E-2</v>
      </c>
      <c r="D246" s="113">
        <v>1</v>
      </c>
      <c r="E246" s="113">
        <v>1</v>
      </c>
      <c r="F246" s="113">
        <v>0.16250000000000001</v>
      </c>
      <c r="G246" s="113">
        <v>0.17</v>
      </c>
      <c r="H246" s="113">
        <v>0.17749999999999999</v>
      </c>
      <c r="I246" s="114">
        <v>5.2139999999999995</v>
      </c>
      <c r="J246" s="113">
        <v>5.2190000000000003</v>
      </c>
      <c r="K246" s="113">
        <v>5.2240000000000002</v>
      </c>
      <c r="L246" s="113">
        <v>0.93</v>
      </c>
      <c r="M246" s="113">
        <v>0</v>
      </c>
      <c r="O246" s="97"/>
      <c r="P246" s="127"/>
      <c r="Q246" s="127"/>
      <c r="R246" s="280">
        <f t="shared" ca="1" si="27"/>
        <v>43891</v>
      </c>
      <c r="S246" s="142">
        <f t="shared" si="32"/>
        <v>0.92999999999999994</v>
      </c>
      <c r="T246" s="141">
        <f t="shared" si="33"/>
        <v>1</v>
      </c>
      <c r="U246" s="143">
        <f t="shared" si="29"/>
        <v>1.07</v>
      </c>
      <c r="BP246" s="103">
        <f t="shared" si="26"/>
        <v>245</v>
      </c>
      <c r="BQ246" s="155" t="s">
        <v>417</v>
      </c>
      <c r="BR246" s="102" t="s">
        <v>166</v>
      </c>
      <c r="BS246" s="101" t="s">
        <v>192</v>
      </c>
      <c r="BT246" s="107" t="s">
        <v>168</v>
      </c>
      <c r="BU246" s="107"/>
      <c r="BV246" s="101">
        <v>1</v>
      </c>
      <c r="BW246" s="102" t="s">
        <v>1016</v>
      </c>
      <c r="BX246"/>
    </row>
    <row r="247" spans="1:76" ht="13.2">
      <c r="A247" s="125"/>
      <c r="B247" s="126">
        <f t="shared" ca="1" si="30"/>
        <v>43922</v>
      </c>
      <c r="C247" s="113">
        <v>6.3051976199639995E-2</v>
      </c>
      <c r="D247" s="113">
        <v>0.45</v>
      </c>
      <c r="E247" s="113">
        <v>0.45</v>
      </c>
      <c r="F247" s="113">
        <v>0.16250000000000001</v>
      </c>
      <c r="G247" s="113">
        <v>0.17</v>
      </c>
      <c r="H247" s="113">
        <v>0.17749999999999999</v>
      </c>
      <c r="I247" s="114">
        <v>5.0310000000000006</v>
      </c>
      <c r="J247" s="113">
        <v>5.0360000000000005</v>
      </c>
      <c r="K247" s="113">
        <v>5.0410000000000004</v>
      </c>
      <c r="L247" s="113">
        <v>0.5</v>
      </c>
      <c r="M247" s="113">
        <v>0</v>
      </c>
      <c r="O247" s="97"/>
      <c r="P247" s="127"/>
      <c r="Q247" s="127"/>
      <c r="R247" s="280">
        <f t="shared" ca="1" si="27"/>
        <v>43922</v>
      </c>
      <c r="S247" s="142">
        <f t="shared" si="32"/>
        <v>0.38</v>
      </c>
      <c r="T247" s="141">
        <f t="shared" si="33"/>
        <v>0.45</v>
      </c>
      <c r="U247" s="143">
        <f t="shared" si="29"/>
        <v>0.52</v>
      </c>
      <c r="BP247" s="103">
        <f t="shared" si="26"/>
        <v>246</v>
      </c>
      <c r="BQ247" s="155" t="s">
        <v>418</v>
      </c>
      <c r="BR247" s="102" t="s">
        <v>166</v>
      </c>
      <c r="BS247" s="101" t="s">
        <v>167</v>
      </c>
      <c r="BT247" s="107" t="s">
        <v>168</v>
      </c>
      <c r="BU247" s="107"/>
      <c r="BV247" s="101">
        <v>1</v>
      </c>
      <c r="BW247" s="102" t="s">
        <v>1017</v>
      </c>
      <c r="BX247"/>
    </row>
    <row r="248" spans="1:76" ht="13.2">
      <c r="A248" s="125"/>
      <c r="B248" s="126">
        <f t="shared" ca="1" si="30"/>
        <v>43952</v>
      </c>
      <c r="C248" s="113">
        <v>6.3075691293941014E-2</v>
      </c>
      <c r="D248" s="113">
        <v>0.5</v>
      </c>
      <c r="E248" s="113">
        <v>0.5</v>
      </c>
      <c r="F248" s="113">
        <v>0.16250000000000001</v>
      </c>
      <c r="G248" s="113">
        <v>0.17</v>
      </c>
      <c r="H248" s="113">
        <v>0.17749999999999999</v>
      </c>
      <c r="I248" s="114">
        <v>5.0060000000000002</v>
      </c>
      <c r="J248" s="113">
        <v>5.0110000000000001</v>
      </c>
      <c r="K248" s="113">
        <v>5.016</v>
      </c>
      <c r="L248" s="113">
        <v>0.44</v>
      </c>
      <c r="M248" s="113">
        <v>0</v>
      </c>
      <c r="O248" s="97"/>
      <c r="P248" s="127"/>
      <c r="Q248" s="127"/>
      <c r="R248" s="280">
        <f t="shared" ca="1" si="27"/>
        <v>43952</v>
      </c>
      <c r="S248" s="142">
        <f t="shared" si="32"/>
        <v>0.43</v>
      </c>
      <c r="T248" s="141">
        <f t="shared" si="33"/>
        <v>0.5</v>
      </c>
      <c r="U248" s="143">
        <f t="shared" si="29"/>
        <v>0.57000000000000006</v>
      </c>
      <c r="BP248" s="103">
        <f t="shared" si="26"/>
        <v>247</v>
      </c>
      <c r="BQ248" s="155" t="s">
        <v>419</v>
      </c>
      <c r="BR248" s="102" t="s">
        <v>166</v>
      </c>
      <c r="BS248" s="101" t="s">
        <v>167</v>
      </c>
      <c r="BT248" s="107" t="s">
        <v>168</v>
      </c>
      <c r="BU248" s="107"/>
      <c r="BV248" s="101">
        <v>1</v>
      </c>
      <c r="BW248" s="102" t="s">
        <v>1018</v>
      </c>
      <c r="BX248"/>
    </row>
    <row r="249" spans="1:76" ht="13.2">
      <c r="A249" s="125"/>
      <c r="B249" s="126">
        <f t="shared" ca="1" si="30"/>
        <v>43983</v>
      </c>
      <c r="C249" s="113">
        <v>6.3100196891582E-2</v>
      </c>
      <c r="D249" s="113">
        <v>0.5</v>
      </c>
      <c r="E249" s="113">
        <v>0.5</v>
      </c>
      <c r="F249" s="113">
        <v>0.16250000000000001</v>
      </c>
      <c r="G249" s="113">
        <v>0.17</v>
      </c>
      <c r="H249" s="113">
        <v>0.17749999999999999</v>
      </c>
      <c r="I249" s="114">
        <v>5.0350000000000001</v>
      </c>
      <c r="J249" s="113">
        <v>5.04</v>
      </c>
      <c r="K249" s="113">
        <v>5.0449999999999999</v>
      </c>
      <c r="L249" s="113">
        <v>0.44</v>
      </c>
      <c r="M249" s="113">
        <v>0</v>
      </c>
      <c r="O249" s="97"/>
      <c r="P249" s="127"/>
      <c r="Q249" s="127"/>
      <c r="R249" s="280">
        <f t="shared" ca="1" si="27"/>
        <v>43983</v>
      </c>
      <c r="S249" s="142">
        <f t="shared" si="32"/>
        <v>0.43</v>
      </c>
      <c r="T249" s="141">
        <f t="shared" si="33"/>
        <v>0.5</v>
      </c>
      <c r="U249" s="143">
        <f t="shared" si="29"/>
        <v>0.57000000000000006</v>
      </c>
      <c r="BP249" s="103">
        <f t="shared" si="26"/>
        <v>248</v>
      </c>
      <c r="BQ249" s="155" t="s">
        <v>420</v>
      </c>
      <c r="BR249" s="102" t="s">
        <v>166</v>
      </c>
      <c r="BS249" s="101" t="s">
        <v>167</v>
      </c>
      <c r="BT249" s="107" t="s">
        <v>168</v>
      </c>
      <c r="BU249" s="107"/>
      <c r="BV249" s="101">
        <v>1</v>
      </c>
      <c r="BW249" s="102" t="s">
        <v>1019</v>
      </c>
      <c r="BX249"/>
    </row>
    <row r="250" spans="1:76" ht="13.2">
      <c r="A250" s="125"/>
      <c r="B250" s="126">
        <f t="shared" ca="1" si="30"/>
        <v>44013</v>
      </c>
      <c r="C250" s="113">
        <v>6.3123911986263007E-2</v>
      </c>
      <c r="D250" s="113">
        <v>0.5</v>
      </c>
      <c r="E250" s="113">
        <v>0.5</v>
      </c>
      <c r="F250" s="113">
        <v>0.16250000000000001</v>
      </c>
      <c r="G250" s="113">
        <v>0.17</v>
      </c>
      <c r="H250" s="113">
        <v>0.17749999999999999</v>
      </c>
      <c r="I250" s="114">
        <v>5.0650000000000004</v>
      </c>
      <c r="J250" s="113">
        <v>5.07</v>
      </c>
      <c r="K250" s="113">
        <v>5.0750000000000002</v>
      </c>
      <c r="L250" s="113">
        <v>0.5</v>
      </c>
      <c r="M250" s="113">
        <v>0</v>
      </c>
      <c r="O250" s="97"/>
      <c r="P250" s="127"/>
      <c r="Q250" s="127"/>
      <c r="R250" s="280">
        <f t="shared" ca="1" si="27"/>
        <v>44013</v>
      </c>
      <c r="S250" s="142">
        <f t="shared" si="32"/>
        <v>0.43</v>
      </c>
      <c r="T250" s="141">
        <f t="shared" si="33"/>
        <v>0.5</v>
      </c>
      <c r="U250" s="143">
        <f t="shared" si="29"/>
        <v>0.57000000000000006</v>
      </c>
      <c r="BP250" s="103">
        <f t="shared" si="26"/>
        <v>249</v>
      </c>
      <c r="BQ250" s="155" t="s">
        <v>421</v>
      </c>
      <c r="BR250" s="102" t="s">
        <v>166</v>
      </c>
      <c r="BS250" s="101" t="s">
        <v>167</v>
      </c>
      <c r="BT250" s="107" t="s">
        <v>168</v>
      </c>
      <c r="BU250" s="107"/>
      <c r="BV250" s="101">
        <v>1</v>
      </c>
      <c r="BW250" s="102" t="s">
        <v>1020</v>
      </c>
      <c r="BX250"/>
    </row>
    <row r="251" spans="1:76" ht="13.2">
      <c r="A251" s="125"/>
      <c r="B251" s="126">
        <f t="shared" ca="1" si="30"/>
        <v>44044</v>
      </c>
      <c r="C251" s="113">
        <v>6.3148417584296027E-2</v>
      </c>
      <c r="D251" s="113">
        <v>0.6</v>
      </c>
      <c r="E251" s="113">
        <v>0.6</v>
      </c>
      <c r="F251" s="113">
        <v>0.16250000000000001</v>
      </c>
      <c r="G251" s="113">
        <v>0.17</v>
      </c>
      <c r="H251" s="113">
        <v>0.17749999999999999</v>
      </c>
      <c r="I251" s="114">
        <v>5.085</v>
      </c>
      <c r="J251" s="113">
        <v>5.09</v>
      </c>
      <c r="K251" s="113">
        <v>5.0949999999999998</v>
      </c>
      <c r="L251" s="113">
        <v>0.5</v>
      </c>
      <c r="M251" s="113">
        <v>0</v>
      </c>
      <c r="O251" s="97"/>
      <c r="P251" s="127"/>
      <c r="Q251" s="127"/>
      <c r="R251" s="280">
        <f t="shared" ca="1" si="27"/>
        <v>44044</v>
      </c>
      <c r="S251" s="142">
        <f t="shared" si="32"/>
        <v>0.53</v>
      </c>
      <c r="T251" s="141">
        <f t="shared" si="33"/>
        <v>0.6</v>
      </c>
      <c r="U251" s="143">
        <f t="shared" si="29"/>
        <v>0.66999999999999993</v>
      </c>
      <c r="BP251" s="103">
        <f t="shared" si="26"/>
        <v>250</v>
      </c>
      <c r="BQ251" s="155" t="s">
        <v>422</v>
      </c>
      <c r="BR251" s="102" t="s">
        <v>166</v>
      </c>
      <c r="BS251" s="101" t="s">
        <v>167</v>
      </c>
      <c r="BT251" s="107" t="s">
        <v>168</v>
      </c>
      <c r="BU251" s="107"/>
      <c r="BV251" s="101">
        <v>1</v>
      </c>
      <c r="BW251" s="102" t="s">
        <v>1021</v>
      </c>
      <c r="BX251"/>
    </row>
    <row r="252" spans="1:76" ht="13.2">
      <c r="A252" s="125"/>
      <c r="B252" s="126">
        <f t="shared" ca="1" si="30"/>
        <v>44075</v>
      </c>
      <c r="C252" s="113">
        <v>6.3172923182529012E-2</v>
      </c>
      <c r="D252" s="113">
        <v>0.6</v>
      </c>
      <c r="E252" s="113">
        <v>0.6</v>
      </c>
      <c r="F252" s="113">
        <v>0.16250000000000001</v>
      </c>
      <c r="G252" s="113">
        <v>0.17</v>
      </c>
      <c r="H252" s="113">
        <v>0.17749999999999999</v>
      </c>
      <c r="I252" s="114">
        <v>5.1060000000000008</v>
      </c>
      <c r="J252" s="113">
        <v>5.1110000000000007</v>
      </c>
      <c r="K252" s="113">
        <v>5.1160000000000005</v>
      </c>
      <c r="L252" s="113">
        <v>0.46</v>
      </c>
      <c r="M252" s="113">
        <v>0</v>
      </c>
      <c r="O252" s="97"/>
      <c r="P252" s="127"/>
      <c r="Q252" s="127"/>
      <c r="R252" s="280">
        <f t="shared" ca="1" si="27"/>
        <v>44075</v>
      </c>
      <c r="S252" s="142">
        <f t="shared" si="32"/>
        <v>0.53</v>
      </c>
      <c r="T252" s="141">
        <f t="shared" si="33"/>
        <v>0.6</v>
      </c>
      <c r="U252" s="143">
        <f t="shared" si="29"/>
        <v>0.66999999999999993</v>
      </c>
      <c r="BP252" s="103">
        <f t="shared" si="26"/>
        <v>251</v>
      </c>
      <c r="BQ252" s="155" t="s">
        <v>423</v>
      </c>
      <c r="BR252" s="102" t="s">
        <v>166</v>
      </c>
      <c r="BS252" s="101" t="s">
        <v>167</v>
      </c>
      <c r="BT252" s="107" t="s">
        <v>168</v>
      </c>
      <c r="BU252" s="107"/>
      <c r="BV252" s="101">
        <v>1</v>
      </c>
      <c r="BW252" s="102" t="s">
        <v>1022</v>
      </c>
      <c r="BX252"/>
    </row>
    <row r="253" spans="1:76" ht="13.2">
      <c r="A253" s="125"/>
      <c r="B253" s="126">
        <f t="shared" ca="1" si="30"/>
        <v>44105</v>
      </c>
      <c r="C253" s="113">
        <v>6.3196638277782019E-2</v>
      </c>
      <c r="D253" s="113">
        <v>0.65</v>
      </c>
      <c r="E253" s="113">
        <v>0.65</v>
      </c>
      <c r="F253" s="113">
        <v>0.16250000000000001</v>
      </c>
      <c r="G253" s="113">
        <v>0.17</v>
      </c>
      <c r="H253" s="113">
        <v>0.17749999999999999</v>
      </c>
      <c r="I253" s="114">
        <v>5.1360000000000001</v>
      </c>
      <c r="J253" s="113">
        <v>5.141</v>
      </c>
      <c r="K253" s="113">
        <v>5.1459999999999999</v>
      </c>
      <c r="L253" s="113">
        <v>0.47</v>
      </c>
      <c r="M253" s="113">
        <v>0</v>
      </c>
      <c r="O253" s="97"/>
      <c r="P253" s="127"/>
      <c r="Q253" s="127"/>
      <c r="R253" s="280">
        <f t="shared" ca="1" si="27"/>
        <v>44105</v>
      </c>
      <c r="S253" s="142">
        <f t="shared" si="32"/>
        <v>0.58000000000000007</v>
      </c>
      <c r="T253" s="141">
        <f t="shared" si="33"/>
        <v>0.65</v>
      </c>
      <c r="U253" s="143">
        <f t="shared" si="29"/>
        <v>0.72</v>
      </c>
      <c r="BP253" s="103">
        <f t="shared" si="26"/>
        <v>252</v>
      </c>
      <c r="BQ253" s="155" t="s">
        <v>424</v>
      </c>
      <c r="BR253" s="102" t="s">
        <v>166</v>
      </c>
      <c r="BS253" s="101" t="s">
        <v>167</v>
      </c>
      <c r="BT253" s="107" t="s">
        <v>168</v>
      </c>
      <c r="BU253" s="107"/>
      <c r="BV253" s="101">
        <v>1</v>
      </c>
      <c r="BW253" s="102" t="s">
        <v>1023</v>
      </c>
      <c r="BX253"/>
    </row>
    <row r="254" spans="1:76" ht="13.2">
      <c r="A254" s="125"/>
      <c r="B254" s="126">
        <f t="shared" ca="1" si="30"/>
        <v>44136</v>
      </c>
      <c r="C254" s="113">
        <v>6.3221143876406011E-2</v>
      </c>
      <c r="D254" s="113">
        <v>0.95</v>
      </c>
      <c r="E254" s="113">
        <v>0.95</v>
      </c>
      <c r="F254" s="113">
        <v>0.16250000000000001</v>
      </c>
      <c r="G254" s="113">
        <v>0.17</v>
      </c>
      <c r="H254" s="113">
        <v>0.17749999999999999</v>
      </c>
      <c r="I254" s="114">
        <v>5.2760000000000007</v>
      </c>
      <c r="J254" s="113">
        <v>5.2810000000000006</v>
      </c>
      <c r="K254" s="113">
        <v>5.2860000000000005</v>
      </c>
      <c r="L254" s="113">
        <v>0.86</v>
      </c>
      <c r="M254" s="113">
        <v>0</v>
      </c>
      <c r="O254" s="97"/>
      <c r="P254" s="127"/>
      <c r="Q254" s="127"/>
      <c r="R254" s="280">
        <f t="shared" ca="1" si="27"/>
        <v>44136</v>
      </c>
      <c r="S254" s="142">
        <f t="shared" si="32"/>
        <v>0.87999999999999989</v>
      </c>
      <c r="T254" s="141">
        <f t="shared" si="33"/>
        <v>0.95</v>
      </c>
      <c r="U254" s="143">
        <f t="shared" si="29"/>
        <v>1.02</v>
      </c>
      <c r="BP254" s="103">
        <f t="shared" si="26"/>
        <v>253</v>
      </c>
      <c r="BQ254" s="155" t="s">
        <v>425</v>
      </c>
      <c r="BR254" s="102" t="s">
        <v>166</v>
      </c>
      <c r="BS254" s="101" t="s">
        <v>167</v>
      </c>
      <c r="BT254" s="107" t="s">
        <v>168</v>
      </c>
      <c r="BU254" s="107"/>
      <c r="BV254" s="101">
        <v>1</v>
      </c>
      <c r="BW254" s="102" t="s">
        <v>1024</v>
      </c>
      <c r="BX254"/>
    </row>
    <row r="255" spans="1:76" ht="13.2">
      <c r="A255" s="125"/>
      <c r="B255" s="126">
        <f t="shared" ca="1" si="30"/>
        <v>44166</v>
      </c>
      <c r="C255" s="113">
        <v>6.3244858972038007E-2</v>
      </c>
      <c r="D255" s="113">
        <v>1.25</v>
      </c>
      <c r="E255" s="113">
        <v>1.25</v>
      </c>
      <c r="F255" s="113">
        <v>0.16250000000000001</v>
      </c>
      <c r="G255" s="113">
        <v>0.17</v>
      </c>
      <c r="H255" s="113">
        <v>0.17749999999999999</v>
      </c>
      <c r="I255" s="114">
        <v>5.4010000000000007</v>
      </c>
      <c r="J255" s="113">
        <v>5.4060000000000006</v>
      </c>
      <c r="K255" s="113">
        <v>5.4110000000000005</v>
      </c>
      <c r="L255" s="113">
        <v>1.28</v>
      </c>
      <c r="M255" s="113">
        <v>0</v>
      </c>
      <c r="O255" s="97"/>
      <c r="P255" s="127"/>
      <c r="Q255" s="127"/>
      <c r="R255" s="280">
        <f t="shared" ca="1" si="27"/>
        <v>44166</v>
      </c>
      <c r="S255" s="142">
        <f t="shared" ref="S255:S310" si="34">T255-$S$16</f>
        <v>1.18</v>
      </c>
      <c r="T255" s="141">
        <f t="shared" ref="T255:T310" si="35">D255</f>
        <v>1.25</v>
      </c>
      <c r="U255" s="143">
        <f t="shared" si="29"/>
        <v>1.32</v>
      </c>
      <c r="BP255" s="103">
        <f t="shared" si="26"/>
        <v>254</v>
      </c>
      <c r="BQ255" s="155" t="s">
        <v>426</v>
      </c>
      <c r="BR255" s="102" t="s">
        <v>166</v>
      </c>
      <c r="BS255" s="101" t="s">
        <v>167</v>
      </c>
      <c r="BT255" s="107" t="s">
        <v>168</v>
      </c>
      <c r="BU255" s="107"/>
      <c r="BV255" s="101">
        <v>1</v>
      </c>
      <c r="BW255" s="102" t="s">
        <v>1025</v>
      </c>
      <c r="BX255"/>
    </row>
    <row r="256" spans="1:76" ht="13.2">
      <c r="A256" s="125"/>
      <c r="B256" s="126">
        <f t="shared" ca="1" si="30"/>
        <v>44197</v>
      </c>
      <c r="C256" s="113">
        <v>6.3269364571055003E-2</v>
      </c>
      <c r="D256" s="113">
        <v>1.45</v>
      </c>
      <c r="E256" s="113">
        <v>1.45</v>
      </c>
      <c r="F256" s="113">
        <v>0.16250000000000001</v>
      </c>
      <c r="G256" s="113">
        <v>0.17</v>
      </c>
      <c r="H256" s="113">
        <v>0.17749999999999999</v>
      </c>
      <c r="I256" s="114">
        <v>5.57</v>
      </c>
      <c r="J256" s="113">
        <v>5.5750000000000002</v>
      </c>
      <c r="K256" s="113">
        <v>5.58</v>
      </c>
      <c r="L256" s="113">
        <v>1.61</v>
      </c>
      <c r="M256" s="113">
        <v>0</v>
      </c>
      <c r="O256" s="97"/>
      <c r="P256" s="127"/>
      <c r="Q256" s="127"/>
      <c r="R256" s="280">
        <f t="shared" ca="1" si="27"/>
        <v>44197</v>
      </c>
      <c r="S256" s="142">
        <f t="shared" si="34"/>
        <v>1.38</v>
      </c>
      <c r="T256" s="141">
        <f t="shared" si="35"/>
        <v>1.45</v>
      </c>
      <c r="U256" s="143">
        <f t="shared" si="29"/>
        <v>1.52</v>
      </c>
      <c r="BP256" s="103">
        <f t="shared" si="26"/>
        <v>255</v>
      </c>
      <c r="BQ256" s="155" t="s">
        <v>427</v>
      </c>
      <c r="BR256" s="102" t="s">
        <v>166</v>
      </c>
      <c r="BS256" s="101" t="s">
        <v>167</v>
      </c>
      <c r="BT256" s="107" t="s">
        <v>168</v>
      </c>
      <c r="BU256" s="107"/>
      <c r="BV256" s="101">
        <v>1</v>
      </c>
      <c r="BW256" s="102" t="s">
        <v>1026</v>
      </c>
      <c r="BX256"/>
    </row>
    <row r="257" spans="1:76" ht="13.2">
      <c r="A257" s="125"/>
      <c r="B257" s="126">
        <f t="shared" ca="1" si="30"/>
        <v>44228</v>
      </c>
      <c r="C257" s="113">
        <v>6.3276697538157997E-2</v>
      </c>
      <c r="D257" s="113">
        <v>1.45</v>
      </c>
      <c r="E257" s="113">
        <v>1.45</v>
      </c>
      <c r="F257" s="113">
        <v>0.16250000000000001</v>
      </c>
      <c r="G257" s="113">
        <v>0.17</v>
      </c>
      <c r="H257" s="113">
        <v>0.17749999999999999</v>
      </c>
      <c r="I257" s="114">
        <v>5.4740000000000002</v>
      </c>
      <c r="J257" s="113">
        <v>5.4790000000000001</v>
      </c>
      <c r="K257" s="113">
        <v>5.484</v>
      </c>
      <c r="L257" s="113">
        <v>1.57</v>
      </c>
      <c r="M257" s="113">
        <v>0</v>
      </c>
      <c r="O257" s="97"/>
      <c r="P257" s="127"/>
      <c r="Q257" s="127"/>
      <c r="R257" s="280">
        <f t="shared" ca="1" si="27"/>
        <v>44228</v>
      </c>
      <c r="S257" s="142">
        <f t="shared" si="34"/>
        <v>1.38</v>
      </c>
      <c r="T257" s="141">
        <f t="shared" si="35"/>
        <v>1.45</v>
      </c>
      <c r="U257" s="143">
        <f t="shared" si="29"/>
        <v>1.52</v>
      </c>
      <c r="BP257" s="103">
        <f t="shared" si="26"/>
        <v>256</v>
      </c>
      <c r="BQ257" s="155" t="s">
        <v>428</v>
      </c>
      <c r="BR257" s="102" t="s">
        <v>166</v>
      </c>
      <c r="BS257" s="101" t="s">
        <v>167</v>
      </c>
      <c r="BT257" s="107" t="s">
        <v>168</v>
      </c>
      <c r="BU257" s="107"/>
      <c r="BV257" s="101">
        <v>1</v>
      </c>
      <c r="BW257" s="102" t="s">
        <v>1027</v>
      </c>
      <c r="BX257"/>
    </row>
    <row r="258" spans="1:76" ht="13.2">
      <c r="A258" s="125"/>
      <c r="B258" s="126">
        <f t="shared" ca="1" si="30"/>
        <v>44256</v>
      </c>
      <c r="C258" s="113">
        <v>6.3274789942849005E-2</v>
      </c>
      <c r="D258" s="113">
        <v>1</v>
      </c>
      <c r="E258" s="113">
        <v>1</v>
      </c>
      <c r="F258" s="113">
        <v>0.16250000000000001</v>
      </c>
      <c r="G258" s="113">
        <v>0.17</v>
      </c>
      <c r="H258" s="113">
        <v>0.17749999999999999</v>
      </c>
      <c r="I258" s="114">
        <v>5.3239999999999998</v>
      </c>
      <c r="J258" s="113">
        <v>5.3289999999999997</v>
      </c>
      <c r="K258" s="113">
        <v>5.3339999999999996</v>
      </c>
      <c r="L258" s="113">
        <v>0.93</v>
      </c>
      <c r="M258" s="113">
        <v>0</v>
      </c>
      <c r="O258" s="97"/>
      <c r="P258" s="127"/>
      <c r="Q258" s="127"/>
      <c r="R258" s="280">
        <f t="shared" ca="1" si="27"/>
        <v>44256</v>
      </c>
      <c r="S258" s="142">
        <f t="shared" si="34"/>
        <v>0.92999999999999994</v>
      </c>
      <c r="T258" s="141">
        <f t="shared" si="35"/>
        <v>1</v>
      </c>
      <c r="U258" s="143">
        <f t="shared" si="29"/>
        <v>1.07</v>
      </c>
      <c r="BP258" s="103">
        <f t="shared" ref="BP258:BP321" si="36">BP257+BV258</f>
        <v>257</v>
      </c>
      <c r="BQ258" s="155" t="s">
        <v>429</v>
      </c>
      <c r="BR258" s="102" t="s">
        <v>166</v>
      </c>
      <c r="BS258" s="101" t="s">
        <v>167</v>
      </c>
      <c r="BT258" s="107" t="s">
        <v>168</v>
      </c>
      <c r="BU258" s="107"/>
      <c r="BV258" s="101">
        <v>1</v>
      </c>
      <c r="BW258" s="102" t="s">
        <v>1028</v>
      </c>
      <c r="BX258"/>
    </row>
    <row r="259" spans="1:76" ht="13.2">
      <c r="A259" s="125"/>
      <c r="B259" s="126">
        <f t="shared" ca="1" si="30"/>
        <v>44287</v>
      </c>
      <c r="C259" s="113">
        <v>6.3272677962329008E-2</v>
      </c>
      <c r="D259" s="113">
        <v>0.45</v>
      </c>
      <c r="E259" s="113">
        <v>0.45</v>
      </c>
      <c r="F259" s="113">
        <v>0.16250000000000001</v>
      </c>
      <c r="G259" s="113">
        <v>0.17</v>
      </c>
      <c r="H259" s="113">
        <v>0.17749999999999999</v>
      </c>
      <c r="I259" s="114">
        <v>5.141</v>
      </c>
      <c r="J259" s="113">
        <v>5.1459999999999999</v>
      </c>
      <c r="K259" s="113">
        <v>5.1510000000000007</v>
      </c>
      <c r="L259" s="113">
        <v>0.5</v>
      </c>
      <c r="M259" s="113">
        <v>0</v>
      </c>
      <c r="O259" s="97"/>
      <c r="P259" s="127"/>
      <c r="Q259" s="127"/>
      <c r="R259" s="280">
        <f t="shared" ca="1" si="27"/>
        <v>44287</v>
      </c>
      <c r="S259" s="142">
        <f t="shared" si="34"/>
        <v>0.38</v>
      </c>
      <c r="T259" s="141">
        <f t="shared" si="35"/>
        <v>0.45</v>
      </c>
      <c r="U259" s="143">
        <f t="shared" si="29"/>
        <v>0.52</v>
      </c>
      <c r="BP259" s="103">
        <f t="shared" si="36"/>
        <v>258</v>
      </c>
      <c r="BQ259" s="155" t="s">
        <v>430</v>
      </c>
      <c r="BR259" s="102" t="s">
        <v>166</v>
      </c>
      <c r="BS259" s="101" t="s">
        <v>167</v>
      </c>
      <c r="BT259" s="107" t="s">
        <v>168</v>
      </c>
      <c r="BU259" s="107"/>
      <c r="BV259" s="101">
        <v>1</v>
      </c>
      <c r="BW259" s="102" t="s">
        <v>1029</v>
      </c>
      <c r="BX259"/>
    </row>
    <row r="260" spans="1:76" ht="13.2">
      <c r="A260" s="125"/>
      <c r="B260" s="126">
        <f t="shared" ca="1" si="30"/>
        <v>44317</v>
      </c>
      <c r="C260" s="113">
        <v>6.3270634110214025E-2</v>
      </c>
      <c r="D260" s="113">
        <v>0.5</v>
      </c>
      <c r="E260" s="113">
        <v>0.5</v>
      </c>
      <c r="F260" s="113">
        <v>0.16250000000000001</v>
      </c>
      <c r="G260" s="113">
        <v>0.17</v>
      </c>
      <c r="H260" s="113">
        <v>0.17749999999999999</v>
      </c>
      <c r="I260" s="114">
        <v>5.1160000000000005</v>
      </c>
      <c r="J260" s="113">
        <v>5.1210000000000004</v>
      </c>
      <c r="K260" s="113">
        <v>5.1260000000000003</v>
      </c>
      <c r="L260" s="113">
        <v>0.44</v>
      </c>
      <c r="M260" s="113">
        <v>0</v>
      </c>
      <c r="O260" s="97"/>
      <c r="P260" s="127"/>
      <c r="Q260" s="127"/>
      <c r="R260" s="280">
        <f t="shared" ca="1" si="27"/>
        <v>44317</v>
      </c>
      <c r="S260" s="142">
        <f t="shared" si="34"/>
        <v>0.43</v>
      </c>
      <c r="T260" s="141">
        <f t="shared" si="35"/>
        <v>0.5</v>
      </c>
      <c r="U260" s="143">
        <f t="shared" si="29"/>
        <v>0.57000000000000006</v>
      </c>
      <c r="BP260" s="103">
        <f t="shared" si="36"/>
        <v>259</v>
      </c>
      <c r="BQ260" s="155" t="s">
        <v>431</v>
      </c>
      <c r="BR260" s="102" t="s">
        <v>166</v>
      </c>
      <c r="BS260" s="101" t="s">
        <v>167</v>
      </c>
      <c r="BT260" s="107" t="s">
        <v>168</v>
      </c>
      <c r="BU260" s="107"/>
      <c r="BV260" s="101">
        <v>1</v>
      </c>
      <c r="BW260" s="102" t="s">
        <v>1030</v>
      </c>
      <c r="BX260"/>
    </row>
    <row r="261" spans="1:76" ht="13.2">
      <c r="A261" s="125"/>
      <c r="B261" s="126">
        <f t="shared" ca="1" si="30"/>
        <v>44348</v>
      </c>
      <c r="C261" s="113">
        <v>6.3268522129697025E-2</v>
      </c>
      <c r="D261" s="113">
        <v>0.5</v>
      </c>
      <c r="E261" s="113">
        <v>0.5</v>
      </c>
      <c r="F261" s="113">
        <v>0.16250000000000001</v>
      </c>
      <c r="G261" s="113">
        <v>0.17</v>
      </c>
      <c r="H261" s="113">
        <v>0.17749999999999999</v>
      </c>
      <c r="I261" s="114">
        <v>5.1449999999999996</v>
      </c>
      <c r="J261" s="113">
        <v>5.15</v>
      </c>
      <c r="K261" s="113">
        <v>5.1550000000000002</v>
      </c>
      <c r="L261" s="113">
        <v>0.44</v>
      </c>
      <c r="M261" s="113">
        <v>0</v>
      </c>
      <c r="O261" s="97"/>
      <c r="P261" s="127"/>
      <c r="Q261" s="127"/>
      <c r="R261" s="280">
        <f t="shared" ca="1" si="27"/>
        <v>44348</v>
      </c>
      <c r="S261" s="142">
        <f t="shared" si="34"/>
        <v>0.43</v>
      </c>
      <c r="T261" s="141">
        <f t="shared" si="35"/>
        <v>0.5</v>
      </c>
      <c r="U261" s="143">
        <f t="shared" si="29"/>
        <v>0.57000000000000006</v>
      </c>
      <c r="BP261" s="103">
        <f t="shared" si="36"/>
        <v>260</v>
      </c>
      <c r="BQ261" s="155" t="s">
        <v>432</v>
      </c>
      <c r="BR261" s="102" t="s">
        <v>166</v>
      </c>
      <c r="BS261" s="101" t="s">
        <v>167</v>
      </c>
      <c r="BT261" s="107" t="s">
        <v>168</v>
      </c>
      <c r="BU261" s="107"/>
      <c r="BV261" s="101">
        <v>1</v>
      </c>
      <c r="BW261" s="102" t="s">
        <v>1031</v>
      </c>
      <c r="BX261"/>
    </row>
    <row r="262" spans="1:76" ht="13.2">
      <c r="A262" s="125"/>
      <c r="B262" s="126">
        <f t="shared" ca="1" si="30"/>
        <v>44378</v>
      </c>
      <c r="C262" s="113">
        <v>6.3266478277585012E-2</v>
      </c>
      <c r="D262" s="113">
        <v>0.5</v>
      </c>
      <c r="E262" s="113">
        <v>0.5</v>
      </c>
      <c r="F262" s="113">
        <v>0.16250000000000001</v>
      </c>
      <c r="G262" s="113">
        <v>0.17</v>
      </c>
      <c r="H262" s="113">
        <v>0.17749999999999999</v>
      </c>
      <c r="I262" s="114">
        <v>5.1749999999999998</v>
      </c>
      <c r="J262" s="113">
        <v>5.18</v>
      </c>
      <c r="K262" s="113">
        <v>5.1849999999999996</v>
      </c>
      <c r="L262" s="113">
        <v>0.5</v>
      </c>
      <c r="M262" s="113">
        <v>0</v>
      </c>
      <c r="O262" s="97"/>
      <c r="P262" s="127"/>
      <c r="Q262" s="127"/>
      <c r="R262" s="280">
        <f t="shared" ca="1" si="27"/>
        <v>44378</v>
      </c>
      <c r="S262" s="142">
        <f t="shared" si="34"/>
        <v>0.43</v>
      </c>
      <c r="T262" s="141">
        <f t="shared" si="35"/>
        <v>0.5</v>
      </c>
      <c r="U262" s="143">
        <f t="shared" si="29"/>
        <v>0.57000000000000006</v>
      </c>
      <c r="BP262" s="103">
        <f t="shared" si="36"/>
        <v>261</v>
      </c>
      <c r="BQ262" s="155" t="s">
        <v>433</v>
      </c>
      <c r="BR262" s="102" t="s">
        <v>166</v>
      </c>
      <c r="BS262" s="101" t="s">
        <v>167</v>
      </c>
      <c r="BT262" s="107" t="s">
        <v>168</v>
      </c>
      <c r="BU262" s="107"/>
      <c r="BV262" s="101">
        <v>1</v>
      </c>
      <c r="BW262" s="102" t="s">
        <v>1032</v>
      </c>
      <c r="BX262"/>
    </row>
    <row r="263" spans="1:76" ht="13.2">
      <c r="A263" s="125"/>
      <c r="B263" s="126">
        <f t="shared" ca="1" si="30"/>
        <v>44409</v>
      </c>
      <c r="C263" s="113">
        <v>6.3264366297071023E-2</v>
      </c>
      <c r="D263" s="113">
        <v>0.6</v>
      </c>
      <c r="E263" s="113">
        <v>0.6</v>
      </c>
      <c r="F263" s="113">
        <v>0.16250000000000001</v>
      </c>
      <c r="G263" s="113">
        <v>0.17</v>
      </c>
      <c r="H263" s="113">
        <v>0.17749999999999999</v>
      </c>
      <c r="I263" s="114">
        <v>5.1950000000000003</v>
      </c>
      <c r="J263" s="113">
        <v>5.2</v>
      </c>
      <c r="K263" s="113">
        <v>5.2050000000000001</v>
      </c>
      <c r="L263" s="113">
        <v>0.5</v>
      </c>
      <c r="M263" s="113">
        <v>0</v>
      </c>
      <c r="O263" s="97"/>
      <c r="P263" s="127"/>
      <c r="Q263" s="127"/>
      <c r="R263" s="280">
        <f t="shared" ca="1" si="27"/>
        <v>44409</v>
      </c>
      <c r="S263" s="142">
        <f t="shared" si="34"/>
        <v>0.53</v>
      </c>
      <c r="T263" s="141">
        <f t="shared" si="35"/>
        <v>0.6</v>
      </c>
      <c r="U263" s="143">
        <f t="shared" si="29"/>
        <v>0.66999999999999993</v>
      </c>
      <c r="BP263" s="103">
        <f t="shared" si="36"/>
        <v>262</v>
      </c>
      <c r="BQ263" s="155" t="s">
        <v>434</v>
      </c>
      <c r="BR263" s="102" t="s">
        <v>166</v>
      </c>
      <c r="BS263" s="101" t="s">
        <v>167</v>
      </c>
      <c r="BT263" s="107" t="s">
        <v>168</v>
      </c>
      <c r="BU263" s="107"/>
      <c r="BV263" s="101">
        <v>1</v>
      </c>
      <c r="BW263" s="102" t="s">
        <v>1033</v>
      </c>
      <c r="BX263"/>
    </row>
    <row r="264" spans="1:76" ht="13.2">
      <c r="A264" s="125"/>
      <c r="B264" s="126">
        <f t="shared" ca="1" si="30"/>
        <v>44440</v>
      </c>
      <c r="C264" s="113">
        <v>6.326225431655802E-2</v>
      </c>
      <c r="D264" s="113">
        <v>0.6</v>
      </c>
      <c r="E264" s="113">
        <v>0.6</v>
      </c>
      <c r="F264" s="113">
        <v>0.16250000000000001</v>
      </c>
      <c r="G264" s="113">
        <v>0.17</v>
      </c>
      <c r="H264" s="113">
        <v>0.17749999999999999</v>
      </c>
      <c r="I264" s="114">
        <v>5.2160000000000002</v>
      </c>
      <c r="J264" s="113">
        <v>5.2210000000000001</v>
      </c>
      <c r="K264" s="113">
        <v>5.226</v>
      </c>
      <c r="L264" s="113">
        <v>0.46</v>
      </c>
      <c r="M264" s="113">
        <v>0</v>
      </c>
      <c r="O264" s="97"/>
      <c r="P264" s="127"/>
      <c r="Q264" s="127"/>
      <c r="R264" s="280">
        <f t="shared" ca="1" si="27"/>
        <v>44440</v>
      </c>
      <c r="S264" s="142">
        <f t="shared" si="34"/>
        <v>0.53</v>
      </c>
      <c r="T264" s="141">
        <f t="shared" si="35"/>
        <v>0.6</v>
      </c>
      <c r="U264" s="143">
        <f t="shared" si="29"/>
        <v>0.66999999999999993</v>
      </c>
      <c r="BP264" s="103">
        <f t="shared" si="36"/>
        <v>263</v>
      </c>
      <c r="BQ264" s="155" t="s">
        <v>435</v>
      </c>
      <c r="BR264" s="102" t="s">
        <v>166</v>
      </c>
      <c r="BS264" s="101" t="s">
        <v>167</v>
      </c>
      <c r="BT264" s="107" t="s">
        <v>168</v>
      </c>
      <c r="BU264" s="107"/>
      <c r="BV264" s="101">
        <v>1</v>
      </c>
      <c r="BW264" s="102" t="s">
        <v>1034</v>
      </c>
      <c r="BX264"/>
    </row>
    <row r="265" spans="1:76" ht="13.2">
      <c r="A265" s="125"/>
      <c r="B265" s="126">
        <f t="shared" ca="1" si="30"/>
        <v>44470</v>
      </c>
      <c r="C265" s="113">
        <v>6.3260210464450004E-2</v>
      </c>
      <c r="D265" s="113">
        <v>0.65</v>
      </c>
      <c r="E265" s="113">
        <v>0.65</v>
      </c>
      <c r="F265" s="113">
        <v>0.16250000000000001</v>
      </c>
      <c r="G265" s="113">
        <v>0.17</v>
      </c>
      <c r="H265" s="113">
        <v>0.17749999999999999</v>
      </c>
      <c r="I265" s="114">
        <v>5.2460000000000004</v>
      </c>
      <c r="J265" s="113">
        <v>5.2510000000000003</v>
      </c>
      <c r="K265" s="113">
        <v>5.2560000000000002</v>
      </c>
      <c r="L265" s="113">
        <v>0.47</v>
      </c>
      <c r="M265" s="113">
        <v>0</v>
      </c>
      <c r="O265" s="97"/>
      <c r="P265" s="127"/>
      <c r="Q265" s="127"/>
      <c r="R265" s="280">
        <f t="shared" ca="1" si="27"/>
        <v>44470</v>
      </c>
      <c r="S265" s="142">
        <f t="shared" si="34"/>
        <v>0.58000000000000007</v>
      </c>
      <c r="T265" s="141">
        <f t="shared" si="35"/>
        <v>0.65</v>
      </c>
      <c r="U265" s="143">
        <f t="shared" si="29"/>
        <v>0.72</v>
      </c>
      <c r="BP265" s="103">
        <f t="shared" si="36"/>
        <v>264</v>
      </c>
      <c r="BQ265" s="155" t="s">
        <v>436</v>
      </c>
      <c r="BR265" s="102" t="s">
        <v>166</v>
      </c>
      <c r="BS265" s="101" t="s">
        <v>167</v>
      </c>
      <c r="BT265" s="107" t="s">
        <v>168</v>
      </c>
      <c r="BU265" s="107"/>
      <c r="BV265" s="101">
        <v>1</v>
      </c>
      <c r="BW265" s="102" t="s">
        <v>1035</v>
      </c>
      <c r="BX265"/>
    </row>
    <row r="266" spans="1:76" ht="13.2">
      <c r="A266" s="125"/>
      <c r="B266" s="126">
        <f t="shared" ca="1" si="30"/>
        <v>44501</v>
      </c>
      <c r="C266" s="113">
        <v>6.3258098483940012E-2</v>
      </c>
      <c r="D266" s="113">
        <v>0.95</v>
      </c>
      <c r="E266" s="113">
        <v>0.95</v>
      </c>
      <c r="F266" s="113">
        <v>0.16250000000000001</v>
      </c>
      <c r="G266" s="113">
        <v>0.17</v>
      </c>
      <c r="H266" s="113">
        <v>0.17749999999999999</v>
      </c>
      <c r="I266" s="114">
        <v>5.3860000000000001</v>
      </c>
      <c r="J266" s="113">
        <v>5.391</v>
      </c>
      <c r="K266" s="113">
        <v>5.3959999999999999</v>
      </c>
      <c r="L266" s="113">
        <v>0.86</v>
      </c>
      <c r="M266" s="113">
        <v>0</v>
      </c>
      <c r="O266" s="97"/>
      <c r="P266" s="127"/>
      <c r="Q266" s="127"/>
      <c r="R266" s="280">
        <f t="shared" ca="1" si="27"/>
        <v>44501</v>
      </c>
      <c r="S266" s="142">
        <f t="shared" si="34"/>
        <v>0.87999999999999989</v>
      </c>
      <c r="T266" s="141">
        <f t="shared" si="35"/>
        <v>0.95</v>
      </c>
      <c r="U266" s="143">
        <f t="shared" si="29"/>
        <v>1.02</v>
      </c>
      <c r="BP266" s="103">
        <f t="shared" si="36"/>
        <v>265</v>
      </c>
      <c r="BQ266" s="155" t="s">
        <v>437</v>
      </c>
      <c r="BR266" s="102" t="s">
        <v>166</v>
      </c>
      <c r="BS266" s="101" t="s">
        <v>167</v>
      </c>
      <c r="BT266" s="107" t="s">
        <v>168</v>
      </c>
      <c r="BU266" s="107"/>
      <c r="BV266" s="101">
        <v>1</v>
      </c>
      <c r="BW266" s="102" t="s">
        <v>1036</v>
      </c>
      <c r="BX266"/>
    </row>
    <row r="267" spans="1:76" ht="13.2">
      <c r="A267" s="125"/>
      <c r="B267" s="126">
        <f t="shared" ca="1" si="30"/>
        <v>44531</v>
      </c>
      <c r="C267" s="113">
        <v>6.3256054631835007E-2</v>
      </c>
      <c r="D267" s="113">
        <v>1.25</v>
      </c>
      <c r="E267" s="113">
        <v>1.25</v>
      </c>
      <c r="F267" s="113">
        <v>0.16250000000000001</v>
      </c>
      <c r="G267" s="113">
        <v>0.17</v>
      </c>
      <c r="H267" s="113">
        <v>0.17749999999999999</v>
      </c>
      <c r="I267" s="114">
        <v>5.5110000000000001</v>
      </c>
      <c r="J267" s="113">
        <v>5.516</v>
      </c>
      <c r="K267" s="113">
        <v>5.5209999999999999</v>
      </c>
      <c r="L267" s="113">
        <v>1.28</v>
      </c>
      <c r="M267" s="113">
        <v>0</v>
      </c>
      <c r="O267" s="97"/>
      <c r="P267" s="127"/>
      <c r="Q267" s="127"/>
      <c r="R267" s="280">
        <f t="shared" ca="1" si="27"/>
        <v>44531</v>
      </c>
      <c r="S267" s="142">
        <f t="shared" si="34"/>
        <v>1.18</v>
      </c>
      <c r="T267" s="141">
        <f t="shared" si="35"/>
        <v>1.25</v>
      </c>
      <c r="U267" s="143">
        <f t="shared" si="29"/>
        <v>1.32</v>
      </c>
      <c r="BP267" s="103">
        <f t="shared" si="36"/>
        <v>266</v>
      </c>
      <c r="BQ267" s="155" t="s">
        <v>438</v>
      </c>
      <c r="BR267" s="102" t="s">
        <v>166</v>
      </c>
      <c r="BS267" s="101" t="s">
        <v>167</v>
      </c>
      <c r="BT267" s="107" t="s">
        <v>168</v>
      </c>
      <c r="BU267" s="107"/>
      <c r="BV267" s="101">
        <v>1</v>
      </c>
      <c r="BW267" s="102" t="s">
        <v>1037</v>
      </c>
      <c r="BX267"/>
    </row>
    <row r="268" spans="1:76" ht="13.2">
      <c r="A268" s="125"/>
      <c r="B268" s="126">
        <f t="shared" ca="1" si="30"/>
        <v>44562</v>
      </c>
      <c r="C268" s="113">
        <v>6.3253942651328013E-2</v>
      </c>
      <c r="D268" s="113">
        <v>1.45</v>
      </c>
      <c r="E268" s="113">
        <v>1.45</v>
      </c>
      <c r="F268" s="113">
        <v>0.16250000000000001</v>
      </c>
      <c r="G268" s="113">
        <v>0.17</v>
      </c>
      <c r="H268" s="113">
        <v>0.17749999999999999</v>
      </c>
      <c r="I268" s="114">
        <v>5.68</v>
      </c>
      <c r="J268" s="113">
        <v>5.6849999999999996</v>
      </c>
      <c r="K268" s="113">
        <v>5.69</v>
      </c>
      <c r="L268" s="113">
        <v>1.61</v>
      </c>
      <c r="M268" s="113">
        <v>0</v>
      </c>
      <c r="O268" s="97"/>
      <c r="P268" s="127"/>
      <c r="Q268" s="127"/>
      <c r="R268" s="280">
        <f t="shared" ca="1" si="27"/>
        <v>44562</v>
      </c>
      <c r="S268" s="142">
        <f t="shared" si="34"/>
        <v>1.38</v>
      </c>
      <c r="T268" s="141">
        <f t="shared" si="35"/>
        <v>1.45</v>
      </c>
      <c r="U268" s="143">
        <f t="shared" si="29"/>
        <v>1.52</v>
      </c>
      <c r="BP268" s="103">
        <f t="shared" si="36"/>
        <v>267</v>
      </c>
      <c r="BQ268" s="155" t="s">
        <v>439</v>
      </c>
      <c r="BR268" s="102" t="s">
        <v>166</v>
      </c>
      <c r="BS268" s="101" t="s">
        <v>167</v>
      </c>
      <c r="BT268" s="107" t="s">
        <v>168</v>
      </c>
      <c r="BU268" s="107"/>
      <c r="BV268" s="101">
        <v>1</v>
      </c>
      <c r="BW268" s="102" t="s">
        <v>1038</v>
      </c>
      <c r="BX268"/>
    </row>
    <row r="269" spans="1:76" ht="13.2">
      <c r="A269" s="125"/>
      <c r="B269" s="126">
        <f t="shared" ca="1" si="30"/>
        <v>44593</v>
      </c>
      <c r="C269" s="113">
        <v>6.3251830670823003E-2</v>
      </c>
      <c r="D269" s="113">
        <v>1.45</v>
      </c>
      <c r="E269" s="113">
        <v>1.45</v>
      </c>
      <c r="F269" s="113">
        <v>0.16250000000000001</v>
      </c>
      <c r="G269" s="113">
        <v>0.17</v>
      </c>
      <c r="H269" s="113">
        <v>0.17749999999999999</v>
      </c>
      <c r="I269" s="114">
        <v>5.5839999999999996</v>
      </c>
      <c r="J269" s="113">
        <v>5.5889999999999995</v>
      </c>
      <c r="K269" s="113">
        <v>5.5940000000000003</v>
      </c>
      <c r="L269" s="113">
        <v>1.57</v>
      </c>
      <c r="M269" s="113">
        <v>0</v>
      </c>
      <c r="O269" s="97"/>
      <c r="P269" s="127"/>
      <c r="Q269" s="127"/>
      <c r="R269" s="280">
        <f t="shared" ca="1" si="27"/>
        <v>44593</v>
      </c>
      <c r="S269" s="142">
        <f t="shared" si="34"/>
        <v>1.38</v>
      </c>
      <c r="T269" s="141">
        <f t="shared" si="35"/>
        <v>1.45</v>
      </c>
      <c r="U269" s="143">
        <f t="shared" si="29"/>
        <v>1.52</v>
      </c>
      <c r="BP269" s="103">
        <f t="shared" si="36"/>
        <v>268</v>
      </c>
      <c r="BQ269" s="155" t="s">
        <v>440</v>
      </c>
      <c r="BR269" s="102" t="s">
        <v>166</v>
      </c>
      <c r="BS269" s="101" t="s">
        <v>167</v>
      </c>
      <c r="BT269" s="107" t="s">
        <v>168</v>
      </c>
      <c r="BU269" s="107"/>
      <c r="BV269" s="101">
        <v>1</v>
      </c>
      <c r="BW269" s="102" t="s">
        <v>1039</v>
      </c>
      <c r="BX269"/>
    </row>
    <row r="270" spans="1:76" ht="13.2">
      <c r="A270" s="125"/>
      <c r="B270" s="126">
        <f t="shared" ca="1" si="30"/>
        <v>44621</v>
      </c>
      <c r="C270" s="113">
        <v>6.3249923075529013E-2</v>
      </c>
      <c r="D270" s="113">
        <v>1</v>
      </c>
      <c r="E270" s="113">
        <v>1</v>
      </c>
      <c r="F270" s="113">
        <v>0.16250000000000001</v>
      </c>
      <c r="G270" s="113">
        <v>0.17</v>
      </c>
      <c r="H270" s="113">
        <v>0.17749999999999999</v>
      </c>
      <c r="I270" s="114">
        <v>5.4340000000000002</v>
      </c>
      <c r="J270" s="113">
        <v>5.4390000000000001</v>
      </c>
      <c r="K270" s="113">
        <v>5.444</v>
      </c>
      <c r="L270" s="113">
        <v>0.93</v>
      </c>
      <c r="M270" s="113">
        <v>0</v>
      </c>
      <c r="O270" s="97"/>
      <c r="P270" s="127"/>
      <c r="Q270" s="127"/>
      <c r="R270" s="280">
        <f t="shared" ca="1" si="27"/>
        <v>44621</v>
      </c>
      <c r="S270" s="142">
        <f t="shared" si="34"/>
        <v>0.92999999999999994</v>
      </c>
      <c r="T270" s="141">
        <f t="shared" si="35"/>
        <v>1</v>
      </c>
      <c r="U270" s="143">
        <f t="shared" si="29"/>
        <v>1.07</v>
      </c>
      <c r="BP270" s="103">
        <f t="shared" si="36"/>
        <v>269</v>
      </c>
      <c r="BQ270" s="155" t="s">
        <v>441</v>
      </c>
      <c r="BR270" s="102" t="s">
        <v>166</v>
      </c>
      <c r="BS270" s="101" t="s">
        <v>167</v>
      </c>
      <c r="BT270" s="107" t="s">
        <v>168</v>
      </c>
      <c r="BU270" s="107"/>
      <c r="BV270" s="101">
        <v>1</v>
      </c>
      <c r="BW270" s="102" t="s">
        <v>1040</v>
      </c>
      <c r="BX270"/>
    </row>
    <row r="271" spans="1:76" ht="13.2">
      <c r="A271" s="125"/>
      <c r="B271" s="126">
        <f t="shared" ca="1" si="30"/>
        <v>44652</v>
      </c>
      <c r="C271" s="113">
        <v>6.3247811095026016E-2</v>
      </c>
      <c r="D271" s="113">
        <v>0.45</v>
      </c>
      <c r="E271" s="113">
        <v>0.45</v>
      </c>
      <c r="F271" s="113">
        <v>0.16250000000000001</v>
      </c>
      <c r="G271" s="113">
        <v>0.17</v>
      </c>
      <c r="H271" s="113">
        <v>0.17749999999999999</v>
      </c>
      <c r="I271" s="114">
        <v>5.2510000000000003</v>
      </c>
      <c r="J271" s="113">
        <v>5.2560000000000002</v>
      </c>
      <c r="K271" s="113">
        <v>5.2610000000000001</v>
      </c>
      <c r="L271" s="113">
        <v>0.5</v>
      </c>
      <c r="M271" s="113">
        <v>0</v>
      </c>
      <c r="O271" s="97"/>
      <c r="P271" s="127"/>
      <c r="Q271" s="127"/>
      <c r="R271" s="280">
        <f t="shared" ca="1" si="27"/>
        <v>44652</v>
      </c>
      <c r="S271" s="142">
        <f t="shared" si="34"/>
        <v>0.38</v>
      </c>
      <c r="T271" s="141">
        <f t="shared" si="35"/>
        <v>0.45</v>
      </c>
      <c r="U271" s="143">
        <f t="shared" si="29"/>
        <v>0.52</v>
      </c>
      <c r="BP271" s="103">
        <f t="shared" si="36"/>
        <v>270</v>
      </c>
      <c r="BQ271" s="155" t="s">
        <v>442</v>
      </c>
      <c r="BR271" s="102" t="s">
        <v>166</v>
      </c>
      <c r="BS271" s="101" t="s">
        <v>167</v>
      </c>
      <c r="BT271" s="107" t="s">
        <v>168</v>
      </c>
      <c r="BU271" s="107"/>
      <c r="BV271" s="101">
        <v>1</v>
      </c>
      <c r="BW271" s="102" t="s">
        <v>1041</v>
      </c>
      <c r="BX271"/>
    </row>
    <row r="272" spans="1:76" ht="13.2">
      <c r="A272" s="125"/>
      <c r="B272" s="126">
        <f t="shared" ca="1" si="30"/>
        <v>44682</v>
      </c>
      <c r="C272" s="113">
        <v>6.3245767242928005E-2</v>
      </c>
      <c r="D272" s="113">
        <v>0.5</v>
      </c>
      <c r="E272" s="113">
        <v>0.5</v>
      </c>
      <c r="F272" s="113">
        <v>0.16250000000000001</v>
      </c>
      <c r="G272" s="113">
        <v>0.17</v>
      </c>
      <c r="H272" s="113">
        <v>0.17749999999999999</v>
      </c>
      <c r="I272" s="114">
        <v>5.226</v>
      </c>
      <c r="J272" s="113">
        <v>5.2310000000000008</v>
      </c>
      <c r="K272" s="113">
        <v>5.2360000000000007</v>
      </c>
      <c r="L272" s="113">
        <v>0.44</v>
      </c>
      <c r="M272" s="113">
        <v>0</v>
      </c>
      <c r="O272" s="97"/>
      <c r="P272" s="127"/>
      <c r="Q272" s="127"/>
      <c r="R272" s="280">
        <f t="shared" ca="1" si="27"/>
        <v>44682</v>
      </c>
      <c r="S272" s="142">
        <f t="shared" si="34"/>
        <v>0.43</v>
      </c>
      <c r="T272" s="141">
        <f t="shared" si="35"/>
        <v>0.5</v>
      </c>
      <c r="U272" s="143">
        <f t="shared" si="29"/>
        <v>0.57000000000000006</v>
      </c>
      <c r="BP272" s="103">
        <f t="shared" si="36"/>
        <v>271</v>
      </c>
      <c r="BQ272" s="155" t="s">
        <v>443</v>
      </c>
      <c r="BR272" s="102" t="s">
        <v>166</v>
      </c>
      <c r="BS272" s="101" t="s">
        <v>167</v>
      </c>
      <c r="BT272" s="107" t="s">
        <v>168</v>
      </c>
      <c r="BU272" s="107"/>
      <c r="BV272" s="101">
        <v>1</v>
      </c>
      <c r="BW272" s="102" t="s">
        <v>1042</v>
      </c>
      <c r="BX272"/>
    </row>
    <row r="273" spans="1:76" ht="13.2">
      <c r="A273" s="125"/>
      <c r="B273" s="126">
        <f t="shared" ca="1" si="30"/>
        <v>44713</v>
      </c>
      <c r="C273" s="113">
        <v>7.1107836399509003E-2</v>
      </c>
      <c r="D273" s="113">
        <v>1.45</v>
      </c>
      <c r="E273" s="113">
        <v>1.45</v>
      </c>
      <c r="F273" s="113">
        <v>0.14249999999999999</v>
      </c>
      <c r="G273" s="113">
        <v>0.15</v>
      </c>
      <c r="H273" s="113">
        <v>0.1575</v>
      </c>
      <c r="I273" s="114">
        <v>4.7294999999999998</v>
      </c>
      <c r="J273" s="113">
        <v>4.7344999999999997</v>
      </c>
      <c r="K273" s="113">
        <v>4.7394999999999996</v>
      </c>
      <c r="L273" s="113">
        <v>1.595</v>
      </c>
      <c r="M273" s="113">
        <v>1.595</v>
      </c>
      <c r="O273" s="97"/>
      <c r="P273" s="127"/>
      <c r="Q273" s="127"/>
      <c r="R273" s="280">
        <f t="shared" ref="R273:R310" ca="1" si="37">B273</f>
        <v>44713</v>
      </c>
      <c r="S273" s="142">
        <f t="shared" si="34"/>
        <v>1.38</v>
      </c>
      <c r="T273" s="141">
        <f t="shared" si="35"/>
        <v>1.45</v>
      </c>
      <c r="U273" s="143">
        <f t="shared" ref="U273:U310" si="38">$U$16+T273</f>
        <v>1.52</v>
      </c>
      <c r="BP273" s="103">
        <f t="shared" si="36"/>
        <v>272</v>
      </c>
      <c r="BQ273" s="155" t="s">
        <v>444</v>
      </c>
      <c r="BR273" s="102" t="s">
        <v>166</v>
      </c>
      <c r="BS273" s="101" t="s">
        <v>167</v>
      </c>
      <c r="BT273" s="107" t="s">
        <v>168</v>
      </c>
      <c r="BU273" s="107"/>
      <c r="BV273" s="101">
        <v>1</v>
      </c>
      <c r="BW273" s="102" t="s">
        <v>1043</v>
      </c>
      <c r="BX273"/>
    </row>
    <row r="274" spans="1:76" ht="13.2">
      <c r="A274" s="125"/>
      <c r="B274" s="126">
        <f t="shared" ref="B274:B337" ca="1" si="39">NextMonth(B273)</f>
        <v>44743</v>
      </c>
      <c r="C274" s="113">
        <v>7.1096411821189018E-2</v>
      </c>
      <c r="D274" s="113">
        <v>1</v>
      </c>
      <c r="E274" s="113">
        <v>1</v>
      </c>
      <c r="F274" s="113">
        <v>0.14249999999999999</v>
      </c>
      <c r="G274" s="113">
        <v>0.15</v>
      </c>
      <c r="H274" s="113">
        <v>0.1575</v>
      </c>
      <c r="I274" s="114">
        <v>4.6065000000000005</v>
      </c>
      <c r="J274" s="113">
        <v>4.6115000000000004</v>
      </c>
      <c r="K274" s="113">
        <v>4.6165000000000003</v>
      </c>
      <c r="L274" s="113">
        <v>0.96499999999999997</v>
      </c>
      <c r="M274" s="113">
        <v>0.96499999999999997</v>
      </c>
      <c r="O274" s="97"/>
      <c r="P274" s="127"/>
      <c r="Q274" s="127"/>
      <c r="R274" s="280">
        <f t="shared" ca="1" si="37"/>
        <v>44743</v>
      </c>
      <c r="S274" s="142">
        <f t="shared" si="34"/>
        <v>0.92999999999999994</v>
      </c>
      <c r="T274" s="141">
        <f t="shared" si="35"/>
        <v>1</v>
      </c>
      <c r="U274" s="143">
        <f t="shared" si="38"/>
        <v>1.07</v>
      </c>
      <c r="BP274" s="103">
        <f t="shared" si="36"/>
        <v>273</v>
      </c>
      <c r="BQ274" s="155" t="s">
        <v>445</v>
      </c>
      <c r="BR274" s="102" t="s">
        <v>166</v>
      </c>
      <c r="BS274" s="101" t="s">
        <v>167</v>
      </c>
      <c r="BT274" s="107" t="s">
        <v>168</v>
      </c>
      <c r="BU274" s="107"/>
      <c r="BV274" s="101">
        <v>1</v>
      </c>
      <c r="BW274" s="102" t="s">
        <v>1044</v>
      </c>
      <c r="BX274"/>
    </row>
    <row r="275" spans="1:76" ht="13.2">
      <c r="A275" s="125"/>
      <c r="B275" s="126">
        <f t="shared" ca="1" si="39"/>
        <v>44774</v>
      </c>
      <c r="C275" s="113">
        <v>7.1083763180955009E-2</v>
      </c>
      <c r="D275" s="113">
        <v>0.45</v>
      </c>
      <c r="E275" s="113">
        <v>0.45</v>
      </c>
      <c r="F275" s="113">
        <v>0.14249999999999999</v>
      </c>
      <c r="G275" s="113">
        <v>0.15</v>
      </c>
      <c r="H275" s="113">
        <v>0.1575</v>
      </c>
      <c r="I275" s="114">
        <v>4.4755000000000003</v>
      </c>
      <c r="J275" s="113">
        <v>4.4805000000000001</v>
      </c>
      <c r="K275" s="113">
        <v>4.4855</v>
      </c>
      <c r="L275" s="113">
        <v>0.45</v>
      </c>
      <c r="M275" s="113">
        <v>0.45</v>
      </c>
      <c r="O275" s="97"/>
      <c r="P275" s="127"/>
      <c r="Q275" s="127"/>
      <c r="R275" s="280">
        <f t="shared" ca="1" si="37"/>
        <v>44774</v>
      </c>
      <c r="S275" s="142">
        <f t="shared" si="34"/>
        <v>0.38</v>
      </c>
      <c r="T275" s="141">
        <f t="shared" si="35"/>
        <v>0.45</v>
      </c>
      <c r="U275" s="143">
        <f t="shared" si="38"/>
        <v>0.52</v>
      </c>
      <c r="BP275" s="103">
        <f t="shared" si="36"/>
        <v>274</v>
      </c>
      <c r="BQ275" s="155" t="s">
        <v>446</v>
      </c>
      <c r="BR275" s="102" t="s">
        <v>166</v>
      </c>
      <c r="BS275" s="101" t="s">
        <v>167</v>
      </c>
      <c r="BT275" s="107" t="s">
        <v>168</v>
      </c>
      <c r="BU275" s="107"/>
      <c r="BV275" s="101">
        <v>1</v>
      </c>
      <c r="BW275" s="102" t="s">
        <v>1045</v>
      </c>
      <c r="BX275"/>
    </row>
    <row r="276" spans="1:76" ht="13.2">
      <c r="A276" s="125"/>
      <c r="B276" s="126">
        <f t="shared" ca="1" si="39"/>
        <v>44805</v>
      </c>
      <c r="C276" s="113">
        <v>7.107152256142403E-2</v>
      </c>
      <c r="D276" s="113">
        <v>0.5</v>
      </c>
      <c r="E276" s="113">
        <v>0.5</v>
      </c>
      <c r="F276" s="113">
        <v>0.14249999999999999</v>
      </c>
      <c r="G276" s="113">
        <v>0.15</v>
      </c>
      <c r="H276" s="113">
        <v>0.1575</v>
      </c>
      <c r="I276" s="114">
        <v>4.4375</v>
      </c>
      <c r="J276" s="113">
        <v>4.4424999999999999</v>
      </c>
      <c r="K276" s="113">
        <v>4.4474999999999998</v>
      </c>
      <c r="L276" s="113">
        <v>0.40500000000000003</v>
      </c>
      <c r="M276" s="113">
        <v>0.40500000000000003</v>
      </c>
      <c r="O276" s="97"/>
      <c r="P276" s="127"/>
      <c r="Q276" s="127"/>
      <c r="R276" s="280">
        <f t="shared" ca="1" si="37"/>
        <v>44805</v>
      </c>
      <c r="S276" s="142">
        <f t="shared" si="34"/>
        <v>0.43</v>
      </c>
      <c r="T276" s="141">
        <f t="shared" si="35"/>
        <v>0.5</v>
      </c>
      <c r="U276" s="143">
        <f t="shared" si="38"/>
        <v>0.57000000000000006</v>
      </c>
      <c r="BP276" s="103">
        <f t="shared" si="36"/>
        <v>275</v>
      </c>
      <c r="BQ276" s="155" t="s">
        <v>447</v>
      </c>
      <c r="BR276" s="102" t="s">
        <v>166</v>
      </c>
      <c r="BS276" s="101" t="s">
        <v>167</v>
      </c>
      <c r="BT276" s="107" t="s">
        <v>168</v>
      </c>
      <c r="BU276" s="107"/>
      <c r="BV276" s="101">
        <v>1</v>
      </c>
      <c r="BW276" s="102" t="s">
        <v>1046</v>
      </c>
      <c r="BX276"/>
    </row>
    <row r="277" spans="1:76" ht="13.2">
      <c r="A277" s="125"/>
      <c r="B277" s="126">
        <f t="shared" ca="1" si="39"/>
        <v>44835</v>
      </c>
      <c r="C277" s="113">
        <v>7.1058873921295007E-2</v>
      </c>
      <c r="D277" s="113">
        <v>0.5</v>
      </c>
      <c r="E277" s="113">
        <v>0.5</v>
      </c>
      <c r="F277" s="113">
        <v>0.14249999999999999</v>
      </c>
      <c r="G277" s="113">
        <v>0.15</v>
      </c>
      <c r="H277" s="113">
        <v>0.1575</v>
      </c>
      <c r="I277" s="114">
        <v>4.4615</v>
      </c>
      <c r="J277" s="113">
        <v>4.4665000000000008</v>
      </c>
      <c r="K277" s="113">
        <v>4.4715000000000007</v>
      </c>
      <c r="L277" s="113">
        <v>0.39500000000000002</v>
      </c>
      <c r="M277" s="113">
        <v>0.39500000000000002</v>
      </c>
      <c r="O277" s="97"/>
      <c r="P277" s="127"/>
      <c r="Q277" s="127"/>
      <c r="R277" s="280">
        <f t="shared" ca="1" si="37"/>
        <v>44835</v>
      </c>
      <c r="S277" s="142">
        <f t="shared" si="34"/>
        <v>0.43</v>
      </c>
      <c r="T277" s="141">
        <f t="shared" si="35"/>
        <v>0.5</v>
      </c>
      <c r="U277" s="143">
        <f t="shared" si="38"/>
        <v>0.57000000000000006</v>
      </c>
      <c r="BP277" s="103">
        <f t="shared" si="36"/>
        <v>276</v>
      </c>
      <c r="BQ277" s="155" t="s">
        <v>448</v>
      </c>
      <c r="BR277" s="102" t="s">
        <v>166</v>
      </c>
      <c r="BS277" s="101" t="s">
        <v>167</v>
      </c>
      <c r="BT277" s="107" t="s">
        <v>168</v>
      </c>
      <c r="BU277" s="107"/>
      <c r="BV277" s="101">
        <v>1</v>
      </c>
      <c r="BW277" s="102" t="s">
        <v>1047</v>
      </c>
      <c r="BX277"/>
    </row>
    <row r="278" spans="1:76" ht="13.2">
      <c r="A278" s="125"/>
      <c r="B278" s="126">
        <f t="shared" ca="1" si="39"/>
        <v>44866</v>
      </c>
      <c r="C278" s="113">
        <v>7.1046633301865017E-2</v>
      </c>
      <c r="D278" s="113">
        <v>0.5</v>
      </c>
      <c r="E278" s="113">
        <v>0.5</v>
      </c>
      <c r="F278" s="113">
        <v>0.14249999999999999</v>
      </c>
      <c r="G278" s="113">
        <v>0.15</v>
      </c>
      <c r="H278" s="113">
        <v>0.1575</v>
      </c>
      <c r="I278" s="114">
        <v>4.4695</v>
      </c>
      <c r="J278" s="113">
        <v>4.4744999999999999</v>
      </c>
      <c r="K278" s="113">
        <v>4.4794999999999998</v>
      </c>
      <c r="L278" s="113">
        <v>0.43</v>
      </c>
      <c r="M278" s="113">
        <v>0.43</v>
      </c>
      <c r="O278" s="97"/>
      <c r="P278" s="127"/>
      <c r="Q278" s="127"/>
      <c r="R278" s="280">
        <f t="shared" ca="1" si="37"/>
        <v>44866</v>
      </c>
      <c r="S278" s="142">
        <f t="shared" si="34"/>
        <v>0.43</v>
      </c>
      <c r="T278" s="141">
        <f t="shared" si="35"/>
        <v>0.5</v>
      </c>
      <c r="U278" s="143">
        <f t="shared" si="38"/>
        <v>0.57000000000000006</v>
      </c>
      <c r="BP278" s="103">
        <f t="shared" si="36"/>
        <v>277</v>
      </c>
      <c r="BQ278" s="155" t="s">
        <v>449</v>
      </c>
      <c r="BR278" s="102" t="s">
        <v>166</v>
      </c>
      <c r="BS278" s="101" t="s">
        <v>167</v>
      </c>
      <c r="BT278" s="107" t="s">
        <v>168</v>
      </c>
      <c r="BU278" s="107"/>
      <c r="BV278" s="101">
        <v>1</v>
      </c>
      <c r="BW278" s="102" t="s">
        <v>1048</v>
      </c>
      <c r="BX278"/>
    </row>
    <row r="279" spans="1:76" ht="13.2">
      <c r="A279" s="125"/>
      <c r="B279" s="126">
        <f t="shared" ca="1" si="39"/>
        <v>44896</v>
      </c>
      <c r="C279" s="113">
        <v>7.1033984661839022E-2</v>
      </c>
      <c r="D279" s="113">
        <v>0.6</v>
      </c>
      <c r="E279" s="113">
        <v>0.6</v>
      </c>
      <c r="F279" s="113">
        <v>0.14249999999999999</v>
      </c>
      <c r="G279" s="113">
        <v>0.15</v>
      </c>
      <c r="H279" s="113">
        <v>0.1575</v>
      </c>
      <c r="I279" s="114">
        <v>4.4735000000000005</v>
      </c>
      <c r="J279" s="113">
        <v>4.4785000000000004</v>
      </c>
      <c r="K279" s="113">
        <v>4.4835000000000003</v>
      </c>
      <c r="L279" s="113">
        <v>0.495</v>
      </c>
      <c r="M279" s="113">
        <v>0.495</v>
      </c>
      <c r="O279" s="97"/>
      <c r="P279" s="127"/>
      <c r="Q279" s="127"/>
      <c r="R279" s="280">
        <f t="shared" ca="1" si="37"/>
        <v>44896</v>
      </c>
      <c r="S279" s="142">
        <f t="shared" si="34"/>
        <v>0.53</v>
      </c>
      <c r="T279" s="141">
        <f t="shared" si="35"/>
        <v>0.6</v>
      </c>
      <c r="U279" s="143">
        <f t="shared" si="38"/>
        <v>0.66999999999999993</v>
      </c>
      <c r="BP279" s="103">
        <f t="shared" si="36"/>
        <v>278</v>
      </c>
      <c r="BQ279" s="155" t="s">
        <v>450</v>
      </c>
      <c r="BR279" s="102" t="s">
        <v>166</v>
      </c>
      <c r="BS279" s="101" t="s">
        <v>167</v>
      </c>
      <c r="BT279" s="107" t="s">
        <v>168</v>
      </c>
      <c r="BU279" s="107"/>
      <c r="BV279" s="101">
        <v>1</v>
      </c>
      <c r="BW279" s="102" t="s">
        <v>1049</v>
      </c>
      <c r="BX279"/>
    </row>
    <row r="280" spans="1:76" ht="13.2">
      <c r="A280" s="125"/>
      <c r="B280" s="126">
        <f t="shared" ca="1" si="39"/>
        <v>44927</v>
      </c>
      <c r="C280" s="113">
        <v>7.1021336021866999E-2</v>
      </c>
      <c r="D280" s="113">
        <v>0.6</v>
      </c>
      <c r="E280" s="113">
        <v>0.6</v>
      </c>
      <c r="F280" s="113">
        <v>0.14249999999999999</v>
      </c>
      <c r="G280" s="113">
        <v>0.15</v>
      </c>
      <c r="H280" s="113">
        <v>0.1575</v>
      </c>
      <c r="I280" s="114">
        <v>4.4435000000000002</v>
      </c>
      <c r="J280" s="113">
        <v>4.4485000000000001</v>
      </c>
      <c r="K280" s="113">
        <v>4.4535</v>
      </c>
      <c r="L280" s="113">
        <v>0.39500000000000002</v>
      </c>
      <c r="M280" s="113">
        <v>0.39500000000000002</v>
      </c>
      <c r="O280" s="97"/>
      <c r="P280" s="127"/>
      <c r="Q280" s="127"/>
      <c r="R280" s="280">
        <f t="shared" ca="1" si="37"/>
        <v>44927</v>
      </c>
      <c r="S280" s="142">
        <f t="shared" si="34"/>
        <v>0.53</v>
      </c>
      <c r="T280" s="141">
        <f t="shared" si="35"/>
        <v>0.6</v>
      </c>
      <c r="U280" s="143">
        <f t="shared" si="38"/>
        <v>0.66999999999999993</v>
      </c>
      <c r="BP280" s="103">
        <f t="shared" si="36"/>
        <v>279</v>
      </c>
      <c r="BQ280" s="155" t="s">
        <v>451</v>
      </c>
      <c r="BR280" s="102" t="s">
        <v>166</v>
      </c>
      <c r="BS280" s="101" t="s">
        <v>167</v>
      </c>
      <c r="BT280" s="107" t="s">
        <v>168</v>
      </c>
      <c r="BU280" s="107"/>
      <c r="BV280" s="101">
        <v>1</v>
      </c>
      <c r="BW280" s="102" t="s">
        <v>1050</v>
      </c>
      <c r="BX280"/>
    </row>
    <row r="281" spans="1:76" ht="13.2">
      <c r="A281" s="125"/>
      <c r="B281" s="126">
        <f t="shared" ca="1" si="39"/>
        <v>44958</v>
      </c>
      <c r="C281" s="113">
        <v>7.1009095402589012E-2</v>
      </c>
      <c r="D281" s="113">
        <v>0.65</v>
      </c>
      <c r="E281" s="113">
        <v>0.65</v>
      </c>
      <c r="F281" s="113">
        <v>0.14249999999999999</v>
      </c>
      <c r="G281" s="113">
        <v>0.15</v>
      </c>
      <c r="H281" s="113">
        <v>0.1575</v>
      </c>
      <c r="I281" s="114">
        <v>4.4055</v>
      </c>
      <c r="J281" s="113">
        <v>4.4104999999999999</v>
      </c>
      <c r="K281" s="113">
        <v>4.4155000000000006</v>
      </c>
      <c r="L281" s="113">
        <v>0.46100000000000002</v>
      </c>
      <c r="M281" s="113">
        <v>0.46100000000000002</v>
      </c>
      <c r="O281" s="97"/>
      <c r="P281" s="127"/>
      <c r="Q281" s="127"/>
      <c r="R281" s="280">
        <f t="shared" ca="1" si="37"/>
        <v>44958</v>
      </c>
      <c r="S281" s="142">
        <f t="shared" si="34"/>
        <v>0.58000000000000007</v>
      </c>
      <c r="T281" s="141">
        <f t="shared" si="35"/>
        <v>0.65</v>
      </c>
      <c r="U281" s="143">
        <f t="shared" si="38"/>
        <v>0.72</v>
      </c>
      <c r="BP281" s="103">
        <f t="shared" si="36"/>
        <v>280</v>
      </c>
      <c r="BQ281" s="155" t="s">
        <v>452</v>
      </c>
      <c r="BR281" s="102" t="s">
        <v>166</v>
      </c>
      <c r="BS281" s="101" t="s">
        <v>167</v>
      </c>
      <c r="BT281" s="107" t="s">
        <v>168</v>
      </c>
      <c r="BU281" s="107"/>
      <c r="BV281" s="101">
        <v>1</v>
      </c>
      <c r="BW281" s="102" t="s">
        <v>1051</v>
      </c>
      <c r="BX281"/>
    </row>
    <row r="282" spans="1:76" ht="13.2">
      <c r="A282" s="125"/>
      <c r="B282" s="126">
        <f t="shared" ca="1" si="39"/>
        <v>44986</v>
      </c>
      <c r="C282" s="113">
        <v>7.0996446762720003E-2</v>
      </c>
      <c r="D282" s="113">
        <v>0.95</v>
      </c>
      <c r="E282" s="113">
        <v>0.95</v>
      </c>
      <c r="F282" s="113">
        <v>0.14249999999999999</v>
      </c>
      <c r="G282" s="113">
        <v>0.15</v>
      </c>
      <c r="H282" s="113">
        <v>0.1575</v>
      </c>
      <c r="I282" s="114">
        <v>4.4424999999999999</v>
      </c>
      <c r="J282" s="113">
        <v>4.4474999999999998</v>
      </c>
      <c r="K282" s="113">
        <v>4.4524999999999997</v>
      </c>
      <c r="L282" s="113">
        <v>0.88500000000000001</v>
      </c>
      <c r="M282" s="113">
        <v>0.88500000000000001</v>
      </c>
      <c r="O282" s="97"/>
      <c r="P282" s="127"/>
      <c r="Q282" s="127"/>
      <c r="R282" s="280">
        <f t="shared" ca="1" si="37"/>
        <v>44986</v>
      </c>
      <c r="S282" s="142">
        <f t="shared" si="34"/>
        <v>0.87999999999999989</v>
      </c>
      <c r="T282" s="141">
        <f t="shared" si="35"/>
        <v>0.95</v>
      </c>
      <c r="U282" s="143">
        <f t="shared" si="38"/>
        <v>1.02</v>
      </c>
      <c r="BP282" s="103">
        <f t="shared" si="36"/>
        <v>281</v>
      </c>
      <c r="BQ282" s="155" t="s">
        <v>453</v>
      </c>
      <c r="BR282" s="102" t="s">
        <v>166</v>
      </c>
      <c r="BS282" s="101" t="s">
        <v>167</v>
      </c>
      <c r="BT282" s="107" t="s">
        <v>168</v>
      </c>
      <c r="BU282" s="107"/>
      <c r="BV282" s="101">
        <v>1</v>
      </c>
      <c r="BW282" s="102" t="s">
        <v>1052</v>
      </c>
      <c r="BX282"/>
    </row>
    <row r="283" spans="1:76" ht="13.2">
      <c r="A283" s="125"/>
      <c r="B283" s="126">
        <f t="shared" ca="1" si="39"/>
        <v>45017</v>
      </c>
      <c r="C283" s="113">
        <v>7.0984206143543005E-2</v>
      </c>
      <c r="D283" s="113">
        <v>1.25</v>
      </c>
      <c r="E283" s="113">
        <v>1.25</v>
      </c>
      <c r="F283" s="113">
        <v>0.14249999999999999</v>
      </c>
      <c r="G283" s="113">
        <v>0.15</v>
      </c>
      <c r="H283" s="113">
        <v>0.1575</v>
      </c>
      <c r="I283" s="114">
        <v>4.4775</v>
      </c>
      <c r="J283" s="113">
        <v>4.4824999999999999</v>
      </c>
      <c r="K283" s="113">
        <v>4.4874999999999998</v>
      </c>
      <c r="L283" s="113">
        <v>1.31</v>
      </c>
      <c r="M283" s="113">
        <v>1.31</v>
      </c>
      <c r="O283" s="97"/>
      <c r="P283" s="127"/>
      <c r="Q283" s="127"/>
      <c r="R283" s="280">
        <f t="shared" ca="1" si="37"/>
        <v>45017</v>
      </c>
      <c r="S283" s="142">
        <f t="shared" si="34"/>
        <v>1.18</v>
      </c>
      <c r="T283" s="141">
        <f t="shared" si="35"/>
        <v>1.25</v>
      </c>
      <c r="U283" s="143">
        <f t="shared" si="38"/>
        <v>1.32</v>
      </c>
      <c r="BP283" s="103">
        <f t="shared" si="36"/>
        <v>282</v>
      </c>
      <c r="BQ283" s="155" t="s">
        <v>454</v>
      </c>
      <c r="BR283" s="102" t="s">
        <v>166</v>
      </c>
      <c r="BS283" s="101" t="s">
        <v>167</v>
      </c>
      <c r="BT283" s="107" t="s">
        <v>168</v>
      </c>
      <c r="BU283" s="107"/>
      <c r="BV283" s="101">
        <v>1</v>
      </c>
      <c r="BW283" s="102" t="s">
        <v>1053</v>
      </c>
      <c r="BX283"/>
    </row>
    <row r="284" spans="1:76" ht="13.2">
      <c r="A284" s="125"/>
      <c r="B284" s="126">
        <f t="shared" ca="1" si="39"/>
        <v>45047</v>
      </c>
      <c r="C284" s="113">
        <v>7.0971557503779009E-2</v>
      </c>
      <c r="D284" s="113">
        <v>1.45</v>
      </c>
      <c r="E284" s="113">
        <v>1.45</v>
      </c>
      <c r="F284" s="113">
        <v>0.14249999999999999</v>
      </c>
      <c r="G284" s="113">
        <v>0.15</v>
      </c>
      <c r="H284" s="113">
        <v>0.1575</v>
      </c>
      <c r="I284" s="114">
        <v>4.9260000000000002</v>
      </c>
      <c r="J284" s="113">
        <v>4.931</v>
      </c>
      <c r="K284" s="113">
        <v>4.9359999999999999</v>
      </c>
      <c r="L284" s="113">
        <v>1.645</v>
      </c>
      <c r="M284" s="113">
        <v>1.645</v>
      </c>
      <c r="O284" s="97"/>
      <c r="P284" s="127"/>
      <c r="Q284" s="127"/>
      <c r="R284" s="280">
        <f t="shared" ca="1" si="37"/>
        <v>45047</v>
      </c>
      <c r="S284" s="142">
        <f t="shared" si="34"/>
        <v>1.38</v>
      </c>
      <c r="T284" s="141">
        <f t="shared" si="35"/>
        <v>1.45</v>
      </c>
      <c r="U284" s="143">
        <f t="shared" si="38"/>
        <v>1.52</v>
      </c>
      <c r="BP284" s="103">
        <f t="shared" si="36"/>
        <v>283</v>
      </c>
      <c r="BQ284" s="155" t="s">
        <v>455</v>
      </c>
      <c r="BR284" s="102" t="s">
        <v>166</v>
      </c>
      <c r="BS284" s="101" t="s">
        <v>167</v>
      </c>
      <c r="BT284" s="107" t="s">
        <v>168</v>
      </c>
      <c r="BU284" s="107"/>
      <c r="BV284" s="101">
        <v>1</v>
      </c>
      <c r="BW284" s="102" t="s">
        <v>1054</v>
      </c>
      <c r="BX284"/>
    </row>
    <row r="285" spans="1:76" ht="13.2">
      <c r="A285" s="125"/>
      <c r="B285" s="126">
        <f t="shared" ca="1" si="39"/>
        <v>45078</v>
      </c>
      <c r="C285" s="113">
        <v>7.0958908864067013E-2</v>
      </c>
      <c r="D285" s="113">
        <v>1.45</v>
      </c>
      <c r="E285" s="113">
        <v>1.45</v>
      </c>
      <c r="F285" s="113">
        <v>0.14249999999999999</v>
      </c>
      <c r="G285" s="113">
        <v>0.15</v>
      </c>
      <c r="H285" s="113">
        <v>0.1575</v>
      </c>
      <c r="I285" s="114">
        <v>4.8330000000000002</v>
      </c>
      <c r="J285" s="113">
        <v>4.8380000000000001</v>
      </c>
      <c r="K285" s="113">
        <v>4.843</v>
      </c>
      <c r="L285" s="113">
        <v>1.595</v>
      </c>
      <c r="M285" s="113">
        <v>1.595</v>
      </c>
      <c r="O285" s="97"/>
      <c r="P285" s="127"/>
      <c r="Q285" s="127"/>
      <c r="R285" s="280">
        <f t="shared" ca="1" si="37"/>
        <v>45078</v>
      </c>
      <c r="S285" s="142">
        <f t="shared" si="34"/>
        <v>1.38</v>
      </c>
      <c r="T285" s="141">
        <f t="shared" si="35"/>
        <v>1.45</v>
      </c>
      <c r="U285" s="143">
        <f t="shared" si="38"/>
        <v>1.52</v>
      </c>
      <c r="BP285" s="103">
        <f t="shared" si="36"/>
        <v>284</v>
      </c>
      <c r="BQ285" s="155" t="s">
        <v>456</v>
      </c>
      <c r="BR285" s="102" t="s">
        <v>166</v>
      </c>
      <c r="BS285" s="101" t="s">
        <v>167</v>
      </c>
      <c r="BT285" s="107" t="s">
        <v>168</v>
      </c>
      <c r="BU285" s="107"/>
      <c r="BV285" s="101">
        <v>1</v>
      </c>
      <c r="BW285" s="102" t="s">
        <v>1055</v>
      </c>
      <c r="BX285"/>
    </row>
    <row r="286" spans="1:76" ht="13.2">
      <c r="A286" s="125"/>
      <c r="B286" s="126">
        <f t="shared" ca="1" si="39"/>
        <v>45108</v>
      </c>
      <c r="C286" s="113">
        <v>7.094748428630801E-2</v>
      </c>
      <c r="D286" s="113">
        <v>1</v>
      </c>
      <c r="E286" s="113">
        <v>1</v>
      </c>
      <c r="F286" s="113">
        <v>0.14249999999999999</v>
      </c>
      <c r="G286" s="113">
        <v>0.15</v>
      </c>
      <c r="H286" s="113">
        <v>0.1575</v>
      </c>
      <c r="I286" s="114">
        <v>4.7130000000000001</v>
      </c>
      <c r="J286" s="113">
        <v>4.718</v>
      </c>
      <c r="K286" s="113">
        <v>4.7229999999999999</v>
      </c>
      <c r="L286" s="113">
        <v>0.96499999999999997</v>
      </c>
      <c r="M286" s="113">
        <v>0.96499999999999997</v>
      </c>
      <c r="O286" s="97"/>
      <c r="P286" s="127"/>
      <c r="Q286" s="127"/>
      <c r="R286" s="280">
        <f t="shared" ca="1" si="37"/>
        <v>45108</v>
      </c>
      <c r="S286" s="142">
        <f t="shared" si="34"/>
        <v>0.92999999999999994</v>
      </c>
      <c r="T286" s="141">
        <f t="shared" si="35"/>
        <v>1</v>
      </c>
      <c r="U286" s="143">
        <f t="shared" si="38"/>
        <v>1.07</v>
      </c>
      <c r="BP286" s="103">
        <f t="shared" si="36"/>
        <v>285</v>
      </c>
      <c r="BQ286" s="155" t="s">
        <v>457</v>
      </c>
      <c r="BR286" s="102" t="s">
        <v>166</v>
      </c>
      <c r="BS286" s="101" t="s">
        <v>167</v>
      </c>
      <c r="BT286" s="107" t="s">
        <v>168</v>
      </c>
      <c r="BU286" s="107"/>
      <c r="BV286" s="101">
        <v>1</v>
      </c>
      <c r="BW286" s="102" t="s">
        <v>1056</v>
      </c>
      <c r="BX286"/>
    </row>
    <row r="287" spans="1:76" ht="13.2">
      <c r="A287" s="125"/>
      <c r="B287" s="126">
        <f t="shared" ca="1" si="39"/>
        <v>45139</v>
      </c>
      <c r="C287" s="113">
        <v>7.0934835646697017E-2</v>
      </c>
      <c r="D287" s="113">
        <v>0.45</v>
      </c>
      <c r="E287" s="113">
        <v>0.45</v>
      </c>
      <c r="F287" s="113">
        <v>0.14249999999999999</v>
      </c>
      <c r="G287" s="113">
        <v>0.15</v>
      </c>
      <c r="H287" s="113">
        <v>0.1575</v>
      </c>
      <c r="I287" s="114">
        <v>4.585</v>
      </c>
      <c r="J287" s="113">
        <v>4.59</v>
      </c>
      <c r="K287" s="113">
        <v>4.5949999999999998</v>
      </c>
      <c r="L287" s="113">
        <v>0.45</v>
      </c>
      <c r="M287" s="113">
        <v>0.45</v>
      </c>
      <c r="O287" s="97"/>
      <c r="P287" s="127"/>
      <c r="Q287" s="127"/>
      <c r="R287" s="280">
        <f t="shared" ca="1" si="37"/>
        <v>45139</v>
      </c>
      <c r="S287" s="142">
        <f t="shared" si="34"/>
        <v>0.38</v>
      </c>
      <c r="T287" s="141">
        <f t="shared" si="35"/>
        <v>0.45</v>
      </c>
      <c r="U287" s="143">
        <f t="shared" si="38"/>
        <v>0.52</v>
      </c>
      <c r="BP287" s="103">
        <f t="shared" si="36"/>
        <v>286</v>
      </c>
      <c r="BQ287" s="155" t="s">
        <v>458</v>
      </c>
      <c r="BR287" s="102" t="s">
        <v>166</v>
      </c>
      <c r="BS287" s="101" t="s">
        <v>167</v>
      </c>
      <c r="BT287" s="107" t="s">
        <v>168</v>
      </c>
      <c r="BU287" s="107"/>
      <c r="BV287" s="101">
        <v>1</v>
      </c>
      <c r="BW287" s="102" t="s">
        <v>1057</v>
      </c>
      <c r="BX287"/>
    </row>
    <row r="288" spans="1:76" ht="13.2">
      <c r="A288" s="125"/>
      <c r="B288" s="126">
        <f t="shared" ca="1" si="39"/>
        <v>45170</v>
      </c>
      <c r="C288" s="113">
        <v>7.0922595027770027E-2</v>
      </c>
      <c r="D288" s="113">
        <v>0.5</v>
      </c>
      <c r="E288" s="113">
        <v>0.5</v>
      </c>
      <c r="F288" s="113">
        <v>0.14249999999999999</v>
      </c>
      <c r="G288" s="113">
        <v>0.15</v>
      </c>
      <c r="H288" s="113">
        <v>0.1575</v>
      </c>
      <c r="I288" s="114">
        <v>4.548</v>
      </c>
      <c r="J288" s="113">
        <v>4.5529999999999999</v>
      </c>
      <c r="K288" s="113">
        <v>4.5579999999999998</v>
      </c>
      <c r="L288" s="113">
        <v>0.40500000000000003</v>
      </c>
      <c r="M288" s="113">
        <v>0.40500000000000003</v>
      </c>
      <c r="O288" s="97"/>
      <c r="P288" s="127"/>
      <c r="Q288" s="127"/>
      <c r="R288" s="280">
        <f t="shared" ca="1" si="37"/>
        <v>45170</v>
      </c>
      <c r="S288" s="142">
        <f t="shared" si="34"/>
        <v>0.43</v>
      </c>
      <c r="T288" s="141">
        <f t="shared" si="35"/>
        <v>0.5</v>
      </c>
      <c r="U288" s="143">
        <f t="shared" si="38"/>
        <v>0.57000000000000006</v>
      </c>
      <c r="BP288" s="103">
        <f t="shared" si="36"/>
        <v>287</v>
      </c>
      <c r="BQ288" s="155" t="s">
        <v>459</v>
      </c>
      <c r="BR288" s="102" t="s">
        <v>166</v>
      </c>
      <c r="BS288" s="101" t="s">
        <v>167</v>
      </c>
      <c r="BT288" s="107" t="s">
        <v>168</v>
      </c>
      <c r="BU288" s="107"/>
      <c r="BV288" s="101">
        <v>1</v>
      </c>
      <c r="BW288" s="102" t="s">
        <v>1058</v>
      </c>
      <c r="BX288"/>
    </row>
    <row r="289" spans="1:76" ht="13.2">
      <c r="A289" s="125"/>
      <c r="B289" s="126">
        <f t="shared" ca="1" si="39"/>
        <v>45200</v>
      </c>
      <c r="C289" s="113">
        <v>7.0909946388262007E-2</v>
      </c>
      <c r="D289" s="113">
        <v>0.5</v>
      </c>
      <c r="E289" s="113">
        <v>0.5</v>
      </c>
      <c r="F289" s="113">
        <v>0.14249999999999999</v>
      </c>
      <c r="G289" s="113">
        <v>0.15</v>
      </c>
      <c r="H289" s="113">
        <v>0.1575</v>
      </c>
      <c r="I289" s="114">
        <v>4.5730000000000004</v>
      </c>
      <c r="J289" s="113">
        <v>4.5780000000000003</v>
      </c>
      <c r="K289" s="113">
        <v>4.5830000000000002</v>
      </c>
      <c r="L289" s="113">
        <v>0.39500000000000002</v>
      </c>
      <c r="M289" s="113">
        <v>0.39500000000000002</v>
      </c>
      <c r="O289" s="97"/>
      <c r="P289" s="127"/>
      <c r="Q289" s="127"/>
      <c r="R289" s="280">
        <f t="shared" ca="1" si="37"/>
        <v>45200</v>
      </c>
      <c r="S289" s="142">
        <f t="shared" si="34"/>
        <v>0.43</v>
      </c>
      <c r="T289" s="141">
        <f t="shared" si="35"/>
        <v>0.5</v>
      </c>
      <c r="U289" s="143">
        <f t="shared" si="38"/>
        <v>0.57000000000000006</v>
      </c>
      <c r="BP289" s="103">
        <f t="shared" si="36"/>
        <v>288</v>
      </c>
      <c r="BQ289" s="155" t="s">
        <v>460</v>
      </c>
      <c r="BR289" s="102" t="s">
        <v>166</v>
      </c>
      <c r="BS289" s="101" t="s">
        <v>167</v>
      </c>
      <c r="BT289" s="107" t="s">
        <v>168</v>
      </c>
      <c r="BU289" s="107"/>
      <c r="BV289" s="101">
        <v>1</v>
      </c>
      <c r="BW289" s="102" t="s">
        <v>1059</v>
      </c>
      <c r="BX289"/>
    </row>
    <row r="290" spans="1:76" ht="13.2">
      <c r="A290" s="125"/>
      <c r="B290" s="126">
        <f t="shared" ca="1" si="39"/>
        <v>45231</v>
      </c>
      <c r="C290" s="113">
        <v>7.0897705769435007E-2</v>
      </c>
      <c r="D290" s="113">
        <v>0.5</v>
      </c>
      <c r="E290" s="113">
        <v>0.5</v>
      </c>
      <c r="F290" s="113">
        <v>0.14249999999999999</v>
      </c>
      <c r="G290" s="113">
        <v>0.15</v>
      </c>
      <c r="H290" s="113">
        <v>0.1575</v>
      </c>
      <c r="I290" s="114">
        <v>4.5810000000000004</v>
      </c>
      <c r="J290" s="113">
        <v>4.5860000000000003</v>
      </c>
      <c r="K290" s="113">
        <v>4.5910000000000002</v>
      </c>
      <c r="L290" s="113">
        <v>0.43</v>
      </c>
      <c r="M290" s="113">
        <v>0.43</v>
      </c>
      <c r="O290" s="97"/>
      <c r="P290" s="127"/>
      <c r="Q290" s="127"/>
      <c r="R290" s="280">
        <f t="shared" ca="1" si="37"/>
        <v>45231</v>
      </c>
      <c r="S290" s="142">
        <f t="shared" si="34"/>
        <v>0.43</v>
      </c>
      <c r="T290" s="141">
        <f t="shared" si="35"/>
        <v>0.5</v>
      </c>
      <c r="U290" s="143">
        <f t="shared" si="38"/>
        <v>0.57000000000000006</v>
      </c>
      <c r="BP290" s="103">
        <f t="shared" si="36"/>
        <v>289</v>
      </c>
      <c r="BQ290" s="155" t="s">
        <v>461</v>
      </c>
      <c r="BR290" s="102" t="s">
        <v>166</v>
      </c>
      <c r="BS290" s="101" t="s">
        <v>167</v>
      </c>
      <c r="BT290" s="107" t="s">
        <v>168</v>
      </c>
      <c r="BU290" s="107"/>
      <c r="BV290" s="101">
        <v>1</v>
      </c>
      <c r="BW290" s="102" t="s">
        <v>1060</v>
      </c>
      <c r="BX290"/>
    </row>
    <row r="291" spans="1:76" ht="13.2">
      <c r="A291" s="125"/>
      <c r="B291" s="126">
        <f t="shared" ca="1" si="39"/>
        <v>45261</v>
      </c>
      <c r="C291" s="113">
        <v>7.0885057130032E-2</v>
      </c>
      <c r="D291" s="113">
        <v>0.6</v>
      </c>
      <c r="E291" s="113">
        <v>0.6</v>
      </c>
      <c r="F291" s="113">
        <v>0.14249999999999999</v>
      </c>
      <c r="G291" s="113">
        <v>0.15</v>
      </c>
      <c r="H291" s="113">
        <v>0.1575</v>
      </c>
      <c r="I291" s="114">
        <v>4.585</v>
      </c>
      <c r="J291" s="113">
        <v>4.59</v>
      </c>
      <c r="K291" s="113">
        <v>4.5949999999999998</v>
      </c>
      <c r="L291" s="113">
        <v>0.495</v>
      </c>
      <c r="M291" s="113">
        <v>0.495</v>
      </c>
      <c r="O291" s="97"/>
      <c r="P291" s="127"/>
      <c r="Q291" s="127"/>
      <c r="R291" s="280">
        <f t="shared" ca="1" si="37"/>
        <v>45261</v>
      </c>
      <c r="S291" s="142">
        <f t="shared" si="34"/>
        <v>0.53</v>
      </c>
      <c r="T291" s="141">
        <f t="shared" si="35"/>
        <v>0.6</v>
      </c>
      <c r="U291" s="143">
        <f t="shared" si="38"/>
        <v>0.66999999999999993</v>
      </c>
      <c r="BP291" s="103">
        <f t="shared" si="36"/>
        <v>290</v>
      </c>
      <c r="BQ291" s="155" t="s">
        <v>462</v>
      </c>
      <c r="BR291" s="102" t="s">
        <v>166</v>
      </c>
      <c r="BS291" s="101" t="s">
        <v>167</v>
      </c>
      <c r="BT291" s="107" t="s">
        <v>168</v>
      </c>
      <c r="BU291" s="107"/>
      <c r="BV291" s="101">
        <v>1</v>
      </c>
      <c r="BW291" s="102" t="s">
        <v>1061</v>
      </c>
      <c r="BX291"/>
    </row>
    <row r="292" spans="1:76" ht="13.2">
      <c r="A292" s="125"/>
      <c r="B292" s="126">
        <f t="shared" ca="1" si="39"/>
        <v>45292</v>
      </c>
      <c r="C292" s="113">
        <v>7.0872408490682007E-2</v>
      </c>
      <c r="D292" s="113">
        <v>0.6</v>
      </c>
      <c r="E292" s="113">
        <v>0.6</v>
      </c>
      <c r="F292" s="113">
        <v>0.14249999999999999</v>
      </c>
      <c r="G292" s="113">
        <v>0.15</v>
      </c>
      <c r="H292" s="113">
        <v>0.1575</v>
      </c>
      <c r="I292" s="114">
        <v>4.5540000000000003</v>
      </c>
      <c r="J292" s="113">
        <v>4.5590000000000002</v>
      </c>
      <c r="K292" s="113">
        <v>4.5640000000000001</v>
      </c>
      <c r="L292" s="113">
        <v>0.39500000000000002</v>
      </c>
      <c r="M292" s="113">
        <v>0.39500000000000002</v>
      </c>
      <c r="O292" s="97"/>
      <c r="P292" s="127"/>
      <c r="Q292" s="127"/>
      <c r="R292" s="280">
        <f t="shared" ca="1" si="37"/>
        <v>45292</v>
      </c>
      <c r="S292" s="142">
        <f t="shared" si="34"/>
        <v>0.53</v>
      </c>
      <c r="T292" s="141">
        <f t="shared" si="35"/>
        <v>0.6</v>
      </c>
      <c r="U292" s="143">
        <f t="shared" si="38"/>
        <v>0.66999999999999993</v>
      </c>
      <c r="BP292" s="103">
        <f t="shared" si="36"/>
        <v>291</v>
      </c>
      <c r="BQ292" s="155" t="s">
        <v>463</v>
      </c>
      <c r="BR292" s="102" t="s">
        <v>166</v>
      </c>
      <c r="BS292" s="101" t="s">
        <v>167</v>
      </c>
      <c r="BT292" s="107" t="s">
        <v>168</v>
      </c>
      <c r="BU292" s="107"/>
      <c r="BV292" s="101">
        <v>1</v>
      </c>
      <c r="BW292" s="102" t="s">
        <v>1062</v>
      </c>
      <c r="BX292"/>
    </row>
    <row r="293" spans="1:76" ht="13.2">
      <c r="A293" s="125"/>
      <c r="B293" s="126">
        <f t="shared" ca="1" si="39"/>
        <v>45323</v>
      </c>
      <c r="C293" s="113">
        <v>7.0860167872006996E-2</v>
      </c>
      <c r="D293" s="113">
        <v>0.65</v>
      </c>
      <c r="E293" s="113">
        <v>0.65</v>
      </c>
      <c r="F293" s="113">
        <v>0.14249999999999999</v>
      </c>
      <c r="G293" s="113">
        <v>0.15</v>
      </c>
      <c r="H293" s="113">
        <v>0.1575</v>
      </c>
      <c r="I293" s="114">
        <v>4.5149999999999997</v>
      </c>
      <c r="J293" s="113">
        <v>4.5199999999999996</v>
      </c>
      <c r="K293" s="113">
        <v>4.5250000000000004</v>
      </c>
      <c r="L293" s="113">
        <v>0.46100000000000002</v>
      </c>
      <c r="M293" s="113">
        <v>0.46100000000000002</v>
      </c>
      <c r="O293" s="97"/>
      <c r="P293" s="127"/>
      <c r="Q293" s="127"/>
      <c r="R293" s="280">
        <f t="shared" ca="1" si="37"/>
        <v>45323</v>
      </c>
      <c r="S293" s="142">
        <f t="shared" si="34"/>
        <v>0.58000000000000007</v>
      </c>
      <c r="T293" s="141">
        <f t="shared" si="35"/>
        <v>0.65</v>
      </c>
      <c r="U293" s="143">
        <f t="shared" si="38"/>
        <v>0.72</v>
      </c>
      <c r="BP293" s="103">
        <f t="shared" si="36"/>
        <v>292</v>
      </c>
      <c r="BQ293" s="155" t="s">
        <v>464</v>
      </c>
      <c r="BR293" s="102" t="s">
        <v>166</v>
      </c>
      <c r="BS293" s="101" t="s">
        <v>167</v>
      </c>
      <c r="BT293" s="107" t="s">
        <v>168</v>
      </c>
      <c r="BU293" s="107"/>
      <c r="BV293" s="101">
        <v>1</v>
      </c>
      <c r="BW293" s="102" t="s">
        <v>1063</v>
      </c>
      <c r="BX293"/>
    </row>
    <row r="294" spans="1:76" ht="13.2">
      <c r="A294" s="125"/>
      <c r="B294" s="126">
        <f t="shared" ca="1" si="39"/>
        <v>45352</v>
      </c>
      <c r="C294" s="113">
        <v>7.0847519232761003E-2</v>
      </c>
      <c r="D294" s="113">
        <v>0.95</v>
      </c>
      <c r="E294" s="113">
        <v>0.95</v>
      </c>
      <c r="F294" s="113">
        <v>0.14249999999999999</v>
      </c>
      <c r="G294" s="113">
        <v>0.15</v>
      </c>
      <c r="H294" s="113">
        <v>0.1575</v>
      </c>
      <c r="I294" s="114">
        <v>4.5469999999999997</v>
      </c>
      <c r="J294" s="113">
        <v>4.5519999999999996</v>
      </c>
      <c r="K294" s="113">
        <v>4.5570000000000004</v>
      </c>
      <c r="L294" s="113">
        <v>0.88500000000000001</v>
      </c>
      <c r="M294" s="113">
        <v>0.88500000000000001</v>
      </c>
      <c r="O294" s="97"/>
      <c r="P294" s="127"/>
      <c r="Q294" s="127"/>
      <c r="R294" s="280">
        <f t="shared" ca="1" si="37"/>
        <v>45352</v>
      </c>
      <c r="S294" s="142">
        <f t="shared" si="34"/>
        <v>0.87999999999999989</v>
      </c>
      <c r="T294" s="141">
        <f t="shared" si="35"/>
        <v>0.95</v>
      </c>
      <c r="U294" s="143">
        <f t="shared" si="38"/>
        <v>1.02</v>
      </c>
      <c r="BP294" s="103">
        <f t="shared" si="36"/>
        <v>293</v>
      </c>
      <c r="BQ294" s="155" t="s">
        <v>465</v>
      </c>
      <c r="BR294" s="102" t="s">
        <v>166</v>
      </c>
      <c r="BS294" s="101" t="s">
        <v>167</v>
      </c>
      <c r="BT294" s="107" t="s">
        <v>168</v>
      </c>
      <c r="BU294" s="107"/>
      <c r="BV294" s="101">
        <v>1</v>
      </c>
      <c r="BW294" s="102" t="s">
        <v>1064</v>
      </c>
      <c r="BX294"/>
    </row>
    <row r="295" spans="1:76" ht="13.2">
      <c r="A295" s="125"/>
      <c r="B295" s="126">
        <f t="shared" ca="1" si="39"/>
        <v>45383</v>
      </c>
      <c r="C295" s="113">
        <v>7.0835278614185995E-2</v>
      </c>
      <c r="D295" s="113">
        <v>1.25</v>
      </c>
      <c r="E295" s="113">
        <v>1.25</v>
      </c>
      <c r="F295" s="113">
        <v>0.14249999999999999</v>
      </c>
      <c r="G295" s="113">
        <v>0.15</v>
      </c>
      <c r="H295" s="113">
        <v>0.1575</v>
      </c>
      <c r="I295" s="114">
        <v>4.5790000000000006</v>
      </c>
      <c r="J295" s="113">
        <v>4.5840000000000005</v>
      </c>
      <c r="K295" s="113">
        <v>4.5890000000000004</v>
      </c>
      <c r="L295" s="113">
        <v>1.31</v>
      </c>
      <c r="M295" s="113">
        <v>1.31</v>
      </c>
      <c r="O295" s="97"/>
      <c r="P295" s="127"/>
      <c r="Q295" s="127"/>
      <c r="R295" s="280">
        <f t="shared" ca="1" si="37"/>
        <v>45383</v>
      </c>
      <c r="S295" s="142">
        <f t="shared" si="34"/>
        <v>1.18</v>
      </c>
      <c r="T295" s="141">
        <f t="shared" si="35"/>
        <v>1.25</v>
      </c>
      <c r="U295" s="143">
        <f t="shared" si="38"/>
        <v>1.32</v>
      </c>
      <c r="BP295" s="103">
        <f t="shared" si="36"/>
        <v>294</v>
      </c>
      <c r="BQ295" s="155" t="s">
        <v>466</v>
      </c>
      <c r="BR295" s="102" t="s">
        <v>166</v>
      </c>
      <c r="BS295" s="101" t="s">
        <v>167</v>
      </c>
      <c r="BT295" s="107" t="s">
        <v>168</v>
      </c>
      <c r="BU295" s="107"/>
      <c r="BV295" s="101">
        <v>1</v>
      </c>
      <c r="BW295" s="102" t="s">
        <v>1065</v>
      </c>
      <c r="BX295"/>
    </row>
    <row r="296" spans="1:76" ht="13.2">
      <c r="A296" s="125"/>
      <c r="B296" s="126">
        <f t="shared" ca="1" si="39"/>
        <v>45413</v>
      </c>
      <c r="C296" s="113">
        <v>7.0822629975044016E-2</v>
      </c>
      <c r="D296" s="113">
        <v>1.45</v>
      </c>
      <c r="E296" s="113">
        <v>1.45</v>
      </c>
      <c r="F296" s="113">
        <v>0.14349999999999999</v>
      </c>
      <c r="G296" s="113">
        <v>0.151</v>
      </c>
      <c r="H296" s="113">
        <v>0.1585</v>
      </c>
      <c r="I296" s="114">
        <v>4.0125000000000002</v>
      </c>
      <c r="J296" s="113">
        <v>4.0175000000000001</v>
      </c>
      <c r="K296" s="113">
        <v>-0.18100000000000002</v>
      </c>
      <c r="L296" s="113">
        <v>1.645</v>
      </c>
      <c r="M296" s="113">
        <v>1.645</v>
      </c>
      <c r="O296" s="97"/>
      <c r="P296" s="127"/>
      <c r="Q296" s="127"/>
      <c r="R296" s="280">
        <f t="shared" ca="1" si="37"/>
        <v>45413</v>
      </c>
      <c r="S296" s="142">
        <f t="shared" si="34"/>
        <v>1.38</v>
      </c>
      <c r="T296" s="141">
        <f t="shared" si="35"/>
        <v>1.45</v>
      </c>
      <c r="U296" s="143">
        <f t="shared" si="38"/>
        <v>1.52</v>
      </c>
      <c r="BP296" s="103">
        <f t="shared" si="36"/>
        <v>295</v>
      </c>
      <c r="BQ296" s="155" t="s">
        <v>467</v>
      </c>
      <c r="BR296" s="102" t="s">
        <v>166</v>
      </c>
      <c r="BS296" s="101" t="s">
        <v>167</v>
      </c>
      <c r="BT296" s="107" t="s">
        <v>168</v>
      </c>
      <c r="BU296" s="107"/>
      <c r="BV296" s="101">
        <v>1</v>
      </c>
      <c r="BW296" s="102" t="s">
        <v>1066</v>
      </c>
      <c r="BX296"/>
    </row>
    <row r="297" spans="1:76" ht="13.2">
      <c r="A297" s="125"/>
      <c r="B297" s="126">
        <f t="shared" ca="1" si="39"/>
        <v>45444</v>
      </c>
      <c r="C297" s="113">
        <v>7.0809981335955008E-2</v>
      </c>
      <c r="D297" s="113">
        <v>1.45</v>
      </c>
      <c r="E297" s="113">
        <v>1.45</v>
      </c>
      <c r="F297" s="113">
        <v>0.14349999999999999</v>
      </c>
      <c r="G297" s="113">
        <v>0.151</v>
      </c>
      <c r="H297" s="113">
        <v>0.1585</v>
      </c>
      <c r="I297" s="114">
        <v>3.9905000000000004</v>
      </c>
      <c r="J297" s="113">
        <v>3.9955000000000003</v>
      </c>
      <c r="K297" s="113">
        <v>-0.19</v>
      </c>
      <c r="L297" s="113">
        <v>1.595</v>
      </c>
      <c r="M297" s="113">
        <v>1.595</v>
      </c>
      <c r="O297" s="97"/>
      <c r="P297" s="127"/>
      <c r="Q297" s="127"/>
      <c r="R297" s="280">
        <f t="shared" ca="1" si="37"/>
        <v>45444</v>
      </c>
      <c r="S297" s="142">
        <f t="shared" si="34"/>
        <v>1.38</v>
      </c>
      <c r="T297" s="141">
        <f t="shared" si="35"/>
        <v>1.45</v>
      </c>
      <c r="U297" s="143">
        <f t="shared" si="38"/>
        <v>1.52</v>
      </c>
      <c r="BP297" s="103">
        <f t="shared" si="36"/>
        <v>296</v>
      </c>
      <c r="BQ297" s="155" t="s">
        <v>468</v>
      </c>
      <c r="BR297" s="102" t="s">
        <v>166</v>
      </c>
      <c r="BS297" s="101" t="s">
        <v>167</v>
      </c>
      <c r="BT297" s="107" t="s">
        <v>168</v>
      </c>
      <c r="BU297" s="107"/>
      <c r="BV297" s="101">
        <v>1</v>
      </c>
      <c r="BW297" s="102" t="s">
        <v>1067</v>
      </c>
      <c r="BX297"/>
    </row>
    <row r="298" spans="1:76" ht="13.2">
      <c r="A298" s="125"/>
      <c r="B298" s="126">
        <f t="shared" ca="1" si="39"/>
        <v>45474</v>
      </c>
      <c r="C298" s="113">
        <v>7.0798148738146008E-2</v>
      </c>
      <c r="D298" s="113">
        <v>1</v>
      </c>
      <c r="E298" s="113">
        <v>1</v>
      </c>
      <c r="F298" s="113">
        <v>0.14349999999999999</v>
      </c>
      <c r="G298" s="113">
        <v>0.151</v>
      </c>
      <c r="H298" s="113">
        <v>0.1585</v>
      </c>
      <c r="I298" s="114">
        <v>3.9944999999999999</v>
      </c>
      <c r="J298" s="113">
        <v>3.9994999999999998</v>
      </c>
      <c r="K298" s="113">
        <v>-0.19500000000000001</v>
      </c>
      <c r="L298" s="113">
        <v>0.96499999999999997</v>
      </c>
      <c r="M298" s="113">
        <v>0.96499999999999997</v>
      </c>
      <c r="O298" s="97"/>
      <c r="P298" s="127"/>
      <c r="Q298" s="127"/>
      <c r="R298" s="280">
        <f t="shared" ca="1" si="37"/>
        <v>45474</v>
      </c>
      <c r="S298" s="142">
        <f t="shared" si="34"/>
        <v>0.92999999999999994</v>
      </c>
      <c r="T298" s="141">
        <f t="shared" si="35"/>
        <v>1</v>
      </c>
      <c r="U298" s="143">
        <f t="shared" si="38"/>
        <v>1.07</v>
      </c>
      <c r="BP298" s="103">
        <f t="shared" si="36"/>
        <v>297</v>
      </c>
      <c r="BQ298" s="155" t="s">
        <v>469</v>
      </c>
      <c r="BR298" s="102" t="s">
        <v>166</v>
      </c>
      <c r="BS298" s="101" t="s">
        <v>167</v>
      </c>
      <c r="BT298" s="107" t="s">
        <v>168</v>
      </c>
      <c r="BU298" s="107"/>
      <c r="BV298" s="101">
        <v>1</v>
      </c>
      <c r="BW298" s="102" t="s">
        <v>1068</v>
      </c>
      <c r="BX298"/>
    </row>
    <row r="299" spans="1:76" ht="13.2">
      <c r="A299" s="125"/>
      <c r="B299" s="126">
        <f t="shared" ca="1" si="39"/>
        <v>45505</v>
      </c>
      <c r="C299" s="113">
        <v>7.0785500099159029E-2</v>
      </c>
      <c r="D299" s="113">
        <v>0.45</v>
      </c>
      <c r="E299" s="113">
        <v>0.45</v>
      </c>
      <c r="F299" s="113">
        <v>0.14349999999999999</v>
      </c>
      <c r="G299" s="113">
        <v>0.151</v>
      </c>
      <c r="H299" s="113">
        <v>0.1585</v>
      </c>
      <c r="I299" s="114">
        <v>4.0265000000000004</v>
      </c>
      <c r="J299" s="113">
        <v>4.0315000000000003</v>
      </c>
      <c r="K299" s="113">
        <v>-0.20300000000000001</v>
      </c>
      <c r="L299" s="113">
        <v>0.45</v>
      </c>
      <c r="M299" s="113">
        <v>0.45</v>
      </c>
      <c r="O299" s="97"/>
      <c r="P299" s="127"/>
      <c r="Q299" s="127"/>
      <c r="R299" s="280">
        <f t="shared" ca="1" si="37"/>
        <v>45505</v>
      </c>
      <c r="S299" s="142">
        <f t="shared" si="34"/>
        <v>0.38</v>
      </c>
      <c r="T299" s="141">
        <f t="shared" si="35"/>
        <v>0.45</v>
      </c>
      <c r="U299" s="143">
        <f t="shared" si="38"/>
        <v>0.52</v>
      </c>
      <c r="BP299" s="103">
        <f t="shared" si="36"/>
        <v>298</v>
      </c>
      <c r="BQ299" s="155" t="s">
        <v>470</v>
      </c>
      <c r="BR299" s="102" t="s">
        <v>166</v>
      </c>
      <c r="BS299" s="101" t="s">
        <v>167</v>
      </c>
      <c r="BT299" s="107" t="s">
        <v>168</v>
      </c>
      <c r="BU299" s="107"/>
      <c r="BV299" s="101">
        <v>1</v>
      </c>
      <c r="BW299" s="102" t="s">
        <v>1069</v>
      </c>
      <c r="BX299"/>
    </row>
    <row r="300" spans="1:76" ht="13.2">
      <c r="A300" s="125"/>
      <c r="B300" s="126">
        <f t="shared" ca="1" si="39"/>
        <v>45536</v>
      </c>
      <c r="C300" s="113">
        <v>7.0773259480835002E-2</v>
      </c>
      <c r="D300" s="113">
        <v>0.5</v>
      </c>
      <c r="E300" s="113">
        <v>0.5</v>
      </c>
      <c r="F300" s="113">
        <v>0.14349999999999999</v>
      </c>
      <c r="G300" s="113">
        <v>0.151</v>
      </c>
      <c r="H300" s="113">
        <v>0.1585</v>
      </c>
      <c r="I300" s="114">
        <v>4.0895000000000001</v>
      </c>
      <c r="J300" s="113">
        <v>4.0945</v>
      </c>
      <c r="K300" s="113">
        <v>-0.19800000000000001</v>
      </c>
      <c r="L300" s="113">
        <v>0.40500000000000003</v>
      </c>
      <c r="M300" s="113">
        <v>0.40500000000000003</v>
      </c>
      <c r="O300" s="97"/>
      <c r="P300" s="127"/>
      <c r="Q300" s="127"/>
      <c r="R300" s="280">
        <f t="shared" ca="1" si="37"/>
        <v>45536</v>
      </c>
      <c r="S300" s="142">
        <f t="shared" si="34"/>
        <v>0.43</v>
      </c>
      <c r="T300" s="141">
        <f t="shared" si="35"/>
        <v>0.5</v>
      </c>
      <c r="U300" s="143">
        <f t="shared" si="38"/>
        <v>0.57000000000000006</v>
      </c>
      <c r="BP300" s="103">
        <f t="shared" si="36"/>
        <v>299</v>
      </c>
      <c r="BQ300" s="155" t="s">
        <v>471</v>
      </c>
      <c r="BR300" s="102" t="s">
        <v>166</v>
      </c>
      <c r="BS300" s="101" t="s">
        <v>167</v>
      </c>
      <c r="BT300" s="107" t="s">
        <v>168</v>
      </c>
      <c r="BU300" s="107"/>
      <c r="BV300" s="101">
        <v>1</v>
      </c>
      <c r="BW300" s="102" t="s">
        <v>1070</v>
      </c>
      <c r="BX300"/>
    </row>
    <row r="301" spans="1:76" ht="13.2">
      <c r="A301" s="125"/>
      <c r="B301" s="126">
        <f t="shared" ca="1" si="39"/>
        <v>45566</v>
      </c>
      <c r="C301" s="113">
        <v>7.076061084195201E-2</v>
      </c>
      <c r="D301" s="113">
        <v>0.5</v>
      </c>
      <c r="E301" s="113">
        <v>0.5</v>
      </c>
      <c r="F301" s="113">
        <v>0.14349999999999999</v>
      </c>
      <c r="G301" s="113">
        <v>0.151</v>
      </c>
      <c r="H301" s="113">
        <v>0.1585</v>
      </c>
      <c r="I301" s="114">
        <v>4.1140000000000008</v>
      </c>
      <c r="J301" s="113">
        <v>4.1190000000000007</v>
      </c>
      <c r="K301" s="113">
        <v>-0.20499999999999999</v>
      </c>
      <c r="L301" s="113">
        <v>0.39500000000000002</v>
      </c>
      <c r="M301" s="113">
        <v>0.39500000000000002</v>
      </c>
      <c r="O301" s="97"/>
      <c r="P301" s="127"/>
      <c r="Q301" s="127"/>
      <c r="R301" s="280">
        <f t="shared" ca="1" si="37"/>
        <v>45566</v>
      </c>
      <c r="S301" s="142">
        <f t="shared" si="34"/>
        <v>0.43</v>
      </c>
      <c r="T301" s="141">
        <f t="shared" si="35"/>
        <v>0.5</v>
      </c>
      <c r="U301" s="143">
        <f t="shared" si="38"/>
        <v>0.57000000000000006</v>
      </c>
      <c r="BP301" s="103">
        <f t="shared" si="36"/>
        <v>300</v>
      </c>
      <c r="BQ301" s="155" t="s">
        <v>472</v>
      </c>
      <c r="BR301" s="102" t="s">
        <v>166</v>
      </c>
      <c r="BS301" s="101" t="s">
        <v>167</v>
      </c>
      <c r="BT301" s="107" t="s">
        <v>168</v>
      </c>
      <c r="BU301" s="107"/>
      <c r="BV301" s="101">
        <v>1</v>
      </c>
      <c r="BW301" s="102" t="s">
        <v>1071</v>
      </c>
      <c r="BX301"/>
    </row>
    <row r="302" spans="1:76" ht="13.2">
      <c r="A302" s="125"/>
      <c r="B302" s="126">
        <f t="shared" ca="1" si="39"/>
        <v>45597</v>
      </c>
      <c r="C302" s="113">
        <v>7.0748370223729012E-2</v>
      </c>
      <c r="D302" s="113">
        <v>0.5</v>
      </c>
      <c r="E302" s="113">
        <v>0.5</v>
      </c>
      <c r="F302" s="113">
        <v>0.14349999999999999</v>
      </c>
      <c r="G302" s="113">
        <v>0.151</v>
      </c>
      <c r="H302" s="113">
        <v>0.1585</v>
      </c>
      <c r="I302" s="114">
        <v>4.085</v>
      </c>
      <c r="J302" s="113">
        <v>4.09</v>
      </c>
      <c r="K302" s="113">
        <v>-0.19900000000000004</v>
      </c>
      <c r="L302" s="113">
        <v>0.43</v>
      </c>
      <c r="M302" s="113">
        <v>0.43</v>
      </c>
      <c r="O302" s="97"/>
      <c r="P302" s="127"/>
      <c r="Q302" s="127"/>
      <c r="R302" s="280">
        <f t="shared" ca="1" si="37"/>
        <v>45597</v>
      </c>
      <c r="S302" s="142">
        <f t="shared" si="34"/>
        <v>0.43</v>
      </c>
      <c r="T302" s="141">
        <f t="shared" si="35"/>
        <v>0.5</v>
      </c>
      <c r="U302" s="143">
        <f t="shared" si="38"/>
        <v>0.57000000000000006</v>
      </c>
      <c r="BP302" s="103">
        <f t="shared" si="36"/>
        <v>301</v>
      </c>
      <c r="BQ302" s="155" t="s">
        <v>473</v>
      </c>
      <c r="BR302" s="102" t="s">
        <v>166</v>
      </c>
      <c r="BS302" s="101" t="s">
        <v>167</v>
      </c>
      <c r="BT302" s="107" t="s">
        <v>168</v>
      </c>
      <c r="BU302" s="107"/>
      <c r="BV302" s="101">
        <v>1</v>
      </c>
      <c r="BW302" s="102" t="s">
        <v>1072</v>
      </c>
      <c r="BX302"/>
    </row>
    <row r="303" spans="1:76" ht="13.2">
      <c r="A303" s="125"/>
      <c r="B303" s="126">
        <f t="shared" ca="1" si="39"/>
        <v>45627</v>
      </c>
      <c r="C303" s="113">
        <v>7.0735721584951006E-2</v>
      </c>
      <c r="D303" s="113">
        <v>0.6</v>
      </c>
      <c r="E303" s="113">
        <v>0.6</v>
      </c>
      <c r="F303" s="113">
        <v>0.14349999999999999</v>
      </c>
      <c r="G303" s="113">
        <v>0.151</v>
      </c>
      <c r="H303" s="113">
        <v>0.1585</v>
      </c>
      <c r="I303" s="114">
        <v>4.0330000000000004</v>
      </c>
      <c r="J303" s="113">
        <v>4.0380000000000003</v>
      </c>
      <c r="K303" s="113">
        <v>-0.19</v>
      </c>
      <c r="L303" s="113">
        <v>0.495</v>
      </c>
      <c r="M303" s="113">
        <v>0.495</v>
      </c>
      <c r="O303" s="97"/>
      <c r="P303" s="127"/>
      <c r="Q303" s="127"/>
      <c r="R303" s="280">
        <f t="shared" ca="1" si="37"/>
        <v>45627</v>
      </c>
      <c r="S303" s="142">
        <f t="shared" si="34"/>
        <v>0.53</v>
      </c>
      <c r="T303" s="141">
        <f t="shared" si="35"/>
        <v>0.6</v>
      </c>
      <c r="U303" s="143">
        <f t="shared" si="38"/>
        <v>0.66999999999999993</v>
      </c>
      <c r="BP303" s="103">
        <f t="shared" si="36"/>
        <v>302</v>
      </c>
      <c r="BQ303" s="155" t="s">
        <v>474</v>
      </c>
      <c r="BR303" s="102" t="s">
        <v>166</v>
      </c>
      <c r="BS303" s="101" t="s">
        <v>167</v>
      </c>
      <c r="BT303" s="107" t="s">
        <v>168</v>
      </c>
      <c r="BU303" s="107"/>
      <c r="BV303" s="101">
        <v>1</v>
      </c>
      <c r="BW303" s="102" t="s">
        <v>1073</v>
      </c>
      <c r="BX303"/>
    </row>
    <row r="304" spans="1:76" ht="13.2">
      <c r="A304" s="125"/>
      <c r="B304" s="126">
        <f t="shared" ca="1" si="39"/>
        <v>45658</v>
      </c>
      <c r="C304" s="113">
        <v>7.0723072946225027E-2</v>
      </c>
      <c r="D304" s="113">
        <v>0.6</v>
      </c>
      <c r="E304" s="113">
        <v>0.6</v>
      </c>
      <c r="F304" s="113">
        <v>0.14349999999999999</v>
      </c>
      <c r="G304" s="113">
        <v>0.151</v>
      </c>
      <c r="H304" s="113">
        <v>0.1585</v>
      </c>
      <c r="I304" s="114">
        <v>3.9960000000000004</v>
      </c>
      <c r="J304" s="113">
        <v>4.0010000000000003</v>
      </c>
      <c r="K304" s="113">
        <v>-0.18600000000000003</v>
      </c>
      <c r="L304" s="113">
        <v>0.39500000000000002</v>
      </c>
      <c r="M304" s="113">
        <v>0.39500000000000002</v>
      </c>
      <c r="O304" s="97"/>
      <c r="P304" s="127"/>
      <c r="Q304" s="127"/>
      <c r="R304" s="280">
        <f t="shared" ca="1" si="37"/>
        <v>45658</v>
      </c>
      <c r="S304" s="142">
        <f t="shared" si="34"/>
        <v>0.53</v>
      </c>
      <c r="T304" s="141">
        <f t="shared" si="35"/>
        <v>0.6</v>
      </c>
      <c r="U304" s="143">
        <f t="shared" si="38"/>
        <v>0.66999999999999993</v>
      </c>
      <c r="BP304" s="103">
        <f t="shared" si="36"/>
        <v>303</v>
      </c>
      <c r="BQ304" s="155" t="s">
        <v>475</v>
      </c>
      <c r="BR304" s="102" t="s">
        <v>166</v>
      </c>
      <c r="BS304" s="101" t="s">
        <v>167</v>
      </c>
      <c r="BT304" s="107" t="s">
        <v>168</v>
      </c>
      <c r="BU304" s="107"/>
      <c r="BV304" s="101">
        <v>1</v>
      </c>
      <c r="BW304" s="102" t="s">
        <v>1074</v>
      </c>
      <c r="BX304"/>
    </row>
    <row r="305" spans="1:76" ht="13.2">
      <c r="A305" s="125"/>
      <c r="B305" s="126">
        <f t="shared" ca="1" si="39"/>
        <v>45689</v>
      </c>
      <c r="C305" s="113">
        <v>7.0710832328154005E-2</v>
      </c>
      <c r="D305" s="113">
        <v>0.65</v>
      </c>
      <c r="E305" s="113">
        <v>0.65</v>
      </c>
      <c r="F305" s="113">
        <v>0.14349999999999999</v>
      </c>
      <c r="G305" s="113">
        <v>0.151</v>
      </c>
      <c r="H305" s="113">
        <v>0.1585</v>
      </c>
      <c r="I305" s="114">
        <v>4.0579999999999998</v>
      </c>
      <c r="J305" s="113">
        <v>4.0630000000000006</v>
      </c>
      <c r="K305" s="113">
        <v>-0.17199999999999999</v>
      </c>
      <c r="L305" s="113">
        <v>0.46100000000000002</v>
      </c>
      <c r="M305" s="113">
        <v>0.46100000000000002</v>
      </c>
      <c r="O305" s="97"/>
      <c r="P305" s="127"/>
      <c r="Q305" s="127"/>
      <c r="R305" s="280">
        <f t="shared" ca="1" si="37"/>
        <v>45689</v>
      </c>
      <c r="S305" s="142">
        <f t="shared" si="34"/>
        <v>0.58000000000000007</v>
      </c>
      <c r="T305" s="141">
        <f t="shared" si="35"/>
        <v>0.65</v>
      </c>
      <c r="U305" s="143">
        <f t="shared" si="38"/>
        <v>0.72</v>
      </c>
      <c r="BP305" s="103">
        <f t="shared" si="36"/>
        <v>304</v>
      </c>
      <c r="BQ305" s="155" t="s">
        <v>476</v>
      </c>
      <c r="BR305" s="102" t="s">
        <v>166</v>
      </c>
      <c r="BS305" s="101" t="s">
        <v>167</v>
      </c>
      <c r="BT305" s="107" t="s">
        <v>168</v>
      </c>
      <c r="BU305" s="107"/>
      <c r="BV305" s="101">
        <v>1</v>
      </c>
      <c r="BW305" s="102" t="s">
        <v>1075</v>
      </c>
      <c r="BX305"/>
    </row>
    <row r="306" spans="1:76" ht="13.2">
      <c r="A306" s="125"/>
      <c r="B306" s="126">
        <f t="shared" ca="1" si="39"/>
        <v>45717</v>
      </c>
      <c r="C306" s="113">
        <v>7.0698183689531999E-2</v>
      </c>
      <c r="D306" s="113">
        <v>0.95</v>
      </c>
      <c r="E306" s="113">
        <v>0.95</v>
      </c>
      <c r="F306" s="113">
        <v>0.14349999999999999</v>
      </c>
      <c r="G306" s="113">
        <v>0.151</v>
      </c>
      <c r="H306" s="113">
        <v>0.1585</v>
      </c>
      <c r="I306" s="114">
        <v>4.2824999999999998</v>
      </c>
      <c r="J306" s="113">
        <v>4.2874999999999996</v>
      </c>
      <c r="K306" s="113">
        <v>-0.17199999999999999</v>
      </c>
      <c r="L306" s="113">
        <v>0.88500000000000001</v>
      </c>
      <c r="M306" s="113">
        <v>0.88500000000000001</v>
      </c>
      <c r="O306" s="97"/>
      <c r="P306" s="127"/>
      <c r="Q306" s="127"/>
      <c r="R306" s="280">
        <f t="shared" ca="1" si="37"/>
        <v>45717</v>
      </c>
      <c r="S306" s="142">
        <f t="shared" si="34"/>
        <v>0.87999999999999989</v>
      </c>
      <c r="T306" s="141">
        <f t="shared" si="35"/>
        <v>0.95</v>
      </c>
      <c r="U306" s="143">
        <f t="shared" si="38"/>
        <v>1.02</v>
      </c>
      <c r="BP306" s="103">
        <f t="shared" si="36"/>
        <v>305</v>
      </c>
      <c r="BQ306" s="155" t="s">
        <v>477</v>
      </c>
      <c r="BR306" s="102" t="s">
        <v>166</v>
      </c>
      <c r="BS306" s="101" t="s">
        <v>167</v>
      </c>
      <c r="BT306" s="107" t="s">
        <v>168</v>
      </c>
      <c r="BU306" s="107"/>
      <c r="BV306" s="101">
        <v>1</v>
      </c>
      <c r="BW306" s="102" t="s">
        <v>1076</v>
      </c>
      <c r="BX306"/>
    </row>
    <row r="307" spans="1:76" ht="13.2">
      <c r="A307" s="125"/>
      <c r="B307" s="126">
        <f t="shared" ca="1" si="39"/>
        <v>45748</v>
      </c>
      <c r="C307" s="113">
        <v>7.0685943071562007E-2</v>
      </c>
      <c r="D307" s="113">
        <v>1.25</v>
      </c>
      <c r="E307" s="113">
        <v>1.25</v>
      </c>
      <c r="F307" s="113">
        <v>0.14349999999999999</v>
      </c>
      <c r="G307" s="113">
        <v>0.151</v>
      </c>
      <c r="H307" s="113">
        <v>0.1585</v>
      </c>
      <c r="I307" s="114">
        <v>4.5545</v>
      </c>
      <c r="J307" s="113">
        <v>4.5594999999999999</v>
      </c>
      <c r="K307" s="113">
        <v>-0.17199999999999999</v>
      </c>
      <c r="L307" s="113">
        <v>1.31</v>
      </c>
      <c r="M307" s="113">
        <v>1.31</v>
      </c>
      <c r="O307" s="97"/>
      <c r="P307" s="127"/>
      <c r="Q307" s="127"/>
      <c r="R307" s="280">
        <f t="shared" ca="1" si="37"/>
        <v>45748</v>
      </c>
      <c r="S307" s="142">
        <f t="shared" si="34"/>
        <v>1.18</v>
      </c>
      <c r="T307" s="141">
        <f t="shared" si="35"/>
        <v>1.25</v>
      </c>
      <c r="U307" s="143">
        <f t="shared" si="38"/>
        <v>1.32</v>
      </c>
      <c r="BP307" s="103">
        <f t="shared" si="36"/>
        <v>306</v>
      </c>
      <c r="BQ307" s="155" t="s">
        <v>478</v>
      </c>
      <c r="BR307" s="102" t="s">
        <v>166</v>
      </c>
      <c r="BS307" s="101" t="s">
        <v>167</v>
      </c>
      <c r="BT307" s="107" t="s">
        <v>168</v>
      </c>
      <c r="BU307" s="107"/>
      <c r="BV307" s="101">
        <v>1</v>
      </c>
      <c r="BW307" s="102" t="s">
        <v>1077</v>
      </c>
      <c r="BX307"/>
    </row>
    <row r="308" spans="1:76" ht="13.2">
      <c r="A308" s="125"/>
      <c r="B308" s="126">
        <f t="shared" ca="1" si="39"/>
        <v>45778</v>
      </c>
      <c r="C308" s="113">
        <v>7.0673294433044015E-2</v>
      </c>
      <c r="D308" s="113">
        <v>1.45</v>
      </c>
      <c r="E308" s="113">
        <v>1.45</v>
      </c>
      <c r="F308" s="113">
        <v>0.14349999999999999</v>
      </c>
      <c r="G308" s="113">
        <v>0.151</v>
      </c>
      <c r="H308" s="113">
        <v>0.1585</v>
      </c>
      <c r="I308" s="114">
        <v>-5.0000000000000001E-3</v>
      </c>
      <c r="J308" s="113">
        <v>4.5970000000000004</v>
      </c>
      <c r="K308" s="113">
        <v>-0.17199999999999999</v>
      </c>
      <c r="L308" s="113">
        <v>1.645</v>
      </c>
      <c r="M308" s="113">
        <v>1.645</v>
      </c>
      <c r="O308" s="97"/>
      <c r="P308" s="127"/>
      <c r="Q308" s="127"/>
      <c r="R308" s="280">
        <f t="shared" ca="1" si="37"/>
        <v>45778</v>
      </c>
      <c r="S308" s="142">
        <f t="shared" si="34"/>
        <v>1.38</v>
      </c>
      <c r="T308" s="141">
        <f t="shared" si="35"/>
        <v>1.45</v>
      </c>
      <c r="U308" s="143">
        <f t="shared" si="38"/>
        <v>1.52</v>
      </c>
      <c r="BP308" s="103">
        <f t="shared" si="36"/>
        <v>307</v>
      </c>
      <c r="BQ308" s="155" t="s">
        <v>479</v>
      </c>
      <c r="BR308" s="102" t="s">
        <v>166</v>
      </c>
      <c r="BS308" s="101" t="s">
        <v>167</v>
      </c>
      <c r="BT308" s="107" t="s">
        <v>168</v>
      </c>
      <c r="BU308" s="107"/>
      <c r="BV308" s="101">
        <v>1</v>
      </c>
      <c r="BW308" s="102" t="s">
        <v>1078</v>
      </c>
      <c r="BX308"/>
    </row>
    <row r="309" spans="1:76" ht="13.2">
      <c r="A309" s="125"/>
      <c r="B309" s="126">
        <f t="shared" ca="1" si="39"/>
        <v>45809</v>
      </c>
      <c r="C309" s="113">
        <v>7.0660645794580021E-2</v>
      </c>
      <c r="D309" s="113">
        <v>1.45</v>
      </c>
      <c r="E309" s="113">
        <v>1.45</v>
      </c>
      <c r="F309" s="113">
        <v>0.14349999999999999</v>
      </c>
      <c r="G309" s="113">
        <v>0.151</v>
      </c>
      <c r="H309" s="113">
        <v>0.1585</v>
      </c>
      <c r="I309" s="114">
        <v>5.4160000000000004</v>
      </c>
      <c r="J309" s="113">
        <v>5.4210000000000003</v>
      </c>
      <c r="K309" s="113">
        <v>-0.17199999999999999</v>
      </c>
      <c r="L309" s="113">
        <v>1.595</v>
      </c>
      <c r="M309" s="113">
        <v>1.595</v>
      </c>
      <c r="O309" s="97"/>
      <c r="P309" s="127"/>
      <c r="Q309" s="127"/>
      <c r="R309" s="280">
        <f t="shared" ca="1" si="37"/>
        <v>45809</v>
      </c>
      <c r="S309" s="142">
        <f t="shared" si="34"/>
        <v>1.38</v>
      </c>
      <c r="T309" s="141">
        <f t="shared" si="35"/>
        <v>1.45</v>
      </c>
      <c r="U309" s="143">
        <f t="shared" si="38"/>
        <v>1.52</v>
      </c>
      <c r="BP309" s="103">
        <f t="shared" si="36"/>
        <v>308</v>
      </c>
      <c r="BQ309" s="155" t="s">
        <v>480</v>
      </c>
      <c r="BR309" s="102" t="s">
        <v>166</v>
      </c>
      <c r="BS309" s="101" t="s">
        <v>167</v>
      </c>
      <c r="BT309" s="107" t="s">
        <v>168</v>
      </c>
      <c r="BU309" s="107"/>
      <c r="BV309" s="101">
        <v>1</v>
      </c>
      <c r="BW309" s="102" t="s">
        <v>1079</v>
      </c>
      <c r="BX309"/>
    </row>
    <row r="310" spans="1:76" ht="13.2">
      <c r="A310" s="125"/>
      <c r="B310" s="126">
        <f t="shared" ca="1" si="39"/>
        <v>45839</v>
      </c>
      <c r="C310" s="113">
        <v>7.064922121794702E-2</v>
      </c>
      <c r="D310" s="113">
        <v>1</v>
      </c>
      <c r="E310" s="113">
        <v>1</v>
      </c>
      <c r="F310" s="113">
        <v>0.14349999999999999</v>
      </c>
      <c r="G310" s="113">
        <v>0.151</v>
      </c>
      <c r="H310" s="113">
        <v>0.1585</v>
      </c>
      <c r="I310" s="114">
        <v>5.4160000000000004</v>
      </c>
      <c r="J310" s="113">
        <v>5.4210000000000003</v>
      </c>
      <c r="K310" s="113">
        <v>-0.17199999999999999</v>
      </c>
      <c r="L310" s="113">
        <v>0.96499999999999997</v>
      </c>
      <c r="M310" s="113">
        <v>0.96499999999999997</v>
      </c>
      <c r="O310" s="97"/>
      <c r="P310" s="127"/>
      <c r="Q310" s="127"/>
      <c r="R310" s="280">
        <f t="shared" ca="1" si="37"/>
        <v>45839</v>
      </c>
      <c r="S310" s="142">
        <f t="shared" si="34"/>
        <v>0.92999999999999994</v>
      </c>
      <c r="T310" s="141">
        <f t="shared" si="35"/>
        <v>1</v>
      </c>
      <c r="U310" s="143">
        <f t="shared" si="38"/>
        <v>1.07</v>
      </c>
      <c r="BP310" s="103">
        <f t="shared" si="36"/>
        <v>309</v>
      </c>
      <c r="BQ310" s="155" t="s">
        <v>481</v>
      </c>
      <c r="BR310" s="102" t="s">
        <v>166</v>
      </c>
      <c r="BS310" s="101" t="s">
        <v>167</v>
      </c>
      <c r="BT310" s="107" t="s">
        <v>168</v>
      </c>
      <c r="BU310" s="107"/>
      <c r="BV310" s="101">
        <v>1</v>
      </c>
      <c r="BW310" s="102" t="s">
        <v>1080</v>
      </c>
      <c r="BX310"/>
    </row>
    <row r="311" spans="1:76" ht="13.2">
      <c r="A311" s="125"/>
      <c r="B311" s="126">
        <f t="shared" ca="1" si="39"/>
        <v>45870</v>
      </c>
      <c r="C311" s="113">
        <v>7.0636572579584E-2</v>
      </c>
      <c r="D311" s="113">
        <v>0.45</v>
      </c>
      <c r="E311" s="113">
        <v>0.45</v>
      </c>
      <c r="F311" s="113">
        <v>0.14349999999999999</v>
      </c>
      <c r="G311" s="113">
        <v>0.151</v>
      </c>
      <c r="H311" s="113">
        <v>0.1585</v>
      </c>
      <c r="I311" s="114"/>
      <c r="K311" s="129"/>
      <c r="L311" s="113">
        <v>0.45</v>
      </c>
      <c r="M311" s="113">
        <v>0.45</v>
      </c>
      <c r="R311" s="280">
        <f t="shared" ref="R311:R342" ca="1" si="40">EOMONTH(R310,0)+1</f>
        <v>45870</v>
      </c>
      <c r="BP311" s="103">
        <f t="shared" si="36"/>
        <v>310</v>
      </c>
      <c r="BQ311" s="155" t="s">
        <v>482</v>
      </c>
      <c r="BR311" s="102" t="s">
        <v>166</v>
      </c>
      <c r="BS311" s="101" t="s">
        <v>167</v>
      </c>
      <c r="BT311" s="107" t="s">
        <v>168</v>
      </c>
      <c r="BU311" s="107"/>
      <c r="BV311" s="101">
        <v>1</v>
      </c>
      <c r="BW311" s="102" t="s">
        <v>1081</v>
      </c>
      <c r="BX311"/>
    </row>
    <row r="312" spans="1:76" ht="13.2">
      <c r="A312" s="125"/>
      <c r="B312" s="126">
        <f t="shared" ca="1" si="39"/>
        <v>45901</v>
      </c>
      <c r="C312" s="113">
        <v>7.0624331961862019E-2</v>
      </c>
      <c r="D312" s="113">
        <v>0.5</v>
      </c>
      <c r="E312" s="113">
        <v>0.5</v>
      </c>
      <c r="F312" s="113">
        <v>0.14349999999999999</v>
      </c>
      <c r="G312" s="113">
        <v>0.151</v>
      </c>
      <c r="H312" s="113">
        <v>0.1585</v>
      </c>
      <c r="I312" s="114"/>
      <c r="K312" s="129"/>
      <c r="L312" s="113">
        <v>0.40500000000000003</v>
      </c>
      <c r="M312" s="113">
        <v>0.40500000000000003</v>
      </c>
      <c r="R312" s="280">
        <f t="shared" ca="1" si="40"/>
        <v>45901</v>
      </c>
      <c r="BP312" s="103">
        <f t="shared" si="36"/>
        <v>311</v>
      </c>
      <c r="BQ312" s="155" t="s">
        <v>483</v>
      </c>
      <c r="BR312" s="102" t="s">
        <v>166</v>
      </c>
      <c r="BS312" s="101" t="s">
        <v>167</v>
      </c>
      <c r="BT312" s="107" t="s">
        <v>168</v>
      </c>
      <c r="BU312" s="107"/>
      <c r="BV312" s="101">
        <v>1</v>
      </c>
      <c r="BW312" s="102" t="s">
        <v>1082</v>
      </c>
      <c r="BX312"/>
    </row>
    <row r="313" spans="1:76" ht="13.2">
      <c r="A313" s="125"/>
      <c r="B313" s="126">
        <f t="shared" ca="1" si="39"/>
        <v>45931</v>
      </c>
      <c r="C313" s="113">
        <v>7.0611683323602015E-2</v>
      </c>
      <c r="D313" s="113">
        <v>0.5</v>
      </c>
      <c r="E313" s="113">
        <v>0.5</v>
      </c>
      <c r="F313" s="113">
        <v>0.14349999999999999</v>
      </c>
      <c r="G313" s="113">
        <v>0.151</v>
      </c>
      <c r="H313" s="113">
        <v>0.1585</v>
      </c>
      <c r="I313" s="114"/>
      <c r="K313" s="129"/>
      <c r="L313" s="113">
        <v>0.39500000000000002</v>
      </c>
      <c r="M313" s="113">
        <v>0.39500000000000002</v>
      </c>
      <c r="R313" s="280">
        <f t="shared" ca="1" si="40"/>
        <v>45931</v>
      </c>
      <c r="BP313" s="103">
        <f t="shared" si="36"/>
        <v>312</v>
      </c>
      <c r="BQ313" s="155" t="s">
        <v>484</v>
      </c>
      <c r="BR313" s="102" t="s">
        <v>166</v>
      </c>
      <c r="BS313" s="101" t="s">
        <v>167</v>
      </c>
      <c r="BT313" s="107" t="s">
        <v>168</v>
      </c>
      <c r="BU313" s="107"/>
      <c r="BV313" s="101">
        <v>1</v>
      </c>
      <c r="BW313" s="102" t="s">
        <v>1083</v>
      </c>
      <c r="BX313"/>
    </row>
    <row r="314" spans="1:76" ht="13.2">
      <c r="A314" s="125"/>
      <c r="B314" s="126">
        <f t="shared" ca="1" si="39"/>
        <v>45962</v>
      </c>
      <c r="C314" s="113">
        <v>7.0599442705982021E-2</v>
      </c>
      <c r="D314" s="113">
        <v>0.5</v>
      </c>
      <c r="E314" s="113">
        <v>0.5</v>
      </c>
      <c r="F314" s="113">
        <v>0.14349999999999999</v>
      </c>
      <c r="G314" s="113">
        <v>0.151</v>
      </c>
      <c r="H314" s="113">
        <v>0.1585</v>
      </c>
      <c r="I314" s="114"/>
      <c r="K314" s="129"/>
      <c r="L314" s="113">
        <v>0.43</v>
      </c>
      <c r="M314" s="113">
        <v>0.43</v>
      </c>
      <c r="R314" s="280">
        <f t="shared" ca="1" si="40"/>
        <v>45962</v>
      </c>
      <c r="BP314" s="103">
        <f t="shared" si="36"/>
        <v>313</v>
      </c>
      <c r="BQ314" s="155" t="s">
        <v>485</v>
      </c>
      <c r="BR314" s="102" t="s">
        <v>166</v>
      </c>
      <c r="BS314" s="101" t="s">
        <v>167</v>
      </c>
      <c r="BT314" s="107" t="s">
        <v>168</v>
      </c>
      <c r="BU314" s="107"/>
      <c r="BV314" s="101">
        <v>1</v>
      </c>
      <c r="BW314" s="102" t="s">
        <v>1084</v>
      </c>
      <c r="BX314"/>
    </row>
    <row r="315" spans="1:76" ht="13.2">
      <c r="A315" s="125"/>
      <c r="B315" s="126">
        <f t="shared" ca="1" si="39"/>
        <v>45992</v>
      </c>
      <c r="C315" s="113">
        <v>7.0586794067826017E-2</v>
      </c>
      <c r="D315" s="113">
        <v>0.6</v>
      </c>
      <c r="E315" s="113">
        <v>0.6</v>
      </c>
      <c r="F315" s="113">
        <v>0.14349999999999999</v>
      </c>
      <c r="G315" s="113">
        <v>0.151</v>
      </c>
      <c r="H315" s="113">
        <v>0.1585</v>
      </c>
      <c r="I315" s="114"/>
      <c r="K315" s="129"/>
      <c r="L315" s="113">
        <v>0.495</v>
      </c>
      <c r="M315" s="113">
        <v>0.495</v>
      </c>
      <c r="R315" s="280">
        <f t="shared" ca="1" si="40"/>
        <v>45992</v>
      </c>
      <c r="BP315" s="103">
        <f t="shared" si="36"/>
        <v>314</v>
      </c>
      <c r="BQ315" s="155" t="s">
        <v>486</v>
      </c>
      <c r="BR315" s="102" t="s">
        <v>166</v>
      </c>
      <c r="BS315" s="101" t="s">
        <v>167</v>
      </c>
      <c r="BT315" s="107" t="s">
        <v>168</v>
      </c>
      <c r="BU315" s="107"/>
      <c r="BV315" s="101">
        <v>1</v>
      </c>
      <c r="BW315" s="102" t="s">
        <v>1085</v>
      </c>
      <c r="BX315"/>
    </row>
    <row r="316" spans="1:76" ht="13.2">
      <c r="A316" s="125"/>
      <c r="B316" s="126">
        <f t="shared" ca="1" si="39"/>
        <v>46023</v>
      </c>
      <c r="C316" s="113">
        <v>7.0574145429723012E-2</v>
      </c>
      <c r="D316" s="113">
        <v>0.6</v>
      </c>
      <c r="E316" s="113">
        <v>0.6</v>
      </c>
      <c r="F316" s="113">
        <v>0.14349999999999999</v>
      </c>
      <c r="G316" s="113">
        <v>0.151</v>
      </c>
      <c r="H316" s="113">
        <v>0.1585</v>
      </c>
      <c r="I316" s="114"/>
      <c r="K316" s="129"/>
      <c r="L316" s="113">
        <v>0.39500000000000002</v>
      </c>
      <c r="M316" s="113">
        <v>0.39500000000000002</v>
      </c>
      <c r="R316" s="280">
        <f t="shared" ca="1" si="40"/>
        <v>46023</v>
      </c>
      <c r="BP316" s="103">
        <f t="shared" si="36"/>
        <v>315</v>
      </c>
      <c r="BQ316" s="155" t="s">
        <v>487</v>
      </c>
      <c r="BR316" s="102" t="s">
        <v>166</v>
      </c>
      <c r="BS316" s="101" t="s">
        <v>167</v>
      </c>
      <c r="BT316" s="107" t="s">
        <v>168</v>
      </c>
      <c r="BU316" s="107"/>
      <c r="BV316" s="101">
        <v>1</v>
      </c>
      <c r="BW316" s="102" t="s">
        <v>1086</v>
      </c>
      <c r="BX316"/>
    </row>
    <row r="317" spans="1:76" ht="13.2">
      <c r="A317" s="125"/>
      <c r="B317" s="126">
        <f t="shared" ca="1" si="39"/>
        <v>46054</v>
      </c>
      <c r="C317" s="113">
        <v>7.0561904812253995E-2</v>
      </c>
      <c r="D317" s="113">
        <v>0.65</v>
      </c>
      <c r="E317" s="113">
        <v>0.65</v>
      </c>
      <c r="F317" s="113">
        <v>0.14349999999999999</v>
      </c>
      <c r="G317" s="113">
        <v>0.151</v>
      </c>
      <c r="H317" s="113">
        <v>0.1585</v>
      </c>
      <c r="I317" s="114"/>
      <c r="K317" s="129"/>
      <c r="L317" s="113">
        <v>0.46100000000000002</v>
      </c>
      <c r="M317" s="113">
        <v>0.46100000000000002</v>
      </c>
      <c r="R317" s="280">
        <f t="shared" ca="1" si="40"/>
        <v>46054</v>
      </c>
      <c r="BP317" s="103">
        <f t="shared" si="36"/>
        <v>316</v>
      </c>
      <c r="BQ317" s="155" t="s">
        <v>488</v>
      </c>
      <c r="BR317" s="102" t="s">
        <v>166</v>
      </c>
      <c r="BS317" s="101" t="s">
        <v>167</v>
      </c>
      <c r="BT317" s="107" t="s">
        <v>168</v>
      </c>
      <c r="BU317" s="107"/>
      <c r="BV317" s="101">
        <v>1</v>
      </c>
      <c r="BW317" s="102" t="s">
        <v>1087</v>
      </c>
      <c r="BX317"/>
    </row>
    <row r="318" spans="1:76" ht="13.2">
      <c r="A318" s="125"/>
      <c r="B318" s="126">
        <f t="shared" ca="1" si="39"/>
        <v>46082</v>
      </c>
      <c r="C318" s="113">
        <v>7.0549256174255004E-2</v>
      </c>
      <c r="D318" s="113">
        <v>0.95</v>
      </c>
      <c r="E318" s="113">
        <v>0.95</v>
      </c>
      <c r="F318" s="113">
        <v>0.14349999999999999</v>
      </c>
      <c r="G318" s="113">
        <v>0.151</v>
      </c>
      <c r="H318" s="113">
        <v>0.1585</v>
      </c>
      <c r="I318" s="114"/>
      <c r="K318" s="129"/>
      <c r="L318" s="113">
        <v>0.88500000000000001</v>
      </c>
      <c r="M318" s="113">
        <v>0.88500000000000001</v>
      </c>
      <c r="R318" s="280">
        <f t="shared" ca="1" si="40"/>
        <v>46082</v>
      </c>
      <c r="BP318" s="103">
        <f t="shared" si="36"/>
        <v>317</v>
      </c>
      <c r="BQ318" s="155" t="s">
        <v>489</v>
      </c>
      <c r="BR318" s="102" t="s">
        <v>166</v>
      </c>
      <c r="BS318" s="101" t="s">
        <v>167</v>
      </c>
      <c r="BT318" s="107" t="s">
        <v>168</v>
      </c>
      <c r="BU318" s="107"/>
      <c r="BV318" s="101">
        <v>1</v>
      </c>
      <c r="BW318" s="102" t="s">
        <v>1088</v>
      </c>
      <c r="BX318"/>
    </row>
    <row r="319" spans="1:76" ht="13.2">
      <c r="A319" s="125"/>
      <c r="B319" s="126">
        <f t="shared" ca="1" si="39"/>
        <v>46113</v>
      </c>
      <c r="C319" s="113">
        <v>7.0537015556887017E-2</v>
      </c>
      <c r="D319" s="113">
        <v>1.25</v>
      </c>
      <c r="E319" s="113">
        <v>1.25</v>
      </c>
      <c r="F319" s="113">
        <v>0.14349999999999999</v>
      </c>
      <c r="G319" s="113">
        <v>0.151</v>
      </c>
      <c r="H319" s="113">
        <v>0.1585</v>
      </c>
      <c r="I319" s="114"/>
      <c r="K319" s="129"/>
      <c r="L319" s="113">
        <v>1.31</v>
      </c>
      <c r="M319" s="113">
        <v>1.31</v>
      </c>
      <c r="R319" s="280">
        <f t="shared" ca="1" si="40"/>
        <v>46113</v>
      </c>
      <c r="BP319" s="103">
        <f t="shared" si="36"/>
        <v>318</v>
      </c>
      <c r="BQ319" s="155" t="s">
        <v>490</v>
      </c>
      <c r="BR319" s="102" t="s">
        <v>166</v>
      </c>
      <c r="BS319" s="101" t="s">
        <v>167</v>
      </c>
      <c r="BT319" s="107" t="s">
        <v>168</v>
      </c>
      <c r="BU319" s="107"/>
      <c r="BV319" s="101">
        <v>1</v>
      </c>
      <c r="BW319" s="102" t="s">
        <v>1089</v>
      </c>
      <c r="BX319"/>
    </row>
    <row r="320" spans="1:76" ht="13.2">
      <c r="A320" s="125"/>
      <c r="B320" s="126">
        <f t="shared" ca="1" si="39"/>
        <v>46143</v>
      </c>
      <c r="C320" s="113">
        <v>7.052436691900002E-2</v>
      </c>
      <c r="D320" s="113">
        <v>1.45</v>
      </c>
      <c r="E320" s="113">
        <v>1.45</v>
      </c>
      <c r="F320" s="113">
        <v>0.14349999999999999</v>
      </c>
      <c r="G320" s="113">
        <v>0.151</v>
      </c>
      <c r="H320" s="113">
        <v>0.1585</v>
      </c>
      <c r="I320" s="114"/>
      <c r="K320" s="129"/>
      <c r="L320" s="113">
        <v>1.645</v>
      </c>
      <c r="M320" s="113">
        <v>1.645</v>
      </c>
      <c r="R320" s="280">
        <f t="shared" ca="1" si="40"/>
        <v>46143</v>
      </c>
      <c r="BP320" s="103">
        <f t="shared" si="36"/>
        <v>319</v>
      </c>
      <c r="BQ320" s="155" t="s">
        <v>491</v>
      </c>
      <c r="BR320" s="102" t="s">
        <v>166</v>
      </c>
      <c r="BS320" s="101" t="s">
        <v>167</v>
      </c>
      <c r="BT320" s="107" t="s">
        <v>168</v>
      </c>
      <c r="BU320" s="107"/>
      <c r="BV320" s="101">
        <v>1</v>
      </c>
      <c r="BW320" s="102" t="s">
        <v>1090</v>
      </c>
      <c r="BX320"/>
    </row>
    <row r="321" spans="1:76" ht="13.2">
      <c r="A321" s="125"/>
      <c r="B321" s="126">
        <f t="shared" ca="1" si="39"/>
        <v>46174</v>
      </c>
      <c r="C321" s="113">
        <v>7.0511718281150007E-2</v>
      </c>
      <c r="D321" s="113">
        <v>1.45</v>
      </c>
      <c r="E321" s="113">
        <v>1.45</v>
      </c>
      <c r="F321" s="113">
        <v>0.14349999999999999</v>
      </c>
      <c r="G321" s="113">
        <v>0.151</v>
      </c>
      <c r="H321" s="113">
        <v>0.1585</v>
      </c>
      <c r="I321" s="114"/>
      <c r="K321" s="129"/>
      <c r="L321" s="113">
        <v>1.595</v>
      </c>
      <c r="M321" s="113">
        <v>1.595</v>
      </c>
      <c r="R321" s="280">
        <f t="shared" ca="1" si="40"/>
        <v>46174</v>
      </c>
      <c r="BP321" s="103">
        <f t="shared" si="36"/>
        <v>320</v>
      </c>
      <c r="BQ321" s="155" t="s">
        <v>492</v>
      </c>
      <c r="BR321" s="102" t="s">
        <v>166</v>
      </c>
      <c r="BS321" s="101" t="s">
        <v>167</v>
      </c>
      <c r="BT321" s="107" t="s">
        <v>168</v>
      </c>
      <c r="BU321" s="107"/>
      <c r="BV321" s="101">
        <v>1</v>
      </c>
      <c r="BW321" s="102" t="s">
        <v>1091</v>
      </c>
      <c r="BX321"/>
    </row>
    <row r="322" spans="1:76" ht="13.2">
      <c r="A322" s="125"/>
      <c r="B322" s="126">
        <f t="shared" ca="1" si="39"/>
        <v>46204</v>
      </c>
      <c r="C322" s="113">
        <v>7.0500293705081027E-2</v>
      </c>
      <c r="D322" s="113">
        <v>1</v>
      </c>
      <c r="E322" s="113">
        <v>1</v>
      </c>
      <c r="I322" s="114"/>
      <c r="K322" s="129"/>
      <c r="L322" s="113">
        <v>0.96499999999999997</v>
      </c>
      <c r="M322" s="113">
        <v>0.96499999999999997</v>
      </c>
      <c r="R322" s="280">
        <f t="shared" ca="1" si="40"/>
        <v>46204</v>
      </c>
      <c r="BP322" s="103">
        <f t="shared" ref="BP322:BP385" si="41">BP321+BV322</f>
        <v>321</v>
      </c>
      <c r="BQ322" s="155" t="s">
        <v>493</v>
      </c>
      <c r="BR322" s="102" t="s">
        <v>166</v>
      </c>
      <c r="BS322" s="101" t="s">
        <v>167</v>
      </c>
      <c r="BT322" s="107" t="s">
        <v>168</v>
      </c>
      <c r="BU322" s="107"/>
      <c r="BV322" s="101">
        <v>1</v>
      </c>
      <c r="BW322" s="102" t="s">
        <v>1092</v>
      </c>
      <c r="BX322"/>
    </row>
    <row r="323" spans="1:76" ht="13.2">
      <c r="A323" s="125"/>
      <c r="B323" s="126">
        <f t="shared" ca="1" si="39"/>
        <v>46235</v>
      </c>
      <c r="C323" s="113">
        <v>7.0487645067339011E-2</v>
      </c>
      <c r="D323" s="113">
        <v>0.45</v>
      </c>
      <c r="E323" s="113">
        <v>0.45</v>
      </c>
      <c r="I323" s="114"/>
      <c r="K323" s="129"/>
      <c r="L323" s="113">
        <v>0.45</v>
      </c>
      <c r="M323" s="113">
        <v>0.45</v>
      </c>
      <c r="R323" s="280">
        <f t="shared" ca="1" si="40"/>
        <v>46235</v>
      </c>
      <c r="BP323" s="103">
        <f t="shared" si="41"/>
        <v>322</v>
      </c>
      <c r="BQ323" s="155" t="s">
        <v>494</v>
      </c>
      <c r="BR323" s="102" t="s">
        <v>166</v>
      </c>
      <c r="BS323" s="101" t="s">
        <v>167</v>
      </c>
      <c r="BT323" s="107" t="s">
        <v>168</v>
      </c>
      <c r="BU323" s="107"/>
      <c r="BV323" s="101">
        <v>1</v>
      </c>
      <c r="BW323" s="102" t="s">
        <v>1093</v>
      </c>
      <c r="BX323"/>
    </row>
    <row r="324" spans="1:76" ht="13.2">
      <c r="A324" s="125"/>
      <c r="B324" s="126">
        <f t="shared" ca="1" si="39"/>
        <v>46266</v>
      </c>
      <c r="C324" s="113">
        <v>7.0475404450220006E-2</v>
      </c>
      <c r="D324" s="113">
        <v>0.5</v>
      </c>
      <c r="E324" s="113">
        <v>0.5</v>
      </c>
      <c r="I324" s="114"/>
      <c r="K324" s="129"/>
      <c r="L324" s="113">
        <v>0.40500000000000003</v>
      </c>
      <c r="M324" s="113">
        <v>0.40500000000000003</v>
      </c>
      <c r="R324" s="280">
        <f t="shared" ca="1" si="40"/>
        <v>46266</v>
      </c>
      <c r="BP324" s="103">
        <f t="shared" si="41"/>
        <v>323</v>
      </c>
      <c r="BQ324" s="155" t="s">
        <v>495</v>
      </c>
      <c r="BR324" s="102" t="s">
        <v>166</v>
      </c>
      <c r="BS324" s="101" t="s">
        <v>167</v>
      </c>
      <c r="BT324" s="107" t="s">
        <v>168</v>
      </c>
      <c r="BU324" s="107"/>
      <c r="BV324" s="101">
        <v>1</v>
      </c>
      <c r="BW324" s="102" t="s">
        <v>1094</v>
      </c>
      <c r="BX324"/>
    </row>
    <row r="325" spans="1:76" ht="13.2">
      <c r="A325" s="125"/>
      <c r="B325" s="126">
        <f t="shared" ca="1" si="39"/>
        <v>46296</v>
      </c>
      <c r="C325" s="113">
        <v>7.0462755812584016E-2</v>
      </c>
      <c r="D325" s="113">
        <v>0.5</v>
      </c>
      <c r="E325" s="113">
        <v>0.5</v>
      </c>
      <c r="I325" s="114"/>
      <c r="K325" s="129"/>
      <c r="L325" s="113">
        <v>0.39500000000000002</v>
      </c>
      <c r="M325" s="113">
        <v>0.39500000000000002</v>
      </c>
      <c r="R325" s="280">
        <f t="shared" ca="1" si="40"/>
        <v>46296</v>
      </c>
      <c r="BP325" s="103">
        <f t="shared" si="41"/>
        <v>324</v>
      </c>
      <c r="BQ325" s="155" t="s">
        <v>496</v>
      </c>
      <c r="BR325" s="102" t="s">
        <v>166</v>
      </c>
      <c r="BS325" s="101" t="s">
        <v>167</v>
      </c>
      <c r="BT325" s="107" t="s">
        <v>168</v>
      </c>
      <c r="BU325" s="107"/>
      <c r="BV325" s="101">
        <v>1</v>
      </c>
      <c r="BW325" s="102" t="s">
        <v>1095</v>
      </c>
      <c r="BX325"/>
    </row>
    <row r="326" spans="1:76" ht="13.2">
      <c r="A326" s="125"/>
      <c r="B326" s="126">
        <f t="shared" ca="1" si="39"/>
        <v>46327</v>
      </c>
      <c r="C326" s="113">
        <v>7.0450515195565014E-2</v>
      </c>
      <c r="D326" s="113">
        <v>0.5</v>
      </c>
      <c r="E326" s="113">
        <v>0.5</v>
      </c>
      <c r="I326" s="114"/>
      <c r="K326" s="129"/>
      <c r="L326" s="113">
        <v>0.43</v>
      </c>
      <c r="M326" s="113">
        <v>0.43</v>
      </c>
      <c r="R326" s="280">
        <f t="shared" ca="1" si="40"/>
        <v>46327</v>
      </c>
      <c r="BP326" s="103">
        <f t="shared" si="41"/>
        <v>325</v>
      </c>
      <c r="BQ326" s="155" t="s">
        <v>497</v>
      </c>
      <c r="BR326" s="102" t="s">
        <v>166</v>
      </c>
      <c r="BS326" s="101" t="s">
        <v>167</v>
      </c>
      <c r="BT326" s="107" t="s">
        <v>168</v>
      </c>
      <c r="BU326" s="107"/>
      <c r="BV326" s="101">
        <v>1</v>
      </c>
      <c r="BW326" s="102" t="s">
        <v>1096</v>
      </c>
      <c r="BX326"/>
    </row>
    <row r="327" spans="1:76" ht="13.2">
      <c r="A327" s="125"/>
      <c r="B327" s="126">
        <f t="shared" ca="1" si="39"/>
        <v>46357</v>
      </c>
      <c r="C327" s="113">
        <v>7.0437866558031997E-2</v>
      </c>
      <c r="D327" s="113">
        <v>0.6</v>
      </c>
      <c r="E327" s="113">
        <v>0.6</v>
      </c>
      <c r="I327" s="114"/>
      <c r="K327" s="129"/>
      <c r="L327" s="113">
        <v>0.495</v>
      </c>
      <c r="M327" s="113">
        <v>0.495</v>
      </c>
      <c r="R327" s="280">
        <f t="shared" ca="1" si="40"/>
        <v>46357</v>
      </c>
      <c r="BP327" s="103">
        <f t="shared" si="41"/>
        <v>326</v>
      </c>
      <c r="BQ327" s="155" t="s">
        <v>498</v>
      </c>
      <c r="BR327" s="102" t="s">
        <v>166</v>
      </c>
      <c r="BS327" s="101" t="s">
        <v>167</v>
      </c>
      <c r="BT327" s="107" t="s">
        <v>168</v>
      </c>
      <c r="BU327" s="107"/>
      <c r="BV327" s="101">
        <v>1</v>
      </c>
      <c r="BW327" s="102" t="s">
        <v>1097</v>
      </c>
      <c r="BX327"/>
    </row>
    <row r="328" spans="1:76" ht="13.2">
      <c r="A328" s="125"/>
      <c r="B328" s="126">
        <f t="shared" ca="1" si="39"/>
        <v>46388</v>
      </c>
      <c r="C328" s="113">
        <v>7.0425217920552008E-2</v>
      </c>
      <c r="D328" s="113">
        <v>0.6</v>
      </c>
      <c r="E328" s="113">
        <v>0.6</v>
      </c>
      <c r="I328" s="114"/>
      <c r="K328" s="129"/>
      <c r="L328" s="113">
        <v>0.39500000000000002</v>
      </c>
      <c r="M328" s="113">
        <v>0.39500000000000002</v>
      </c>
      <c r="R328" s="280">
        <f t="shared" ca="1" si="40"/>
        <v>46388</v>
      </c>
      <c r="BP328" s="103">
        <f t="shared" si="41"/>
        <v>327</v>
      </c>
      <c r="BQ328" s="155" t="s">
        <v>499</v>
      </c>
      <c r="BR328" s="102" t="s">
        <v>166</v>
      </c>
      <c r="BS328" s="101" t="s">
        <v>167</v>
      </c>
      <c r="BT328" s="107" t="s">
        <v>168</v>
      </c>
      <c r="BU328" s="107"/>
      <c r="BV328" s="101">
        <v>1</v>
      </c>
      <c r="BW328" s="102" t="s">
        <v>1098</v>
      </c>
      <c r="BX328"/>
    </row>
    <row r="329" spans="1:76" ht="13.2">
      <c r="A329" s="125"/>
      <c r="B329" s="126">
        <f t="shared" ca="1" si="39"/>
        <v>46419</v>
      </c>
      <c r="C329" s="113">
        <v>7.0412977303686008E-2</v>
      </c>
      <c r="D329" s="113">
        <v>0.65</v>
      </c>
      <c r="E329" s="113">
        <v>0.65</v>
      </c>
      <c r="I329" s="114"/>
      <c r="K329" s="129"/>
      <c r="L329" s="113">
        <v>0.46100000000000002</v>
      </c>
      <c r="M329" s="113">
        <v>0.46100000000000002</v>
      </c>
      <c r="R329" s="280">
        <f t="shared" ca="1" si="40"/>
        <v>46419</v>
      </c>
      <c r="BP329" s="103">
        <f t="shared" si="41"/>
        <v>328</v>
      </c>
      <c r="BQ329" s="155" t="s">
        <v>500</v>
      </c>
      <c r="BR329" s="102" t="s">
        <v>166</v>
      </c>
      <c r="BS329" s="101" t="s">
        <v>167</v>
      </c>
      <c r="BT329" s="107" t="s">
        <v>168</v>
      </c>
      <c r="BU329" s="107"/>
      <c r="BV329" s="101">
        <v>1</v>
      </c>
      <c r="BW329" s="102" t="s">
        <v>1099</v>
      </c>
      <c r="BX329"/>
    </row>
    <row r="330" spans="1:76" ht="13.2">
      <c r="A330" s="125"/>
      <c r="B330" s="126">
        <f t="shared" ca="1" si="39"/>
        <v>46447</v>
      </c>
      <c r="C330" s="113">
        <v>7.0400328666310005E-2</v>
      </c>
      <c r="D330" s="113">
        <v>0.95</v>
      </c>
      <c r="E330" s="113">
        <v>0.95</v>
      </c>
      <c r="I330" s="114"/>
      <c r="K330" s="129"/>
      <c r="L330" s="113">
        <v>0.88500000000000001</v>
      </c>
      <c r="M330" s="113">
        <v>0.88500000000000001</v>
      </c>
      <c r="R330" s="280">
        <f t="shared" ca="1" si="40"/>
        <v>46447</v>
      </c>
      <c r="BP330" s="103">
        <f t="shared" si="41"/>
        <v>329</v>
      </c>
      <c r="BQ330" s="155" t="s">
        <v>501</v>
      </c>
      <c r="BR330" s="102" t="s">
        <v>166</v>
      </c>
      <c r="BS330" s="101" t="s">
        <v>167</v>
      </c>
      <c r="BT330" s="107" t="s">
        <v>168</v>
      </c>
      <c r="BU330" s="107"/>
      <c r="BV330" s="101">
        <v>1</v>
      </c>
      <c r="BW330" s="102" t="s">
        <v>1100</v>
      </c>
      <c r="BX330"/>
    </row>
    <row r="331" spans="1:76" ht="13.2">
      <c r="A331" s="125"/>
      <c r="B331" s="126">
        <f t="shared" ca="1" si="39"/>
        <v>46478</v>
      </c>
      <c r="C331" s="113">
        <v>7.0388088049544009E-2</v>
      </c>
      <c r="D331" s="113">
        <v>1.25</v>
      </c>
      <c r="E331" s="113">
        <v>1.25</v>
      </c>
      <c r="I331" s="114"/>
      <c r="K331" s="129"/>
      <c r="L331" s="113">
        <v>1.31</v>
      </c>
      <c r="M331" s="113">
        <v>1.31</v>
      </c>
      <c r="R331" s="280">
        <f t="shared" ca="1" si="40"/>
        <v>46478</v>
      </c>
      <c r="BP331" s="103">
        <f t="shared" si="41"/>
        <v>330</v>
      </c>
      <c r="BQ331" s="155" t="s">
        <v>502</v>
      </c>
      <c r="BR331" s="102" t="s">
        <v>166</v>
      </c>
      <c r="BS331" s="101" t="s">
        <v>167</v>
      </c>
      <c r="BT331" s="107" t="s">
        <v>168</v>
      </c>
      <c r="BU331" s="107"/>
      <c r="BV331" s="101">
        <v>1</v>
      </c>
      <c r="BW331" s="102" t="s">
        <v>1101</v>
      </c>
      <c r="BX331"/>
    </row>
    <row r="332" spans="1:76" ht="13.2">
      <c r="A332" s="125"/>
      <c r="B332" s="126">
        <f t="shared" ca="1" si="39"/>
        <v>46508</v>
      </c>
      <c r="C332" s="113">
        <v>7.0375439412273005E-2</v>
      </c>
      <c r="D332" s="113">
        <v>1.45</v>
      </c>
      <c r="E332" s="113">
        <v>1.45</v>
      </c>
      <c r="I332" s="114"/>
      <c r="K332" s="129"/>
      <c r="L332" s="113">
        <v>1.645</v>
      </c>
      <c r="M332" s="113">
        <v>1.645</v>
      </c>
      <c r="R332" s="280">
        <f t="shared" ca="1" si="40"/>
        <v>46508</v>
      </c>
      <c r="BP332" s="103">
        <f t="shared" si="41"/>
        <v>331</v>
      </c>
      <c r="BQ332" s="155" t="s">
        <v>503</v>
      </c>
      <c r="BR332" s="102" t="s">
        <v>166</v>
      </c>
      <c r="BS332" s="101" t="s">
        <v>167</v>
      </c>
      <c r="BT332" s="107" t="s">
        <v>168</v>
      </c>
      <c r="BU332" s="107"/>
      <c r="BV332" s="101">
        <v>1</v>
      </c>
      <c r="BW332" s="102" t="s">
        <v>1102</v>
      </c>
      <c r="BX332"/>
    </row>
    <row r="333" spans="1:76" ht="13.2">
      <c r="A333" s="125"/>
      <c r="B333" s="126">
        <f t="shared" ca="1" si="39"/>
        <v>46539</v>
      </c>
      <c r="C333" s="113">
        <v>7.0362790775054015E-2</v>
      </c>
      <c r="D333" s="113">
        <v>1.45</v>
      </c>
      <c r="E333" s="113">
        <v>1.45</v>
      </c>
      <c r="I333" s="114"/>
      <c r="K333" s="129"/>
      <c r="L333" s="113">
        <v>1.595</v>
      </c>
      <c r="M333" s="113">
        <v>1.595</v>
      </c>
      <c r="R333" s="280">
        <f t="shared" ca="1" si="40"/>
        <v>46539</v>
      </c>
      <c r="BP333" s="103">
        <f t="shared" si="41"/>
        <v>332</v>
      </c>
      <c r="BQ333" s="155" t="s">
        <v>504</v>
      </c>
      <c r="BR333" s="102" t="s">
        <v>166</v>
      </c>
      <c r="BS333" s="101" t="s">
        <v>167</v>
      </c>
      <c r="BT333" s="107" t="s">
        <v>168</v>
      </c>
      <c r="BU333" s="107"/>
      <c r="BV333" s="101">
        <v>1</v>
      </c>
      <c r="BW333" s="102" t="s">
        <v>1103</v>
      </c>
      <c r="BX333"/>
    </row>
    <row r="334" spans="1:76" ht="13.2">
      <c r="A334" s="125"/>
      <c r="B334" s="126">
        <f t="shared" ca="1" si="39"/>
        <v>46569</v>
      </c>
      <c r="C334" s="113">
        <v>7.0351366199546017E-2</v>
      </c>
      <c r="D334" s="113">
        <v>1</v>
      </c>
      <c r="E334" s="113">
        <v>1</v>
      </c>
      <c r="I334" s="114"/>
      <c r="K334" s="129"/>
      <c r="L334" s="113">
        <v>0.96499999999999997</v>
      </c>
      <c r="M334" s="113">
        <v>0.96499999999999997</v>
      </c>
      <c r="R334" s="280">
        <f t="shared" ca="1" si="40"/>
        <v>46569</v>
      </c>
      <c r="BP334" s="103">
        <f t="shared" si="41"/>
        <v>333</v>
      </c>
      <c r="BQ334" s="155" t="s">
        <v>505</v>
      </c>
      <c r="BR334" s="102" t="s">
        <v>166</v>
      </c>
      <c r="BS334" s="101" t="s">
        <v>167</v>
      </c>
      <c r="BT334" s="107" t="s">
        <v>168</v>
      </c>
      <c r="BU334" s="107"/>
      <c r="BV334" s="101">
        <v>1</v>
      </c>
      <c r="BW334" s="102" t="s">
        <v>1104</v>
      </c>
      <c r="BX334"/>
    </row>
    <row r="335" spans="1:76" ht="13.2">
      <c r="A335" s="125"/>
      <c r="B335" s="126">
        <f t="shared" ca="1" si="39"/>
        <v>46600</v>
      </c>
      <c r="C335" s="113">
        <v>7.0338717562428002E-2</v>
      </c>
      <c r="D335" s="113">
        <v>0.45</v>
      </c>
      <c r="E335" s="113">
        <v>0.45</v>
      </c>
      <c r="I335" s="114"/>
      <c r="K335" s="129"/>
      <c r="L335" s="113">
        <v>0.45</v>
      </c>
      <c r="M335" s="113">
        <v>0.45</v>
      </c>
      <c r="R335" s="280">
        <f t="shared" ca="1" si="40"/>
        <v>46600</v>
      </c>
      <c r="BP335" s="103">
        <f t="shared" si="41"/>
        <v>334</v>
      </c>
      <c r="BQ335" s="155" t="s">
        <v>506</v>
      </c>
      <c r="BR335" s="102" t="s">
        <v>166</v>
      </c>
      <c r="BS335" s="101" t="s">
        <v>167</v>
      </c>
      <c r="BT335" s="107" t="s">
        <v>168</v>
      </c>
      <c r="BU335" s="107"/>
      <c r="BV335" s="101">
        <v>1</v>
      </c>
      <c r="BW335" s="102" t="s">
        <v>1105</v>
      </c>
      <c r="BX335"/>
    </row>
    <row r="336" spans="1:76" ht="13.2">
      <c r="A336" s="125"/>
      <c r="B336" s="126">
        <f t="shared" ca="1" si="39"/>
        <v>46631</v>
      </c>
      <c r="C336" s="113">
        <v>7.0326476945911015E-2</v>
      </c>
      <c r="D336" s="113">
        <v>0.5</v>
      </c>
      <c r="E336" s="113">
        <v>0.5</v>
      </c>
      <c r="I336" s="114"/>
      <c r="K336" s="129"/>
      <c r="L336" s="113">
        <v>0.40500000000000003</v>
      </c>
      <c r="M336" s="113">
        <v>0.40500000000000003</v>
      </c>
      <c r="R336" s="280">
        <f t="shared" ca="1" si="40"/>
        <v>46631</v>
      </c>
      <c r="BP336" s="103">
        <f t="shared" si="41"/>
        <v>335</v>
      </c>
      <c r="BQ336" s="155" t="s">
        <v>507</v>
      </c>
      <c r="BR336" s="102" t="s">
        <v>166</v>
      </c>
      <c r="BS336" s="101" t="s">
        <v>167</v>
      </c>
      <c r="BT336" s="107" t="s">
        <v>168</v>
      </c>
      <c r="BU336" s="107"/>
      <c r="BV336" s="101">
        <v>1</v>
      </c>
      <c r="BW336" s="102" t="s">
        <v>1106</v>
      </c>
      <c r="BX336"/>
    </row>
    <row r="337" spans="1:76" ht="13.2">
      <c r="A337" s="125"/>
      <c r="B337" s="126">
        <f t="shared" ca="1" si="39"/>
        <v>46661</v>
      </c>
      <c r="C337" s="113">
        <v>7.0313828308897014E-2</v>
      </c>
      <c r="D337" s="113">
        <v>0.5</v>
      </c>
      <c r="E337" s="113">
        <v>0.5</v>
      </c>
      <c r="I337" s="114"/>
      <c r="K337" s="129"/>
      <c r="L337" s="113">
        <v>0.39500000000000002</v>
      </c>
      <c r="M337" s="113">
        <v>0.39500000000000002</v>
      </c>
      <c r="R337" s="280">
        <f t="shared" ca="1" si="40"/>
        <v>46661</v>
      </c>
      <c r="BP337" s="103">
        <f t="shared" si="41"/>
        <v>336</v>
      </c>
      <c r="BQ337" s="155" t="s">
        <v>508</v>
      </c>
      <c r="BR337" s="102" t="s">
        <v>166</v>
      </c>
      <c r="BS337" s="101" t="s">
        <v>167</v>
      </c>
      <c r="BT337" s="107" t="s">
        <v>168</v>
      </c>
      <c r="BU337" s="107"/>
      <c r="BV337" s="101">
        <v>1</v>
      </c>
      <c r="BW337" s="102" t="s">
        <v>1107</v>
      </c>
      <c r="BX337"/>
    </row>
    <row r="338" spans="1:76" ht="13.2">
      <c r="A338" s="125"/>
      <c r="B338" s="126">
        <f t="shared" ref="B338:B377" ca="1" si="42">NextMonth(B337)</f>
        <v>46692</v>
      </c>
      <c r="C338" s="113">
        <v>7.0301587692482015E-2</v>
      </c>
      <c r="D338" s="113">
        <v>0.5</v>
      </c>
      <c r="E338" s="113">
        <v>0.5</v>
      </c>
      <c r="I338" s="114"/>
      <c r="K338" s="129"/>
      <c r="L338" s="113">
        <v>0.43</v>
      </c>
      <c r="M338" s="113">
        <v>0.43</v>
      </c>
      <c r="R338" s="280">
        <f t="shared" ca="1" si="40"/>
        <v>46692</v>
      </c>
      <c r="BP338" s="103">
        <f t="shared" si="41"/>
        <v>337</v>
      </c>
      <c r="BQ338" s="155" t="s">
        <v>509</v>
      </c>
      <c r="BR338" s="102" t="s">
        <v>166</v>
      </c>
      <c r="BS338" s="101" t="s">
        <v>167</v>
      </c>
      <c r="BT338" s="107" t="s">
        <v>168</v>
      </c>
      <c r="BU338" s="107"/>
      <c r="BV338" s="101">
        <v>1</v>
      </c>
      <c r="BW338" s="102" t="s">
        <v>1108</v>
      </c>
      <c r="BX338"/>
    </row>
    <row r="339" spans="1:76" ht="13.2">
      <c r="A339" s="125"/>
      <c r="B339" s="126">
        <f t="shared" ca="1" si="42"/>
        <v>46722</v>
      </c>
      <c r="C339" s="113">
        <v>7.0288939055571029E-2</v>
      </c>
      <c r="D339" s="113">
        <v>0.6</v>
      </c>
      <c r="E339" s="113">
        <v>0.6</v>
      </c>
      <c r="I339" s="114"/>
      <c r="K339" s="129"/>
      <c r="L339" s="113">
        <v>0.495</v>
      </c>
      <c r="M339" s="113">
        <v>0.495</v>
      </c>
      <c r="R339" s="280">
        <f t="shared" ca="1" si="40"/>
        <v>46722</v>
      </c>
      <c r="BP339" s="103">
        <f t="shared" si="41"/>
        <v>338</v>
      </c>
      <c r="BQ339" s="155" t="s">
        <v>510</v>
      </c>
      <c r="BR339" s="102" t="s">
        <v>166</v>
      </c>
      <c r="BS339" s="101" t="s">
        <v>167</v>
      </c>
      <c r="BT339" s="107" t="s">
        <v>168</v>
      </c>
      <c r="BU339" s="107"/>
      <c r="BV339" s="101">
        <v>1</v>
      </c>
      <c r="BW339" s="102" t="s">
        <v>1109</v>
      </c>
      <c r="BX339"/>
    </row>
    <row r="340" spans="1:76" ht="13.2">
      <c r="A340" s="125"/>
      <c r="B340" s="126">
        <f t="shared" ca="1" si="42"/>
        <v>46753</v>
      </c>
      <c r="C340" s="113">
        <v>7.0276290418714041E-2</v>
      </c>
      <c r="D340" s="113">
        <v>0.6</v>
      </c>
      <c r="E340" s="113">
        <v>0.6</v>
      </c>
      <c r="I340" s="114"/>
      <c r="K340" s="129"/>
      <c r="L340" s="113">
        <v>0.39500000000000002</v>
      </c>
      <c r="M340" s="113">
        <v>0.39500000000000002</v>
      </c>
      <c r="R340" s="280">
        <f t="shared" ca="1" si="40"/>
        <v>46753</v>
      </c>
      <c r="BP340" s="103">
        <f t="shared" si="41"/>
        <v>339</v>
      </c>
      <c r="BQ340" s="155" t="s">
        <v>511</v>
      </c>
      <c r="BR340" s="102" t="s">
        <v>166</v>
      </c>
      <c r="BS340" s="101" t="s">
        <v>167</v>
      </c>
      <c r="BT340" s="107" t="s">
        <v>168</v>
      </c>
      <c r="BU340" s="107"/>
      <c r="BV340" s="101">
        <v>1</v>
      </c>
      <c r="BW340" s="102" t="s">
        <v>1110</v>
      </c>
      <c r="BX340"/>
    </row>
    <row r="341" spans="1:76" ht="13.2">
      <c r="A341" s="125"/>
      <c r="B341" s="126">
        <f t="shared" ca="1" si="42"/>
        <v>46784</v>
      </c>
      <c r="C341" s="113">
        <v>7.0264049802450018E-2</v>
      </c>
      <c r="D341" s="113">
        <v>0.65</v>
      </c>
      <c r="E341" s="113">
        <v>0.65</v>
      </c>
      <c r="I341" s="114"/>
      <c r="K341" s="129"/>
      <c r="L341" s="113">
        <v>0.46100000000000002</v>
      </c>
      <c r="M341" s="113">
        <v>0.46100000000000002</v>
      </c>
      <c r="R341" s="280">
        <f t="shared" ca="1" si="40"/>
        <v>46784</v>
      </c>
      <c r="BP341" s="103">
        <f t="shared" si="41"/>
        <v>340</v>
      </c>
      <c r="BQ341" s="155" t="s">
        <v>512</v>
      </c>
      <c r="BR341" s="102" t="s">
        <v>166</v>
      </c>
      <c r="BS341" s="101" t="s">
        <v>167</v>
      </c>
      <c r="BT341" s="107" t="s">
        <v>168</v>
      </c>
      <c r="BU341" s="107"/>
      <c r="BV341" s="101">
        <v>1</v>
      </c>
      <c r="BW341" s="102" t="s">
        <v>1111</v>
      </c>
      <c r="BX341"/>
    </row>
    <row r="342" spans="1:76" ht="13.2">
      <c r="A342" s="125"/>
      <c r="B342" s="126">
        <f t="shared" ca="1" si="42"/>
        <v>46813</v>
      </c>
      <c r="C342" s="113">
        <v>7.0251401165697017E-2</v>
      </c>
      <c r="D342" s="113">
        <v>0.95</v>
      </c>
      <c r="E342" s="113">
        <v>0.95</v>
      </c>
      <c r="I342" s="114"/>
      <c r="K342" s="129"/>
      <c r="L342" s="113">
        <v>0.88500000000000001</v>
      </c>
      <c r="M342" s="113">
        <v>0.88500000000000001</v>
      </c>
      <c r="R342" s="280">
        <f t="shared" ca="1" si="40"/>
        <v>46813</v>
      </c>
      <c r="BP342" s="103">
        <f t="shared" si="41"/>
        <v>341</v>
      </c>
      <c r="BQ342" s="155" t="s">
        <v>513</v>
      </c>
      <c r="BR342" s="102" t="s">
        <v>166</v>
      </c>
      <c r="BS342" s="101" t="s">
        <v>167</v>
      </c>
      <c r="BT342" s="107" t="s">
        <v>168</v>
      </c>
      <c r="BU342" s="107"/>
      <c r="BV342" s="101">
        <v>1</v>
      </c>
      <c r="BW342" s="102" t="s">
        <v>1112</v>
      </c>
      <c r="BX342"/>
    </row>
    <row r="343" spans="1:76" ht="13.2">
      <c r="A343" s="125"/>
      <c r="B343" s="126">
        <f t="shared" ca="1" si="42"/>
        <v>46844</v>
      </c>
      <c r="C343" s="113">
        <v>7.023916054953401E-2</v>
      </c>
      <c r="D343" s="113">
        <v>1.25</v>
      </c>
      <c r="E343" s="113">
        <v>1.25</v>
      </c>
      <c r="I343" s="114"/>
      <c r="K343" s="129"/>
      <c r="L343" s="113">
        <v>1.31</v>
      </c>
      <c r="M343" s="113">
        <v>1.31</v>
      </c>
      <c r="R343" s="280">
        <f t="shared" ref="R343:R374" ca="1" si="43">EOMONTH(R342,0)+1</f>
        <v>46844</v>
      </c>
      <c r="BP343" s="103">
        <f t="shared" si="41"/>
        <v>342</v>
      </c>
      <c r="BQ343" s="155" t="s">
        <v>514</v>
      </c>
      <c r="BR343" s="102" t="s">
        <v>166</v>
      </c>
      <c r="BS343" s="101" t="s">
        <v>167</v>
      </c>
      <c r="BT343" s="107" t="s">
        <v>168</v>
      </c>
      <c r="BU343" s="107"/>
      <c r="BV343" s="101">
        <v>1</v>
      </c>
      <c r="BW343" s="102" t="s">
        <v>1113</v>
      </c>
      <c r="BX343"/>
    </row>
    <row r="344" spans="1:76" ht="13.2">
      <c r="A344" s="125"/>
      <c r="B344" s="126">
        <f t="shared" ca="1" si="42"/>
        <v>46874</v>
      </c>
      <c r="C344" s="113">
        <v>7.0226511912885009E-2</v>
      </c>
      <c r="D344" s="113">
        <v>0.55000000000000004</v>
      </c>
      <c r="E344" s="113">
        <v>0.55000000000000004</v>
      </c>
      <c r="I344" s="114"/>
      <c r="K344" s="129"/>
      <c r="L344" s="113">
        <v>1.645</v>
      </c>
      <c r="M344" s="113">
        <v>1.645</v>
      </c>
      <c r="R344" s="280">
        <f t="shared" ca="1" si="43"/>
        <v>46874</v>
      </c>
      <c r="BP344" s="103">
        <f t="shared" si="41"/>
        <v>343</v>
      </c>
      <c r="BQ344" s="155" t="s">
        <v>515</v>
      </c>
      <c r="BR344" s="102" t="s">
        <v>166</v>
      </c>
      <c r="BS344" s="101" t="s">
        <v>167</v>
      </c>
      <c r="BT344" s="107" t="s">
        <v>168</v>
      </c>
      <c r="BU344" s="107"/>
      <c r="BV344" s="101">
        <v>1</v>
      </c>
      <c r="BW344" s="102" t="s">
        <v>1114</v>
      </c>
      <c r="BX344"/>
    </row>
    <row r="345" spans="1:76" ht="13.2">
      <c r="A345" s="125"/>
      <c r="B345" s="126">
        <f t="shared" ca="1" si="42"/>
        <v>46905</v>
      </c>
      <c r="C345" s="113">
        <v>7.0213863276289021E-2</v>
      </c>
      <c r="D345" s="113">
        <v>0.55000000000000004</v>
      </c>
      <c r="E345" s="113">
        <v>0.55000000000000004</v>
      </c>
      <c r="I345" s="114"/>
      <c r="K345" s="129"/>
      <c r="L345" s="113">
        <v>1.595</v>
      </c>
      <c r="M345" s="113">
        <v>1.595</v>
      </c>
      <c r="R345" s="280">
        <f t="shared" ca="1" si="43"/>
        <v>46905</v>
      </c>
      <c r="BP345" s="103">
        <f t="shared" si="41"/>
        <v>344</v>
      </c>
      <c r="BQ345" s="155" t="s">
        <v>516</v>
      </c>
      <c r="BR345" s="102" t="s">
        <v>166</v>
      </c>
      <c r="BS345" s="101" t="s">
        <v>167</v>
      </c>
      <c r="BT345" s="107" t="s">
        <v>168</v>
      </c>
      <c r="BU345" s="107"/>
      <c r="BV345" s="101">
        <v>1</v>
      </c>
      <c r="BW345" s="102" t="s">
        <v>1115</v>
      </c>
      <c r="BX345"/>
    </row>
    <row r="346" spans="1:76" ht="13.2">
      <c r="A346" s="125"/>
      <c r="B346" s="126">
        <f t="shared" ca="1" si="42"/>
        <v>46935</v>
      </c>
      <c r="C346" s="113">
        <v>7.0202030680811017E-2</v>
      </c>
      <c r="D346" s="113">
        <v>0.6</v>
      </c>
      <c r="E346" s="113">
        <v>0.6</v>
      </c>
      <c r="I346" s="114"/>
      <c r="K346" s="129"/>
      <c r="L346" s="113">
        <v>0.96499999999999997</v>
      </c>
      <c r="M346" s="113">
        <v>0.96499999999999997</v>
      </c>
      <c r="R346" s="280">
        <f t="shared" ca="1" si="43"/>
        <v>46935</v>
      </c>
      <c r="BP346" s="103">
        <f t="shared" si="41"/>
        <v>345</v>
      </c>
      <c r="BQ346" s="155" t="s">
        <v>517</v>
      </c>
      <c r="BR346" s="102" t="s">
        <v>166</v>
      </c>
      <c r="BS346" s="101" t="s">
        <v>167</v>
      </c>
      <c r="BT346" s="107" t="s">
        <v>168</v>
      </c>
      <c r="BU346" s="107"/>
      <c r="BV346" s="101">
        <v>1</v>
      </c>
      <c r="BW346" s="102" t="s">
        <v>1116</v>
      </c>
      <c r="BX346"/>
    </row>
    <row r="347" spans="1:76" ht="13.2">
      <c r="A347" s="125"/>
      <c r="B347" s="126">
        <f t="shared" ca="1" si="42"/>
        <v>46966</v>
      </c>
      <c r="C347" s="113">
        <v>7.0189382044317017E-2</v>
      </c>
      <c r="D347" s="113">
        <v>0.8</v>
      </c>
      <c r="E347" s="113">
        <v>0.8</v>
      </c>
      <c r="I347" s="114"/>
      <c r="K347" s="129"/>
      <c r="L347" s="113">
        <v>0.45</v>
      </c>
      <c r="M347" s="113">
        <v>0.45</v>
      </c>
      <c r="R347" s="280">
        <f t="shared" ca="1" si="43"/>
        <v>46966</v>
      </c>
      <c r="BP347" s="103">
        <f t="shared" si="41"/>
        <v>346</v>
      </c>
      <c r="BQ347" s="155" t="s">
        <v>518</v>
      </c>
      <c r="BR347" s="102" t="s">
        <v>166</v>
      </c>
      <c r="BS347" s="101" t="s">
        <v>167</v>
      </c>
      <c r="BT347" s="107" t="s">
        <v>168</v>
      </c>
      <c r="BU347" s="107"/>
      <c r="BV347" s="101">
        <v>1</v>
      </c>
      <c r="BW347" s="102" t="s">
        <v>1117</v>
      </c>
      <c r="BX347"/>
    </row>
    <row r="348" spans="1:76" ht="13.2">
      <c r="A348" s="125"/>
      <c r="B348" s="126">
        <f t="shared" ca="1" si="42"/>
        <v>46997</v>
      </c>
      <c r="C348" s="113">
        <v>7.0177141428405004E-2</v>
      </c>
      <c r="D348" s="113">
        <v>1</v>
      </c>
      <c r="E348" s="113">
        <v>1</v>
      </c>
      <c r="I348" s="114"/>
      <c r="K348" s="129"/>
      <c r="L348" s="113">
        <v>0.40500000000000003</v>
      </c>
      <c r="M348" s="113">
        <v>0.40500000000000003</v>
      </c>
      <c r="R348" s="280">
        <f t="shared" ca="1" si="43"/>
        <v>46997</v>
      </c>
      <c r="BP348" s="103">
        <f t="shared" si="41"/>
        <v>347</v>
      </c>
      <c r="BQ348" s="155" t="s">
        <v>519</v>
      </c>
      <c r="BR348" s="102" t="s">
        <v>166</v>
      </c>
      <c r="BS348" s="101" t="s">
        <v>167</v>
      </c>
      <c r="BT348" s="107" t="s">
        <v>168</v>
      </c>
      <c r="BU348" s="107"/>
      <c r="BV348" s="101">
        <v>1</v>
      </c>
      <c r="BW348" s="102" t="s">
        <v>1118</v>
      </c>
      <c r="BX348"/>
    </row>
    <row r="349" spans="1:76" ht="13.2">
      <c r="A349" s="125"/>
      <c r="B349" s="126">
        <f t="shared" ca="1" si="42"/>
        <v>47027</v>
      </c>
      <c r="C349" s="113">
        <v>7.0164492792015004E-2</v>
      </c>
      <c r="D349" s="113">
        <v>1</v>
      </c>
      <c r="E349" s="113">
        <v>1</v>
      </c>
      <c r="I349" s="114"/>
      <c r="K349" s="129"/>
      <c r="L349" s="113">
        <v>0.39500000000000002</v>
      </c>
      <c r="M349" s="113">
        <v>0.39500000000000002</v>
      </c>
      <c r="R349" s="280">
        <f t="shared" ca="1" si="43"/>
        <v>47027</v>
      </c>
      <c r="BP349" s="103">
        <f t="shared" si="41"/>
        <v>348</v>
      </c>
      <c r="BQ349" s="155" t="s">
        <v>520</v>
      </c>
      <c r="BR349" s="102" t="s">
        <v>166</v>
      </c>
      <c r="BS349" s="101" t="s">
        <v>167</v>
      </c>
      <c r="BT349" s="107" t="s">
        <v>168</v>
      </c>
      <c r="BU349" s="107"/>
      <c r="BV349" s="101">
        <v>1</v>
      </c>
      <c r="BW349" s="102" t="s">
        <v>1119</v>
      </c>
      <c r="BX349"/>
    </row>
    <row r="350" spans="1:76" ht="13.2">
      <c r="A350" s="125"/>
      <c r="B350" s="126">
        <f t="shared" ca="1" si="42"/>
        <v>47058</v>
      </c>
      <c r="C350" s="113">
        <v>7.0152252176204022E-2</v>
      </c>
      <c r="D350" s="113">
        <v>1.1499999999999999</v>
      </c>
      <c r="E350" s="113">
        <v>1.1499999999999999</v>
      </c>
      <c r="I350" s="114"/>
      <c r="K350" s="129"/>
      <c r="L350" s="113">
        <v>0.43</v>
      </c>
      <c r="M350" s="113">
        <v>0.43</v>
      </c>
      <c r="R350" s="280">
        <f t="shared" ca="1" si="43"/>
        <v>47058</v>
      </c>
      <c r="BP350" s="103">
        <f t="shared" si="41"/>
        <v>349</v>
      </c>
      <c r="BQ350" s="155" t="s">
        <v>521</v>
      </c>
      <c r="BR350" s="102" t="s">
        <v>166</v>
      </c>
      <c r="BS350" s="101" t="s">
        <v>167</v>
      </c>
      <c r="BT350" s="107" t="s">
        <v>168</v>
      </c>
      <c r="BU350" s="107"/>
      <c r="BV350" s="101">
        <v>1</v>
      </c>
      <c r="BW350" s="102" t="s">
        <v>1120</v>
      </c>
      <c r="BX350"/>
    </row>
    <row r="351" spans="1:76" ht="13.2">
      <c r="A351" s="125"/>
      <c r="B351" s="126">
        <f t="shared" ca="1" si="42"/>
        <v>47088</v>
      </c>
      <c r="C351" s="113">
        <v>7.0139603539918022E-2</v>
      </c>
      <c r="D351" s="113">
        <v>1</v>
      </c>
      <c r="I351" s="114"/>
      <c r="K351" s="129"/>
      <c r="L351" s="113">
        <v>0.495</v>
      </c>
      <c r="M351" s="113">
        <v>0.495</v>
      </c>
      <c r="R351" s="280">
        <f t="shared" ca="1" si="43"/>
        <v>47088</v>
      </c>
      <c r="BP351" s="103">
        <f t="shared" si="41"/>
        <v>350</v>
      </c>
      <c r="BQ351" s="155" t="s">
        <v>522</v>
      </c>
      <c r="BR351" s="102" t="s">
        <v>166</v>
      </c>
      <c r="BS351" s="101" t="s">
        <v>167</v>
      </c>
      <c r="BT351" s="107" t="s">
        <v>168</v>
      </c>
      <c r="BU351" s="107"/>
      <c r="BV351" s="101">
        <v>1</v>
      </c>
      <c r="BW351" s="102" t="s">
        <v>1121</v>
      </c>
      <c r="BX351"/>
    </row>
    <row r="352" spans="1:76" ht="13.2">
      <c r="A352" s="125"/>
      <c r="B352" s="126">
        <f t="shared" ca="1" si="42"/>
        <v>47119</v>
      </c>
      <c r="C352" s="113">
        <v>7.0126954903686006E-2</v>
      </c>
      <c r="D352" s="113">
        <v>1.05</v>
      </c>
      <c r="I352" s="114"/>
      <c r="K352" s="129"/>
      <c r="L352" s="113">
        <v>0.39500000000000002</v>
      </c>
      <c r="M352" s="113">
        <v>0.39500000000000002</v>
      </c>
      <c r="R352" s="280">
        <f t="shared" ca="1" si="43"/>
        <v>47119</v>
      </c>
      <c r="BP352" s="103">
        <f t="shared" si="41"/>
        <v>351</v>
      </c>
      <c r="BQ352" s="155" t="s">
        <v>523</v>
      </c>
      <c r="BR352" s="102" t="s">
        <v>166</v>
      </c>
      <c r="BS352" s="101" t="s">
        <v>167</v>
      </c>
      <c r="BT352" s="107" t="s">
        <v>168</v>
      </c>
      <c r="BU352" s="107"/>
      <c r="BV352" s="101">
        <v>1</v>
      </c>
      <c r="BW352" s="102" t="s">
        <v>1122</v>
      </c>
      <c r="BX352"/>
    </row>
    <row r="353" spans="1:76" ht="13.2">
      <c r="A353" s="125"/>
      <c r="B353" s="126">
        <f t="shared" ca="1" si="42"/>
        <v>47150</v>
      </c>
      <c r="C353" s="113">
        <v>7.0114714288026014E-2</v>
      </c>
      <c r="D353" s="113">
        <v>1</v>
      </c>
      <c r="I353" s="114"/>
      <c r="K353" s="129"/>
      <c r="L353" s="113">
        <v>0.46100000000000002</v>
      </c>
      <c r="M353" s="113">
        <v>0.46100000000000002</v>
      </c>
      <c r="R353" s="280">
        <f t="shared" ca="1" si="43"/>
        <v>47150</v>
      </c>
      <c r="BP353" s="103">
        <f t="shared" si="41"/>
        <v>352</v>
      </c>
      <c r="BQ353" s="155" t="s">
        <v>524</v>
      </c>
      <c r="BR353" s="102" t="s">
        <v>166</v>
      </c>
      <c r="BS353" s="101" t="s">
        <v>167</v>
      </c>
      <c r="BT353" s="107" t="s">
        <v>168</v>
      </c>
      <c r="BU353" s="107"/>
      <c r="BV353" s="101">
        <v>1</v>
      </c>
      <c r="BW353" s="102" t="s">
        <v>1123</v>
      </c>
      <c r="BX353"/>
    </row>
    <row r="354" spans="1:76" ht="13.2">
      <c r="A354" s="125"/>
      <c r="B354" s="126">
        <f t="shared" ca="1" si="42"/>
        <v>47178</v>
      </c>
      <c r="C354" s="113">
        <v>7.0102065651897014E-2</v>
      </c>
      <c r="I354" s="114"/>
      <c r="K354" s="129"/>
      <c r="L354" s="113">
        <v>0.88500000000000001</v>
      </c>
      <c r="M354" s="113">
        <v>0.88500000000000001</v>
      </c>
      <c r="R354" s="280">
        <f t="shared" ca="1" si="43"/>
        <v>47178</v>
      </c>
      <c r="BP354" s="103">
        <f t="shared" si="41"/>
        <v>353</v>
      </c>
      <c r="BQ354" s="155" t="s">
        <v>525</v>
      </c>
      <c r="BR354" s="102" t="s">
        <v>166</v>
      </c>
      <c r="BS354" s="101" t="s">
        <v>167</v>
      </c>
      <c r="BT354" s="107" t="s">
        <v>168</v>
      </c>
      <c r="BU354" s="107"/>
      <c r="BV354" s="101">
        <v>1</v>
      </c>
      <c r="BW354" s="102" t="s">
        <v>1124</v>
      </c>
      <c r="BX354"/>
    </row>
    <row r="355" spans="1:76" ht="13.2">
      <c r="A355" s="125"/>
      <c r="B355" s="126">
        <f t="shared" ca="1" si="42"/>
        <v>47209</v>
      </c>
      <c r="C355" s="113">
        <v>7.0089825036339024E-2</v>
      </c>
      <c r="I355" s="114"/>
      <c r="K355" s="129"/>
      <c r="L355" s="113">
        <v>1.31</v>
      </c>
      <c r="M355" s="113">
        <v>1.31</v>
      </c>
      <c r="R355" s="280">
        <f t="shared" ca="1" si="43"/>
        <v>47209</v>
      </c>
      <c r="BP355" s="103">
        <f t="shared" si="41"/>
        <v>354</v>
      </c>
      <c r="BQ355" s="155" t="s">
        <v>526</v>
      </c>
      <c r="BR355" s="102" t="s">
        <v>166</v>
      </c>
      <c r="BS355" s="101" t="s">
        <v>167</v>
      </c>
      <c r="BT355" s="107" t="s">
        <v>168</v>
      </c>
      <c r="BU355" s="107"/>
      <c r="BV355" s="101">
        <v>1</v>
      </c>
      <c r="BW355" s="102" t="s">
        <v>1125</v>
      </c>
      <c r="BX355"/>
    </row>
    <row r="356" spans="1:76" ht="13.2">
      <c r="A356" s="125"/>
      <c r="B356" s="126">
        <f t="shared" ca="1" si="42"/>
        <v>47239</v>
      </c>
      <c r="C356" s="113">
        <v>7.0077176400314023E-2</v>
      </c>
      <c r="I356" s="114"/>
      <c r="L356" s="113">
        <v>1.645</v>
      </c>
      <c r="M356" s="113">
        <v>1.645</v>
      </c>
      <c r="R356" s="280">
        <f t="shared" ca="1" si="43"/>
        <v>47239</v>
      </c>
      <c r="BP356" s="103">
        <f t="shared" si="41"/>
        <v>355</v>
      </c>
      <c r="BQ356" s="155" t="s">
        <v>527</v>
      </c>
      <c r="BR356" s="102" t="s">
        <v>166</v>
      </c>
      <c r="BS356" s="101" t="s">
        <v>167</v>
      </c>
      <c r="BT356" s="107" t="s">
        <v>168</v>
      </c>
      <c r="BU356" s="107"/>
      <c r="BV356" s="101">
        <v>1</v>
      </c>
      <c r="BW356" s="102" t="s">
        <v>1126</v>
      </c>
      <c r="BX356"/>
    </row>
    <row r="357" spans="1:76" ht="13.2">
      <c r="A357" s="125"/>
      <c r="B357" s="126">
        <f t="shared" ca="1" si="42"/>
        <v>47270</v>
      </c>
      <c r="C357" s="113">
        <v>7.0064527764343007E-2</v>
      </c>
      <c r="I357" s="114"/>
      <c r="L357" s="113">
        <v>1.595</v>
      </c>
      <c r="M357" s="113">
        <v>1.595</v>
      </c>
      <c r="R357" s="280">
        <f t="shared" ca="1" si="43"/>
        <v>47270</v>
      </c>
      <c r="BP357" s="103">
        <f t="shared" si="41"/>
        <v>356</v>
      </c>
      <c r="BQ357" s="155" t="s">
        <v>528</v>
      </c>
      <c r="BR357" s="102" t="s">
        <v>166</v>
      </c>
      <c r="BS357" s="101" t="s">
        <v>167</v>
      </c>
      <c r="BT357" s="107" t="s">
        <v>168</v>
      </c>
      <c r="BU357" s="107"/>
      <c r="BV357" s="101">
        <v>1</v>
      </c>
      <c r="BW357" s="102" t="s">
        <v>1127</v>
      </c>
      <c r="BX357"/>
    </row>
    <row r="358" spans="1:76" ht="13.2">
      <c r="A358" s="125"/>
      <c r="B358" s="126">
        <f t="shared" ca="1" si="42"/>
        <v>47300</v>
      </c>
      <c r="C358" s="113">
        <v>7.0053103189961996E-2</v>
      </c>
      <c r="I358" s="114"/>
      <c r="L358" s="113">
        <v>0.96499999999999997</v>
      </c>
      <c r="M358" s="113">
        <v>0.96499999999999997</v>
      </c>
      <c r="R358" s="280">
        <f t="shared" ca="1" si="43"/>
        <v>47300</v>
      </c>
      <c r="BP358" s="103">
        <f t="shared" si="41"/>
        <v>357</v>
      </c>
      <c r="BQ358" s="155" t="s">
        <v>529</v>
      </c>
      <c r="BR358" s="102" t="s">
        <v>166</v>
      </c>
      <c r="BS358" s="101" t="s">
        <v>167</v>
      </c>
      <c r="BT358" s="107" t="s">
        <v>168</v>
      </c>
      <c r="BU358" s="107"/>
      <c r="BV358" s="101">
        <v>1</v>
      </c>
      <c r="BW358" s="102" t="s">
        <v>1128</v>
      </c>
      <c r="BX358"/>
    </row>
    <row r="359" spans="1:76" ht="13.2">
      <c r="A359" s="125"/>
      <c r="B359" s="126">
        <f t="shared" ca="1" si="42"/>
        <v>47331</v>
      </c>
      <c r="C359" s="113">
        <v>7.0040454554089998E-2</v>
      </c>
      <c r="I359" s="114"/>
      <c r="L359" s="113">
        <v>0.45</v>
      </c>
      <c r="M359" s="113">
        <v>0.45</v>
      </c>
      <c r="R359" s="280">
        <f t="shared" ca="1" si="43"/>
        <v>47331</v>
      </c>
      <c r="BP359" s="103">
        <f t="shared" si="41"/>
        <v>358</v>
      </c>
      <c r="BQ359" s="155" t="s">
        <v>530</v>
      </c>
      <c r="BR359" s="102" t="s">
        <v>166</v>
      </c>
      <c r="BS359" s="101" t="s">
        <v>167</v>
      </c>
      <c r="BT359" s="107" t="s">
        <v>168</v>
      </c>
      <c r="BU359" s="107"/>
      <c r="BV359" s="101">
        <v>1</v>
      </c>
      <c r="BW359" s="102" t="s">
        <v>1129</v>
      </c>
      <c r="BX359"/>
    </row>
    <row r="360" spans="1:76" ht="13.2">
      <c r="A360" s="125"/>
      <c r="B360" s="126">
        <f t="shared" ca="1" si="42"/>
        <v>47362</v>
      </c>
      <c r="C360" s="113">
        <v>7.0028213938782002E-2</v>
      </c>
      <c r="I360" s="114"/>
      <c r="L360" s="113">
        <v>0.40500000000000003</v>
      </c>
      <c r="M360" s="113">
        <v>0.40500000000000003</v>
      </c>
      <c r="R360" s="280">
        <f t="shared" ca="1" si="43"/>
        <v>47362</v>
      </c>
      <c r="BP360" s="103">
        <f t="shared" si="41"/>
        <v>359</v>
      </c>
      <c r="BQ360" s="155" t="s">
        <v>532</v>
      </c>
      <c r="BR360" s="102" t="s">
        <v>166</v>
      </c>
      <c r="BS360" s="101" t="s">
        <v>167</v>
      </c>
      <c r="BT360" s="107" t="s">
        <v>168</v>
      </c>
      <c r="BU360" s="107"/>
      <c r="BV360" s="101">
        <v>1</v>
      </c>
      <c r="BW360" s="102" t="s">
        <v>1130</v>
      </c>
      <c r="BX360"/>
    </row>
    <row r="361" spans="1:76" ht="13.2">
      <c r="A361" s="125"/>
      <c r="B361" s="126">
        <f t="shared" ca="1" si="42"/>
        <v>47392</v>
      </c>
      <c r="C361" s="113">
        <v>7.0015565303015018E-2</v>
      </c>
      <c r="I361" s="114"/>
      <c r="L361" s="113">
        <v>0.39500000000000002</v>
      </c>
      <c r="M361" s="113">
        <v>0.39500000000000002</v>
      </c>
      <c r="R361" s="280">
        <f t="shared" ca="1" si="43"/>
        <v>47392</v>
      </c>
      <c r="BP361" s="103">
        <f t="shared" si="41"/>
        <v>360</v>
      </c>
      <c r="BQ361" s="155" t="s">
        <v>534</v>
      </c>
      <c r="BR361" s="102" t="s">
        <v>166</v>
      </c>
      <c r="BS361" s="101" t="s">
        <v>167</v>
      </c>
      <c r="BT361" s="107" t="s">
        <v>168</v>
      </c>
      <c r="BU361" s="107"/>
      <c r="BV361" s="101">
        <v>1</v>
      </c>
      <c r="BW361" s="102" t="s">
        <v>1131</v>
      </c>
      <c r="BX361"/>
    </row>
    <row r="362" spans="1:76" ht="13.2">
      <c r="A362" s="125"/>
      <c r="B362" s="126">
        <f t="shared" ca="1" si="42"/>
        <v>47423</v>
      </c>
      <c r="C362" s="113">
        <v>7.0003324687807011E-2</v>
      </c>
      <c r="I362" s="114"/>
      <c r="L362" s="113">
        <v>0.43</v>
      </c>
      <c r="M362" s="113">
        <v>0.43</v>
      </c>
      <c r="R362" s="280">
        <f t="shared" ca="1" si="43"/>
        <v>47423</v>
      </c>
      <c r="BP362" s="103">
        <f t="shared" si="41"/>
        <v>361</v>
      </c>
      <c r="BQ362" s="155" t="s">
        <v>535</v>
      </c>
      <c r="BR362" s="102" t="s">
        <v>166</v>
      </c>
      <c r="BS362" s="101" t="s">
        <v>167</v>
      </c>
      <c r="BT362" s="107" t="s">
        <v>168</v>
      </c>
      <c r="BU362" s="107"/>
      <c r="BV362" s="101">
        <v>1</v>
      </c>
      <c r="BW362" s="102" t="s">
        <v>1132</v>
      </c>
      <c r="BX362"/>
    </row>
    <row r="363" spans="1:76" ht="13.2">
      <c r="A363" s="125"/>
      <c r="B363" s="126">
        <f t="shared" ca="1" si="42"/>
        <v>47453</v>
      </c>
      <c r="C363" s="113">
        <v>6.9990676052143014E-2</v>
      </c>
      <c r="I363" s="114"/>
      <c r="L363" s="113">
        <v>0.495</v>
      </c>
      <c r="M363" s="113">
        <v>0.495</v>
      </c>
      <c r="R363" s="280">
        <f t="shared" ca="1" si="43"/>
        <v>47453</v>
      </c>
      <c r="BP363" s="103">
        <f t="shared" si="41"/>
        <v>362</v>
      </c>
      <c r="BQ363" s="155" t="s">
        <v>536</v>
      </c>
      <c r="BR363" s="102" t="s">
        <v>166</v>
      </c>
      <c r="BS363" s="101" t="s">
        <v>167</v>
      </c>
      <c r="BT363" s="107" t="s">
        <v>168</v>
      </c>
      <c r="BU363" s="107"/>
      <c r="BV363" s="101">
        <v>1</v>
      </c>
      <c r="BW363" s="102" t="s">
        <v>1133</v>
      </c>
      <c r="BX363"/>
    </row>
    <row r="364" spans="1:76" ht="13.2">
      <c r="A364" s="125"/>
      <c r="B364" s="126">
        <f t="shared" ca="1" si="42"/>
        <v>47484</v>
      </c>
      <c r="C364" s="113">
        <v>6.9978027416533015E-2</v>
      </c>
      <c r="I364" s="114"/>
      <c r="L364" s="113">
        <v>0.39500000000000002</v>
      </c>
      <c r="M364" s="113">
        <v>0.39500000000000002</v>
      </c>
      <c r="R364" s="280">
        <f t="shared" ca="1" si="43"/>
        <v>47484</v>
      </c>
      <c r="BP364" s="103">
        <f t="shared" si="41"/>
        <v>363</v>
      </c>
      <c r="BQ364" s="155" t="s">
        <v>537</v>
      </c>
      <c r="BR364" s="102" t="s">
        <v>166</v>
      </c>
      <c r="BS364" s="101" t="s">
        <v>167</v>
      </c>
      <c r="BT364" s="107" t="s">
        <v>168</v>
      </c>
      <c r="BU364" s="107"/>
      <c r="BV364" s="101">
        <v>1</v>
      </c>
      <c r="BW364" s="102" t="s">
        <v>1134</v>
      </c>
      <c r="BX364"/>
    </row>
    <row r="365" spans="1:76" ht="13.2">
      <c r="A365" s="125"/>
      <c r="B365" s="126">
        <f t="shared" ca="1" si="42"/>
        <v>47515</v>
      </c>
      <c r="C365" s="113">
        <v>6.9965786801477012E-2</v>
      </c>
      <c r="I365" s="114"/>
      <c r="L365" s="113">
        <v>0.46100000000000002</v>
      </c>
      <c r="M365" s="113">
        <v>0.46100000000000002</v>
      </c>
      <c r="R365" s="280">
        <f t="shared" ca="1" si="43"/>
        <v>47515</v>
      </c>
      <c r="BP365" s="103">
        <f t="shared" si="41"/>
        <v>364</v>
      </c>
      <c r="BQ365" s="155" t="s">
        <v>538</v>
      </c>
      <c r="BR365" s="102" t="s">
        <v>166</v>
      </c>
      <c r="BS365" s="101" t="s">
        <v>167</v>
      </c>
      <c r="BT365" s="107" t="s">
        <v>168</v>
      </c>
      <c r="BU365" s="107"/>
      <c r="BV365" s="101">
        <v>1</v>
      </c>
      <c r="BW365" s="102" t="s">
        <v>1135</v>
      </c>
      <c r="BX365"/>
    </row>
    <row r="366" spans="1:76" ht="13.2">
      <c r="A366" s="125"/>
      <c r="B366" s="126">
        <f t="shared" ca="1" si="42"/>
        <v>47543</v>
      </c>
      <c r="C366" s="113">
        <v>6.9953138165971013E-2</v>
      </c>
      <c r="I366" s="114"/>
      <c r="L366" s="113">
        <v>0.88500000000000001</v>
      </c>
      <c r="M366" s="113">
        <v>0.88500000000000001</v>
      </c>
      <c r="R366" s="280">
        <f t="shared" ca="1" si="43"/>
        <v>47543</v>
      </c>
      <c r="BP366" s="103">
        <f t="shared" si="41"/>
        <v>365</v>
      </c>
      <c r="BQ366" s="155" t="s">
        <v>539</v>
      </c>
      <c r="BR366" s="102" t="s">
        <v>166</v>
      </c>
      <c r="BS366" s="101" t="s">
        <v>167</v>
      </c>
      <c r="BT366" s="107" t="s">
        <v>168</v>
      </c>
      <c r="BU366" s="107"/>
      <c r="BV366" s="101">
        <v>1</v>
      </c>
      <c r="BW366" s="102" t="s">
        <v>1136</v>
      </c>
      <c r="BX366"/>
    </row>
    <row r="367" spans="1:76" ht="13.2">
      <c r="A367" s="125"/>
      <c r="B367" s="126">
        <f t="shared" ca="1" si="42"/>
        <v>47574</v>
      </c>
      <c r="C367" s="113">
        <v>6.9940897551016012E-2</v>
      </c>
      <c r="I367" s="114"/>
      <c r="L367" s="113">
        <v>1.31</v>
      </c>
      <c r="M367" s="113">
        <v>1.31</v>
      </c>
      <c r="R367" s="280">
        <f t="shared" ca="1" si="43"/>
        <v>47574</v>
      </c>
      <c r="BP367" s="103">
        <f t="shared" si="41"/>
        <v>366</v>
      </c>
      <c r="BQ367" s="155" t="s">
        <v>540</v>
      </c>
      <c r="BR367" s="102" t="s">
        <v>166</v>
      </c>
      <c r="BS367" s="101" t="s">
        <v>167</v>
      </c>
      <c r="BT367" s="107" t="s">
        <v>168</v>
      </c>
      <c r="BU367" s="107"/>
      <c r="BV367" s="101">
        <v>1</v>
      </c>
      <c r="BW367" s="102" t="s">
        <v>1137</v>
      </c>
      <c r="BX367"/>
    </row>
    <row r="368" spans="1:76" ht="13.2">
      <c r="A368" s="125"/>
      <c r="B368" s="126">
        <f t="shared" ca="1" si="42"/>
        <v>47604</v>
      </c>
      <c r="C368" s="113">
        <v>6.9928248915614E-2</v>
      </c>
      <c r="I368" s="114"/>
      <c r="L368" s="113">
        <v>0</v>
      </c>
      <c r="M368" s="113">
        <v>0</v>
      </c>
      <c r="R368" s="280">
        <f t="shared" ca="1" si="43"/>
        <v>47604</v>
      </c>
      <c r="BP368" s="103">
        <f t="shared" si="41"/>
        <v>367</v>
      </c>
      <c r="BQ368" s="155" t="s">
        <v>541</v>
      </c>
      <c r="BR368" s="102" t="s">
        <v>166</v>
      </c>
      <c r="BS368" s="101" t="s">
        <v>167</v>
      </c>
      <c r="BT368" s="107" t="s">
        <v>168</v>
      </c>
      <c r="BU368" s="107"/>
      <c r="BV368" s="101">
        <v>1</v>
      </c>
      <c r="BW368" s="102" t="s">
        <v>1138</v>
      </c>
      <c r="BX368"/>
    </row>
    <row r="369" spans="1:76" ht="13.2">
      <c r="A369" s="125"/>
      <c r="B369" s="126">
        <f t="shared" ca="1" si="42"/>
        <v>47635</v>
      </c>
      <c r="C369" s="113">
        <v>6.9915600280264015E-2</v>
      </c>
      <c r="I369" s="114"/>
      <c r="L369" s="113">
        <v>0</v>
      </c>
      <c r="M369" s="113">
        <v>0</v>
      </c>
      <c r="R369" s="280">
        <f t="shared" ca="1" si="43"/>
        <v>47635</v>
      </c>
      <c r="BP369" s="103">
        <f t="shared" si="41"/>
        <v>368</v>
      </c>
      <c r="BQ369" s="155" t="s">
        <v>542</v>
      </c>
      <c r="BR369" s="102" t="s">
        <v>166</v>
      </c>
      <c r="BS369" s="101" t="s">
        <v>167</v>
      </c>
      <c r="BT369" s="107" t="s">
        <v>168</v>
      </c>
      <c r="BU369" s="107"/>
      <c r="BV369" s="101">
        <v>1</v>
      </c>
      <c r="BW369" s="102" t="s">
        <v>1139</v>
      </c>
      <c r="BX369"/>
    </row>
    <row r="370" spans="1:76" ht="13.2">
      <c r="A370" s="125"/>
      <c r="B370" s="126">
        <f t="shared" ca="1" si="42"/>
        <v>47665</v>
      </c>
      <c r="C370" s="113">
        <v>6.9904175706446026E-2</v>
      </c>
      <c r="I370" s="114"/>
      <c r="L370" s="113">
        <v>0</v>
      </c>
      <c r="M370" s="113">
        <v>0</v>
      </c>
      <c r="R370" s="280">
        <f t="shared" ca="1" si="43"/>
        <v>47665</v>
      </c>
      <c r="BP370" s="103">
        <f t="shared" si="41"/>
        <v>369</v>
      </c>
      <c r="BQ370" s="155" t="s">
        <v>543</v>
      </c>
      <c r="BR370" s="102" t="s">
        <v>166</v>
      </c>
      <c r="BS370" s="101" t="s">
        <v>167</v>
      </c>
      <c r="BT370" s="107" t="s">
        <v>168</v>
      </c>
      <c r="BU370" s="107"/>
      <c r="BV370" s="101">
        <v>1</v>
      </c>
      <c r="BW370" s="102" t="s">
        <v>1140</v>
      </c>
      <c r="BX370"/>
    </row>
    <row r="371" spans="1:76" ht="13.2">
      <c r="A371" s="125"/>
      <c r="B371" s="126">
        <f t="shared" ca="1" si="42"/>
        <v>47696</v>
      </c>
      <c r="C371" s="113">
        <v>6.9891527071198015E-2</v>
      </c>
      <c r="I371" s="114"/>
      <c r="L371" s="113">
        <v>0</v>
      </c>
      <c r="M371" s="113">
        <v>0</v>
      </c>
      <c r="R371" s="280">
        <f t="shared" ca="1" si="43"/>
        <v>47696</v>
      </c>
      <c r="BP371" s="103">
        <f t="shared" si="41"/>
        <v>370</v>
      </c>
      <c r="BQ371" s="155" t="s">
        <v>544</v>
      </c>
      <c r="BR371" s="102" t="s">
        <v>166</v>
      </c>
      <c r="BS371" s="101" t="s">
        <v>167</v>
      </c>
      <c r="BT371" s="107" t="s">
        <v>168</v>
      </c>
      <c r="BU371" s="107"/>
      <c r="BV371" s="101">
        <v>1</v>
      </c>
      <c r="BW371" s="102" t="s">
        <v>1141</v>
      </c>
      <c r="BX371"/>
    </row>
    <row r="372" spans="1:76" ht="13.2">
      <c r="A372" s="125"/>
      <c r="B372" s="126">
        <f t="shared" ca="1" si="42"/>
        <v>47727</v>
      </c>
      <c r="C372" s="113">
        <v>6.9879286456492024E-2</v>
      </c>
      <c r="I372" s="114"/>
      <c r="L372" s="113">
        <v>0</v>
      </c>
      <c r="M372" s="113">
        <v>0</v>
      </c>
      <c r="R372" s="280">
        <f t="shared" ca="1" si="43"/>
        <v>47727</v>
      </c>
      <c r="BP372" s="103">
        <f t="shared" si="41"/>
        <v>371</v>
      </c>
      <c r="BQ372" s="155" t="s">
        <v>545</v>
      </c>
      <c r="BR372" s="102" t="s">
        <v>166</v>
      </c>
      <c r="BS372" s="101" t="s">
        <v>167</v>
      </c>
      <c r="BT372" s="107" t="s">
        <v>168</v>
      </c>
      <c r="BU372" s="107"/>
      <c r="BV372" s="101">
        <v>1</v>
      </c>
      <c r="BW372" s="102" t="s">
        <v>1142</v>
      </c>
      <c r="BX372"/>
    </row>
    <row r="373" spans="1:76" ht="13.2">
      <c r="A373" s="125"/>
      <c r="B373" s="126">
        <f t="shared" ca="1" si="42"/>
        <v>47757</v>
      </c>
      <c r="C373" s="113">
        <v>6.9866637821347E-2</v>
      </c>
      <c r="I373" s="114"/>
      <c r="L373" s="113">
        <v>0</v>
      </c>
      <c r="M373" s="113">
        <v>0</v>
      </c>
      <c r="R373" s="280">
        <f t="shared" ca="1" si="43"/>
        <v>47757</v>
      </c>
      <c r="BP373" s="103">
        <f t="shared" si="41"/>
        <v>372</v>
      </c>
      <c r="BQ373" s="155" t="s">
        <v>546</v>
      </c>
      <c r="BR373" s="102" t="s">
        <v>166</v>
      </c>
      <c r="BS373" s="101" t="s">
        <v>167</v>
      </c>
      <c r="BT373" s="107" t="s">
        <v>168</v>
      </c>
      <c r="BU373" s="107"/>
      <c r="BV373" s="101">
        <v>1</v>
      </c>
      <c r="BW373" s="102" t="s">
        <v>1143</v>
      </c>
      <c r="BX373"/>
    </row>
    <row r="374" spans="1:76" ht="13.2">
      <c r="A374" s="125"/>
      <c r="B374" s="126">
        <f t="shared" ca="1" si="42"/>
        <v>47788</v>
      </c>
      <c r="C374" s="113">
        <v>6.9854397206741997E-2</v>
      </c>
      <c r="I374" s="114"/>
      <c r="R374" s="280">
        <f t="shared" ca="1" si="43"/>
        <v>47788</v>
      </c>
      <c r="BP374" s="103">
        <f t="shared" si="41"/>
        <v>373</v>
      </c>
      <c r="BQ374" s="155" t="s">
        <v>547</v>
      </c>
      <c r="BR374" s="102" t="s">
        <v>166</v>
      </c>
      <c r="BS374" s="101" t="s">
        <v>167</v>
      </c>
      <c r="BT374" s="107" t="s">
        <v>168</v>
      </c>
      <c r="BU374" s="107"/>
      <c r="BV374" s="101">
        <v>1</v>
      </c>
      <c r="BW374" s="102" t="s">
        <v>1144</v>
      </c>
      <c r="BX374"/>
    </row>
    <row r="375" spans="1:76" ht="13.2">
      <c r="A375" s="125"/>
      <c r="B375" s="126">
        <f t="shared" ca="1" si="42"/>
        <v>47818</v>
      </c>
      <c r="C375" s="113">
        <v>6.9841748571701986E-2</v>
      </c>
      <c r="I375" s="114"/>
      <c r="R375" s="280">
        <f t="shared" ref="R375:R398" ca="1" si="44">EOMONTH(R374,0)+1</f>
        <v>47818</v>
      </c>
      <c r="BP375" s="103">
        <f t="shared" si="41"/>
        <v>374</v>
      </c>
      <c r="BQ375" s="155" t="s">
        <v>548</v>
      </c>
      <c r="BR375" s="102" t="s">
        <v>166</v>
      </c>
      <c r="BS375" s="101" t="s">
        <v>167</v>
      </c>
      <c r="BT375" s="107" t="s">
        <v>168</v>
      </c>
      <c r="BU375" s="107"/>
      <c r="BV375" s="101">
        <v>1</v>
      </c>
      <c r="BW375" s="102" t="s">
        <v>1145</v>
      </c>
      <c r="BX375"/>
    </row>
    <row r="376" spans="1:76" ht="13.2">
      <c r="A376" s="125"/>
      <c r="B376" s="126">
        <f t="shared" ca="1" si="42"/>
        <v>47849</v>
      </c>
      <c r="C376" s="113">
        <v>6.9829099936715003E-2</v>
      </c>
      <c r="I376" s="114"/>
      <c r="R376" s="280">
        <f t="shared" ca="1" si="44"/>
        <v>47849</v>
      </c>
      <c r="BP376" s="103">
        <f t="shared" si="41"/>
        <v>375</v>
      </c>
      <c r="BQ376" s="155" t="s">
        <v>549</v>
      </c>
      <c r="BR376" s="102" t="s">
        <v>166</v>
      </c>
      <c r="BS376" s="101" t="s">
        <v>167</v>
      </c>
      <c r="BT376" s="107" t="s">
        <v>168</v>
      </c>
      <c r="BU376" s="107"/>
      <c r="BV376" s="101">
        <v>1</v>
      </c>
      <c r="BW376" s="102" t="s">
        <v>1146</v>
      </c>
      <c r="BX376"/>
    </row>
    <row r="377" spans="1:76" ht="13.2">
      <c r="A377" s="125"/>
      <c r="B377" s="126">
        <f t="shared" ca="1" si="42"/>
        <v>47880</v>
      </c>
      <c r="C377" s="113">
        <v>6.9816859322262004E-2</v>
      </c>
      <c r="I377" s="114"/>
      <c r="R377" s="280">
        <f t="shared" ca="1" si="44"/>
        <v>47880</v>
      </c>
      <c r="BP377" s="103">
        <f t="shared" si="41"/>
        <v>376</v>
      </c>
      <c r="BQ377" s="155" t="s">
        <v>550</v>
      </c>
      <c r="BR377" s="102" t="s">
        <v>166</v>
      </c>
      <c r="BS377" s="101" t="s">
        <v>167</v>
      </c>
      <c r="BT377" s="107" t="s">
        <v>168</v>
      </c>
      <c r="BU377" s="107"/>
      <c r="BV377" s="101">
        <v>1</v>
      </c>
      <c r="BW377" s="102" t="s">
        <v>1147</v>
      </c>
      <c r="BX377"/>
    </row>
    <row r="378" spans="1:76" ht="13.2">
      <c r="I378" s="114"/>
      <c r="R378" s="280">
        <f t="shared" ca="1" si="44"/>
        <v>47908</v>
      </c>
      <c r="BP378" s="103">
        <f t="shared" si="41"/>
        <v>377</v>
      </c>
      <c r="BQ378" s="155" t="s">
        <v>551</v>
      </c>
      <c r="BR378" s="102" t="s">
        <v>166</v>
      </c>
      <c r="BS378" s="101" t="s">
        <v>167</v>
      </c>
      <c r="BT378" s="107" t="s">
        <v>168</v>
      </c>
      <c r="BU378" s="107"/>
      <c r="BV378" s="101">
        <v>1</v>
      </c>
      <c r="BW378" s="102" t="s">
        <v>1148</v>
      </c>
      <c r="BX378"/>
    </row>
    <row r="379" spans="1:76" ht="13.2">
      <c r="I379" s="114"/>
      <c r="R379" s="280">
        <f t="shared" ca="1" si="44"/>
        <v>47939</v>
      </c>
      <c r="BP379" s="103">
        <f t="shared" si="41"/>
        <v>378</v>
      </c>
      <c r="BQ379" s="155" t="s">
        <v>552</v>
      </c>
      <c r="BR379" s="102" t="s">
        <v>166</v>
      </c>
      <c r="BS379" s="101" t="s">
        <v>167</v>
      </c>
      <c r="BT379" s="107" t="s">
        <v>168</v>
      </c>
      <c r="BU379" s="107"/>
      <c r="BV379" s="101">
        <v>1</v>
      </c>
      <c r="BW379" s="102" t="s">
        <v>1149</v>
      </c>
      <c r="BX379"/>
    </row>
    <row r="380" spans="1:76" ht="13.2">
      <c r="I380" s="114"/>
      <c r="R380" s="280">
        <f t="shared" ca="1" si="44"/>
        <v>47969</v>
      </c>
      <c r="BP380" s="103">
        <f t="shared" si="41"/>
        <v>379</v>
      </c>
      <c r="BQ380" s="155" t="s">
        <v>553</v>
      </c>
      <c r="BR380" s="102" t="s">
        <v>166</v>
      </c>
      <c r="BS380" s="101" t="s">
        <v>167</v>
      </c>
      <c r="BT380" s="107" t="s">
        <v>168</v>
      </c>
      <c r="BU380" s="107"/>
      <c r="BV380" s="101">
        <v>1</v>
      </c>
      <c r="BW380" s="102" t="s">
        <v>1150</v>
      </c>
      <c r="BX380"/>
    </row>
    <row r="381" spans="1:76" ht="13.2">
      <c r="I381" s="114"/>
      <c r="R381" s="280">
        <f t="shared" ca="1" si="44"/>
        <v>48000</v>
      </c>
      <c r="BP381" s="103">
        <f t="shared" si="41"/>
        <v>380</v>
      </c>
      <c r="BQ381" s="155" t="s">
        <v>557</v>
      </c>
      <c r="BR381" s="102" t="s">
        <v>166</v>
      </c>
      <c r="BS381" s="101" t="s">
        <v>167</v>
      </c>
      <c r="BT381" s="107" t="s">
        <v>168</v>
      </c>
      <c r="BU381" s="107"/>
      <c r="BV381" s="101">
        <v>1</v>
      </c>
      <c r="BW381" s="102" t="s">
        <v>1151</v>
      </c>
      <c r="BX381"/>
    </row>
    <row r="382" spans="1:76" ht="13.2">
      <c r="I382" s="114"/>
      <c r="R382" s="280">
        <f t="shared" ca="1" si="44"/>
        <v>48030</v>
      </c>
      <c r="BP382" s="103">
        <f t="shared" si="41"/>
        <v>381</v>
      </c>
      <c r="BQ382" s="155" t="s">
        <v>558</v>
      </c>
      <c r="BR382" s="102" t="s">
        <v>166</v>
      </c>
      <c r="BS382" s="101" t="s">
        <v>167</v>
      </c>
      <c r="BT382" s="107" t="s">
        <v>168</v>
      </c>
      <c r="BU382" s="107"/>
      <c r="BV382" s="101">
        <v>1</v>
      </c>
      <c r="BW382" s="102" t="s">
        <v>1152</v>
      </c>
      <c r="BX382"/>
    </row>
    <row r="383" spans="1:76" ht="13.2">
      <c r="I383" s="114"/>
      <c r="R383" s="280">
        <f t="shared" ca="1" si="44"/>
        <v>48061</v>
      </c>
      <c r="BP383" s="103">
        <f t="shared" si="41"/>
        <v>382</v>
      </c>
      <c r="BQ383" s="155" t="s">
        <v>559</v>
      </c>
      <c r="BR383" s="102" t="s">
        <v>166</v>
      </c>
      <c r="BS383" s="101" t="s">
        <v>167</v>
      </c>
      <c r="BT383" s="107" t="s">
        <v>168</v>
      </c>
      <c r="BU383" s="107"/>
      <c r="BV383" s="101">
        <v>1</v>
      </c>
      <c r="BW383" s="102" t="s">
        <v>1153</v>
      </c>
      <c r="BX383"/>
    </row>
    <row r="384" spans="1:76" ht="13.2">
      <c r="I384" s="114"/>
      <c r="R384" s="280">
        <f t="shared" ca="1" si="44"/>
        <v>48092</v>
      </c>
      <c r="BP384" s="103">
        <f t="shared" si="41"/>
        <v>383</v>
      </c>
      <c r="BQ384" s="155" t="s">
        <v>560</v>
      </c>
      <c r="BR384" s="102" t="s">
        <v>166</v>
      </c>
      <c r="BS384" s="101" t="s">
        <v>167</v>
      </c>
      <c r="BT384" s="107" t="s">
        <v>168</v>
      </c>
      <c r="BU384" s="107"/>
      <c r="BV384" s="101">
        <v>1</v>
      </c>
      <c r="BW384" s="102" t="s">
        <v>1154</v>
      </c>
      <c r="BX384"/>
    </row>
    <row r="385" spans="9:76" ht="13.2">
      <c r="I385" s="114"/>
      <c r="R385" s="280">
        <f t="shared" ca="1" si="44"/>
        <v>48122</v>
      </c>
      <c r="BP385" s="103">
        <f t="shared" si="41"/>
        <v>384</v>
      </c>
      <c r="BQ385" s="155" t="s">
        <v>561</v>
      </c>
      <c r="BR385" s="102" t="s">
        <v>166</v>
      </c>
      <c r="BS385" s="101" t="s">
        <v>167</v>
      </c>
      <c r="BT385" s="107" t="s">
        <v>168</v>
      </c>
      <c r="BU385" s="107"/>
      <c r="BV385" s="101">
        <v>1</v>
      </c>
      <c r="BW385" s="102" t="s">
        <v>1155</v>
      </c>
      <c r="BX385"/>
    </row>
    <row r="386" spans="9:76" ht="13.2">
      <c r="I386" s="114"/>
      <c r="R386" s="280">
        <f t="shared" ca="1" si="44"/>
        <v>48153</v>
      </c>
      <c r="BP386" s="103">
        <f t="shared" ref="BP386:BP409" si="45">BP385+BV386</f>
        <v>385</v>
      </c>
      <c r="BQ386" s="155" t="s">
        <v>562</v>
      </c>
      <c r="BR386" s="102" t="s">
        <v>166</v>
      </c>
      <c r="BS386" s="101" t="s">
        <v>167</v>
      </c>
      <c r="BT386" s="107" t="s">
        <v>168</v>
      </c>
      <c r="BU386" s="107"/>
      <c r="BV386" s="101">
        <v>1</v>
      </c>
      <c r="BW386" s="102" t="s">
        <v>1156</v>
      </c>
      <c r="BX386"/>
    </row>
    <row r="387" spans="9:76" ht="13.2">
      <c r="I387" s="114"/>
      <c r="R387" s="280">
        <f t="shared" ca="1" si="44"/>
        <v>48183</v>
      </c>
      <c r="BP387" s="103">
        <f t="shared" si="45"/>
        <v>386</v>
      </c>
      <c r="BQ387" s="155" t="s">
        <v>563</v>
      </c>
      <c r="BR387" s="102" t="s">
        <v>166</v>
      </c>
      <c r="BS387" s="101" t="s">
        <v>167</v>
      </c>
      <c r="BT387" s="107" t="s">
        <v>168</v>
      </c>
      <c r="BU387" s="107"/>
      <c r="BV387" s="101">
        <v>1</v>
      </c>
      <c r="BW387" s="102" t="s">
        <v>1157</v>
      </c>
      <c r="BX387"/>
    </row>
    <row r="388" spans="9:76" ht="13.2">
      <c r="I388" s="114"/>
      <c r="R388" s="280">
        <f t="shared" ca="1" si="44"/>
        <v>48214</v>
      </c>
      <c r="BP388" s="103">
        <f t="shared" si="45"/>
        <v>387</v>
      </c>
      <c r="BQ388" s="155" t="s">
        <v>564</v>
      </c>
      <c r="BR388" s="102" t="s">
        <v>166</v>
      </c>
      <c r="BS388" s="101" t="s">
        <v>167</v>
      </c>
      <c r="BT388" s="107" t="s">
        <v>168</v>
      </c>
      <c r="BU388" s="107"/>
      <c r="BV388" s="101">
        <v>1</v>
      </c>
      <c r="BW388" s="102" t="s">
        <v>1158</v>
      </c>
      <c r="BX388"/>
    </row>
    <row r="389" spans="9:76" ht="13.2">
      <c r="I389" s="114"/>
      <c r="R389" s="280">
        <f t="shared" ca="1" si="44"/>
        <v>48245</v>
      </c>
      <c r="BP389" s="103">
        <f t="shared" si="45"/>
        <v>388</v>
      </c>
      <c r="BQ389" s="155" t="s">
        <v>565</v>
      </c>
      <c r="BR389" s="102" t="s">
        <v>166</v>
      </c>
      <c r="BS389" s="101" t="s">
        <v>167</v>
      </c>
      <c r="BT389" s="107" t="s">
        <v>168</v>
      </c>
      <c r="BU389" s="107"/>
      <c r="BV389" s="101">
        <v>1</v>
      </c>
      <c r="BW389" s="102" t="s">
        <v>1159</v>
      </c>
      <c r="BX389"/>
    </row>
    <row r="390" spans="9:76" ht="13.2">
      <c r="I390" s="114"/>
      <c r="R390" s="280">
        <f t="shared" ca="1" si="44"/>
        <v>48274</v>
      </c>
      <c r="BP390" s="103">
        <f t="shared" si="45"/>
        <v>389</v>
      </c>
      <c r="BQ390" s="155" t="s">
        <v>566</v>
      </c>
      <c r="BR390" s="102" t="s">
        <v>166</v>
      </c>
      <c r="BS390" s="101" t="s">
        <v>167</v>
      </c>
      <c r="BT390" s="107" t="s">
        <v>168</v>
      </c>
      <c r="BU390" s="107"/>
      <c r="BV390" s="101">
        <v>1</v>
      </c>
      <c r="BW390" s="102" t="s">
        <v>1160</v>
      </c>
      <c r="BX390"/>
    </row>
    <row r="391" spans="9:76" ht="13.2">
      <c r="I391" s="114"/>
      <c r="R391" s="280">
        <f t="shared" ca="1" si="44"/>
        <v>48305</v>
      </c>
      <c r="BP391" s="103">
        <f t="shared" si="45"/>
        <v>390</v>
      </c>
      <c r="BQ391" s="155" t="s">
        <v>567</v>
      </c>
      <c r="BR391" s="102" t="s">
        <v>166</v>
      </c>
      <c r="BS391" s="101" t="s">
        <v>167</v>
      </c>
      <c r="BT391" s="107" t="s">
        <v>168</v>
      </c>
      <c r="BU391" s="107"/>
      <c r="BV391" s="101">
        <v>1</v>
      </c>
      <c r="BW391" s="102" t="s">
        <v>1161</v>
      </c>
      <c r="BX391"/>
    </row>
    <row r="392" spans="9:76" ht="13.2">
      <c r="I392" s="114"/>
      <c r="R392" s="280">
        <f t="shared" ca="1" si="44"/>
        <v>48335</v>
      </c>
      <c r="BP392" s="103">
        <f t="shared" si="45"/>
        <v>391</v>
      </c>
      <c r="BQ392" s="155" t="s">
        <v>568</v>
      </c>
      <c r="BR392" s="102" t="s">
        <v>166</v>
      </c>
      <c r="BS392" s="101" t="s">
        <v>167</v>
      </c>
      <c r="BT392" s="107" t="s">
        <v>168</v>
      </c>
      <c r="BU392" s="107"/>
      <c r="BV392" s="101">
        <v>1</v>
      </c>
      <c r="BW392" s="102" t="s">
        <v>1162</v>
      </c>
      <c r="BX392"/>
    </row>
    <row r="393" spans="9:76" ht="13.2">
      <c r="I393" s="114"/>
      <c r="R393" s="280">
        <f t="shared" ca="1" si="44"/>
        <v>48366</v>
      </c>
      <c r="BP393" s="103">
        <f t="shared" si="45"/>
        <v>392</v>
      </c>
      <c r="BQ393" s="155" t="s">
        <v>569</v>
      </c>
      <c r="BR393" s="102" t="s">
        <v>166</v>
      </c>
      <c r="BS393" s="101" t="s">
        <v>167</v>
      </c>
      <c r="BT393" s="107" t="s">
        <v>168</v>
      </c>
      <c r="BU393" s="107"/>
      <c r="BV393" s="101">
        <v>1</v>
      </c>
      <c r="BW393" s="102" t="s">
        <v>1163</v>
      </c>
      <c r="BX393"/>
    </row>
    <row r="394" spans="9:76" ht="13.2">
      <c r="I394" s="114"/>
      <c r="R394" s="280">
        <f t="shared" ca="1" si="44"/>
        <v>48396</v>
      </c>
      <c r="BP394" s="103">
        <f t="shared" si="45"/>
        <v>393</v>
      </c>
      <c r="BQ394" s="155" t="s">
        <v>570</v>
      </c>
      <c r="BR394" s="102" t="s">
        <v>166</v>
      </c>
      <c r="BS394" s="101" t="s">
        <v>167</v>
      </c>
      <c r="BT394" s="107" t="s">
        <v>168</v>
      </c>
      <c r="BU394" s="107"/>
      <c r="BV394" s="101">
        <v>1</v>
      </c>
      <c r="BW394" s="102" t="s">
        <v>1164</v>
      </c>
      <c r="BX394"/>
    </row>
    <row r="395" spans="9:76" ht="13.2">
      <c r="I395" s="114"/>
      <c r="R395" s="280">
        <f t="shared" ca="1" si="44"/>
        <v>48427</v>
      </c>
      <c r="BP395" s="103">
        <f t="shared" si="45"/>
        <v>394</v>
      </c>
      <c r="BQ395" s="155" t="s">
        <v>571</v>
      </c>
      <c r="BR395" s="102" t="s">
        <v>166</v>
      </c>
      <c r="BS395" s="101" t="s">
        <v>167</v>
      </c>
      <c r="BT395" s="107" t="s">
        <v>168</v>
      </c>
      <c r="BU395" s="107"/>
      <c r="BV395" s="101">
        <v>1</v>
      </c>
      <c r="BW395" s="102" t="s">
        <v>1165</v>
      </c>
      <c r="BX395"/>
    </row>
    <row r="396" spans="9:76" ht="13.2">
      <c r="I396" s="114"/>
      <c r="R396" s="280">
        <f t="shared" ca="1" si="44"/>
        <v>48458</v>
      </c>
      <c r="BP396" s="103">
        <f t="shared" si="45"/>
        <v>395</v>
      </c>
      <c r="BQ396" s="155" t="s">
        <v>572</v>
      </c>
      <c r="BR396" s="102" t="s">
        <v>166</v>
      </c>
      <c r="BS396" s="101" t="s">
        <v>167</v>
      </c>
      <c r="BT396" s="107" t="s">
        <v>168</v>
      </c>
      <c r="BU396" s="107"/>
      <c r="BV396" s="101">
        <v>1</v>
      </c>
      <c r="BW396" s="102" t="s">
        <v>1166</v>
      </c>
      <c r="BX396"/>
    </row>
    <row r="397" spans="9:76" ht="13.2">
      <c r="I397" s="114"/>
      <c r="R397" s="280">
        <f t="shared" ca="1" si="44"/>
        <v>48488</v>
      </c>
      <c r="BP397" s="103">
        <f t="shared" si="45"/>
        <v>396</v>
      </c>
      <c r="BQ397" s="155" t="s">
        <v>573</v>
      </c>
      <c r="BR397" s="102" t="s">
        <v>166</v>
      </c>
      <c r="BS397" s="101" t="s">
        <v>167</v>
      </c>
      <c r="BT397" s="107" t="s">
        <v>168</v>
      </c>
      <c r="BU397" s="107"/>
      <c r="BV397" s="101">
        <v>1</v>
      </c>
      <c r="BW397" s="102" t="s">
        <v>1167</v>
      </c>
      <c r="BX397"/>
    </row>
    <row r="398" spans="9:76" ht="13.2">
      <c r="I398" s="114"/>
      <c r="R398" s="280">
        <f t="shared" ca="1" si="44"/>
        <v>48519</v>
      </c>
      <c r="BP398" s="103">
        <f t="shared" si="45"/>
        <v>397</v>
      </c>
      <c r="BQ398" s="155" t="s">
        <v>574</v>
      </c>
      <c r="BR398" s="102" t="s">
        <v>166</v>
      </c>
      <c r="BS398" s="101" t="s">
        <v>167</v>
      </c>
      <c r="BT398" s="107" t="s">
        <v>168</v>
      </c>
      <c r="BU398" s="107"/>
      <c r="BV398" s="101">
        <v>1</v>
      </c>
      <c r="BW398" s="102" t="s">
        <v>1168</v>
      </c>
      <c r="BX398"/>
    </row>
    <row r="399" spans="9:76" ht="13.2">
      <c r="I399" s="114"/>
      <c r="BP399" s="103">
        <f t="shared" si="45"/>
        <v>398</v>
      </c>
      <c r="BQ399" s="155" t="s">
        <v>575</v>
      </c>
      <c r="BR399" s="102" t="s">
        <v>166</v>
      </c>
      <c r="BS399" s="101" t="s">
        <v>167</v>
      </c>
      <c r="BT399" s="107" t="s">
        <v>168</v>
      </c>
      <c r="BU399" s="107"/>
      <c r="BV399" s="101">
        <v>1</v>
      </c>
      <c r="BW399" s="102" t="s">
        <v>1169</v>
      </c>
      <c r="BX399"/>
    </row>
    <row r="400" spans="9:76" ht="13.2">
      <c r="I400" s="114"/>
      <c r="BP400" s="103">
        <f t="shared" si="45"/>
        <v>399</v>
      </c>
      <c r="BQ400" s="155" t="s">
        <v>576</v>
      </c>
      <c r="BR400" s="102" t="s">
        <v>166</v>
      </c>
      <c r="BS400" s="101" t="s">
        <v>167</v>
      </c>
      <c r="BT400" s="107" t="s">
        <v>168</v>
      </c>
      <c r="BU400" s="107"/>
      <c r="BV400" s="101">
        <v>1</v>
      </c>
      <c r="BW400" s="102" t="s">
        <v>1170</v>
      </c>
      <c r="BX400"/>
    </row>
    <row r="401" spans="9:76" ht="13.2">
      <c r="I401" s="114"/>
      <c r="BP401" s="103">
        <f t="shared" si="45"/>
        <v>400</v>
      </c>
      <c r="BQ401" s="155" t="s">
        <v>577</v>
      </c>
      <c r="BR401" s="102" t="s">
        <v>166</v>
      </c>
      <c r="BS401" s="101" t="s">
        <v>167</v>
      </c>
      <c r="BT401" s="107" t="s">
        <v>168</v>
      </c>
      <c r="BU401" s="107"/>
      <c r="BV401" s="101">
        <v>1</v>
      </c>
      <c r="BW401" s="102" t="s">
        <v>1171</v>
      </c>
      <c r="BX401"/>
    </row>
    <row r="402" spans="9:76" ht="13.2">
      <c r="I402" s="114"/>
      <c r="BP402" s="103">
        <f t="shared" si="45"/>
        <v>401</v>
      </c>
      <c r="BQ402" s="155" t="s">
        <v>578</v>
      </c>
      <c r="BR402" s="102" t="s">
        <v>166</v>
      </c>
      <c r="BS402" s="101" t="s">
        <v>167</v>
      </c>
      <c r="BT402" s="107" t="s">
        <v>168</v>
      </c>
      <c r="BU402" s="107"/>
      <c r="BV402" s="101">
        <v>1</v>
      </c>
      <c r="BW402" s="102" t="s">
        <v>1172</v>
      </c>
      <c r="BX402"/>
    </row>
    <row r="403" spans="9:76" ht="13.2">
      <c r="I403" s="114"/>
      <c r="BP403" s="103">
        <f t="shared" si="45"/>
        <v>402</v>
      </c>
      <c r="BQ403" s="155" t="s">
        <v>579</v>
      </c>
      <c r="BR403" s="102" t="s">
        <v>166</v>
      </c>
      <c r="BS403" s="101" t="s">
        <v>167</v>
      </c>
      <c r="BT403" s="107" t="s">
        <v>168</v>
      </c>
      <c r="BU403" s="107"/>
      <c r="BV403" s="101">
        <v>1</v>
      </c>
      <c r="BW403" s="102" t="s">
        <v>1173</v>
      </c>
      <c r="BX403"/>
    </row>
    <row r="404" spans="9:76" ht="13.2">
      <c r="I404" s="114"/>
      <c r="BP404" s="103">
        <f t="shared" si="45"/>
        <v>403</v>
      </c>
      <c r="BQ404" s="155" t="s">
        <v>580</v>
      </c>
      <c r="BR404" s="102" t="s">
        <v>166</v>
      </c>
      <c r="BS404" s="101" t="s">
        <v>167</v>
      </c>
      <c r="BT404" s="107" t="s">
        <v>168</v>
      </c>
      <c r="BU404" s="107"/>
      <c r="BV404" s="101">
        <v>1</v>
      </c>
      <c r="BW404" s="102" t="s">
        <v>1174</v>
      </c>
      <c r="BX404"/>
    </row>
    <row r="405" spans="9:76" ht="13.2">
      <c r="I405" s="114"/>
      <c r="BP405" s="103">
        <f t="shared" si="45"/>
        <v>404</v>
      </c>
      <c r="BQ405" s="155" t="s">
        <v>581</v>
      </c>
      <c r="BR405" s="102" t="s">
        <v>166</v>
      </c>
      <c r="BS405" s="101" t="s">
        <v>167</v>
      </c>
      <c r="BT405" s="107" t="s">
        <v>168</v>
      </c>
      <c r="BU405" s="107"/>
      <c r="BV405" s="101">
        <v>1</v>
      </c>
      <c r="BW405" s="102" t="s">
        <v>1175</v>
      </c>
      <c r="BX405"/>
    </row>
    <row r="406" spans="9:76" ht="13.2">
      <c r="I406" s="114"/>
      <c r="BP406" s="103">
        <f t="shared" si="45"/>
        <v>405</v>
      </c>
      <c r="BQ406" s="155" t="s">
        <v>582</v>
      </c>
      <c r="BR406" s="102" t="s">
        <v>166</v>
      </c>
      <c r="BS406" s="101" t="s">
        <v>167</v>
      </c>
      <c r="BT406" s="107" t="s">
        <v>168</v>
      </c>
      <c r="BU406" s="107"/>
      <c r="BV406" s="101">
        <v>1</v>
      </c>
      <c r="BW406" s="102" t="s">
        <v>1176</v>
      </c>
      <c r="BX406"/>
    </row>
    <row r="407" spans="9:76" ht="13.2">
      <c r="I407" s="114"/>
      <c r="BP407" s="103">
        <f t="shared" si="45"/>
        <v>406</v>
      </c>
      <c r="BQ407" s="155" t="s">
        <v>583</v>
      </c>
      <c r="BR407" s="102" t="s">
        <v>166</v>
      </c>
      <c r="BS407" s="101" t="s">
        <v>167</v>
      </c>
      <c r="BT407" s="107" t="s">
        <v>168</v>
      </c>
      <c r="BU407" s="107"/>
      <c r="BV407" s="101">
        <v>1</v>
      </c>
      <c r="BW407" s="102" t="s">
        <v>1177</v>
      </c>
      <c r="BX407"/>
    </row>
    <row r="408" spans="9:76" ht="13.2">
      <c r="I408" s="114"/>
      <c r="BP408" s="103">
        <f t="shared" si="45"/>
        <v>407</v>
      </c>
      <c r="BQ408" s="155" t="s">
        <v>584</v>
      </c>
      <c r="BR408" s="102" t="s">
        <v>166</v>
      </c>
      <c r="BS408" s="101" t="s">
        <v>167</v>
      </c>
      <c r="BT408" s="107" t="s">
        <v>168</v>
      </c>
      <c r="BU408" s="107"/>
      <c r="BV408" s="101">
        <v>1</v>
      </c>
      <c r="BW408" s="102" t="s">
        <v>1178</v>
      </c>
      <c r="BX408"/>
    </row>
    <row r="409" spans="9:76" ht="13.2">
      <c r="I409" s="114"/>
      <c r="BP409" s="103">
        <f t="shared" si="45"/>
        <v>408</v>
      </c>
      <c r="BQ409" s="155" t="s">
        <v>585</v>
      </c>
      <c r="BR409" s="102" t="s">
        <v>166</v>
      </c>
      <c r="BS409" s="101" t="s">
        <v>167</v>
      </c>
      <c r="BT409" s="107" t="s">
        <v>168</v>
      </c>
      <c r="BU409" s="107"/>
      <c r="BV409" s="101">
        <v>1</v>
      </c>
      <c r="BW409" s="102" t="s">
        <v>1179</v>
      </c>
      <c r="BX409"/>
    </row>
    <row r="410" spans="9:76">
      <c r="I410" s="114"/>
    </row>
    <row r="411" spans="9:76">
      <c r="I411" s="114"/>
    </row>
    <row r="412" spans="9:76">
      <c r="I412" s="114"/>
    </row>
    <row r="413" spans="9:76">
      <c r="I413" s="114"/>
    </row>
    <row r="414" spans="9:76">
      <c r="I414" s="114"/>
    </row>
    <row r="415" spans="9:76">
      <c r="I415" s="114"/>
    </row>
    <row r="416" spans="9:76">
      <c r="I416" s="114"/>
    </row>
    <row r="417" spans="9:9">
      <c r="I417" s="114"/>
    </row>
    <row r="418" spans="9:9">
      <c r="I418" s="114"/>
    </row>
    <row r="419" spans="9:9">
      <c r="I419" s="114"/>
    </row>
    <row r="420" spans="9:9">
      <c r="I420" s="114"/>
    </row>
    <row r="421" spans="9:9">
      <c r="I421" s="114"/>
    </row>
    <row r="422" spans="9:9">
      <c r="I422" s="114"/>
    </row>
    <row r="423" spans="9:9">
      <c r="I423" s="114"/>
    </row>
    <row r="424" spans="9:9">
      <c r="I424" s="114"/>
    </row>
    <row r="425" spans="9:9">
      <c r="I425" s="114"/>
    </row>
    <row r="426" spans="9:9">
      <c r="I426" s="114"/>
    </row>
    <row r="427" spans="9:9">
      <c r="I427" s="114"/>
    </row>
    <row r="428" spans="9:9">
      <c r="I428" s="114"/>
    </row>
    <row r="429" spans="9:9">
      <c r="I429" s="114"/>
    </row>
    <row r="430" spans="9:9">
      <c r="I430" s="114"/>
    </row>
    <row r="431" spans="9:9">
      <c r="I431" s="114"/>
    </row>
    <row r="432" spans="9:9">
      <c r="I432" s="114"/>
    </row>
    <row r="433" spans="9:9">
      <c r="I433" s="114"/>
    </row>
    <row r="434" spans="9:9">
      <c r="I434" s="114"/>
    </row>
    <row r="435" spans="9:9">
      <c r="I435" s="114"/>
    </row>
    <row r="436" spans="9:9">
      <c r="I436" s="114"/>
    </row>
    <row r="437" spans="9:9">
      <c r="I437" s="114"/>
    </row>
    <row r="438" spans="9:9">
      <c r="I438" s="114"/>
    </row>
    <row r="439" spans="9:9">
      <c r="I439" s="114"/>
    </row>
    <row r="440" spans="9:9">
      <c r="I440" s="114"/>
    </row>
    <row r="441" spans="9:9">
      <c r="I441" s="114"/>
    </row>
    <row r="442" spans="9:9">
      <c r="I442" s="114"/>
    </row>
    <row r="443" spans="9:9">
      <c r="I443" s="114"/>
    </row>
    <row r="444" spans="9:9">
      <c r="I444" s="114"/>
    </row>
    <row r="445" spans="9:9">
      <c r="I445" s="114"/>
    </row>
    <row r="446" spans="9:9">
      <c r="I446" s="114"/>
    </row>
    <row r="447" spans="9:9">
      <c r="I447" s="114"/>
    </row>
    <row r="448" spans="9:9">
      <c r="I448" s="114"/>
    </row>
    <row r="449" spans="9:9">
      <c r="I449" s="114"/>
    </row>
    <row r="450" spans="9:9">
      <c r="I450" s="114"/>
    </row>
    <row r="451" spans="9:9">
      <c r="I451" s="114"/>
    </row>
    <row r="452" spans="9:9">
      <c r="I452" s="114"/>
    </row>
    <row r="453" spans="9:9">
      <c r="I453" s="114"/>
    </row>
    <row r="454" spans="9:9">
      <c r="I454" s="114"/>
    </row>
    <row r="455" spans="9:9">
      <c r="I455" s="114"/>
    </row>
    <row r="456" spans="9:9">
      <c r="I456" s="114"/>
    </row>
    <row r="457" spans="9:9">
      <c r="I457" s="114"/>
    </row>
    <row r="458" spans="9:9">
      <c r="I458" s="114"/>
    </row>
    <row r="459" spans="9:9">
      <c r="I459" s="114"/>
    </row>
    <row r="460" spans="9:9">
      <c r="I460" s="114"/>
    </row>
    <row r="461" spans="9:9">
      <c r="I461" s="114"/>
    </row>
    <row r="462" spans="9:9">
      <c r="I462" s="114"/>
    </row>
    <row r="463" spans="9:9">
      <c r="I463" s="114"/>
    </row>
    <row r="464" spans="9:9">
      <c r="I464" s="114"/>
    </row>
    <row r="465" spans="9:9">
      <c r="I465" s="114"/>
    </row>
    <row r="466" spans="9:9">
      <c r="I466" s="114"/>
    </row>
    <row r="467" spans="9:9">
      <c r="I467" s="114"/>
    </row>
    <row r="468" spans="9:9">
      <c r="I468" s="114"/>
    </row>
    <row r="469" spans="9:9">
      <c r="I469" s="114"/>
    </row>
    <row r="470" spans="9:9">
      <c r="I470" s="114"/>
    </row>
    <row r="471" spans="9:9">
      <c r="I471" s="114"/>
    </row>
    <row r="472" spans="9:9">
      <c r="I472" s="114"/>
    </row>
    <row r="473" spans="9:9">
      <c r="I473" s="114"/>
    </row>
    <row r="474" spans="9:9">
      <c r="I474" s="114"/>
    </row>
    <row r="475" spans="9:9">
      <c r="I475" s="114"/>
    </row>
    <row r="476" spans="9:9">
      <c r="I476" s="114"/>
    </row>
    <row r="477" spans="9:9">
      <c r="I477" s="114"/>
    </row>
    <row r="478" spans="9:9">
      <c r="I478" s="114"/>
    </row>
    <row r="479" spans="9:9">
      <c r="I479" s="114"/>
    </row>
    <row r="480" spans="9:9">
      <c r="I480" s="114"/>
    </row>
    <row r="481" spans="9:9">
      <c r="I481" s="114"/>
    </row>
    <row r="482" spans="9:9">
      <c r="I482" s="114"/>
    </row>
    <row r="483" spans="9:9">
      <c r="I483" s="114"/>
    </row>
    <row r="484" spans="9:9">
      <c r="I484" s="114"/>
    </row>
    <row r="485" spans="9:9">
      <c r="I485" s="114"/>
    </row>
    <row r="486" spans="9:9">
      <c r="I486" s="114"/>
    </row>
  </sheetData>
  <pageMargins left="0.2" right="0.23" top="0.17" bottom="0.19" header="0.17" footer="0.19"/>
  <pageSetup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F10681"/>
  <sheetViews>
    <sheetView zoomScale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3.2"/>
  <cols>
    <col min="1" max="1" width="7.109375" bestFit="1" customWidth="1"/>
    <col min="2" max="2" width="5" bestFit="1" customWidth="1"/>
    <col min="3" max="3" width="10.109375" customWidth="1"/>
    <col min="4" max="4" width="5.44140625" bestFit="1" customWidth="1"/>
    <col min="5" max="5" width="9" customWidth="1"/>
    <col min="6" max="6" width="8.33203125" customWidth="1"/>
    <col min="7" max="7" width="7.6640625" customWidth="1"/>
    <col min="8" max="8" width="9.6640625" customWidth="1"/>
    <col min="9" max="9" width="10" bestFit="1" customWidth="1"/>
    <col min="10" max="10" width="12.44140625" bestFit="1" customWidth="1"/>
    <col min="11" max="11" width="9.5546875" customWidth="1"/>
    <col min="12" max="12" width="10" customWidth="1"/>
    <col min="13" max="13" width="12.44140625" bestFit="1" customWidth="1"/>
    <col min="14" max="14" width="9.5546875" customWidth="1"/>
    <col min="15" max="15" width="10" customWidth="1"/>
    <col min="16" max="16" width="12.44140625" bestFit="1" customWidth="1"/>
    <col min="17" max="17" width="9.5546875" customWidth="1"/>
    <col min="18" max="18" width="10" bestFit="1" customWidth="1"/>
    <col min="19" max="19" width="12.44140625" bestFit="1" customWidth="1"/>
    <col min="20" max="20" width="9.5546875" customWidth="1"/>
    <col min="21" max="21" width="10" bestFit="1" customWidth="1"/>
    <col min="22" max="22" width="12.44140625" bestFit="1" customWidth="1"/>
    <col min="23" max="23" width="9.33203125" customWidth="1"/>
    <col min="24" max="24" width="10" bestFit="1" customWidth="1"/>
    <col min="25" max="25" width="12.44140625" bestFit="1" customWidth="1"/>
    <col min="26" max="26" width="9.5546875" customWidth="1"/>
    <col min="27" max="27" width="11.109375" bestFit="1" customWidth="1"/>
    <col min="28" max="28" width="13.88671875" bestFit="1" customWidth="1"/>
    <col min="29" max="29" width="9.44140625" customWidth="1"/>
    <col min="30" max="30" width="11.109375" bestFit="1" customWidth="1"/>
    <col min="31" max="31" width="13.88671875" bestFit="1" customWidth="1"/>
    <col min="32" max="32" width="9.33203125" customWidth="1"/>
    <col min="33" max="33" width="11.109375" bestFit="1" customWidth="1"/>
    <col min="34" max="34" width="12.44140625" bestFit="1" customWidth="1"/>
    <col min="35" max="35" width="9.44140625" customWidth="1"/>
    <col min="36" max="36" width="4.88671875" customWidth="1"/>
    <col min="37" max="37" width="5.44140625" customWidth="1"/>
    <col min="38" max="38" width="4.5546875" customWidth="1"/>
    <col min="39" max="40" width="5.109375" bestFit="1" customWidth="1"/>
    <col min="41" max="41" width="6" customWidth="1"/>
    <col min="42" max="42" width="4.6640625" customWidth="1"/>
    <col min="43" max="43" width="4.5546875" customWidth="1"/>
    <col min="44" max="44" width="5.109375" bestFit="1" customWidth="1"/>
    <col min="45" max="45" width="4.44140625" customWidth="1"/>
    <col min="46" max="46" width="4.109375" bestFit="1" customWidth="1"/>
    <col min="47" max="47" width="4.109375" customWidth="1"/>
    <col min="48" max="48" width="3.109375" bestFit="1" customWidth="1"/>
    <col min="49" max="49" width="3" bestFit="1" customWidth="1"/>
    <col min="50" max="50" width="3" customWidth="1"/>
    <col min="51" max="51" width="3.109375" customWidth="1"/>
    <col min="52" max="52" width="5.88671875" customWidth="1"/>
    <col min="53" max="53" width="4.109375" bestFit="1" customWidth="1"/>
    <col min="54" max="54" width="10" customWidth="1"/>
    <col min="55" max="56" width="4.5546875" bestFit="1" customWidth="1"/>
    <col min="57" max="57" width="4.5546875" customWidth="1"/>
    <col min="58" max="58" width="4.44140625" bestFit="1" customWidth="1"/>
    <col min="59" max="59" width="3.6640625" bestFit="1" customWidth="1"/>
    <col min="60" max="60" width="3.6640625" customWidth="1"/>
    <col min="61" max="61" width="5.109375" bestFit="1" customWidth="1"/>
    <col min="62" max="62" width="3.6640625" bestFit="1" customWidth="1"/>
    <col min="63" max="63" width="4" customWidth="1"/>
    <col min="64" max="64" width="10" customWidth="1"/>
    <col min="65" max="65" width="8.33203125" style="4" customWidth="1"/>
    <col min="66" max="66" width="12" style="4" customWidth="1"/>
    <col min="67" max="68" width="12.44140625" style="4" customWidth="1"/>
    <col min="69" max="69" width="11.109375" style="4" customWidth="1"/>
    <col min="70" max="71" width="12.44140625" style="4" customWidth="1"/>
    <col min="72" max="72" width="11.109375" style="4" customWidth="1"/>
    <col min="73" max="73" width="12.44140625" customWidth="1"/>
    <col min="74" max="79" width="12.33203125" customWidth="1"/>
    <col min="81" max="81" width="9.33203125" customWidth="1"/>
    <col min="83" max="83" width="8.6640625" bestFit="1" customWidth="1"/>
    <col min="84" max="84" width="8" bestFit="1" customWidth="1"/>
    <col min="86" max="86" width="11.5546875" bestFit="1" customWidth="1"/>
    <col min="87" max="87" width="9.5546875" customWidth="1"/>
    <col min="90" max="90" width="5.5546875" style="366" customWidth="1"/>
    <col min="91" max="91" width="10" customWidth="1"/>
    <col min="92" max="92" width="11.109375" bestFit="1" customWidth="1"/>
    <col min="93" max="93" width="11.109375" customWidth="1"/>
    <col min="95" max="95" width="11.109375" bestFit="1" customWidth="1"/>
    <col min="96" max="96" width="11.109375" customWidth="1"/>
    <col min="97" max="97" width="9" customWidth="1"/>
    <col min="98" max="98" width="11.109375" bestFit="1" customWidth="1"/>
    <col min="99" max="99" width="11.109375" customWidth="1"/>
    <col min="101" max="101" width="8.5546875" customWidth="1"/>
    <col min="102" max="102" width="8.109375" customWidth="1"/>
    <col min="103" max="103" width="8.44140625" customWidth="1"/>
    <col min="104" max="104" width="6.5546875" bestFit="1" customWidth="1"/>
    <col min="105" max="105" width="9.33203125" bestFit="1" customWidth="1"/>
    <col min="106" max="106" width="5.109375" bestFit="1" customWidth="1"/>
    <col min="107" max="107" width="6.5546875" bestFit="1" customWidth="1"/>
    <col min="108" max="108" width="9.33203125" bestFit="1" customWidth="1"/>
    <col min="109" max="109" width="4.6640625" bestFit="1" customWidth="1"/>
    <col min="110" max="110" width="5" customWidth="1"/>
    <col min="111" max="112" width="11.88671875" customWidth="1"/>
    <col min="113" max="114" width="10.33203125" bestFit="1" customWidth="1"/>
    <col min="115" max="115" width="10.33203125" customWidth="1"/>
    <col min="116" max="119" width="10.33203125" bestFit="1" customWidth="1"/>
    <col min="120" max="120" width="11.33203125" bestFit="1" customWidth="1"/>
    <col min="212" max="212" width="6.33203125" customWidth="1"/>
    <col min="213" max="213" width="5.5546875" customWidth="1"/>
    <col min="214" max="214" width="7.44140625" customWidth="1"/>
  </cols>
  <sheetData>
    <row r="1" spans="1:214">
      <c r="A1" s="472" t="s">
        <v>1266</v>
      </c>
      <c r="B1" s="473"/>
      <c r="C1" s="473"/>
      <c r="D1" s="473"/>
      <c r="E1" s="473"/>
      <c r="F1" s="473"/>
      <c r="G1" s="473"/>
      <c r="H1" s="474"/>
      <c r="I1" s="480" t="s">
        <v>1279</v>
      </c>
      <c r="J1" s="468"/>
      <c r="K1" s="468"/>
      <c r="L1" s="468"/>
      <c r="M1" s="468"/>
      <c r="N1" s="468"/>
      <c r="O1" s="468"/>
      <c r="P1" s="468"/>
      <c r="Q1" s="469"/>
      <c r="R1" s="482" t="s">
        <v>1385</v>
      </c>
      <c r="S1" s="483"/>
      <c r="T1" s="483"/>
      <c r="U1" s="483"/>
      <c r="V1" s="483"/>
      <c r="W1" s="483"/>
      <c r="X1" s="483"/>
      <c r="Y1" s="483"/>
      <c r="Z1" s="484"/>
      <c r="AA1" s="485" t="s">
        <v>1320</v>
      </c>
      <c r="AB1" s="468"/>
      <c r="AC1" s="468"/>
      <c r="AD1" s="468"/>
      <c r="AE1" s="468"/>
      <c r="AF1" s="468"/>
      <c r="AG1" s="468"/>
      <c r="AH1" s="468"/>
      <c r="AI1" s="469"/>
      <c r="AJ1" s="486" t="s">
        <v>1280</v>
      </c>
      <c r="AK1" s="468"/>
      <c r="AL1" s="468"/>
      <c r="AM1" s="468"/>
      <c r="AN1" s="468"/>
      <c r="AO1" s="468"/>
      <c r="AP1" s="468"/>
      <c r="AQ1" s="468"/>
      <c r="AR1" s="469"/>
      <c r="AS1" s="486" t="s">
        <v>1281</v>
      </c>
      <c r="AT1" s="468"/>
      <c r="AU1" s="468"/>
      <c r="AV1" s="468"/>
      <c r="AW1" s="468"/>
      <c r="AX1" s="468"/>
      <c r="AY1" s="468"/>
      <c r="AZ1" s="468"/>
      <c r="BA1" s="468"/>
      <c r="BB1" s="468"/>
      <c r="BC1" s="468"/>
      <c r="BD1" s="468"/>
      <c r="BE1" s="468"/>
      <c r="BF1" s="468"/>
      <c r="BG1" s="468"/>
      <c r="BH1" s="468"/>
      <c r="BI1" s="468"/>
      <c r="BJ1" s="468"/>
      <c r="BK1" s="468"/>
      <c r="BL1" s="469"/>
      <c r="BM1" s="481" t="s">
        <v>1336</v>
      </c>
      <c r="BN1" s="468"/>
      <c r="BO1" s="468"/>
      <c r="BP1" s="468"/>
      <c r="BQ1" s="468"/>
      <c r="BR1" s="468"/>
      <c r="BS1" s="468"/>
      <c r="BT1" s="468"/>
      <c r="BU1" s="468"/>
      <c r="BV1" s="468"/>
      <c r="BW1" s="468"/>
      <c r="BX1" s="475" t="s">
        <v>1303</v>
      </c>
      <c r="BY1" s="476"/>
      <c r="BZ1" s="476"/>
      <c r="CA1" s="477"/>
      <c r="CB1" s="478" t="s">
        <v>1351</v>
      </c>
      <c r="CC1" s="479"/>
      <c r="CD1" s="479"/>
      <c r="CE1" s="479"/>
      <c r="CF1" s="479"/>
      <c r="CG1" s="479"/>
      <c r="CH1" s="479"/>
      <c r="CI1" s="479"/>
      <c r="CJ1" s="479"/>
      <c r="CK1" s="479"/>
      <c r="CL1" s="487" t="s">
        <v>1392</v>
      </c>
      <c r="CM1" s="479"/>
      <c r="CN1" s="479"/>
      <c r="CO1" s="479"/>
      <c r="CP1" s="479"/>
      <c r="CQ1" s="479"/>
      <c r="CR1" s="479"/>
      <c r="CS1" s="479"/>
      <c r="CT1" s="479"/>
      <c r="CU1" s="479"/>
      <c r="CV1" s="488"/>
      <c r="CW1" s="489" t="s">
        <v>1271</v>
      </c>
      <c r="CX1" s="468"/>
      <c r="CY1" s="468"/>
      <c r="CZ1" s="468"/>
      <c r="DA1" s="468"/>
      <c r="DB1" s="468"/>
      <c r="DC1" s="468"/>
      <c r="DD1" s="468"/>
      <c r="DE1" s="469"/>
      <c r="DF1" s="383"/>
      <c r="DG1" s="471" t="s">
        <v>1402</v>
      </c>
      <c r="DH1" s="468"/>
      <c r="DI1" s="468"/>
      <c r="DJ1" s="468"/>
      <c r="DK1" s="468"/>
      <c r="DL1" s="468"/>
      <c r="DM1" s="468"/>
      <c r="DN1" s="468"/>
      <c r="DO1" s="469"/>
      <c r="DP1" s="218" t="s">
        <v>1256</v>
      </c>
      <c r="DQ1" s="319" t="s">
        <v>1405</v>
      </c>
      <c r="HD1" s="425" t="s">
        <v>1427</v>
      </c>
      <c r="HE1" s="425"/>
      <c r="HF1" s="425"/>
    </row>
    <row r="2" spans="1:214" s="204" customFormat="1">
      <c r="A2" s="407"/>
      <c r="B2" s="407"/>
      <c r="C2" s="407"/>
      <c r="D2" s="407"/>
      <c r="E2" s="408" t="s">
        <v>1319</v>
      </c>
      <c r="F2" s="407"/>
      <c r="G2" s="409" t="s">
        <v>1367</v>
      </c>
      <c r="H2" s="409" t="s">
        <v>1238</v>
      </c>
      <c r="I2" s="211" t="s">
        <v>1267</v>
      </c>
      <c r="J2" s="211" t="s">
        <v>1267</v>
      </c>
      <c r="K2" s="211" t="s">
        <v>1267</v>
      </c>
      <c r="L2" s="212" t="s">
        <v>1253</v>
      </c>
      <c r="M2" s="212" t="s">
        <v>1253</v>
      </c>
      <c r="N2" s="212" t="s">
        <v>1253</v>
      </c>
      <c r="O2" s="212" t="s">
        <v>1254</v>
      </c>
      <c r="P2" s="212" t="s">
        <v>1254</v>
      </c>
      <c r="Q2" s="212" t="s">
        <v>1254</v>
      </c>
      <c r="R2" s="403" t="s">
        <v>1267</v>
      </c>
      <c r="S2" s="403" t="s">
        <v>1267</v>
      </c>
      <c r="T2" s="403" t="s">
        <v>1267</v>
      </c>
      <c r="U2" s="404" t="s">
        <v>1253</v>
      </c>
      <c r="V2" s="404" t="s">
        <v>1253</v>
      </c>
      <c r="W2" s="404" t="s">
        <v>1384</v>
      </c>
      <c r="X2" s="404" t="s">
        <v>1254</v>
      </c>
      <c r="Y2" s="404" t="s">
        <v>1254</v>
      </c>
      <c r="Z2" s="404" t="s">
        <v>1254</v>
      </c>
      <c r="AA2" s="215" t="s">
        <v>1267</v>
      </c>
      <c r="AB2" s="215" t="s">
        <v>1267</v>
      </c>
      <c r="AC2" s="215" t="s">
        <v>1267</v>
      </c>
      <c r="AD2" s="215" t="s">
        <v>1253</v>
      </c>
      <c r="AE2" s="215" t="s">
        <v>1253</v>
      </c>
      <c r="AF2" s="215" t="s">
        <v>1253</v>
      </c>
      <c r="AG2" s="215" t="s">
        <v>1254</v>
      </c>
      <c r="AH2" s="215" t="s">
        <v>1254</v>
      </c>
      <c r="AI2" s="215" t="s">
        <v>1254</v>
      </c>
      <c r="AJ2" s="222"/>
      <c r="AK2" s="222"/>
      <c r="AL2" s="222"/>
      <c r="AM2" s="222"/>
      <c r="AN2" s="222"/>
      <c r="AO2" s="222"/>
      <c r="AP2" s="222"/>
      <c r="AQ2" s="223" t="s">
        <v>1282</v>
      </c>
      <c r="AR2" s="217">
        <v>150</v>
      </c>
      <c r="AS2" s="222"/>
      <c r="AT2" s="222"/>
      <c r="AU2" s="222"/>
      <c r="AV2" s="222"/>
      <c r="AW2" s="222"/>
      <c r="AX2" s="222"/>
      <c r="AY2" s="223" t="s">
        <v>1281</v>
      </c>
      <c r="AZ2" s="217">
        <v>980</v>
      </c>
      <c r="BA2" s="222"/>
      <c r="BB2" s="222" t="s">
        <v>1271</v>
      </c>
      <c r="BC2" s="236"/>
      <c r="BD2" s="236"/>
      <c r="BE2" s="236"/>
      <c r="BF2" s="236"/>
      <c r="BG2" s="236"/>
      <c r="BH2" s="236"/>
      <c r="BI2" s="236"/>
      <c r="BJ2" s="236"/>
      <c r="BK2" s="236"/>
      <c r="BL2" s="236" t="s">
        <v>1256</v>
      </c>
      <c r="BM2" s="219"/>
      <c r="BN2" s="218" t="s">
        <v>1267</v>
      </c>
      <c r="BO2" s="218" t="s">
        <v>1267</v>
      </c>
      <c r="BP2" s="218" t="s">
        <v>1267</v>
      </c>
      <c r="BQ2" s="218" t="s">
        <v>1253</v>
      </c>
      <c r="BR2" s="218" t="s">
        <v>1253</v>
      </c>
      <c r="BS2" s="218" t="s">
        <v>1384</v>
      </c>
      <c r="BT2" s="218" t="s">
        <v>1254</v>
      </c>
      <c r="BU2" s="218" t="s">
        <v>1254</v>
      </c>
      <c r="BV2" s="218" t="s">
        <v>1254</v>
      </c>
      <c r="BW2" s="218" t="s">
        <v>1256</v>
      </c>
      <c r="BX2" s="418" t="s">
        <v>1304</v>
      </c>
      <c r="BY2" s="419" t="s">
        <v>1305</v>
      </c>
      <c r="BZ2" s="419" t="s">
        <v>1235</v>
      </c>
      <c r="CA2" s="420" t="s">
        <v>1367</v>
      </c>
      <c r="CB2" s="255" t="s">
        <v>1278</v>
      </c>
      <c r="CC2" s="255" t="s">
        <v>1278</v>
      </c>
      <c r="CD2" s="255" t="s">
        <v>1278</v>
      </c>
      <c r="CE2" s="255" t="s">
        <v>10</v>
      </c>
      <c r="CF2" s="255" t="s">
        <v>10</v>
      </c>
      <c r="CG2" s="255" t="s">
        <v>10</v>
      </c>
      <c r="CH2" s="255" t="s">
        <v>1287</v>
      </c>
      <c r="CI2" s="255" t="s">
        <v>1314</v>
      </c>
      <c r="CJ2" s="255" t="s">
        <v>1288</v>
      </c>
      <c r="CK2" s="255" t="s">
        <v>1290</v>
      </c>
      <c r="CL2" s="367" t="s">
        <v>1387</v>
      </c>
      <c r="CM2" s="368" t="s">
        <v>1390</v>
      </c>
      <c r="CN2" s="253" t="s">
        <v>1267</v>
      </c>
      <c r="CO2" s="253" t="s">
        <v>1267</v>
      </c>
      <c r="CP2" s="253" t="s">
        <v>1267</v>
      </c>
      <c r="CQ2" s="210" t="s">
        <v>1253</v>
      </c>
      <c r="CR2" s="210" t="s">
        <v>1253</v>
      </c>
      <c r="CS2" s="210" t="s">
        <v>1384</v>
      </c>
      <c r="CT2" s="210" t="s">
        <v>1254</v>
      </c>
      <c r="CU2" s="210" t="s">
        <v>1254</v>
      </c>
      <c r="CV2" s="210" t="s">
        <v>1254</v>
      </c>
      <c r="CW2" s="370" t="s">
        <v>1267</v>
      </c>
      <c r="CX2" s="370" t="s">
        <v>1267</v>
      </c>
      <c r="CY2" s="370" t="s">
        <v>1267</v>
      </c>
      <c r="CZ2" s="215" t="s">
        <v>1253</v>
      </c>
      <c r="DA2" s="215" t="s">
        <v>1253</v>
      </c>
      <c r="DB2" s="215" t="s">
        <v>1384</v>
      </c>
      <c r="DC2" s="215" t="s">
        <v>1254</v>
      </c>
      <c r="DD2" s="215" t="s">
        <v>1254</v>
      </c>
      <c r="DE2" s="215" t="s">
        <v>1254</v>
      </c>
      <c r="DF2" s="371" t="s">
        <v>1387</v>
      </c>
      <c r="DG2" s="372" t="s">
        <v>1267</v>
      </c>
      <c r="DH2" s="372" t="s">
        <v>1267</v>
      </c>
      <c r="DI2" s="372" t="s">
        <v>1267</v>
      </c>
      <c r="DJ2" s="245" t="s">
        <v>1253</v>
      </c>
      <c r="DK2" s="245" t="s">
        <v>1253</v>
      </c>
      <c r="DL2" s="245" t="s">
        <v>1384</v>
      </c>
      <c r="DM2" s="245" t="s">
        <v>1254</v>
      </c>
      <c r="DN2" s="245" t="s">
        <v>1254</v>
      </c>
      <c r="DO2" s="245" t="s">
        <v>1254</v>
      </c>
      <c r="DP2" s="218" t="s">
        <v>1403</v>
      </c>
      <c r="DQ2" s="319" t="s">
        <v>29</v>
      </c>
      <c r="HC2"/>
      <c r="HD2" s="194" t="s">
        <v>1252</v>
      </c>
      <c r="HE2" s="194" t="s">
        <v>1253</v>
      </c>
      <c r="HF2" s="206" t="s">
        <v>1254</v>
      </c>
    </row>
    <row r="3" spans="1:214" s="204" customFormat="1">
      <c r="A3" s="409" t="s">
        <v>1234</v>
      </c>
      <c r="B3" s="409" t="s">
        <v>1276</v>
      </c>
      <c r="C3" s="409" t="s">
        <v>10</v>
      </c>
      <c r="D3" s="409" t="s">
        <v>54</v>
      </c>
      <c r="E3" s="409" t="s">
        <v>1318</v>
      </c>
      <c r="F3" s="409" t="s">
        <v>1235</v>
      </c>
      <c r="G3" s="409" t="s">
        <v>29</v>
      </c>
      <c r="H3" s="409" t="s">
        <v>1239</v>
      </c>
      <c r="I3" s="211" t="s">
        <v>1250</v>
      </c>
      <c r="J3" s="211" t="s">
        <v>1268</v>
      </c>
      <c r="K3" s="212" t="s">
        <v>1269</v>
      </c>
      <c r="L3" s="212" t="s">
        <v>1250</v>
      </c>
      <c r="M3" s="212" t="s">
        <v>1268</v>
      </c>
      <c r="N3" s="212" t="s">
        <v>1269</v>
      </c>
      <c r="O3" s="212" t="s">
        <v>1250</v>
      </c>
      <c r="P3" s="212" t="s">
        <v>1268</v>
      </c>
      <c r="Q3" s="212" t="s">
        <v>1269</v>
      </c>
      <c r="R3" s="403" t="s">
        <v>1250</v>
      </c>
      <c r="S3" s="403" t="s">
        <v>1268</v>
      </c>
      <c r="T3" s="404" t="s">
        <v>1269</v>
      </c>
      <c r="U3" s="404" t="s">
        <v>1250</v>
      </c>
      <c r="V3" s="404" t="s">
        <v>1268</v>
      </c>
      <c r="W3" s="404" t="s">
        <v>1269</v>
      </c>
      <c r="X3" s="404" t="s">
        <v>1250</v>
      </c>
      <c r="Y3" s="404" t="s">
        <v>1268</v>
      </c>
      <c r="Z3" s="404" t="s">
        <v>1269</v>
      </c>
      <c r="AA3" s="215" t="s">
        <v>1250</v>
      </c>
      <c r="AB3" s="215" t="s">
        <v>1268</v>
      </c>
      <c r="AC3" s="215" t="s">
        <v>1269</v>
      </c>
      <c r="AD3" s="215" t="s">
        <v>1250</v>
      </c>
      <c r="AE3" s="215" t="s">
        <v>1268</v>
      </c>
      <c r="AF3" s="215" t="s">
        <v>1269</v>
      </c>
      <c r="AG3" s="215" t="s">
        <v>1250</v>
      </c>
      <c r="AH3" s="215" t="s">
        <v>1268</v>
      </c>
      <c r="AI3" s="215" t="s">
        <v>1269</v>
      </c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3"/>
      <c r="AZ3" s="222"/>
      <c r="BA3" s="222"/>
      <c r="BB3" s="222" t="s">
        <v>1276</v>
      </c>
      <c r="BC3" s="236"/>
      <c r="BD3" s="236"/>
      <c r="BE3" s="236"/>
      <c r="BF3" s="236"/>
      <c r="BG3" s="236"/>
      <c r="BH3" s="236"/>
      <c r="BI3" s="236"/>
      <c r="BJ3" s="236"/>
      <c r="BK3" s="236"/>
      <c r="BL3" s="236" t="s">
        <v>1271</v>
      </c>
      <c r="BM3" s="218" t="s">
        <v>1277</v>
      </c>
      <c r="BN3" s="218" t="s">
        <v>1250</v>
      </c>
      <c r="BO3" s="218" t="s">
        <v>1268</v>
      </c>
      <c r="BP3" s="218" t="s">
        <v>1269</v>
      </c>
      <c r="BQ3" s="218" t="s">
        <v>1250</v>
      </c>
      <c r="BR3" s="218" t="s">
        <v>1268</v>
      </c>
      <c r="BS3" s="218" t="s">
        <v>1269</v>
      </c>
      <c r="BT3" s="218" t="s">
        <v>1250</v>
      </c>
      <c r="BU3" s="218" t="s">
        <v>1268</v>
      </c>
      <c r="BV3" s="218" t="s">
        <v>1269</v>
      </c>
      <c r="BW3" s="218" t="s">
        <v>1301</v>
      </c>
      <c r="BX3" s="418" t="s">
        <v>1300</v>
      </c>
      <c r="BY3" s="419" t="s">
        <v>1306</v>
      </c>
      <c r="BZ3" s="419" t="s">
        <v>1306</v>
      </c>
      <c r="CA3" s="420" t="s">
        <v>29</v>
      </c>
      <c r="CB3" s="255" t="s">
        <v>1260</v>
      </c>
      <c r="CC3" s="255" t="s">
        <v>1261</v>
      </c>
      <c r="CD3" s="255" t="s">
        <v>1262</v>
      </c>
      <c r="CE3" s="255" t="s">
        <v>1260</v>
      </c>
      <c r="CF3" s="255" t="s">
        <v>1285</v>
      </c>
      <c r="CG3" s="255" t="s">
        <v>1286</v>
      </c>
      <c r="CH3" s="255" t="s">
        <v>22</v>
      </c>
      <c r="CI3" s="255" t="s">
        <v>1251</v>
      </c>
      <c r="CJ3" s="255" t="s">
        <v>1289</v>
      </c>
      <c r="CK3" s="255" t="s">
        <v>28</v>
      </c>
      <c r="CL3" s="364" t="s">
        <v>54</v>
      </c>
      <c r="CM3" s="369" t="s">
        <v>1239</v>
      </c>
      <c r="CN3" s="210" t="s">
        <v>1408</v>
      </c>
      <c r="CO3" s="210" t="s">
        <v>1409</v>
      </c>
      <c r="CP3" s="210" t="s">
        <v>1269</v>
      </c>
      <c r="CQ3" s="210" t="s">
        <v>1408</v>
      </c>
      <c r="CR3" s="210" t="s">
        <v>1409</v>
      </c>
      <c r="CS3" s="210" t="s">
        <v>1269</v>
      </c>
      <c r="CT3" s="210" t="s">
        <v>1408</v>
      </c>
      <c r="CU3" s="210" t="s">
        <v>1409</v>
      </c>
      <c r="CV3" s="210" t="s">
        <v>1269</v>
      </c>
      <c r="CW3" s="215" t="s">
        <v>1408</v>
      </c>
      <c r="CX3" s="215" t="s">
        <v>1409</v>
      </c>
      <c r="CY3" s="215" t="s">
        <v>1269</v>
      </c>
      <c r="CZ3" s="215" t="s">
        <v>1408</v>
      </c>
      <c r="DA3" s="215" t="s">
        <v>1409</v>
      </c>
      <c r="DB3" s="215" t="s">
        <v>1269</v>
      </c>
      <c r="DC3" s="215" t="s">
        <v>1408</v>
      </c>
      <c r="DD3" s="215" t="s">
        <v>1409</v>
      </c>
      <c r="DE3" s="215" t="s">
        <v>1269</v>
      </c>
      <c r="DF3" s="371" t="s">
        <v>1277</v>
      </c>
      <c r="DG3" s="245" t="s">
        <v>1408</v>
      </c>
      <c r="DH3" s="245" t="s">
        <v>1409</v>
      </c>
      <c r="DI3" s="245" t="s">
        <v>1269</v>
      </c>
      <c r="DJ3" s="245" t="s">
        <v>1408</v>
      </c>
      <c r="DK3" s="245" t="s">
        <v>1409</v>
      </c>
      <c r="DL3" s="245" t="s">
        <v>1269</v>
      </c>
      <c r="DM3" s="245" t="s">
        <v>1408</v>
      </c>
      <c r="DN3" s="245" t="s">
        <v>1409</v>
      </c>
      <c r="DO3" s="245" t="s">
        <v>1269</v>
      </c>
      <c r="DP3" s="218" t="s">
        <v>1404</v>
      </c>
      <c r="HC3"/>
      <c r="HD3" s="194" t="s">
        <v>1257</v>
      </c>
      <c r="HE3" s="194" t="s">
        <v>1257</v>
      </c>
      <c r="HF3" s="207" t="s">
        <v>1426</v>
      </c>
    </row>
    <row r="4" spans="1:214">
      <c r="A4" s="415">
        <f>Inputs!K2</f>
        <v>36892</v>
      </c>
      <c r="B4" s="410">
        <f>IF(A4="N/A"," ",YEAR(A4))</f>
        <v>2001</v>
      </c>
      <c r="C4" s="411" t="e">
        <f ca="1">IF(A4="N/A"," ",VLOOKUP(A4,ScaledPrice,10))</f>
        <v>#N/A</v>
      </c>
      <c r="D4" s="412">
        <f>IF(A4="N/A"," ",(VLOOKUP(MONTH($A4),Hrtable,2))/1000)</f>
        <v>10</v>
      </c>
      <c r="E4" s="413" t="e">
        <f ca="1">IF($A4="N/A"," ",(C4-'Pricing Inputs'!T37)*D4)</f>
        <v>#N/A</v>
      </c>
      <c r="F4" s="414">
        <f>IF(A4="N/A"," ",VOM)</f>
        <v>2.5</v>
      </c>
      <c r="G4" s="414">
        <f ca="1">IF(A4="N/A"," ",Perstart/IF(AND(Dayrun&gt;=4,Dayrun&lt;=6),16,IF(AND(Dayrun&gt;=7,Dayrun&lt;=9),8,24))/(BM4/CK4))</f>
        <v>0</v>
      </c>
      <c r="H4" s="416" t="e">
        <f ca="1">IF(A4="N/A"," ",(C4*D4)+F4+G4)</f>
        <v>#N/A</v>
      </c>
      <c r="I4" s="213">
        <f t="shared" ref="I4:I67" si="0">VLOOKUP(A4,ScaledPrice,(IF(AND(Dayrun&gt;=1,Dayrun&lt;=6),2,4)))</f>
        <v>96.487500000000011</v>
      </c>
      <c r="J4" s="213">
        <f t="shared" ref="J4:J67" si="1">IF(A4="N/A"," ",IF(AND(Dayrun&gt;=1,Dayrun&lt;=6),I4,(VLOOKUP(A4,ScaledPrice,2))*(2-(VLOOKUP(A4,ScaledPrice,3)))))</f>
        <v>89.512499999999989</v>
      </c>
      <c r="K4" s="213">
        <f t="shared" ref="K4:K67" si="2">IF(A4="N/A"," ",IF(AND(Dayrun&gt;=1,Dayrun&lt;=3),VLOOKUP(A4,ScaledPrice,9),0))</f>
        <v>0</v>
      </c>
      <c r="L4" s="213">
        <f t="shared" ref="L4:L67" si="3">IF(A4="N/A"," ",IF(OR(Dayrun=2,Dayrun=3,Dayrun=5,Dayrun=6,Dayrun=8,Dayrun=9),VLOOKUP(A4,ScaledPrice,IF(AND(Dayrun&gt;=2,Dayrun&lt;=6),5,6)),0))</f>
        <v>0</v>
      </c>
      <c r="M4" s="213">
        <f t="shared" ref="M4:M67" si="4">IF(A4="N/A"," ",IF(OR(Dayrun=2,Dayrun=3,Dayrun=5,Dayrun=6,Dayrun=8,Dayrun=9),IF(AND(Dayrun&gt;=2,Dayrun&lt;=6),L4,(VLOOKUP(A4,ScaledPrice,5))*(2-(VLOOKUP(A4,ScaledPrice,3)))),0))</f>
        <v>0</v>
      </c>
      <c r="N4" s="213">
        <f t="shared" ref="N4:N67" si="5">IF(A4="N/A"," ",IF(AND(Dayrun&gt;1,Dayrun&lt;=3),VLOOKUP(A4,ScaledPrice,9),0))</f>
        <v>0</v>
      </c>
      <c r="O4" s="213">
        <f t="shared" ref="O4:O67" si="6">IF(A4="N/A"," ",IF(OR(Dayrun=3,Dayrun=6,Dayrun=9),(VLOOKUP(A4,ScaledPrice,IF(AND(Dayrun&gt;=3,Dayrun&lt;=6),7,8))),0))</f>
        <v>0</v>
      </c>
      <c r="P4" s="213">
        <f t="shared" ref="P4:P67" si="7">IF(A4="N/A"," ",IF(OR(Dayrun=3,Dayrun=6,Dayrun=9),IF(AND(Dayrun&gt;=3,Dayrun&lt;=6),O4,(VLOOKUP(A4,ScaledPrice,7))*(2-(VLOOKUP(A4,ScaledPrice,3)))),0))</f>
        <v>0</v>
      </c>
      <c r="Q4" s="213">
        <f t="shared" ref="Q4:Q67" si="8">IF(A4="N/A"," ",IF(AND(Dayrun&gt;2,Dayrun&lt;=3),VLOOKUP(A4,ScaledPrice,9),0))</f>
        <v>0</v>
      </c>
      <c r="R4" s="405" t="e">
        <f ca="1">IF($A4="N/A"," ",IF(Pricetype=2,MAX(I4-$H4,0),IF(Pricetype=1,(_xll.xSPRDOPT(I4,$E4,$CI4,0,($CD4+IF(Smile=TRUE,VLOOKUP(MAX(-5,$H4-I4),Volsmile,2),0)),$CG4,$CH4,($A4-DateToday)+15,1,0)),I4-$H4)))</f>
        <v>#N/A</v>
      </c>
      <c r="S4" s="405" t="e">
        <f ca="1">IF($A4="N/A"," ",IF(Pricetype=2,MAX(J4-$H4,0),IF(Pricetype=1,(_xll.xSPRDOPT(J4,$E4,$CI4,0,($CD4+IF(Smile=TRUE,VLOOKUP(MAX(-5,$H4-J4),Volsmile,2),0)),$CG4,$CH4,($A4-DateToday)+15,1,0)),J4-$H4)))</f>
        <v>#N/A</v>
      </c>
      <c r="T4" s="406">
        <f t="shared" ref="T4:T67" si="9">IF($A4="N/A"," ",(IF(Pricetype=2,IF((K4-$H4)&lt;=0,0,(K4-$H4)),IF(K4&lt;&gt;0,(K4-$H4),0))))</f>
        <v>0</v>
      </c>
      <c r="U4" s="405">
        <f>IF($A4="N/A"," ",IF(Pricetype=2,MAX(L4-$H4,0),IF(L4&lt;&gt;0,IF(Pricetype=1,(_xll.xSPRDOPT(L4,$E4,$CI4,0,($CD4+IF(Smile=TRUE,VLOOKUP(MAX(-5,$H4-L4),Volsmile,2),0)),$CG4,$CH4,($A4-DateToday)+15,1,0)),L4-$H4),0)))</f>
        <v>0</v>
      </c>
      <c r="V4" s="405">
        <f>IF($A4="N/A"," ",IF(Pricetype=2,MAX(M4-$H4,0),IF(M4&lt;&gt;0,IF(Pricetype=1,(_xll.xSPRDOPT(M4,$E4,$CI4,0,($CD4+IF(Smile=TRUE,VLOOKUP(MAX(-5,$H4-M4),Volsmile,2),0)),$CG4,$CH4,($A4-DateToday)+15,1,0)),M4-$H4),0)))</f>
        <v>0</v>
      </c>
      <c r="W4" s="406">
        <f t="shared" ref="W4:W67" si="10">IF($A4="N/A"," ",(IF(Pricetype=2,IF((N4-$H4)&lt;=0,0,(N4-$H4)),IF(N4&lt;&gt;0,(N4-$H4),0))))</f>
        <v>0</v>
      </c>
      <c r="X4" s="405">
        <f>IF($A4="N/A"," ",IF(Pricetype=2,MAX(O4-$H4,0),IF(O4&lt;&gt;0,IF(Pricetype=1,(_xll.xSPRDOPT(O4,$E4,$CI4,0,($CD4+IF(Smile=TRUE,VLOOKUP(MAX(-5,$H4-O4),Volsmile,2),0)),$CG4,$CH4,($A4-DateToday)+15,1,0)),O4-$H4),0)))</f>
        <v>0</v>
      </c>
      <c r="Y4" s="405">
        <f>IF($A4="N/A"," ",IF(Pricetype=2,MAX(P4-$H4,0),IF(P4&lt;&gt;0,IF(Pricetype=1,(_xll.xSPRDOPT(P4,$E4,$CI4,0,($CD4+IF(Smile=TRUE,VLOOKUP(MAX(-5,$H4-P4),Volsmile,2),0)),$CG4,$CH4,($A4-DateToday)+15,1,0)),P4-$H4),0)))</f>
        <v>0</v>
      </c>
      <c r="Z4" s="406">
        <f t="shared" ref="Z4:Z67" si="11">IF($A4="N/A"," ",(IF(Pricetype=2,IF((Q4-$H4)&lt;=0,0,(Q4-$H4)),IF(Q4&lt;&gt;0,(Q4-$H4),0))))</f>
        <v>0</v>
      </c>
      <c r="AA4" s="254" t="e">
        <f ca="1">IF($A4="N/A"," ",IF(VLOOKUP(MONTH(A4),ManualTable,2)=1,(IF(0&lt;&gt;R4,IF(Pricetype=1,(_xll.xSPRDOPT(I4,$E4,$CI4,0,($CD4+IF(Smile=TRUE,VLOOKUP(MAX(-5,$H4-I4),Volsmile,2),0)),$CG4,$CH4,($A4-DateToday)+15,1,1))*(8*$HD4),8*$HD4),0)),0))</f>
        <v>#N/A</v>
      </c>
      <c r="AB4" s="254" t="e">
        <f ca="1">IF($A4="N/A"," ",IF(VLOOKUP(MONTH(A4),ManualTable,3)=1,(IF(S4&lt;&gt;0,IF(Pricetype=1,(_xll.xSPRDOPT(J4,$E4,$CI4,0,($CD4+IF(Smile=TRUE,VLOOKUP(MAX(-5,$H4-J4),Volsmile,2),0)),$CG4,$CH4,($A4-DateToday)+15,1,1))*(8*$HD4),8*$HD4),0)),0))</f>
        <v>#N/A</v>
      </c>
      <c r="AC4" s="254">
        <f>IF($A4="N/A"," ",IF(VLOOKUP(MONTH(A4),ManualTable,4)=1,(IF(T4&lt;&gt;0,(8*$HD4),0)),0))</f>
        <v>0</v>
      </c>
      <c r="AD4" s="254">
        <f>IF($A4="N/A"," ",IF(VLOOKUP(MONTH(A4),ManualTable,5)=1,(IF(U4&lt;&gt;0,IF(Pricetype=1,(_xll.xSPRDOPT(L4,$E4,$CI4,0,($CD4+IF(Smile=TRUE,VLOOKUP(MAX(-5,$H4-L4),Volsmile,2),0)),$CG4,$CH4,($A4-DateToday)+15,1,1))*(8*$HE4),8*$HE4),0)),0))</f>
        <v>0</v>
      </c>
      <c r="AE4" s="254">
        <f>IF($A4="N/A"," ",IF(VLOOKUP(MONTH(A4),ManualTable,6)=1,(IF(V4&lt;&gt;0,IF(Pricetype=1,(_xll.xSPRDOPT(M4,$E4,$CI4,0,($CD4+IF(Smile=TRUE,VLOOKUP(MAX(-5,$H4-M4),Volsmile,2),0)),$CG4,$CH4,($A4-DateToday)+15,1,1))*(8*$HE4),8*$HE4),0)),0))</f>
        <v>0</v>
      </c>
      <c r="AF4" s="254">
        <f>IF($A4="N/A"," ",IF(VLOOKUP(MONTH(A4),ManualTable,7)=1,(IF(W4&lt;&gt;0,(8*$HE4),0)),0))</f>
        <v>0</v>
      </c>
      <c r="AG4" s="254">
        <f>IF($A4="N/A"," ",IF(VLOOKUP(MONTH(A4),ManualTable,8)=1,(IF(X4&lt;&gt;0,IF(Pricetype=1,(_xll.xSPRDOPT(O4,$E4,$CI4,0,($CD4+IF(Smile=TRUE,VLOOKUP(MAX(-5,$H4-O4),Volsmile,2),0)),$CG4,$CH4,($A4-DateToday)+15,1,1))*(8*$HF4),8*$HF4),0)),0))</f>
        <v>0</v>
      </c>
      <c r="AH4" s="254">
        <f>IF($A4="N/A"," ",IF(VLOOKUP(MONTH(A4),ManualTable,9)=1,(IF(Y4&lt;&gt;0,IF(Pricetype=1,(_xll.xSPRDOPT(P4,$E4,$CI4,0,($CD4+IF(Smile=TRUE,VLOOKUP(MAX(-5,$H4-P4),Volsmile,2),0)),$CG4,$CH4,($A4-DateToday)+15,1,1))*(8*$HF4),8*$HF4),0)),0))</f>
        <v>0</v>
      </c>
      <c r="AI4" s="254">
        <f>IF($A4="N/A"," ",IF(VLOOKUP(MONTH(A4),ManualTable,10)=1,(IF(Z4&lt;&gt;0,(8*($HF4)),0)),0))</f>
        <v>0</v>
      </c>
      <c r="AJ4" s="224" t="e">
        <f ca="1">IF($A4="N/A"," ",RANK(R4,$R$4:$Z$15))</f>
        <v>#N/A</v>
      </c>
      <c r="AK4" s="225" t="e">
        <f ca="1">IF($A4="N/A"," ",RANK(S4,$R$4:$Z$15))</f>
        <v>#N/A</v>
      </c>
      <c r="AL4" s="225" t="e">
        <f ca="1">IF($A4="N/A"," ",RANK(T4,$R$4:$Z$15))</f>
        <v>#N/A</v>
      </c>
      <c r="AM4" s="225" t="e">
        <f ca="1">IF($A4="N/A"," ",RANK(U4,$R$4:$Z$15))</f>
        <v>#N/A</v>
      </c>
      <c r="AN4" s="225" t="e">
        <f ca="1">IF($A4="N/A"," ",RANK(V4,$R$4:$Z$15))</f>
        <v>#N/A</v>
      </c>
      <c r="AO4" s="228" t="e">
        <f t="shared" ref="AN4:AO15" ca="1" si="12">IF($A4="N/A"," ",RANK(W4,$R$4:$Z$15))</f>
        <v>#N/A</v>
      </c>
      <c r="AP4" s="225" t="e">
        <f ca="1">IF($A4="N/A"," ",RANK(X4,$R$4:$Z$15))</f>
        <v>#N/A</v>
      </c>
      <c r="AQ4" s="225" t="e">
        <f ca="1">IF($A4="N/A"," ",RANK(Y4,$R$4:$Z$15))</f>
        <v>#N/A</v>
      </c>
      <c r="AR4" s="226" t="e">
        <f ca="1">IF($A4="N/A"," ",RANK(Z4,$R$4:$Z$15))</f>
        <v>#N/A</v>
      </c>
      <c r="AS4" s="262" t="e">
        <f t="shared" ref="AS4:AS15" ca="1" si="13">IF($A4="N/A",0,IF(AJ4&lt;=$AR$2,AA4,0))</f>
        <v>#N/A</v>
      </c>
      <c r="AT4" s="261" t="e">
        <f t="shared" ref="AT4:AU15" ca="1" si="14">IF($A4="N/A",0,IF(AK4&lt;=$AR$2,AB4,0))</f>
        <v>#N/A</v>
      </c>
      <c r="AU4" s="263" t="e">
        <f t="shared" ca="1" si="14"/>
        <v>#N/A</v>
      </c>
      <c r="AV4" s="261" t="e">
        <f t="shared" ref="AV4:AV15" ca="1" si="15">IF($A4="N/A",0,IF(AM4&lt;=$AR$2,AD4,0))</f>
        <v>#N/A</v>
      </c>
      <c r="AW4" s="263" t="e">
        <f ca="1">IF($A4="N/A",0,IF(AN4&lt;=$AR$2,AE4,0))</f>
        <v>#N/A</v>
      </c>
      <c r="AX4" s="263" t="e">
        <f ca="1">IF($A4="N/A",0,IF(AO4&lt;=$AR$2,AF4,0))</f>
        <v>#N/A</v>
      </c>
      <c r="AY4" s="261" t="e">
        <f t="shared" ref="AY4:AZ15" ca="1" si="16">IF($A4="N/A",0,IF(AP4&lt;=$AR$2,AG4,0))</f>
        <v>#N/A</v>
      </c>
      <c r="AZ4" s="261" t="e">
        <f t="shared" ca="1" si="16"/>
        <v>#N/A</v>
      </c>
      <c r="BA4" s="261" t="e">
        <f t="shared" ref="BA4:BA15" ca="1" si="17">IF($A4="N/A",0,IF(AR4&lt;=$AR$2,AI4,0))</f>
        <v>#N/A</v>
      </c>
      <c r="BB4" s="226"/>
      <c r="BC4" s="266" t="e">
        <f t="shared" ref="BC4:BC15" ca="1" si="18">IF($A4="N/A",0,IF(AND(AJ4=$AR$2+1,AS4=0),MIN($BB$15,AA4),0))</f>
        <v>#N/A</v>
      </c>
      <c r="BD4" s="267" t="e">
        <f t="shared" ref="BD4:BE15" ca="1" si="19">IF($A4="N/A",0,IF(AND(AK4=$AR$2+1,AT4=0),MIN($BB$15,AB4),0))</f>
        <v>#N/A</v>
      </c>
      <c r="BE4" s="267" t="e">
        <f t="shared" ca="1" si="19"/>
        <v>#N/A</v>
      </c>
      <c r="BF4" s="267" t="e">
        <f t="shared" ref="BF4:BF15" ca="1" si="20">IF($A4="N/A",0,IF(AND(AM4=$AR$2+1,AV4=0),MIN($BB$15,AD4),0))</f>
        <v>#N/A</v>
      </c>
      <c r="BG4" s="267" t="e">
        <f t="shared" ref="BG4:BH15" ca="1" si="21">IF($A4="N/A",0,IF(AND(AN4=$AR$2+1,AW4=0),MIN($BB$15,AE4),0))</f>
        <v>#N/A</v>
      </c>
      <c r="BH4" s="267" t="e">
        <f t="shared" ca="1" si="21"/>
        <v>#N/A</v>
      </c>
      <c r="BI4" s="267" t="e">
        <f t="shared" ref="BI4:BI15" ca="1" si="22">IF($A4="N/A",0,IF(AND(AP4=$AR$2+1,AY4=0),MIN($BB$15,AG4),0))</f>
        <v>#N/A</v>
      </c>
      <c r="BJ4" s="267" t="e">
        <f t="shared" ref="BJ4:BJ15" ca="1" si="23">IF($A4="N/A",0,IF(AND(AQ4=$AR$2+1,AZ4=0),MIN($BB$15,AH4),0))</f>
        <v>#N/A</v>
      </c>
      <c r="BK4" s="267" t="e">
        <f t="shared" ref="BK4:BK15" ca="1" si="24">IF($A4="N/A",0,IF(AND(AR4=$AR$2+1,BA4=0),MIN($BB$15,AI4),0))</f>
        <v>#N/A</v>
      </c>
      <c r="BL4" s="274"/>
      <c r="BM4" s="220">
        <f ca="1">IF($A4="N/A"," ",(IF(MONTH(A4)&gt;=4,IF(MONTH(A4)&lt;=10,Inputs!$F$13-Inputs!$G$13,Inputs!$F$14-Inputs!$G$14),Inputs!$F$14-Inputs!$G$14))*$CK4*Availability)</f>
        <v>21.478601072831196</v>
      </c>
      <c r="BN4" s="221" t="e">
        <f ca="1">IF($A4="N/A"," ",(IF(AS4&gt;0,($BM4*(8*($HD4))*R4),0)+IF(BC4&gt;0,($BM4*((BC4/AA4)*8*$HD4)*R4),0)))</f>
        <v>#N/A</v>
      </c>
      <c r="BO4" s="221" t="e">
        <f ca="1">IF($A4="N/A"," ",(IF(AT4&gt;0,($BM4*(8*($HD4))*S4),0)+IF(BD4&gt;0,($BM4*((BD4/AB4)*8*$HD4)*S4),0)))</f>
        <v>#N/A</v>
      </c>
      <c r="BP4" s="221" t="e">
        <f ca="1">IF($A4="N/A"," ",(IF(AU4&gt;0,($BM4*(8*($HD4))*T4),0)+IF(BE4&gt;0,($BM4*((BE4))*T4),0)))</f>
        <v>#N/A</v>
      </c>
      <c r="BQ4" s="221" t="e">
        <f ca="1">IF($A4="N/A"," ",(IF(AV4&gt;0,($BM4*(8*($HE4))*U4),0)+IF(BF4&gt;0,($BM4*((BF4/AD4)*8*$HE4)*U4),0)))</f>
        <v>#N/A</v>
      </c>
      <c r="BR4" s="221" t="e">
        <f ca="1">IF($A4="N/A"," ",(IF(AW4&gt;0,($BM4*(8*($HE4))*V4),0)+IF(BG4&gt;0,($BM4*((BG4/AE4)*8*$HE4)*V4),0)))</f>
        <v>#N/A</v>
      </c>
      <c r="BS4" s="221" t="e">
        <f ca="1">IF($A4="N/A"," ",(IF(AX4&gt;0,($BM4*(8*($HE4))*W4),0)+IF(BH4&gt;0,($BM4*((BH4))*W4),0)))</f>
        <v>#N/A</v>
      </c>
      <c r="BT4" s="221" t="e">
        <f ca="1">IF($A4="N/A"," ",(IF(AY4&gt;0,($BM4*(8*($HF4))*X4),0)+IF(BI4&gt;0,($BM4*((BI4/AG4)*8*$HF4)*X4),0)))</f>
        <v>#N/A</v>
      </c>
      <c r="BU4" s="221" t="e">
        <f ca="1">IF($A4="N/A"," ",(IF(AZ4&gt;0,($BM4*(8*($HF4))*Y4),0)+IF(BJ4&gt;0,($BM4*((BJ4/AH4)*8*$HF4)*Y4),0)))</f>
        <v>#N/A</v>
      </c>
      <c r="BV4" s="221" t="e">
        <f ca="1">IF($A4="N/A"," ",(IF(BA4&gt;0,($BM4*(8*($HF4))*Z4),0)+IF(BK4&gt;0,($BM4*((BK4))*Z4),0)))</f>
        <v>#N/A</v>
      </c>
      <c r="BW4" s="221" t="e">
        <f ca="1">IF($A4="N/A"," ",SUM(BN4:BV4))</f>
        <v>#N/A</v>
      </c>
      <c r="BX4" s="421" t="e">
        <f ca="1">IF($A4="N/A"," ",(H4*(SUM($AS4:$BA4)+SUM($BC4:$BK4))*$BM4))</f>
        <v>#N/A</v>
      </c>
      <c r="BY4" s="417" t="e">
        <f ca="1">IF($A4="N/A"," ",((C4*D4)*(SUM($AS4:$BA4)+SUM($BC4:$BK4))*$BM4))</f>
        <v>#N/A</v>
      </c>
      <c r="BZ4" s="417" t="e">
        <f ca="1">IF($A4="N/A"," ",(F4*(SUM($AS4:$BA4)+SUM($BC4:$BK4))*$BM4))</f>
        <v>#N/A</v>
      </c>
      <c r="CA4" s="422" t="e">
        <f ca="1">IF($A4="N/A"," ",(G4*(SUM($AS4:$BA4)+SUM($BC4:$BK4))*$BM4))</f>
        <v>#N/A</v>
      </c>
      <c r="CB4" s="347">
        <f t="shared" ref="CB4:CB67" si="25">IF(A4="N/A"," ",(VLOOKUP(A4,PowerVolTable,(IF(BMO=2,7,IF(BMO=1,6,8))),FALSE)))</f>
        <v>0.501</v>
      </c>
      <c r="CC4" s="347">
        <f>IF(A4="N/A"," ",(VLOOKUP(A4,IntraPowerVol,(IF(BMO=2,3,IF(BMO=1,2,4))),FALSE)*VLOOKUP(MONTH($A4),Volscale,2)))</f>
        <v>2.75</v>
      </c>
      <c r="CD4" s="348">
        <f t="shared" ref="CD4:CD67" ca="1" si="26">IF($A4="N/A"," ",(IF(DateToday&gt;$A4,$CC4,((($CB4^2)*((($A4-1)-DateToday)/((EOMONTH($A4,0)+1)-DateToday-15)))+((($CC4)^2)*((15)/((EOMONTH($A4,0)+1)-DateToday-15))))^0.5)))</f>
        <v>2.75</v>
      </c>
      <c r="CE4" s="347" t="e">
        <f t="shared" ref="CE4:CE67" ca="1" si="27">IF($A4="N/A"," ",(VLOOKUP($A4,GasVolTable,(IF(BMO=2,6,IF(BMO=1,7,5))),FALSE)))</f>
        <v>#N/A</v>
      </c>
      <c r="CF4" s="347" t="e">
        <f t="shared" ref="CF4:CF67" ca="1" si="28">IF($A4="N/A"," ",(VLOOKUP($A4,OmicronVol,(IF(BMO=2,3,IF(BMO=1,4,2))),FALSE)))</f>
        <v>#N/A</v>
      </c>
      <c r="CG4" s="348" t="e">
        <f t="shared" ref="CG4:CG67" ca="1" si="29">IF($A4="N/A"," ",(IF(DateToday&gt;$A4,$CF4,((($CE4^2)*((($A4-1)-DateToday)/((EOMONTH($A4,0)+1)-DateToday-15)))+((($CF4)^2)*((15)/((EOMONTH($A4,0)+1)-DateToday-15))))^0.5)))</f>
        <v>#N/A</v>
      </c>
      <c r="CH4" s="347">
        <f>IF($A4="N/A"," ",VLOOKUP($A4,CorrelationTable,2,FALSE))</f>
        <v>0.9</v>
      </c>
      <c r="CI4" s="349">
        <f ca="1">IF($A4="N/A"," ",F4+G4+(D4*('Pricing Inputs'!T37)))</f>
        <v>7.5</v>
      </c>
      <c r="CJ4" s="347">
        <f ca="1">IF($A4="N/A"," ",IF(PV=1,0,'Pricing Inputs'!U37))</f>
        <v>2</v>
      </c>
      <c r="CK4" s="350">
        <f t="shared" ref="CK4:CK67" ca="1" si="30">IF($A4="N/A"," ",(1+CJ4/2)^(-2*((EOMONTH(A4,0)+20)-DateToday)/365.25))</f>
        <v>0.85914404291324786</v>
      </c>
      <c r="CL4" s="365">
        <f t="shared" ref="CL4:CL67" si="31">IF(A4="N/A"," ",IF(CC=2,(VLOOKUP(MONTH($A4),Hrtable,3))/1000,0))</f>
        <v>0</v>
      </c>
      <c r="CM4" s="380">
        <f>IF(A4="N/A"," ",IF(CC=2,(CL4*C4)+F4,0))</f>
        <v>0</v>
      </c>
      <c r="CN4" s="378">
        <f t="shared" ref="CN4:CN67" si="32">IF($A4="N/A"," ",IF(CC=2,(VLOOKUP(A4,ScaledPrice,(IF(AND(Dayrun&gt;=1,Dayrun&lt;=6),2,4)))-((IF(R4&lt;&gt;0,$D4,$CL4)*$C4)+$F4+$G4)),0))</f>
        <v>0</v>
      </c>
      <c r="CO4" s="378">
        <f t="shared" ref="CO4:CO67" si="33">IF($A4="N/A"," ",IF(CC=2,(IF(AND(Dayrun&gt;=1,Dayrun&lt;=6),I4,(VLOOKUP(A4,ScaledPrice,2))*(2-(VLOOKUP(A4,ScaledPrice,3))))-((IF(S4&lt;&gt;0,$D4,$CL4)*$C4)+$F4+$G4)),0))</f>
        <v>0</v>
      </c>
      <c r="CP4" s="378">
        <f t="shared" ref="CP4:CP67" si="34">IF(A4="N/A"," ",IF(CC=2,(VLOOKUP(A4,ScaledPrice,9)-((IF(T4&lt;&gt;0,$D4,$CL4)*$C4)+$F4+$G4)),0))</f>
        <v>0</v>
      </c>
      <c r="CQ4" s="378">
        <f t="shared" ref="CQ4:CQ67" si="35">IF(A4="N/A"," ",IF(CC=2,(IF(OR(Dayrun=2,Dayrun=3,Dayrun=5,Dayrun=6,Dayrun=8,Dayrun=9),VLOOKUP(A4,ScaledPrice,IF(AND(Dayrun&gt;=2,Dayrun&lt;=6),5,6)),0)-((IF(U4&lt;&gt;0,$D4,$CL4)*$C4)+$F4+$G4)),0))</f>
        <v>0</v>
      </c>
      <c r="CR4" s="378">
        <f t="shared" ref="CR4:CR67" si="36">IF(A4="N/A"," ",IF(CC=2,(IF(OR(Dayrun=2,Dayrun=3,Dayrun=5,Dayrun=6,Dayrun=8,Dayrun=9),IF(AND(Dayrun&gt;=2,Dayrun&lt;=6),L4,(VLOOKUP(A4,ScaledPrice,5))*(2-(VLOOKUP(A4,ScaledPrice,3)))),0)-((IF(V4&lt;&gt;0,$D4,$CL4)*$C4)+$F4+$G4)),0))</f>
        <v>0</v>
      </c>
      <c r="CS4" s="378">
        <f t="shared" ref="CS4:CS67" si="37">IF(A4="N/A"," ",IF(CC=2,(VLOOKUP(A4,ScaledPrice,9)-((IF(W4&lt;&gt;0,$D4,$CL4)*$C4)+$F4+$G4)),0))</f>
        <v>0</v>
      </c>
      <c r="CT4" s="378">
        <f t="shared" ref="CT4:CT67" si="38">IF(A4="N/A"," ",IF(CC=2,(IF(OR(Dayrun=3,Dayrun=6,Dayrun=9),(VLOOKUP(A4,ScaledPrice,IF(AND(Dayrun&gt;=3,Dayrun&lt;=6),7,8))),0)-((IF(X4&lt;&gt;0,$D4,$CL4)*$C4)+$F4+$G4)),0))</f>
        <v>0</v>
      </c>
      <c r="CU4" s="378">
        <f t="shared" ref="CU4:CU67" si="39">IF(A4="N/A"," ",IF(CC=2,(IF(OR(Dayrun=3,Dayrun=6,Dayrun=9),IF(AND(Dayrun&gt;=3,Dayrun&lt;=6),O4,(VLOOKUP(A4,ScaledPrice,7))*(2-(VLOOKUP(A4,ScaledPrice,3)))),0)-((IF(Y4&lt;&gt;0,$D4,$CL4)*$C4)+$F4+$G4)),0))</f>
        <v>0</v>
      </c>
      <c r="CV4" s="378">
        <f t="shared" ref="CV4:CV67" si="40">IF(A4="N/A"," ",IF(CC=2,(VLOOKUP(A4,ScaledPrice,9)-((IF(Z4&lt;&gt;0,$D4,$CL4)*$C4)+$F4+$G4)),0))</f>
        <v>0</v>
      </c>
      <c r="CW4" s="254">
        <f t="shared" ref="CW4:CW67" si="41">IF($A4="N/A"," ",IF(0&lt;&gt;CN4,IF(CC=2,8*$HD4,0),0))</f>
        <v>0</v>
      </c>
      <c r="CX4" s="254">
        <f t="shared" ref="CX4:CX67" si="42">IF($A4="N/A"," ",IF(0&lt;&gt;CO4,IF(CC=2,8*$HD4,0),0))</f>
        <v>0</v>
      </c>
      <c r="CY4" s="254">
        <f t="shared" ref="CY4:CY67" si="43">IF($A4="N/A"," ",IF(0&lt;&gt;CP4,IF(CC=2,8*$HD4,0),0))</f>
        <v>0</v>
      </c>
      <c r="CZ4" s="254">
        <f t="shared" ref="CZ4:CZ67" si="44">IF($A4="N/A"," ",IF(0&lt;&gt;CQ4,IF(CC=2,8*$HE4,0),0))</f>
        <v>0</v>
      </c>
      <c r="DA4" s="254">
        <f t="shared" ref="DA4:DA67" si="45">IF($A4="N/A"," ",IF(0&lt;&gt;CR4,IF(CC=2,8*$HE4,0),0))</f>
        <v>0</v>
      </c>
      <c r="DB4" s="254">
        <f t="shared" ref="DB4:DB67" si="46">IF($A4="N/A"," ",IF(0&lt;&gt;CS4,IF(CC=2,8*$HE4,0),0))</f>
        <v>0</v>
      </c>
      <c r="DC4" s="254">
        <f t="shared" ref="DC4:DC67" si="47">IF($A4="N/A"," ",IF(0&lt;&gt;CT4,IF(CC=2,8*$HF4,0),0))</f>
        <v>0</v>
      </c>
      <c r="DD4" s="254">
        <f t="shared" ref="DD4:DD67" si="48">IF($A4="N/A"," ",IF(0&lt;&gt;CU4,IF(CC=2,8*$HF4,0),0))</f>
        <v>0</v>
      </c>
      <c r="DE4" s="254">
        <f t="shared" ref="DE4:DE67" si="49">IF($A4="N/A"," ",IF(0&lt;&gt;CV4,IF(CC=2,8*$HF4,0),0))</f>
        <v>0</v>
      </c>
      <c r="DF4" s="374">
        <f>IF($A4="N/A"," ",IF(CC=2,(IF(MONTH(A4)&gt;=4,IF(MONTH(A4)&lt;=10,Inputs!$G$13,Inputs!$G$14),Inputs!$G$14))*$CK4,0))</f>
        <v>0</v>
      </c>
      <c r="DG4" s="373">
        <f t="shared" ref="DG4:DG67" si="50">IF($A4="N/A"," ",IF(CC=2,$DF4*CW4*CN4,0))</f>
        <v>0</v>
      </c>
      <c r="DH4" s="373">
        <f t="shared" ref="DH4:DH67" si="51">IF($A4="N/A"," ",IF(CC=2,$DF4*CX4*CO4,0))</f>
        <v>0</v>
      </c>
      <c r="DI4" s="373">
        <f t="shared" ref="DI4:DI67" si="52">IF($A4="N/A"," ",IF(CC=2,$DF4*CY4*CP4,0))</f>
        <v>0</v>
      </c>
      <c r="DJ4" s="373">
        <f t="shared" ref="DJ4:DJ67" si="53">IF($A4="N/A"," ",IF(CC=2,$DF4*CZ4*CQ4,0))</f>
        <v>0</v>
      </c>
      <c r="DK4" s="373">
        <f t="shared" ref="DK4:DK67" si="54">IF($A4="N/A"," ",IF(CC=2,$DF4*DA4*CR4,0))</f>
        <v>0</v>
      </c>
      <c r="DL4" s="373">
        <f t="shared" ref="DL4:DL67" si="55">IF($A4="N/A"," ",IF(CC=2,$DF4*DB4*CS4,0))</f>
        <v>0</v>
      </c>
      <c r="DM4" s="373">
        <f t="shared" ref="DM4:DM67" si="56">IF($A4="N/A"," ",IF(CC=2,$DF4*DC4*CT4,0))</f>
        <v>0</v>
      </c>
      <c r="DN4" s="373">
        <f t="shared" ref="DN4:DN67" si="57">IF($A4="N/A"," ",IF(CC=2,$DF4*DD4*CU4,0))</f>
        <v>0</v>
      </c>
      <c r="DO4" s="373">
        <f t="shared" ref="DO4:DO67" si="58">IF($A4="N/A"," ",IF(CC=2,$DF4*DE4*CV4,0))</f>
        <v>0</v>
      </c>
      <c r="DP4" s="375">
        <f t="shared" ref="DP4:DP67" si="59">IF($A4="N/A"," ",IF(CC=2,SUM(DG4:DO4),0))</f>
        <v>0</v>
      </c>
      <c r="DQ4">
        <f>IF(A4="N/A"," ",Perstart)</f>
        <v>0</v>
      </c>
      <c r="HD4">
        <f>IF($A4="N/A"," ",VLOOKUP($A4,NumberofDaysTable,2))</f>
        <v>22</v>
      </c>
      <c r="HE4">
        <f>IF($A4="N/A"," ",VLOOKUP($A4,NumberofDaysTable,3))</f>
        <v>4</v>
      </c>
      <c r="HF4">
        <f>IF($A4="N/A"," ",VLOOKUP($A4,NumberofDaysTable,4))</f>
        <v>5</v>
      </c>
    </row>
    <row r="5" spans="1:214">
      <c r="A5" s="415">
        <f>IF(A4="N/A","N/A",IF(EDATE(A4,1)&gt;Inputs!$K$3,"N/A",EDATE(A4,1)))</f>
        <v>36923</v>
      </c>
      <c r="B5" s="410">
        <f t="shared" ref="B5:B68" si="60">IF(A5="N/A"," ",YEAR(A5))</f>
        <v>2001</v>
      </c>
      <c r="C5" s="411">
        <f t="shared" ref="C5:C68" ca="1" si="61">IF(A5="N/A"," ",VLOOKUP(A5,ScaledPrice,10))</f>
        <v>9.3879999999999999</v>
      </c>
      <c r="D5" s="412">
        <f t="shared" ref="D5:D68" si="62">IF(A5="N/A"," ",(VLOOKUP(MONTH($A5),Hrtable,2))/1000)</f>
        <v>10</v>
      </c>
      <c r="E5" s="413">
        <f ca="1">IF($A5="N/A"," ",(C5-'Pricing Inputs'!T38)*D5)</f>
        <v>88.88</v>
      </c>
      <c r="F5" s="414">
        <f t="shared" ref="F5:F15" si="63">IF(A5="N/A"," ",VOM)</f>
        <v>2.5</v>
      </c>
      <c r="G5" s="414">
        <f t="shared" ref="G5:G68" ca="1" si="64">IF(A5="N/A"," ",Perstart/IF(AND(Dayrun&gt;=4,Dayrun&lt;=6),16,IF(AND(Dayrun&gt;=7,Dayrun&lt;=9),8,24))/(BM5/CK5))</f>
        <v>0</v>
      </c>
      <c r="H5" s="416">
        <f t="shared" ref="H5:H68" ca="1" si="65">IF(A5="N/A"," ",(C5*D5)+F5+G5)</f>
        <v>96.38</v>
      </c>
      <c r="I5" s="213">
        <f t="shared" si="0"/>
        <v>96.487500000000011</v>
      </c>
      <c r="J5" s="213">
        <f t="shared" si="1"/>
        <v>89.512499999999989</v>
      </c>
      <c r="K5" s="213">
        <f t="shared" si="2"/>
        <v>0</v>
      </c>
      <c r="L5" s="213">
        <f t="shared" si="3"/>
        <v>0</v>
      </c>
      <c r="M5" s="213">
        <f t="shared" si="4"/>
        <v>0</v>
      </c>
      <c r="N5" s="213">
        <f t="shared" si="5"/>
        <v>0</v>
      </c>
      <c r="O5" s="213">
        <f t="shared" si="6"/>
        <v>0</v>
      </c>
      <c r="P5" s="213">
        <f t="shared" si="7"/>
        <v>0</v>
      </c>
      <c r="Q5" s="213">
        <f t="shared" si="8"/>
        <v>0</v>
      </c>
      <c r="R5" s="405">
        <f ca="1">IF($A5="N/A"," ",IF(Pricetype=2,MAX(I5-$H5,0),IF(Pricetype=1,(_xll.xSPRDOPT(I5,$E5,$CI5,0,($CD5+IF(Smile=TRUE,VLOOKUP(MAX(-5,$H5-I5),Volsmile,2),0)),$CG5,$CH5,($A5-DateToday)+15,1,0)),I5-$H5)))</f>
        <v>9.8679303894827282</v>
      </c>
      <c r="S5" s="405">
        <f ca="1">IF($A5="N/A"," ",IF(Pricetype=2,MAX(J5-$H5,0),IF(Pricetype=1,(_xll.xSPRDOPT(J5,$E5,$CI5,0,($CD5+IF(Smile=TRUE,VLOOKUP(MAX(-5,$H5-J5),Volsmile,2),0)),$CG5,$CH5,($A5-DateToday)+15,1,0)),J5-$H5)))</f>
        <v>6.4148386902052899</v>
      </c>
      <c r="T5" s="406">
        <f t="shared" si="9"/>
        <v>0</v>
      </c>
      <c r="U5" s="405">
        <f>IF($A5="N/A"," ",IF(Pricetype=2,MAX(L5-$H5,0),IF(L5&lt;&gt;0,IF(Pricetype=1,(_xll.xSPRDOPT(L5,$E5,$CI5,0,($CD5+IF(Smile=TRUE,VLOOKUP(MAX(-5,$H5-L5),Volsmile,2),0)),$CG5,$CH5,($A5-DateToday)+15,1,0)),L5-$H5),0)))</f>
        <v>0</v>
      </c>
      <c r="V5" s="405">
        <f>IF($A5="N/A"," ",IF(Pricetype=2,MAX(M5-$H5,0),IF(M5&lt;&gt;0,IF(Pricetype=1,(_xll.xSPRDOPT(M5,$E5,$CI5,0,($CD5+IF(Smile=TRUE,VLOOKUP(MAX(-5,$H5-M5),Volsmile,2),0)),$CG5,$CH5,($A5-DateToday)+15,1,0)),M5-$H5),0)))</f>
        <v>0</v>
      </c>
      <c r="W5" s="406">
        <f t="shared" si="10"/>
        <v>0</v>
      </c>
      <c r="X5" s="405">
        <f>IF($A5="N/A"," ",IF(Pricetype=2,MAX(O5-$H5,0),IF(O5&lt;&gt;0,IF(Pricetype=1,(_xll.xSPRDOPT(O5,$E5,$CI5,0,($CD5+IF(Smile=TRUE,VLOOKUP(MAX(-5,$H5-O5),Volsmile,2),0)),$CG5,$CH5,($A5-DateToday)+15,1,0)),O5-$H5),0)))</f>
        <v>0</v>
      </c>
      <c r="Y5" s="405">
        <f>IF($A5="N/A"," ",IF(Pricetype=2,MAX(P5-$H5,0),IF(P5&lt;&gt;0,IF(Pricetype=1,(_xll.xSPRDOPT(P5,$E5,$CI5,0,($CD5+IF(Smile=TRUE,VLOOKUP(MAX(-5,$H5-P5),Volsmile,2),0)),$CG5,$CH5,($A5-DateToday)+15,1,0)),P5-$H5),0)))</f>
        <v>0</v>
      </c>
      <c r="Z5" s="406">
        <f t="shared" si="11"/>
        <v>0</v>
      </c>
      <c r="AA5" s="254">
        <f ca="1">IF($A5="N/A"," ",IF(VLOOKUP(MONTH(A5),ManualTable,2)=1,(IF(0&lt;&gt;R5,IF(Pricetype=1,(_xll.xSPRDOPT(I5,$E5,$CI5,0,($CD5+IF(Smile=TRUE,VLOOKUP(MAX(-5,$H5-I5),Volsmile,2),0)),$CG5,$CH5,($A5-DateToday)+15,1,1))*(8*$HD5),8*$HD5),0)),0))</f>
        <v>88.428584926566487</v>
      </c>
      <c r="AB5" s="254">
        <f ca="1">IF($A5="N/A"," ",IF(VLOOKUP(MONTH(A5),ManualTable,3)=1,(IF(S5&lt;&gt;0,IF(Pricetype=1,(_xll.xSPRDOPT(J5,$E5,$CI5,0,($CD5+IF(Smile=TRUE,VLOOKUP(MAX(-5,$H5-J5),Volsmile,2),0)),$CG5,$CH5,($A5-DateToday)+15,1,1))*(8*$HD5),8*$HD5),0)),0))</f>
        <v>69.771393213556934</v>
      </c>
      <c r="AC5" s="254">
        <f t="shared" ref="AC5:AC68" si="66">IF($A5="N/A"," ",IF(VLOOKUP(MONTH(A5),ManualTable,4)=1,(IF(T5&lt;&gt;0,(8*$HD5),0)),0))</f>
        <v>0</v>
      </c>
      <c r="AD5" s="254">
        <f>IF($A5="N/A"," ",IF(VLOOKUP(MONTH(A5),ManualTable,5)=1,(IF(U5&lt;&gt;0,IF(Pricetype=1,(_xll.xSPRDOPT(L5,$E5,$CI5,0,($CD5+IF(Smile=TRUE,VLOOKUP(MAX(-5,$H5-L5),Volsmile,2),0)),$CG5,$CH5,($A5-DateToday)+15,1,1))*(8*$HE5),8*$HE5),0)),0))</f>
        <v>0</v>
      </c>
      <c r="AE5" s="254">
        <f>IF($A5="N/A"," ",IF(VLOOKUP(MONTH(A5),ManualTable,6)=1,(IF(V5&lt;&gt;0,IF(Pricetype=1,(_xll.xSPRDOPT(M5,$E5,$CI5,0,($CD5+IF(Smile=TRUE,VLOOKUP(MAX(-5,$H5-M5),Volsmile,2),0)),$CG5,$CH5,($A5-DateToday)+15,1,1))*(8*$HE5),8*$HE5),0)),0))</f>
        <v>0</v>
      </c>
      <c r="AF5" s="254">
        <f t="shared" ref="AF5:AF68" si="67">IF($A5="N/A"," ",IF(VLOOKUP(MONTH(A5),ManualTable,7)=1,(IF(W5&lt;&gt;0,(8*$HE5),0)),0))</f>
        <v>0</v>
      </c>
      <c r="AG5" s="254">
        <f>IF($A5="N/A"," ",IF(VLOOKUP(MONTH(A5),ManualTable,8)=1,(IF(X5&lt;&gt;0,IF(Pricetype=1,(_xll.xSPRDOPT(O5,$E5,$CI5,0,($CD5+IF(Smile=TRUE,VLOOKUP(MAX(-5,$H5-O5),Volsmile,2),0)),$CG5,$CH5,($A5-DateToday)+15,1,1))*(8*$HF5),8*$HF5),0)),0))</f>
        <v>0</v>
      </c>
      <c r="AH5" s="254">
        <f>IF($A5="N/A"," ",IF(VLOOKUP(MONTH(A5),ManualTable,9)=1,(IF(Y5&lt;&gt;0,IF(Pricetype=1,(_xll.xSPRDOPT(P5,$E5,$CI5,0,($CD5+IF(Smile=TRUE,VLOOKUP(MAX(-5,$H5-P5),Volsmile,2),0)),$CG5,$CH5,($A5-DateToday)+15,1,1))*(8*$HF5),8*$HF5),0)),0))</f>
        <v>0</v>
      </c>
      <c r="AI5" s="254">
        <f t="shared" ref="AI5:AI68" si="68">IF($A5="N/A"," ",IF(VLOOKUP(MONTH(A5),ManualTable,10)=1,(IF(Z5&lt;&gt;0,(8*($HF5)),0)),0))</f>
        <v>0</v>
      </c>
      <c r="AJ5" s="227" t="e">
        <f t="shared" ref="AJ5:AJ15" ca="1" si="69">IF($A5="N/A"," ",RANK(R5,$R$4:$Z$15))</f>
        <v>#N/A</v>
      </c>
      <c r="AK5" s="228" t="e">
        <f t="shared" ref="AK5:AK15" ca="1" si="70">IF($A5="N/A"," ",RANK(S5,$R$4:$Z$15))</f>
        <v>#N/A</v>
      </c>
      <c r="AL5" s="228" t="e">
        <f t="shared" ref="AL5:AL15" ca="1" si="71">IF($A5="N/A"," ",RANK(T5,$R$4:$Z$15))</f>
        <v>#N/A</v>
      </c>
      <c r="AM5" s="228" t="e">
        <f t="shared" ref="AM5:AM15" ca="1" si="72">IF($A5="N/A"," ",RANK(U5,$R$4:$Z$15))</f>
        <v>#N/A</v>
      </c>
      <c r="AN5" s="228" t="e">
        <f t="shared" ca="1" si="12"/>
        <v>#N/A</v>
      </c>
      <c r="AO5" s="228" t="e">
        <f t="shared" ca="1" si="12"/>
        <v>#N/A</v>
      </c>
      <c r="AP5" s="228" t="e">
        <f t="shared" ref="AP5:AP15" ca="1" si="73">IF($A5="N/A"," ",RANK(X5,$R$4:$Z$15))</f>
        <v>#N/A</v>
      </c>
      <c r="AQ5" s="228" t="e">
        <f t="shared" ref="AQ5:AQ15" ca="1" si="74">IF($A5="N/A"," ",RANK(Y5,$R$4:$Z$15))</f>
        <v>#N/A</v>
      </c>
      <c r="AR5" s="229" t="e">
        <f t="shared" ref="AR5:AR15" ca="1" si="75">IF($A5="N/A"," ",RANK(Z5,$R$4:$Z$15))</f>
        <v>#N/A</v>
      </c>
      <c r="AS5" s="262" t="e">
        <f t="shared" ca="1" si="13"/>
        <v>#N/A</v>
      </c>
      <c r="AT5" s="263" t="e">
        <f t="shared" ca="1" si="14"/>
        <v>#N/A</v>
      </c>
      <c r="AU5" s="263" t="e">
        <f t="shared" ca="1" si="14"/>
        <v>#N/A</v>
      </c>
      <c r="AV5" s="263" t="e">
        <f t="shared" ca="1" si="15"/>
        <v>#N/A</v>
      </c>
      <c r="AW5" s="263" t="e">
        <f t="shared" ref="AW5:AW15" ca="1" si="76">IF($A5="N/A",0,IF(AN5&lt;=$AR$2,AE5,0))</f>
        <v>#N/A</v>
      </c>
      <c r="AX5" s="263" t="e">
        <f t="shared" ref="AX5:AX15" ca="1" si="77">IF($A5="N/A",0,IF(AO5&lt;=$AR$2,AF5,0))</f>
        <v>#N/A</v>
      </c>
      <c r="AY5" s="263" t="e">
        <f t="shared" ca="1" si="16"/>
        <v>#N/A</v>
      </c>
      <c r="AZ5" s="263" t="e">
        <f t="shared" ref="AZ5:AZ15" ca="1" si="78">IF($A5="N/A",0,IF(AQ5&lt;=$AR$2,AH5,0))</f>
        <v>#N/A</v>
      </c>
      <c r="BA5" s="263" t="e">
        <f t="shared" ca="1" si="17"/>
        <v>#N/A</v>
      </c>
      <c r="BB5" s="229"/>
      <c r="BC5" s="266" t="e">
        <f t="shared" ca="1" si="18"/>
        <v>#N/A</v>
      </c>
      <c r="BD5" s="269" t="e">
        <f t="shared" ca="1" si="19"/>
        <v>#N/A</v>
      </c>
      <c r="BE5" s="269" t="e">
        <f t="shared" ca="1" si="19"/>
        <v>#N/A</v>
      </c>
      <c r="BF5" s="269" t="e">
        <f t="shared" ca="1" si="20"/>
        <v>#N/A</v>
      </c>
      <c r="BG5" s="269" t="e">
        <f t="shared" ca="1" si="21"/>
        <v>#N/A</v>
      </c>
      <c r="BH5" s="269" t="e">
        <f t="shared" ca="1" si="21"/>
        <v>#N/A</v>
      </c>
      <c r="BI5" s="269" t="e">
        <f t="shared" ca="1" si="22"/>
        <v>#N/A</v>
      </c>
      <c r="BJ5" s="269" t="e">
        <f t="shared" ca="1" si="23"/>
        <v>#N/A</v>
      </c>
      <c r="BK5" s="269" t="e">
        <f t="shared" ca="1" si="24"/>
        <v>#N/A</v>
      </c>
      <c r="BL5" s="233"/>
      <c r="BM5" s="220">
        <f ca="1">IF($A5="N/A"," ",(IF(MONTH(A5)&gt;=4,IF(MONTH(A5)&lt;=10,Inputs!$F$13-Inputs!$G$13,Inputs!$F$14-Inputs!$G$14),Inputs!$F$14-Inputs!$G$14))*$CK5*Availability)</f>
        <v>24.720946369451671</v>
      </c>
      <c r="BN5" s="221" t="e">
        <f t="shared" ref="BN5:BN68" ca="1" si="79">IF($A5="N/A"," ",(IF(AS5&gt;0,($BM5*(8*($HD5))*R5),0)+IF(BC5&gt;0,($BM5*((BC5/AA5)*8*$HD5)*R5),0)))</f>
        <v>#N/A</v>
      </c>
      <c r="BO5" s="221" t="e">
        <f t="shared" ref="BO5:BO68" ca="1" si="80">IF($A5="N/A"," ",(IF(AT5&gt;0,($BM5*(8*($HD5))*S5),0)+IF(BD5&gt;0,($BM5*((BD5/AB5)*8*$HD5)*S5),0)))</f>
        <v>#N/A</v>
      </c>
      <c r="BP5" s="221" t="e">
        <f t="shared" ref="BP5:BP68" ca="1" si="81">IF($A5="N/A"," ",(IF(AU5&gt;0,($BM5*(8*($HD5))*T5),0)+IF(BE5&gt;0,($BM5*((BE5))*T5),0)))</f>
        <v>#N/A</v>
      </c>
      <c r="BQ5" s="221" t="e">
        <f t="shared" ref="BQ5:BQ68" ca="1" si="82">IF($A5="N/A"," ",(IF(AV5&gt;0,($BM5*(8*($HE5))*U5),0)+IF(BF5&gt;0,($BM5*((BF5/AD5)*8*$HE5)*U5),0)))</f>
        <v>#N/A</v>
      </c>
      <c r="BR5" s="221" t="e">
        <f t="shared" ref="BR5:BR68" ca="1" si="83">IF($A5="N/A"," ",(IF(AW5&gt;0,($BM5*(8*($HE5))*V5),0)+IF(BG5&gt;0,($BM5*((BG5/AE5)*8*$HE5)*V5),0)))</f>
        <v>#N/A</v>
      </c>
      <c r="BS5" s="221" t="e">
        <f t="shared" ref="BS5:BS68" ca="1" si="84">IF($A5="N/A"," ",(IF(AX5&gt;0,($BM5*(8*($HE5))*W5),0)+IF(BH5&gt;0,($BM5*((BH5))*W5),0)))</f>
        <v>#N/A</v>
      </c>
      <c r="BT5" s="221" t="e">
        <f t="shared" ref="BT5:BT68" ca="1" si="85">IF($A5="N/A"," ",(IF(AY5&gt;0,($BM5*(8*($HF5))*X5),0)+IF(BI5&gt;0,($BM5*((BI5/AG5)*8*$HF5)*X5),0)))</f>
        <v>#N/A</v>
      </c>
      <c r="BU5" s="221" t="e">
        <f t="shared" ref="BU5:BU68" ca="1" si="86">IF($A5="N/A"," ",(IF(AZ5&gt;0,($BM5*(8*($HF5))*Y5),0)+IF(BJ5&gt;0,($BM5*((BJ5/AH5)*8*$HF5)*Y5),0)))</f>
        <v>#N/A</v>
      </c>
      <c r="BV5" s="221" t="e">
        <f t="shared" ref="BV5:BV68" ca="1" si="87">IF($A5="N/A"," ",(IF(BA5&gt;0,($BM5*(8*($HF5))*Z5),0)+IF(BK5&gt;0,($BM5*((BK5))*Z5),0)))</f>
        <v>#N/A</v>
      </c>
      <c r="BW5" s="221" t="e">
        <f t="shared" ref="BW5:BW68" ca="1" si="88">IF($A5="N/A"," ",SUM(BN5:BV5))</f>
        <v>#N/A</v>
      </c>
      <c r="BX5" s="421" t="e">
        <f t="shared" ref="BX5:BX68" ca="1" si="89">IF($A5="N/A"," ",(H5*(SUM(AS5:BA5)+SUM(BC5:BK5))*BM5))</f>
        <v>#N/A</v>
      </c>
      <c r="BY5" s="417" t="e">
        <f t="shared" ref="BY5:BY68" ca="1" si="90">IF($A5="N/A"," ",((C5*D5)*(SUM($AS5:$BA5)+SUM($BC5:$BK5))*$BM5))</f>
        <v>#N/A</v>
      </c>
      <c r="BZ5" s="417" t="e">
        <f t="shared" ref="BZ5:BZ68" ca="1" si="91">IF($A5="N/A"," ",(F5*(SUM($AS5:$BA5)+SUM($BC5:$BK5))*$BM5))</f>
        <v>#N/A</v>
      </c>
      <c r="CA5" s="422" t="e">
        <f t="shared" ref="CA5:CA68" ca="1" si="92">IF($A5="N/A"," ",(G5*(SUM($AS5:$BA5)+SUM($BC5:$BK5))*$BM5))</f>
        <v>#N/A</v>
      </c>
      <c r="CB5" s="347">
        <f t="shared" si="25"/>
        <v>0.48399999999999999</v>
      </c>
      <c r="CC5" s="347">
        <f t="shared" ref="CC5:CC68" si="93">IF(A5="N/A"," ",(VLOOKUP(A5,IntraPowerVol,(IF(BMO=2,3,IF(BMO=1,2,4))),FALSE)*VLOOKUP(MONTH($A5),Volscale,2)))</f>
        <v>2.75</v>
      </c>
      <c r="CD5" s="348">
        <f t="shared" ca="1" si="26"/>
        <v>1.8639191790102791</v>
      </c>
      <c r="CE5" s="347">
        <f t="shared" ca="1" si="27"/>
        <v>0.91</v>
      </c>
      <c r="CF5" s="347">
        <f t="shared" ca="1" si="28"/>
        <v>2.5750000000000002</v>
      </c>
      <c r="CG5" s="348">
        <f t="shared" ca="1" si="29"/>
        <v>1.8472664621956794</v>
      </c>
      <c r="CH5" s="347">
        <f t="shared" ref="CH5:CH68" si="94">IF($A5="N/A"," ",VLOOKUP($A5,CorrelationTable,2,FALSE))</f>
        <v>0.9</v>
      </c>
      <c r="CI5" s="349">
        <f ca="1">IF($A5="N/A"," ",F5+G5+(D5*('Pricing Inputs'!T38)))</f>
        <v>7.5</v>
      </c>
      <c r="CJ5" s="347">
        <f ca="1">IF($A5="N/A"," ",IF(PV=1,0,'Pricing Inputs'!U38))</f>
        <v>6.1210621866435007E-2</v>
      </c>
      <c r="CK5" s="350">
        <f t="shared" ca="1" si="30"/>
        <v>0.98883785477806685</v>
      </c>
      <c r="CL5" s="365">
        <f t="shared" si="31"/>
        <v>0</v>
      </c>
      <c r="CM5" s="380">
        <f t="shared" ref="CM5:CM68" si="95">IF(A5="N/A"," ",IF(CC=2,(CL5*C5)+F5,0))</f>
        <v>0</v>
      </c>
      <c r="CN5" s="378">
        <f t="shared" si="32"/>
        <v>0</v>
      </c>
      <c r="CO5" s="378">
        <f t="shared" si="33"/>
        <v>0</v>
      </c>
      <c r="CP5" s="378">
        <f t="shared" si="34"/>
        <v>0</v>
      </c>
      <c r="CQ5" s="378">
        <f t="shared" si="35"/>
        <v>0</v>
      </c>
      <c r="CR5" s="378">
        <f t="shared" si="36"/>
        <v>0</v>
      </c>
      <c r="CS5" s="378">
        <f t="shared" si="37"/>
        <v>0</v>
      </c>
      <c r="CT5" s="378">
        <f t="shared" si="38"/>
        <v>0</v>
      </c>
      <c r="CU5" s="378">
        <f t="shared" si="39"/>
        <v>0</v>
      </c>
      <c r="CV5" s="378">
        <f t="shared" si="40"/>
        <v>0</v>
      </c>
      <c r="CW5" s="254">
        <f t="shared" si="41"/>
        <v>0</v>
      </c>
      <c r="CX5" s="254">
        <f t="shared" si="42"/>
        <v>0</v>
      </c>
      <c r="CY5" s="254">
        <f t="shared" si="43"/>
        <v>0</v>
      </c>
      <c r="CZ5" s="254">
        <f t="shared" si="44"/>
        <v>0</v>
      </c>
      <c r="DA5" s="254">
        <f t="shared" si="45"/>
        <v>0</v>
      </c>
      <c r="DB5" s="254">
        <f t="shared" si="46"/>
        <v>0</v>
      </c>
      <c r="DC5" s="254">
        <f t="shared" si="47"/>
        <v>0</v>
      </c>
      <c r="DD5" s="254">
        <f t="shared" si="48"/>
        <v>0</v>
      </c>
      <c r="DE5" s="254">
        <f t="shared" si="49"/>
        <v>0</v>
      </c>
      <c r="DF5" s="374">
        <f>IF($A5="N/A"," ",IF(CC=2,(IF(MONTH(A5)&gt;=4,IF(MONTH(A5)&lt;=10,Inputs!$G$13,Inputs!$G$14),Inputs!$G$14))*$CK5,0))</f>
        <v>0</v>
      </c>
      <c r="DG5" s="373">
        <f t="shared" si="50"/>
        <v>0</v>
      </c>
      <c r="DH5" s="373">
        <f t="shared" si="51"/>
        <v>0</v>
      </c>
      <c r="DI5" s="373">
        <f t="shared" si="52"/>
        <v>0</v>
      </c>
      <c r="DJ5" s="373">
        <f t="shared" si="53"/>
        <v>0</v>
      </c>
      <c r="DK5" s="373">
        <f t="shared" si="54"/>
        <v>0</v>
      </c>
      <c r="DL5" s="373">
        <f t="shared" si="55"/>
        <v>0</v>
      </c>
      <c r="DM5" s="373">
        <f t="shared" si="56"/>
        <v>0</v>
      </c>
      <c r="DN5" s="373">
        <f t="shared" si="57"/>
        <v>0</v>
      </c>
      <c r="DO5" s="373">
        <f t="shared" si="58"/>
        <v>0</v>
      </c>
      <c r="DP5" s="375">
        <f t="shared" si="59"/>
        <v>0</v>
      </c>
      <c r="DQ5">
        <f t="shared" ref="DQ5:DQ68" si="96">IF(A5="N/A"," ",Perstart)</f>
        <v>0</v>
      </c>
      <c r="HD5">
        <f>IF($A5="N/A"," ",VLOOKUP($A5,NumberofDaysTable,2))</f>
        <v>20</v>
      </c>
      <c r="HE5">
        <f>IF($A5="N/A"," ",VLOOKUP($A5,NumberofDaysTable,3))</f>
        <v>4</v>
      </c>
      <c r="HF5">
        <f>IF($A5="N/A"," ",VLOOKUP($A5,NumberofDaysTable,4))</f>
        <v>4</v>
      </c>
    </row>
    <row r="6" spans="1:214">
      <c r="A6" s="415" t="str">
        <f>IF(A5="N/A","N/A",IF(EDATE(A5,1)&gt;Inputs!$K$3,"N/A",EDATE(A5,1)))</f>
        <v>N/A</v>
      </c>
      <c r="B6" s="410" t="str">
        <f t="shared" si="60"/>
        <v xml:space="preserve"> </v>
      </c>
      <c r="C6" s="411" t="str">
        <f t="shared" si="61"/>
        <v xml:space="preserve"> </v>
      </c>
      <c r="D6" s="412" t="str">
        <f t="shared" si="62"/>
        <v xml:space="preserve"> </v>
      </c>
      <c r="E6" s="413" t="str">
        <f>IF($A6="N/A"," ",(C6-'Pricing Inputs'!T39)*D6)</f>
        <v xml:space="preserve"> </v>
      </c>
      <c r="F6" s="414" t="str">
        <f t="shared" si="63"/>
        <v xml:space="preserve"> </v>
      </c>
      <c r="G6" s="414" t="str">
        <f t="shared" si="64"/>
        <v xml:space="preserve"> </v>
      </c>
      <c r="H6" s="416" t="str">
        <f t="shared" si="65"/>
        <v xml:space="preserve"> </v>
      </c>
      <c r="I6" s="213" t="str">
        <f t="shared" si="0"/>
        <v xml:space="preserve"> </v>
      </c>
      <c r="J6" s="213" t="str">
        <f t="shared" si="1"/>
        <v xml:space="preserve"> </v>
      </c>
      <c r="K6" s="213" t="str">
        <f t="shared" si="2"/>
        <v xml:space="preserve"> </v>
      </c>
      <c r="L6" s="213" t="str">
        <f t="shared" si="3"/>
        <v xml:space="preserve"> </v>
      </c>
      <c r="M6" s="213" t="str">
        <f t="shared" si="4"/>
        <v xml:space="preserve"> </v>
      </c>
      <c r="N6" s="213" t="str">
        <f t="shared" si="5"/>
        <v xml:space="preserve"> </v>
      </c>
      <c r="O6" s="213" t="str">
        <f t="shared" si="6"/>
        <v xml:space="preserve"> </v>
      </c>
      <c r="P6" s="213" t="str">
        <f t="shared" si="7"/>
        <v xml:space="preserve"> </v>
      </c>
      <c r="Q6" s="213" t="str">
        <f t="shared" si="8"/>
        <v xml:space="preserve"> </v>
      </c>
      <c r="R6" s="405" t="str">
        <f>IF($A6="N/A"," ",IF(Pricetype=2,MAX(I6-$H6,0),IF(Pricetype=1,(_xll.xSPRDOPT(I6,$E6,$CI6,0,($CD6+IF(Smile=TRUE,VLOOKUP(MAX(-5,$H6-I6),Volsmile,2),0)),$CG6,$CH6,($A6-DateToday)+15,1,0)),I6-$H6)))</f>
        <v xml:space="preserve"> </v>
      </c>
      <c r="S6" s="405" t="str">
        <f>IF($A6="N/A"," ",IF(Pricetype=2,MAX(J6-$H6,0),IF(Pricetype=1,(_xll.xSPRDOPT(J6,$E6,$CI6,0,($CD6+IF(Smile=TRUE,VLOOKUP(MAX(-5,$H6-J6),Volsmile,2),0)),$CG6,$CH6,($A6-DateToday)+15,1,0)),J6-$H6)))</f>
        <v xml:space="preserve"> </v>
      </c>
      <c r="T6" s="406" t="str">
        <f t="shared" si="9"/>
        <v xml:space="preserve"> </v>
      </c>
      <c r="U6" s="405" t="str">
        <f>IF($A6="N/A"," ",IF(Pricetype=2,MAX(L6-$H6,0),IF(L6&lt;&gt;0,IF(Pricetype=1,(_xll.xSPRDOPT(L6,$E6,$CI6,0,($CD6+IF(Smile=TRUE,VLOOKUP(MAX(-5,$H6-L6),Volsmile,2),0)),$CG6,$CH6,($A6-DateToday)+15,1,0)),L6-$H6),0)))</f>
        <v xml:space="preserve"> </v>
      </c>
      <c r="V6" s="405" t="str">
        <f>IF($A6="N/A"," ",IF(Pricetype=2,MAX(M6-$H6,0),IF(M6&lt;&gt;0,IF(Pricetype=1,(_xll.xSPRDOPT(M6,$E6,$CI6,0,($CD6+IF(Smile=TRUE,VLOOKUP(MAX(-5,$H6-M6),Volsmile,2),0)),$CG6,$CH6,($A6-DateToday)+15,1,0)),M6-$H6),0)))</f>
        <v xml:space="preserve"> </v>
      </c>
      <c r="W6" s="406" t="str">
        <f t="shared" si="10"/>
        <v xml:space="preserve"> </v>
      </c>
      <c r="X6" s="405" t="str">
        <f>IF($A6="N/A"," ",IF(Pricetype=2,MAX(O6-$H6,0),IF(O6&lt;&gt;0,IF(Pricetype=1,(_xll.xSPRDOPT(O6,$E6,$CI6,0,($CD6+IF(Smile=TRUE,VLOOKUP(MAX(-5,$H6-O6),Volsmile,2),0)),$CG6,$CH6,($A6-DateToday)+15,1,0)),O6-$H6),0)))</f>
        <v xml:space="preserve"> </v>
      </c>
      <c r="Y6" s="405" t="str">
        <f>IF($A6="N/A"," ",IF(Pricetype=2,MAX(P6-$H6,0),IF(P6&lt;&gt;0,IF(Pricetype=1,(_xll.xSPRDOPT(P6,$E6,$CI6,0,($CD6+IF(Smile=TRUE,VLOOKUP(MAX(-5,$H6-P6),Volsmile,2),0)),$CG6,$CH6,($A6-DateToday)+15,1,0)),P6-$H6),0)))</f>
        <v xml:space="preserve"> </v>
      </c>
      <c r="Z6" s="406" t="str">
        <f t="shared" si="11"/>
        <v xml:space="preserve"> </v>
      </c>
      <c r="AA6" s="254" t="str">
        <f>IF($A6="N/A"," ",IF(VLOOKUP(MONTH(A6),ManualTable,2)=1,(IF(0&lt;&gt;R6,IF(Pricetype=1,(_xll.xSPRDOPT(I6,$E6,$CI6,0,($CD6+IF(Smile=TRUE,VLOOKUP(MAX(-5,$H6-I6),Volsmile,2),0)),$CG6,$CH6,($A6-DateToday)+15,1,1))*(8*$HD6),8*$HD6),0)),0))</f>
        <v xml:space="preserve"> </v>
      </c>
      <c r="AB6" s="254" t="str">
        <f>IF($A6="N/A"," ",IF(VLOOKUP(MONTH(A6),ManualTable,3)=1,(IF(S6&lt;&gt;0,IF(Pricetype=1,(_xll.xSPRDOPT(J6,$E6,$CI6,0,($CD6+IF(Smile=TRUE,VLOOKUP(MAX(-5,$H6-J6),Volsmile,2),0)),$CG6,$CH6,($A6-DateToday)+15,1,1))*(8*$HD6),8*$HD6),0)),0))</f>
        <v xml:space="preserve"> </v>
      </c>
      <c r="AC6" s="254" t="str">
        <f t="shared" si="66"/>
        <v xml:space="preserve"> </v>
      </c>
      <c r="AD6" s="254" t="str">
        <f>IF($A6="N/A"," ",IF(VLOOKUP(MONTH(A6),ManualTable,5)=1,(IF(U6&lt;&gt;0,IF(Pricetype=1,(_xll.xSPRDOPT(L6,$E6,$CI6,0,($CD6+IF(Smile=TRUE,VLOOKUP(MAX(-5,$H6-L6),Volsmile,2),0)),$CG6,$CH6,($A6-DateToday)+15,1,1))*(8*$HE6),8*$HE6),0)),0))</f>
        <v xml:space="preserve"> </v>
      </c>
      <c r="AE6" s="254" t="str">
        <f>IF($A6="N/A"," ",IF(VLOOKUP(MONTH(A6),ManualTable,6)=1,(IF(V6&lt;&gt;0,IF(Pricetype=1,(_xll.xSPRDOPT(M6,$E6,$CI6,0,($CD6+IF(Smile=TRUE,VLOOKUP(MAX(-5,$H6-M6),Volsmile,2),0)),$CG6,$CH6,($A6-DateToday)+15,1,1))*(8*$HE6),8*$HE6),0)),0))</f>
        <v xml:space="preserve"> </v>
      </c>
      <c r="AF6" s="254" t="str">
        <f t="shared" si="67"/>
        <v xml:space="preserve"> </v>
      </c>
      <c r="AG6" s="254" t="str">
        <f>IF($A6="N/A"," ",IF(VLOOKUP(MONTH(A6),ManualTable,8)=1,(IF(X6&lt;&gt;0,IF(Pricetype=1,(_xll.xSPRDOPT(O6,$E6,$CI6,0,($CD6+IF(Smile=TRUE,VLOOKUP(MAX(-5,$H6-O6),Volsmile,2),0)),$CG6,$CH6,($A6-DateToday)+15,1,1))*(8*$HF6),8*$HF6),0)),0))</f>
        <v xml:space="preserve"> </v>
      </c>
      <c r="AH6" s="254" t="str">
        <f>IF($A6="N/A"," ",IF(VLOOKUP(MONTH(A6),ManualTable,9)=1,(IF(Y6&lt;&gt;0,IF(Pricetype=1,(_xll.xSPRDOPT(P6,$E6,$CI6,0,($CD6+IF(Smile=TRUE,VLOOKUP(MAX(-5,$H6-P6),Volsmile,2),0)),$CG6,$CH6,($A6-DateToday)+15,1,1))*(8*$HF6),8*$HF6),0)),0))</f>
        <v xml:space="preserve"> </v>
      </c>
      <c r="AI6" s="254" t="str">
        <f t="shared" si="68"/>
        <v xml:space="preserve"> </v>
      </c>
      <c r="AJ6" s="227" t="str">
        <f t="shared" si="69"/>
        <v xml:space="preserve"> </v>
      </c>
      <c r="AK6" s="228" t="str">
        <f t="shared" si="70"/>
        <v xml:space="preserve"> </v>
      </c>
      <c r="AL6" s="228" t="str">
        <f t="shared" si="71"/>
        <v xml:space="preserve"> </v>
      </c>
      <c r="AM6" s="228" t="str">
        <f t="shared" si="72"/>
        <v xml:space="preserve"> </v>
      </c>
      <c r="AN6" s="228" t="str">
        <f t="shared" si="12"/>
        <v xml:space="preserve"> </v>
      </c>
      <c r="AO6" s="228" t="str">
        <f t="shared" si="12"/>
        <v xml:space="preserve"> </v>
      </c>
      <c r="AP6" s="228" t="str">
        <f t="shared" si="73"/>
        <v xml:space="preserve"> </v>
      </c>
      <c r="AQ6" s="228" t="str">
        <f t="shared" si="74"/>
        <v xml:space="preserve"> </v>
      </c>
      <c r="AR6" s="229" t="str">
        <f t="shared" si="75"/>
        <v xml:space="preserve"> </v>
      </c>
      <c r="AS6" s="262">
        <f t="shared" si="13"/>
        <v>0</v>
      </c>
      <c r="AT6" s="263">
        <f t="shared" si="14"/>
        <v>0</v>
      </c>
      <c r="AU6" s="263">
        <f t="shared" si="14"/>
        <v>0</v>
      </c>
      <c r="AV6" s="263">
        <f t="shared" si="15"/>
        <v>0</v>
      </c>
      <c r="AW6" s="263">
        <f t="shared" si="76"/>
        <v>0</v>
      </c>
      <c r="AX6" s="263">
        <f t="shared" si="77"/>
        <v>0</v>
      </c>
      <c r="AY6" s="263">
        <f t="shared" si="16"/>
        <v>0</v>
      </c>
      <c r="AZ6" s="263">
        <f t="shared" si="78"/>
        <v>0</v>
      </c>
      <c r="BA6" s="263">
        <f t="shared" si="17"/>
        <v>0</v>
      </c>
      <c r="BB6" s="229"/>
      <c r="BC6" s="266">
        <f t="shared" si="18"/>
        <v>0</v>
      </c>
      <c r="BD6" s="269">
        <f t="shared" si="19"/>
        <v>0</v>
      </c>
      <c r="BE6" s="269">
        <f t="shared" si="19"/>
        <v>0</v>
      </c>
      <c r="BF6" s="269">
        <f t="shared" si="20"/>
        <v>0</v>
      </c>
      <c r="BG6" s="269">
        <f t="shared" si="21"/>
        <v>0</v>
      </c>
      <c r="BH6" s="269">
        <f t="shared" si="21"/>
        <v>0</v>
      </c>
      <c r="BI6" s="269">
        <f t="shared" si="22"/>
        <v>0</v>
      </c>
      <c r="BJ6" s="269">
        <f t="shared" si="23"/>
        <v>0</v>
      </c>
      <c r="BK6" s="269">
        <f t="shared" si="24"/>
        <v>0</v>
      </c>
      <c r="BL6" s="233"/>
      <c r="BM6" s="220" t="str">
        <f>IF($A6="N/A"," ",(IF(MONTH(A6)&gt;=4,IF(MONTH(A6)&lt;=10,Inputs!$F$13-Inputs!$G$13,Inputs!$F$14-Inputs!$G$14),Inputs!$F$14-Inputs!$G$14))*$CK6*Availability)</f>
        <v xml:space="preserve"> </v>
      </c>
      <c r="BN6" s="221" t="str">
        <f t="shared" si="79"/>
        <v xml:space="preserve"> </v>
      </c>
      <c r="BO6" s="221" t="str">
        <f t="shared" si="80"/>
        <v xml:space="preserve"> </v>
      </c>
      <c r="BP6" s="221" t="str">
        <f t="shared" si="81"/>
        <v xml:space="preserve"> </v>
      </c>
      <c r="BQ6" s="221" t="str">
        <f t="shared" si="82"/>
        <v xml:space="preserve"> </v>
      </c>
      <c r="BR6" s="221" t="str">
        <f t="shared" si="83"/>
        <v xml:space="preserve"> </v>
      </c>
      <c r="BS6" s="221" t="str">
        <f t="shared" si="84"/>
        <v xml:space="preserve"> </v>
      </c>
      <c r="BT6" s="221" t="str">
        <f t="shared" si="85"/>
        <v xml:space="preserve"> </v>
      </c>
      <c r="BU6" s="221" t="str">
        <f t="shared" si="86"/>
        <v xml:space="preserve"> </v>
      </c>
      <c r="BV6" s="221" t="str">
        <f t="shared" si="87"/>
        <v xml:space="preserve"> </v>
      </c>
      <c r="BW6" s="221" t="str">
        <f t="shared" si="88"/>
        <v xml:space="preserve"> </v>
      </c>
      <c r="BX6" s="421" t="str">
        <f t="shared" si="89"/>
        <v xml:space="preserve"> </v>
      </c>
      <c r="BY6" s="417" t="str">
        <f t="shared" si="90"/>
        <v xml:space="preserve"> </v>
      </c>
      <c r="BZ6" s="417" t="str">
        <f t="shared" si="91"/>
        <v xml:space="preserve"> </v>
      </c>
      <c r="CA6" s="422" t="str">
        <f t="shared" si="92"/>
        <v xml:space="preserve"> </v>
      </c>
      <c r="CB6" s="347" t="str">
        <f t="shared" si="25"/>
        <v xml:space="preserve"> </v>
      </c>
      <c r="CC6" s="347" t="str">
        <f t="shared" si="93"/>
        <v xml:space="preserve"> </v>
      </c>
      <c r="CD6" s="348" t="str">
        <f t="shared" si="26"/>
        <v xml:space="preserve"> </v>
      </c>
      <c r="CE6" s="347" t="str">
        <f t="shared" si="27"/>
        <v xml:space="preserve"> </v>
      </c>
      <c r="CF6" s="347" t="str">
        <f t="shared" si="28"/>
        <v xml:space="preserve"> </v>
      </c>
      <c r="CG6" s="348" t="str">
        <f t="shared" si="29"/>
        <v xml:space="preserve"> </v>
      </c>
      <c r="CH6" s="347" t="str">
        <f t="shared" si="94"/>
        <v xml:space="preserve"> </v>
      </c>
      <c r="CI6" s="349" t="str">
        <f>IF($A6="N/A"," ",F6+G6+(D6*('Pricing Inputs'!T39)))</f>
        <v xml:space="preserve"> </v>
      </c>
      <c r="CJ6" s="347" t="str">
        <f>IF($A6="N/A"," ",IF(PV=1,0,'Pricing Inputs'!U39))</f>
        <v xml:space="preserve"> </v>
      </c>
      <c r="CK6" s="350" t="str">
        <f t="shared" si="30"/>
        <v xml:space="preserve"> </v>
      </c>
      <c r="CL6" s="365" t="str">
        <f t="shared" si="31"/>
        <v xml:space="preserve"> </v>
      </c>
      <c r="CM6" s="380" t="str">
        <f t="shared" si="95"/>
        <v xml:space="preserve"> </v>
      </c>
      <c r="CN6" s="378" t="str">
        <f t="shared" si="32"/>
        <v xml:space="preserve"> </v>
      </c>
      <c r="CO6" s="378" t="str">
        <f t="shared" si="33"/>
        <v xml:space="preserve"> </v>
      </c>
      <c r="CP6" s="378" t="str">
        <f t="shared" si="34"/>
        <v xml:space="preserve"> </v>
      </c>
      <c r="CQ6" s="378" t="str">
        <f t="shared" si="35"/>
        <v xml:space="preserve"> </v>
      </c>
      <c r="CR6" s="378" t="str">
        <f t="shared" si="36"/>
        <v xml:space="preserve"> </v>
      </c>
      <c r="CS6" s="378" t="str">
        <f t="shared" si="37"/>
        <v xml:space="preserve"> </v>
      </c>
      <c r="CT6" s="378" t="str">
        <f t="shared" si="38"/>
        <v xml:space="preserve"> </v>
      </c>
      <c r="CU6" s="378" t="str">
        <f t="shared" si="39"/>
        <v xml:space="preserve"> </v>
      </c>
      <c r="CV6" s="378" t="str">
        <f t="shared" si="40"/>
        <v xml:space="preserve"> </v>
      </c>
      <c r="CW6" s="254" t="str">
        <f t="shared" si="41"/>
        <v xml:space="preserve"> </v>
      </c>
      <c r="CX6" s="254" t="str">
        <f t="shared" si="42"/>
        <v xml:space="preserve"> </v>
      </c>
      <c r="CY6" s="254" t="str">
        <f t="shared" si="43"/>
        <v xml:space="preserve"> </v>
      </c>
      <c r="CZ6" s="254" t="str">
        <f t="shared" si="44"/>
        <v xml:space="preserve"> </v>
      </c>
      <c r="DA6" s="254" t="str">
        <f t="shared" si="45"/>
        <v xml:space="preserve"> </v>
      </c>
      <c r="DB6" s="254" t="str">
        <f t="shared" si="46"/>
        <v xml:space="preserve"> </v>
      </c>
      <c r="DC6" s="254" t="str">
        <f t="shared" si="47"/>
        <v xml:space="preserve"> </v>
      </c>
      <c r="DD6" s="254" t="str">
        <f t="shared" si="48"/>
        <v xml:space="preserve"> </v>
      </c>
      <c r="DE6" s="254" t="str">
        <f t="shared" si="49"/>
        <v xml:space="preserve"> </v>
      </c>
      <c r="DF6" s="374" t="str">
        <f>IF($A6="N/A"," ",IF(CC=2,(IF(MONTH(A6)&gt;=4,IF(MONTH(A6)&lt;=10,Inputs!$G$13,Inputs!$G$14),Inputs!$G$14))*$CK6,0))</f>
        <v xml:space="preserve"> </v>
      </c>
      <c r="DG6" s="373" t="str">
        <f t="shared" si="50"/>
        <v xml:space="preserve"> </v>
      </c>
      <c r="DH6" s="373" t="str">
        <f t="shared" si="51"/>
        <v xml:space="preserve"> </v>
      </c>
      <c r="DI6" s="373" t="str">
        <f t="shared" si="52"/>
        <v xml:space="preserve"> </v>
      </c>
      <c r="DJ6" s="373" t="str">
        <f t="shared" si="53"/>
        <v xml:space="preserve"> </v>
      </c>
      <c r="DK6" s="373" t="str">
        <f t="shared" si="54"/>
        <v xml:space="preserve"> </v>
      </c>
      <c r="DL6" s="373" t="str">
        <f t="shared" si="55"/>
        <v xml:space="preserve"> </v>
      </c>
      <c r="DM6" s="373" t="str">
        <f t="shared" si="56"/>
        <v xml:space="preserve"> </v>
      </c>
      <c r="DN6" s="373" t="str">
        <f t="shared" si="57"/>
        <v xml:space="preserve"> </v>
      </c>
      <c r="DO6" s="373" t="str">
        <f t="shared" si="58"/>
        <v xml:space="preserve"> </v>
      </c>
      <c r="DP6" s="375" t="str">
        <f t="shared" si="59"/>
        <v xml:space="preserve"> </v>
      </c>
      <c r="DQ6" t="str">
        <f t="shared" si="96"/>
        <v xml:space="preserve"> </v>
      </c>
      <c r="HD6" t="str">
        <f t="shared" ref="HD6:HD69" si="97">IF($A6="N/A"," ",VLOOKUP($A6,NumberofDaysTable,2))</f>
        <v xml:space="preserve"> </v>
      </c>
      <c r="HE6" t="str">
        <f t="shared" ref="HE6:HE69" si="98">IF($A6="N/A"," ",VLOOKUP($A6,NumberofDaysTable,3))</f>
        <v xml:space="preserve"> </v>
      </c>
      <c r="HF6" t="str">
        <f t="shared" ref="HF6:HF69" si="99">IF($A6="N/A"," ",VLOOKUP($A6,NumberofDaysTable,4))</f>
        <v xml:space="preserve"> </v>
      </c>
    </row>
    <row r="7" spans="1:214">
      <c r="A7" s="415" t="str">
        <f>IF(A6="N/A","N/A",IF(EDATE(A6,1)&gt;Inputs!$K$3,"N/A",EDATE(A6,1)))</f>
        <v>N/A</v>
      </c>
      <c r="B7" s="410" t="str">
        <f t="shared" si="60"/>
        <v xml:space="preserve"> </v>
      </c>
      <c r="C7" s="411" t="str">
        <f t="shared" si="61"/>
        <v xml:space="preserve"> </v>
      </c>
      <c r="D7" s="412" t="str">
        <f t="shared" si="62"/>
        <v xml:space="preserve"> </v>
      </c>
      <c r="E7" s="413" t="str">
        <f>IF($A7="N/A"," ",(C7-'Pricing Inputs'!T40)*D7)</f>
        <v xml:space="preserve"> </v>
      </c>
      <c r="F7" s="414" t="str">
        <f t="shared" si="63"/>
        <v xml:space="preserve"> </v>
      </c>
      <c r="G7" s="414" t="str">
        <f t="shared" si="64"/>
        <v xml:space="preserve"> </v>
      </c>
      <c r="H7" s="416" t="str">
        <f t="shared" si="65"/>
        <v xml:space="preserve"> </v>
      </c>
      <c r="I7" s="213" t="str">
        <f t="shared" si="0"/>
        <v xml:space="preserve"> </v>
      </c>
      <c r="J7" s="213" t="str">
        <f t="shared" si="1"/>
        <v xml:space="preserve"> </v>
      </c>
      <c r="K7" s="213" t="str">
        <f t="shared" si="2"/>
        <v xml:space="preserve"> </v>
      </c>
      <c r="L7" s="213" t="str">
        <f t="shared" si="3"/>
        <v xml:space="preserve"> </v>
      </c>
      <c r="M7" s="213" t="str">
        <f t="shared" si="4"/>
        <v xml:space="preserve"> </v>
      </c>
      <c r="N7" s="213" t="str">
        <f t="shared" si="5"/>
        <v xml:space="preserve"> </v>
      </c>
      <c r="O7" s="213" t="str">
        <f t="shared" si="6"/>
        <v xml:space="preserve"> </v>
      </c>
      <c r="P7" s="213" t="str">
        <f t="shared" si="7"/>
        <v xml:space="preserve"> </v>
      </c>
      <c r="Q7" s="213" t="str">
        <f t="shared" si="8"/>
        <v xml:space="preserve"> </v>
      </c>
      <c r="R7" s="405" t="str">
        <f>IF($A7="N/A"," ",IF(Pricetype=2,MAX(I7-$H7,0),IF(Pricetype=1,(_xll.xSPRDOPT(I7,$E7,$CI7,0,($CD7+IF(Smile=TRUE,VLOOKUP(MAX(-5,$H7-I7),Volsmile,2),0)),$CG7,$CH7,($A7-DateToday)+15,1,0)),I7-$H7)))</f>
        <v xml:space="preserve"> </v>
      </c>
      <c r="S7" s="405" t="str">
        <f>IF($A7="N/A"," ",IF(Pricetype=2,MAX(J7-$H7,0),IF(Pricetype=1,(_xll.xSPRDOPT(J7,$E7,$CI7,0,($CD7+IF(Smile=TRUE,VLOOKUP(MAX(-5,$H7-J7),Volsmile,2),0)),$CG7,$CH7,($A7-DateToday)+15,1,0)),J7-$H7)))</f>
        <v xml:space="preserve"> </v>
      </c>
      <c r="T7" s="406" t="str">
        <f t="shared" si="9"/>
        <v xml:space="preserve"> </v>
      </c>
      <c r="U7" s="405" t="str">
        <f>IF($A7="N/A"," ",IF(Pricetype=2,MAX(L7-$H7,0),IF(L7&lt;&gt;0,IF(Pricetype=1,(_xll.xSPRDOPT(L7,$E7,$CI7,0,($CD7+IF(Smile=TRUE,VLOOKUP(MAX(-5,$H7-L7),Volsmile,2),0)),$CG7,$CH7,($A7-DateToday)+15,1,0)),L7-$H7),0)))</f>
        <v xml:space="preserve"> </v>
      </c>
      <c r="V7" s="405" t="str">
        <f>IF($A7="N/A"," ",IF(Pricetype=2,MAX(M7-$H7,0),IF(M7&lt;&gt;0,IF(Pricetype=1,(_xll.xSPRDOPT(M7,$E7,$CI7,0,($CD7+IF(Smile=TRUE,VLOOKUP(MAX(-5,$H7-M7),Volsmile,2),0)),$CG7,$CH7,($A7-DateToday)+15,1,0)),M7-$H7),0)))</f>
        <v xml:space="preserve"> </v>
      </c>
      <c r="W7" s="406" t="str">
        <f t="shared" si="10"/>
        <v xml:space="preserve"> </v>
      </c>
      <c r="X7" s="405" t="str">
        <f>IF($A7="N/A"," ",IF(Pricetype=2,MAX(O7-$H7,0),IF(O7&lt;&gt;0,IF(Pricetype=1,(_xll.xSPRDOPT(O7,$E7,$CI7,0,($CD7+IF(Smile=TRUE,VLOOKUP(MAX(-5,$H7-O7),Volsmile,2),0)),$CG7,$CH7,($A7-DateToday)+15,1,0)),O7-$H7),0)))</f>
        <v xml:space="preserve"> </v>
      </c>
      <c r="Y7" s="405" t="str">
        <f>IF($A7="N/A"," ",IF(Pricetype=2,MAX(P7-$H7,0),IF(P7&lt;&gt;0,IF(Pricetype=1,(_xll.xSPRDOPT(P7,$E7,$CI7,0,($CD7+IF(Smile=TRUE,VLOOKUP(MAX(-5,$H7-P7),Volsmile,2),0)),$CG7,$CH7,($A7-DateToday)+15,1,0)),P7-$H7),0)))</f>
        <v xml:space="preserve"> </v>
      </c>
      <c r="Z7" s="406" t="str">
        <f t="shared" si="11"/>
        <v xml:space="preserve"> </v>
      </c>
      <c r="AA7" s="254" t="str">
        <f>IF($A7="N/A"," ",IF(VLOOKUP(MONTH(A7),ManualTable,2)=1,(IF(0&lt;&gt;R7,IF(Pricetype=1,(_xll.xSPRDOPT(I7,$E7,$CI7,0,($CD7+IF(Smile=TRUE,VLOOKUP(MAX(-5,$H7-I7),Volsmile,2),0)),$CG7,$CH7,($A7-DateToday)+15,1,1))*(8*$HD7),8*$HD7),0)),0))</f>
        <v xml:space="preserve"> </v>
      </c>
      <c r="AB7" s="254" t="str">
        <f>IF($A7="N/A"," ",IF(VLOOKUP(MONTH(A7),ManualTable,3)=1,(IF(S7&lt;&gt;0,IF(Pricetype=1,(_xll.xSPRDOPT(J7,$E7,$CI7,0,($CD7+IF(Smile=TRUE,VLOOKUP(MAX(-5,$H7-J7),Volsmile,2),0)),$CG7,$CH7,($A7-DateToday)+15,1,1))*(8*$HD7),8*$HD7),0)),0))</f>
        <v xml:space="preserve"> </v>
      </c>
      <c r="AC7" s="254" t="str">
        <f t="shared" si="66"/>
        <v xml:space="preserve"> </v>
      </c>
      <c r="AD7" s="254" t="str">
        <f>IF($A7="N/A"," ",IF(VLOOKUP(MONTH(A7),ManualTable,5)=1,(IF(U7&lt;&gt;0,IF(Pricetype=1,(_xll.xSPRDOPT(L7,$E7,$CI7,0,($CD7+IF(Smile=TRUE,VLOOKUP(MAX(-5,$H7-L7),Volsmile,2),0)),$CG7,$CH7,($A7-DateToday)+15,1,1))*(8*$HE7),8*$HE7),0)),0))</f>
        <v xml:space="preserve"> </v>
      </c>
      <c r="AE7" s="254" t="str">
        <f>IF($A7="N/A"," ",IF(VLOOKUP(MONTH(A7),ManualTable,6)=1,(IF(V7&lt;&gt;0,IF(Pricetype=1,(_xll.xSPRDOPT(M7,$E7,$CI7,0,($CD7+IF(Smile=TRUE,VLOOKUP(MAX(-5,$H7-M7),Volsmile,2),0)),$CG7,$CH7,($A7-DateToday)+15,1,1))*(8*$HE7),8*$HE7),0)),0))</f>
        <v xml:space="preserve"> </v>
      </c>
      <c r="AF7" s="254" t="str">
        <f t="shared" si="67"/>
        <v xml:space="preserve"> </v>
      </c>
      <c r="AG7" s="254" t="str">
        <f>IF($A7="N/A"," ",IF(VLOOKUP(MONTH(A7),ManualTable,8)=1,(IF(X7&lt;&gt;0,IF(Pricetype=1,(_xll.xSPRDOPT(O7,$E7,$CI7,0,($CD7+IF(Smile=TRUE,VLOOKUP(MAX(-5,$H7-O7),Volsmile,2),0)),$CG7,$CH7,($A7-DateToday)+15,1,1))*(8*$HF7),8*$HF7),0)),0))</f>
        <v xml:space="preserve"> </v>
      </c>
      <c r="AH7" s="254" t="str">
        <f>IF($A7="N/A"," ",IF(VLOOKUP(MONTH(A7),ManualTable,9)=1,(IF(Y7&lt;&gt;0,IF(Pricetype=1,(_xll.xSPRDOPT(P7,$E7,$CI7,0,($CD7+IF(Smile=TRUE,VLOOKUP(MAX(-5,$H7-P7),Volsmile,2),0)),$CG7,$CH7,($A7-DateToday)+15,1,1))*(8*$HF7),8*$HF7),0)),0))</f>
        <v xml:space="preserve"> </v>
      </c>
      <c r="AI7" s="254" t="str">
        <f t="shared" si="68"/>
        <v xml:space="preserve"> </v>
      </c>
      <c r="AJ7" s="227" t="str">
        <f t="shared" si="69"/>
        <v xml:space="preserve"> </v>
      </c>
      <c r="AK7" s="228" t="str">
        <f t="shared" si="70"/>
        <v xml:space="preserve"> </v>
      </c>
      <c r="AL7" s="228" t="str">
        <f t="shared" si="71"/>
        <v xml:space="preserve"> </v>
      </c>
      <c r="AM7" s="228" t="str">
        <f t="shared" si="72"/>
        <v xml:space="preserve"> </v>
      </c>
      <c r="AN7" s="228" t="str">
        <f t="shared" si="12"/>
        <v xml:space="preserve"> </v>
      </c>
      <c r="AO7" s="228" t="str">
        <f t="shared" si="12"/>
        <v xml:space="preserve"> </v>
      </c>
      <c r="AP7" s="228" t="str">
        <f t="shared" si="73"/>
        <v xml:space="preserve"> </v>
      </c>
      <c r="AQ7" s="228" t="str">
        <f t="shared" si="74"/>
        <v xml:space="preserve"> </v>
      </c>
      <c r="AR7" s="229" t="str">
        <f t="shared" si="75"/>
        <v xml:space="preserve"> </v>
      </c>
      <c r="AS7" s="262">
        <f t="shared" si="13"/>
        <v>0</v>
      </c>
      <c r="AT7" s="263">
        <f t="shared" si="14"/>
        <v>0</v>
      </c>
      <c r="AU7" s="263">
        <f t="shared" si="14"/>
        <v>0</v>
      </c>
      <c r="AV7" s="263">
        <f t="shared" si="15"/>
        <v>0</v>
      </c>
      <c r="AW7" s="263">
        <f t="shared" si="76"/>
        <v>0</v>
      </c>
      <c r="AX7" s="263">
        <f t="shared" si="77"/>
        <v>0</v>
      </c>
      <c r="AY7" s="263">
        <f t="shared" si="16"/>
        <v>0</v>
      </c>
      <c r="AZ7" s="263">
        <f t="shared" si="78"/>
        <v>0</v>
      </c>
      <c r="BA7" s="263">
        <f t="shared" si="17"/>
        <v>0</v>
      </c>
      <c r="BB7" s="229"/>
      <c r="BC7" s="266">
        <f t="shared" si="18"/>
        <v>0</v>
      </c>
      <c r="BD7" s="269">
        <f t="shared" si="19"/>
        <v>0</v>
      </c>
      <c r="BE7" s="269">
        <f t="shared" si="19"/>
        <v>0</v>
      </c>
      <c r="BF7" s="269">
        <f t="shared" si="20"/>
        <v>0</v>
      </c>
      <c r="BG7" s="269">
        <f t="shared" si="21"/>
        <v>0</v>
      </c>
      <c r="BH7" s="269">
        <f t="shared" si="21"/>
        <v>0</v>
      </c>
      <c r="BI7" s="269">
        <f t="shared" si="22"/>
        <v>0</v>
      </c>
      <c r="BJ7" s="269">
        <f t="shared" si="23"/>
        <v>0</v>
      </c>
      <c r="BK7" s="269">
        <f t="shared" si="24"/>
        <v>0</v>
      </c>
      <c r="BL7" s="233"/>
      <c r="BM7" s="220" t="str">
        <f>IF($A7="N/A"," ",(IF(MONTH(A7)&gt;=4,IF(MONTH(A7)&lt;=10,Inputs!$F$13-Inputs!$G$13,Inputs!$F$14-Inputs!$G$14),Inputs!$F$14-Inputs!$G$14))*$CK7*Availability)</f>
        <v xml:space="preserve"> </v>
      </c>
      <c r="BN7" s="221" t="str">
        <f t="shared" si="79"/>
        <v xml:space="preserve"> </v>
      </c>
      <c r="BO7" s="221" t="str">
        <f t="shared" si="80"/>
        <v xml:space="preserve"> </v>
      </c>
      <c r="BP7" s="221" t="str">
        <f t="shared" si="81"/>
        <v xml:space="preserve"> </v>
      </c>
      <c r="BQ7" s="221" t="str">
        <f t="shared" si="82"/>
        <v xml:space="preserve"> </v>
      </c>
      <c r="BR7" s="221" t="str">
        <f t="shared" si="83"/>
        <v xml:space="preserve"> </v>
      </c>
      <c r="BS7" s="221" t="str">
        <f t="shared" si="84"/>
        <v xml:space="preserve"> </v>
      </c>
      <c r="BT7" s="221" t="str">
        <f t="shared" si="85"/>
        <v xml:space="preserve"> </v>
      </c>
      <c r="BU7" s="221" t="str">
        <f t="shared" si="86"/>
        <v xml:space="preserve"> </v>
      </c>
      <c r="BV7" s="221" t="str">
        <f t="shared" si="87"/>
        <v xml:space="preserve"> </v>
      </c>
      <c r="BW7" s="221" t="str">
        <f t="shared" si="88"/>
        <v xml:space="preserve"> </v>
      </c>
      <c r="BX7" s="421" t="str">
        <f t="shared" si="89"/>
        <v xml:space="preserve"> </v>
      </c>
      <c r="BY7" s="417" t="str">
        <f t="shared" si="90"/>
        <v xml:space="preserve"> </v>
      </c>
      <c r="BZ7" s="417" t="str">
        <f t="shared" si="91"/>
        <v xml:space="preserve"> </v>
      </c>
      <c r="CA7" s="422" t="str">
        <f t="shared" si="92"/>
        <v xml:space="preserve"> </v>
      </c>
      <c r="CB7" s="347" t="str">
        <f t="shared" si="25"/>
        <v xml:space="preserve"> </v>
      </c>
      <c r="CC7" s="347" t="str">
        <f t="shared" si="93"/>
        <v xml:space="preserve"> </v>
      </c>
      <c r="CD7" s="348" t="str">
        <f t="shared" si="26"/>
        <v xml:space="preserve"> </v>
      </c>
      <c r="CE7" s="347" t="str">
        <f t="shared" si="27"/>
        <v xml:space="preserve"> </v>
      </c>
      <c r="CF7" s="347" t="str">
        <f t="shared" si="28"/>
        <v xml:space="preserve"> </v>
      </c>
      <c r="CG7" s="348" t="str">
        <f t="shared" si="29"/>
        <v xml:space="preserve"> </v>
      </c>
      <c r="CH7" s="347" t="str">
        <f t="shared" si="94"/>
        <v xml:space="preserve"> </v>
      </c>
      <c r="CI7" s="349" t="str">
        <f>IF($A7="N/A"," ",F7+G7+(D7*('Pricing Inputs'!T40)))</f>
        <v xml:space="preserve"> </v>
      </c>
      <c r="CJ7" s="347" t="str">
        <f>IF($A7="N/A"," ",IF(PV=1,0,'Pricing Inputs'!U40))</f>
        <v xml:space="preserve"> </v>
      </c>
      <c r="CK7" s="350" t="str">
        <f t="shared" si="30"/>
        <v xml:space="preserve"> </v>
      </c>
      <c r="CL7" s="365" t="str">
        <f t="shared" si="31"/>
        <v xml:space="preserve"> </v>
      </c>
      <c r="CM7" s="380" t="str">
        <f t="shared" si="95"/>
        <v xml:space="preserve"> </v>
      </c>
      <c r="CN7" s="378" t="str">
        <f t="shared" si="32"/>
        <v xml:space="preserve"> </v>
      </c>
      <c r="CO7" s="378" t="str">
        <f t="shared" si="33"/>
        <v xml:space="preserve"> </v>
      </c>
      <c r="CP7" s="378" t="str">
        <f t="shared" si="34"/>
        <v xml:space="preserve"> </v>
      </c>
      <c r="CQ7" s="378" t="str">
        <f t="shared" si="35"/>
        <v xml:space="preserve"> </v>
      </c>
      <c r="CR7" s="378" t="str">
        <f t="shared" si="36"/>
        <v xml:space="preserve"> </v>
      </c>
      <c r="CS7" s="378" t="str">
        <f t="shared" si="37"/>
        <v xml:space="preserve"> </v>
      </c>
      <c r="CT7" s="378" t="str">
        <f t="shared" si="38"/>
        <v xml:space="preserve"> </v>
      </c>
      <c r="CU7" s="378" t="str">
        <f t="shared" si="39"/>
        <v xml:space="preserve"> </v>
      </c>
      <c r="CV7" s="378" t="str">
        <f t="shared" si="40"/>
        <v xml:space="preserve"> </v>
      </c>
      <c r="CW7" s="254" t="str">
        <f t="shared" si="41"/>
        <v xml:space="preserve"> </v>
      </c>
      <c r="CX7" s="254" t="str">
        <f t="shared" si="42"/>
        <v xml:space="preserve"> </v>
      </c>
      <c r="CY7" s="254" t="str">
        <f t="shared" si="43"/>
        <v xml:space="preserve"> </v>
      </c>
      <c r="CZ7" s="254" t="str">
        <f t="shared" si="44"/>
        <v xml:space="preserve"> </v>
      </c>
      <c r="DA7" s="254" t="str">
        <f t="shared" si="45"/>
        <v xml:space="preserve"> </v>
      </c>
      <c r="DB7" s="254" t="str">
        <f t="shared" si="46"/>
        <v xml:space="preserve"> </v>
      </c>
      <c r="DC7" s="254" t="str">
        <f t="shared" si="47"/>
        <v xml:space="preserve"> </v>
      </c>
      <c r="DD7" s="254" t="str">
        <f t="shared" si="48"/>
        <v xml:space="preserve"> </v>
      </c>
      <c r="DE7" s="254" t="str">
        <f t="shared" si="49"/>
        <v xml:space="preserve"> </v>
      </c>
      <c r="DF7" s="374" t="str">
        <f>IF($A7="N/A"," ",IF(CC=2,(IF(MONTH(A7)&gt;=4,IF(MONTH(A7)&lt;=10,Inputs!$G$13,Inputs!$G$14),Inputs!$G$14))*$CK7,0))</f>
        <v xml:space="preserve"> </v>
      </c>
      <c r="DG7" s="373" t="str">
        <f t="shared" si="50"/>
        <v xml:space="preserve"> </v>
      </c>
      <c r="DH7" s="373" t="str">
        <f t="shared" si="51"/>
        <v xml:space="preserve"> </v>
      </c>
      <c r="DI7" s="373" t="str">
        <f t="shared" si="52"/>
        <v xml:space="preserve"> </v>
      </c>
      <c r="DJ7" s="373" t="str">
        <f t="shared" si="53"/>
        <v xml:space="preserve"> </v>
      </c>
      <c r="DK7" s="373" t="str">
        <f t="shared" si="54"/>
        <v xml:space="preserve"> </v>
      </c>
      <c r="DL7" s="373" t="str">
        <f t="shared" si="55"/>
        <v xml:space="preserve"> </v>
      </c>
      <c r="DM7" s="373" t="str">
        <f t="shared" si="56"/>
        <v xml:space="preserve"> </v>
      </c>
      <c r="DN7" s="373" t="str">
        <f t="shared" si="57"/>
        <v xml:space="preserve"> </v>
      </c>
      <c r="DO7" s="373" t="str">
        <f t="shared" si="58"/>
        <v xml:space="preserve"> </v>
      </c>
      <c r="DP7" s="375" t="str">
        <f t="shared" si="59"/>
        <v xml:space="preserve"> </v>
      </c>
      <c r="DQ7" t="str">
        <f t="shared" si="96"/>
        <v xml:space="preserve"> </v>
      </c>
      <c r="HD7" t="str">
        <f t="shared" si="97"/>
        <v xml:space="preserve"> </v>
      </c>
      <c r="HE7" t="str">
        <f t="shared" si="98"/>
        <v xml:space="preserve"> </v>
      </c>
      <c r="HF7" t="str">
        <f t="shared" si="99"/>
        <v xml:space="preserve"> </v>
      </c>
    </row>
    <row r="8" spans="1:214">
      <c r="A8" s="415" t="str">
        <f>IF(A7="N/A","N/A",IF(EDATE(A7,1)&gt;Inputs!$K$3,"N/A",EDATE(A7,1)))</f>
        <v>N/A</v>
      </c>
      <c r="B8" s="410" t="str">
        <f t="shared" si="60"/>
        <v xml:space="preserve"> </v>
      </c>
      <c r="C8" s="411" t="str">
        <f t="shared" si="61"/>
        <v xml:space="preserve"> </v>
      </c>
      <c r="D8" s="412" t="str">
        <f t="shared" si="62"/>
        <v xml:space="preserve"> </v>
      </c>
      <c r="E8" s="413" t="str">
        <f>IF($A8="N/A"," ",(C8-'Pricing Inputs'!T41)*D8)</f>
        <v xml:space="preserve"> </v>
      </c>
      <c r="F8" s="414" t="str">
        <f t="shared" si="63"/>
        <v xml:space="preserve"> </v>
      </c>
      <c r="G8" s="414" t="str">
        <f t="shared" si="64"/>
        <v xml:space="preserve"> </v>
      </c>
      <c r="H8" s="416" t="str">
        <f t="shared" si="65"/>
        <v xml:space="preserve"> </v>
      </c>
      <c r="I8" s="213" t="str">
        <f t="shared" si="0"/>
        <v xml:space="preserve"> </v>
      </c>
      <c r="J8" s="213" t="str">
        <f t="shared" si="1"/>
        <v xml:space="preserve"> </v>
      </c>
      <c r="K8" s="213" t="str">
        <f t="shared" si="2"/>
        <v xml:space="preserve"> </v>
      </c>
      <c r="L8" s="213" t="str">
        <f t="shared" si="3"/>
        <v xml:space="preserve"> </v>
      </c>
      <c r="M8" s="213" t="str">
        <f t="shared" si="4"/>
        <v xml:space="preserve"> </v>
      </c>
      <c r="N8" s="213" t="str">
        <f t="shared" si="5"/>
        <v xml:space="preserve"> </v>
      </c>
      <c r="O8" s="213" t="str">
        <f t="shared" si="6"/>
        <v xml:space="preserve"> </v>
      </c>
      <c r="P8" s="213" t="str">
        <f t="shared" si="7"/>
        <v xml:space="preserve"> </v>
      </c>
      <c r="Q8" s="213" t="str">
        <f t="shared" si="8"/>
        <v xml:space="preserve"> </v>
      </c>
      <c r="R8" s="405" t="str">
        <f>IF($A8="N/A"," ",IF(Pricetype=2,MAX(I8-$H8,0),IF(Pricetype=1,(_xll.xSPRDOPT(I8,$E8,$CI8,0,($CD8+IF(Smile=TRUE,VLOOKUP(MAX(-5,$H8-I8),Volsmile,2),0)),$CG8,$CH8,($A8-DateToday)+15,1,0)),I8-$H8)))</f>
        <v xml:space="preserve"> </v>
      </c>
      <c r="S8" s="405" t="str">
        <f>IF($A8="N/A"," ",IF(Pricetype=2,MAX(J8-$H8,0),IF(Pricetype=1,(_xll.xSPRDOPT(J8,$E8,$CI8,0,($CD8+IF(Smile=TRUE,VLOOKUP(MAX(-5,$H8-J8),Volsmile,2),0)),$CG8,$CH8,($A8-DateToday)+15,1,0)),J8-$H8)))</f>
        <v xml:space="preserve"> </v>
      </c>
      <c r="T8" s="406" t="str">
        <f t="shared" si="9"/>
        <v xml:space="preserve"> </v>
      </c>
      <c r="U8" s="405" t="str">
        <f>IF($A8="N/A"," ",IF(Pricetype=2,MAX(L8-$H8,0),IF(L8&lt;&gt;0,IF(Pricetype=1,(_xll.xSPRDOPT(L8,$E8,$CI8,0,($CD8+IF(Smile=TRUE,VLOOKUP(MAX(-5,$H8-L8),Volsmile,2),0)),$CG8,$CH8,($A8-DateToday)+15,1,0)),L8-$H8),0)))</f>
        <v xml:space="preserve"> </v>
      </c>
      <c r="V8" s="405" t="str">
        <f>IF($A8="N/A"," ",IF(Pricetype=2,MAX(M8-$H8,0),IF(M8&lt;&gt;0,IF(Pricetype=1,(_xll.xSPRDOPT(M8,$E8,$CI8,0,($CD8+IF(Smile=TRUE,VLOOKUP(MAX(-5,$H8-M8),Volsmile,2),0)),$CG8,$CH8,($A8-DateToday)+15,1,0)),M8-$H8),0)))</f>
        <v xml:space="preserve"> </v>
      </c>
      <c r="W8" s="406" t="str">
        <f t="shared" si="10"/>
        <v xml:space="preserve"> </v>
      </c>
      <c r="X8" s="405" t="str">
        <f>IF($A8="N/A"," ",IF(Pricetype=2,MAX(O8-$H8,0),IF(O8&lt;&gt;0,IF(Pricetype=1,(_xll.xSPRDOPT(O8,$E8,$CI8,0,($CD8+IF(Smile=TRUE,VLOOKUP(MAX(-5,$H8-O8),Volsmile,2),0)),$CG8,$CH8,($A8-DateToday)+15,1,0)),O8-$H8),0)))</f>
        <v xml:space="preserve"> </v>
      </c>
      <c r="Y8" s="405" t="str">
        <f>IF($A8="N/A"," ",IF(Pricetype=2,MAX(P8-$H8,0),IF(P8&lt;&gt;0,IF(Pricetype=1,(_xll.xSPRDOPT(P8,$E8,$CI8,0,($CD8+IF(Smile=TRUE,VLOOKUP(MAX(-5,$H8-P8),Volsmile,2),0)),$CG8,$CH8,($A8-DateToday)+15,1,0)),P8-$H8),0)))</f>
        <v xml:space="preserve"> </v>
      </c>
      <c r="Z8" s="406" t="str">
        <f t="shared" si="11"/>
        <v xml:space="preserve"> </v>
      </c>
      <c r="AA8" s="254" t="str">
        <f>IF($A8="N/A"," ",IF(VLOOKUP(MONTH(A8),ManualTable,2)=1,(IF(0&lt;&gt;R8,IF(Pricetype=1,(_xll.xSPRDOPT(I8,$E8,$CI8,0,($CD8+IF(Smile=TRUE,VLOOKUP(MAX(-5,$H8-I8),Volsmile,2),0)),$CG8,$CH8,($A8-DateToday)+15,1,1))*(8*$HD8),8*$HD8),0)),0))</f>
        <v xml:space="preserve"> </v>
      </c>
      <c r="AB8" s="254" t="str">
        <f>IF($A8="N/A"," ",IF(VLOOKUP(MONTH(A8),ManualTable,3)=1,(IF(S8&lt;&gt;0,IF(Pricetype=1,(_xll.xSPRDOPT(J8,$E8,$CI8,0,($CD8+IF(Smile=TRUE,VLOOKUP(MAX(-5,$H8-J8),Volsmile,2),0)),$CG8,$CH8,($A8-DateToday)+15,1,1))*(8*$HD8),8*$HD8),0)),0))</f>
        <v xml:space="preserve"> </v>
      </c>
      <c r="AC8" s="254" t="str">
        <f t="shared" si="66"/>
        <v xml:space="preserve"> </v>
      </c>
      <c r="AD8" s="254" t="str">
        <f>IF($A8="N/A"," ",IF(VLOOKUP(MONTH(A8),ManualTable,5)=1,(IF(U8&lt;&gt;0,IF(Pricetype=1,(_xll.xSPRDOPT(L8,$E8,$CI8,0,($CD8+IF(Smile=TRUE,VLOOKUP(MAX(-5,$H8-L8),Volsmile,2),0)),$CG8,$CH8,($A8-DateToday)+15,1,1))*(8*$HE8),8*$HE8),0)),0))</f>
        <v xml:space="preserve"> </v>
      </c>
      <c r="AE8" s="254" t="str">
        <f>IF($A8="N/A"," ",IF(VLOOKUP(MONTH(A8),ManualTable,6)=1,(IF(V8&lt;&gt;0,IF(Pricetype=1,(_xll.xSPRDOPT(M8,$E8,$CI8,0,($CD8+IF(Smile=TRUE,VLOOKUP(MAX(-5,$H8-M8),Volsmile,2),0)),$CG8,$CH8,($A8-DateToday)+15,1,1))*(8*$HE8),8*$HE8),0)),0))</f>
        <v xml:space="preserve"> </v>
      </c>
      <c r="AF8" s="254" t="str">
        <f t="shared" si="67"/>
        <v xml:space="preserve"> </v>
      </c>
      <c r="AG8" s="254" t="str">
        <f>IF($A8="N/A"," ",IF(VLOOKUP(MONTH(A8),ManualTable,8)=1,(IF(X8&lt;&gt;0,IF(Pricetype=1,(_xll.xSPRDOPT(O8,$E8,$CI8,0,($CD8+IF(Smile=TRUE,VLOOKUP(MAX(-5,$H8-O8),Volsmile,2),0)),$CG8,$CH8,($A8-DateToday)+15,1,1))*(8*$HF8),8*$HF8),0)),0))</f>
        <v xml:space="preserve"> </v>
      </c>
      <c r="AH8" s="254" t="str">
        <f>IF($A8="N/A"," ",IF(VLOOKUP(MONTH(A8),ManualTable,9)=1,(IF(Y8&lt;&gt;0,IF(Pricetype=1,(_xll.xSPRDOPT(P8,$E8,$CI8,0,($CD8+IF(Smile=TRUE,VLOOKUP(MAX(-5,$H8-P8),Volsmile,2),0)),$CG8,$CH8,($A8-DateToday)+15,1,1))*(8*$HF8),8*$HF8),0)),0))</f>
        <v xml:space="preserve"> </v>
      </c>
      <c r="AI8" s="254" t="str">
        <f t="shared" si="68"/>
        <v xml:space="preserve"> </v>
      </c>
      <c r="AJ8" s="227" t="str">
        <f t="shared" si="69"/>
        <v xml:space="preserve"> </v>
      </c>
      <c r="AK8" s="228" t="str">
        <f t="shared" si="70"/>
        <v xml:space="preserve"> </v>
      </c>
      <c r="AL8" s="228" t="str">
        <f t="shared" si="71"/>
        <v xml:space="preserve"> </v>
      </c>
      <c r="AM8" s="228" t="str">
        <f t="shared" si="72"/>
        <v xml:space="preserve"> </v>
      </c>
      <c r="AN8" s="228" t="str">
        <f t="shared" si="12"/>
        <v xml:space="preserve"> </v>
      </c>
      <c r="AO8" s="228" t="str">
        <f t="shared" si="12"/>
        <v xml:space="preserve"> </v>
      </c>
      <c r="AP8" s="228" t="str">
        <f t="shared" si="73"/>
        <v xml:space="preserve"> </v>
      </c>
      <c r="AQ8" s="228" t="str">
        <f t="shared" si="74"/>
        <v xml:space="preserve"> </v>
      </c>
      <c r="AR8" s="229" t="str">
        <f t="shared" si="75"/>
        <v xml:space="preserve"> </v>
      </c>
      <c r="AS8" s="262">
        <f t="shared" si="13"/>
        <v>0</v>
      </c>
      <c r="AT8" s="263">
        <f t="shared" si="14"/>
        <v>0</v>
      </c>
      <c r="AU8" s="263">
        <f t="shared" si="14"/>
        <v>0</v>
      </c>
      <c r="AV8" s="263">
        <f t="shared" si="15"/>
        <v>0</v>
      </c>
      <c r="AW8" s="263">
        <f t="shared" si="76"/>
        <v>0</v>
      </c>
      <c r="AX8" s="263">
        <f t="shared" si="77"/>
        <v>0</v>
      </c>
      <c r="AY8" s="263">
        <f t="shared" si="16"/>
        <v>0</v>
      </c>
      <c r="AZ8" s="263">
        <f t="shared" si="78"/>
        <v>0</v>
      </c>
      <c r="BA8" s="263">
        <f t="shared" si="17"/>
        <v>0</v>
      </c>
      <c r="BB8" s="229"/>
      <c r="BC8" s="266">
        <f t="shared" si="18"/>
        <v>0</v>
      </c>
      <c r="BD8" s="269">
        <f t="shared" si="19"/>
        <v>0</v>
      </c>
      <c r="BE8" s="269">
        <f t="shared" si="19"/>
        <v>0</v>
      </c>
      <c r="BF8" s="269">
        <f t="shared" si="20"/>
        <v>0</v>
      </c>
      <c r="BG8" s="269">
        <f t="shared" si="21"/>
        <v>0</v>
      </c>
      <c r="BH8" s="269">
        <f t="shared" si="21"/>
        <v>0</v>
      </c>
      <c r="BI8" s="269">
        <f t="shared" si="22"/>
        <v>0</v>
      </c>
      <c r="BJ8" s="269">
        <f t="shared" si="23"/>
        <v>0</v>
      </c>
      <c r="BK8" s="269">
        <f t="shared" si="24"/>
        <v>0</v>
      </c>
      <c r="BL8" s="233"/>
      <c r="BM8" s="220" t="str">
        <f>IF($A8="N/A"," ",(IF(MONTH(A8)&gt;=4,IF(MONTH(A8)&lt;=10,Inputs!$F$13-Inputs!$G$13,Inputs!$F$14-Inputs!$G$14),Inputs!$F$14-Inputs!$G$14))*$CK8*Availability)</f>
        <v xml:space="preserve"> </v>
      </c>
      <c r="BN8" s="221" t="str">
        <f t="shared" si="79"/>
        <v xml:space="preserve"> </v>
      </c>
      <c r="BO8" s="221" t="str">
        <f t="shared" si="80"/>
        <v xml:space="preserve"> </v>
      </c>
      <c r="BP8" s="221" t="str">
        <f t="shared" si="81"/>
        <v xml:space="preserve"> </v>
      </c>
      <c r="BQ8" s="221" t="str">
        <f t="shared" si="82"/>
        <v xml:space="preserve"> </v>
      </c>
      <c r="BR8" s="221" t="str">
        <f t="shared" si="83"/>
        <v xml:space="preserve"> </v>
      </c>
      <c r="BS8" s="221" t="str">
        <f t="shared" si="84"/>
        <v xml:space="preserve"> </v>
      </c>
      <c r="BT8" s="221" t="str">
        <f t="shared" si="85"/>
        <v xml:space="preserve"> </v>
      </c>
      <c r="BU8" s="221" t="str">
        <f t="shared" si="86"/>
        <v xml:space="preserve"> </v>
      </c>
      <c r="BV8" s="221" t="str">
        <f t="shared" si="87"/>
        <v xml:space="preserve"> </v>
      </c>
      <c r="BW8" s="221" t="str">
        <f t="shared" si="88"/>
        <v xml:space="preserve"> </v>
      </c>
      <c r="BX8" s="421" t="str">
        <f t="shared" si="89"/>
        <v xml:space="preserve"> </v>
      </c>
      <c r="BY8" s="417" t="str">
        <f t="shared" si="90"/>
        <v xml:space="preserve"> </v>
      </c>
      <c r="BZ8" s="417" t="str">
        <f t="shared" si="91"/>
        <v xml:space="preserve"> </v>
      </c>
      <c r="CA8" s="422" t="str">
        <f t="shared" si="92"/>
        <v xml:space="preserve"> </v>
      </c>
      <c r="CB8" s="347" t="str">
        <f t="shared" si="25"/>
        <v xml:space="preserve"> </v>
      </c>
      <c r="CC8" s="347" t="str">
        <f t="shared" si="93"/>
        <v xml:space="preserve"> </v>
      </c>
      <c r="CD8" s="348" t="str">
        <f t="shared" si="26"/>
        <v xml:space="preserve"> </v>
      </c>
      <c r="CE8" s="347" t="str">
        <f t="shared" si="27"/>
        <v xml:space="preserve"> </v>
      </c>
      <c r="CF8" s="347" t="str">
        <f t="shared" si="28"/>
        <v xml:space="preserve"> </v>
      </c>
      <c r="CG8" s="348" t="str">
        <f t="shared" si="29"/>
        <v xml:space="preserve"> </v>
      </c>
      <c r="CH8" s="347" t="str">
        <f t="shared" si="94"/>
        <v xml:space="preserve"> </v>
      </c>
      <c r="CI8" s="349" t="str">
        <f>IF($A8="N/A"," ",F8+G8+(D8*('Pricing Inputs'!T41)))</f>
        <v xml:space="preserve"> </v>
      </c>
      <c r="CJ8" s="347" t="str">
        <f>IF($A8="N/A"," ",IF(PV=1,0,'Pricing Inputs'!U41))</f>
        <v xml:space="preserve"> </v>
      </c>
      <c r="CK8" s="350" t="str">
        <f t="shared" si="30"/>
        <v xml:space="preserve"> </v>
      </c>
      <c r="CL8" s="365" t="str">
        <f t="shared" si="31"/>
        <v xml:space="preserve"> </v>
      </c>
      <c r="CM8" s="380" t="str">
        <f t="shared" si="95"/>
        <v xml:space="preserve"> </v>
      </c>
      <c r="CN8" s="378" t="str">
        <f t="shared" si="32"/>
        <v xml:space="preserve"> </v>
      </c>
      <c r="CO8" s="378" t="str">
        <f t="shared" si="33"/>
        <v xml:space="preserve"> </v>
      </c>
      <c r="CP8" s="378" t="str">
        <f t="shared" si="34"/>
        <v xml:space="preserve"> </v>
      </c>
      <c r="CQ8" s="378" t="str">
        <f t="shared" si="35"/>
        <v xml:space="preserve"> </v>
      </c>
      <c r="CR8" s="378" t="str">
        <f t="shared" si="36"/>
        <v xml:space="preserve"> </v>
      </c>
      <c r="CS8" s="378" t="str">
        <f t="shared" si="37"/>
        <v xml:space="preserve"> </v>
      </c>
      <c r="CT8" s="378" t="str">
        <f t="shared" si="38"/>
        <v xml:space="preserve"> </v>
      </c>
      <c r="CU8" s="378" t="str">
        <f t="shared" si="39"/>
        <v xml:space="preserve"> </v>
      </c>
      <c r="CV8" s="378" t="str">
        <f t="shared" si="40"/>
        <v xml:space="preserve"> </v>
      </c>
      <c r="CW8" s="254" t="str">
        <f t="shared" si="41"/>
        <v xml:space="preserve"> </v>
      </c>
      <c r="CX8" s="254" t="str">
        <f t="shared" si="42"/>
        <v xml:space="preserve"> </v>
      </c>
      <c r="CY8" s="254" t="str">
        <f t="shared" si="43"/>
        <v xml:space="preserve"> </v>
      </c>
      <c r="CZ8" s="254" t="str">
        <f t="shared" si="44"/>
        <v xml:space="preserve"> </v>
      </c>
      <c r="DA8" s="254" t="str">
        <f t="shared" si="45"/>
        <v xml:space="preserve"> </v>
      </c>
      <c r="DB8" s="254" t="str">
        <f t="shared" si="46"/>
        <v xml:space="preserve"> </v>
      </c>
      <c r="DC8" s="254" t="str">
        <f t="shared" si="47"/>
        <v xml:space="preserve"> </v>
      </c>
      <c r="DD8" s="254" t="str">
        <f t="shared" si="48"/>
        <v xml:space="preserve"> </v>
      </c>
      <c r="DE8" s="254" t="str">
        <f t="shared" si="49"/>
        <v xml:space="preserve"> </v>
      </c>
      <c r="DF8" s="374" t="str">
        <f>IF($A8="N/A"," ",IF(CC=2,(IF(MONTH(A8)&gt;=4,IF(MONTH(A8)&lt;=10,Inputs!$G$13,Inputs!$G$14),Inputs!$G$14))*$CK8,0))</f>
        <v xml:space="preserve"> </v>
      </c>
      <c r="DG8" s="373" t="str">
        <f t="shared" si="50"/>
        <v xml:space="preserve"> </v>
      </c>
      <c r="DH8" s="373" t="str">
        <f t="shared" si="51"/>
        <v xml:space="preserve"> </v>
      </c>
      <c r="DI8" s="373" t="str">
        <f t="shared" si="52"/>
        <v xml:space="preserve"> </v>
      </c>
      <c r="DJ8" s="373" t="str">
        <f t="shared" si="53"/>
        <v xml:space="preserve"> </v>
      </c>
      <c r="DK8" s="373" t="str">
        <f t="shared" si="54"/>
        <v xml:space="preserve"> </v>
      </c>
      <c r="DL8" s="373" t="str">
        <f t="shared" si="55"/>
        <v xml:space="preserve"> </v>
      </c>
      <c r="DM8" s="373" t="str">
        <f t="shared" si="56"/>
        <v xml:space="preserve"> </v>
      </c>
      <c r="DN8" s="373" t="str">
        <f t="shared" si="57"/>
        <v xml:space="preserve"> </v>
      </c>
      <c r="DO8" s="373" t="str">
        <f t="shared" si="58"/>
        <v xml:space="preserve"> </v>
      </c>
      <c r="DP8" s="375" t="str">
        <f t="shared" si="59"/>
        <v xml:space="preserve"> </v>
      </c>
      <c r="DQ8" t="str">
        <f t="shared" si="96"/>
        <v xml:space="preserve"> </v>
      </c>
      <c r="HD8" t="str">
        <f t="shared" si="97"/>
        <v xml:space="preserve"> </v>
      </c>
      <c r="HE8" t="str">
        <f t="shared" si="98"/>
        <v xml:space="preserve"> </v>
      </c>
      <c r="HF8" t="str">
        <f t="shared" si="99"/>
        <v xml:space="preserve"> </v>
      </c>
    </row>
    <row r="9" spans="1:214">
      <c r="A9" s="415" t="str">
        <f>IF(A8="N/A","N/A",IF(EDATE(A8,1)&gt;Inputs!$K$3,"N/A",EDATE(A8,1)))</f>
        <v>N/A</v>
      </c>
      <c r="B9" s="410" t="str">
        <f t="shared" si="60"/>
        <v xml:space="preserve"> </v>
      </c>
      <c r="C9" s="411" t="str">
        <f t="shared" si="61"/>
        <v xml:space="preserve"> </v>
      </c>
      <c r="D9" s="412" t="str">
        <f t="shared" si="62"/>
        <v xml:space="preserve"> </v>
      </c>
      <c r="E9" s="413" t="str">
        <f>IF($A9="N/A"," ",(C9-'Pricing Inputs'!T42)*D9)</f>
        <v xml:space="preserve"> </v>
      </c>
      <c r="F9" s="414" t="str">
        <f t="shared" si="63"/>
        <v xml:space="preserve"> </v>
      </c>
      <c r="G9" s="414" t="str">
        <f t="shared" si="64"/>
        <v xml:space="preserve"> </v>
      </c>
      <c r="H9" s="416" t="str">
        <f t="shared" si="65"/>
        <v xml:space="preserve"> </v>
      </c>
      <c r="I9" s="213" t="str">
        <f t="shared" si="0"/>
        <v xml:space="preserve"> </v>
      </c>
      <c r="J9" s="213" t="str">
        <f t="shared" si="1"/>
        <v xml:space="preserve"> </v>
      </c>
      <c r="K9" s="213" t="str">
        <f t="shared" si="2"/>
        <v xml:space="preserve"> </v>
      </c>
      <c r="L9" s="213" t="str">
        <f t="shared" si="3"/>
        <v xml:space="preserve"> </v>
      </c>
      <c r="M9" s="213" t="str">
        <f t="shared" si="4"/>
        <v xml:space="preserve"> </v>
      </c>
      <c r="N9" s="213" t="str">
        <f t="shared" si="5"/>
        <v xml:space="preserve"> </v>
      </c>
      <c r="O9" s="213" t="str">
        <f t="shared" si="6"/>
        <v xml:space="preserve"> </v>
      </c>
      <c r="P9" s="213" t="str">
        <f t="shared" si="7"/>
        <v xml:space="preserve"> </v>
      </c>
      <c r="Q9" s="213" t="str">
        <f t="shared" si="8"/>
        <v xml:space="preserve"> </v>
      </c>
      <c r="R9" s="405" t="str">
        <f>IF($A9="N/A"," ",IF(Pricetype=2,MAX(I9-$H9,0),IF(Pricetype=1,(_xll.xSPRDOPT(I9,$E9,$CI9,0,($CD9+IF(Smile=TRUE,VLOOKUP(MAX(-5,$H9-I9),Volsmile,2),0)),$CG9,$CH9,($A9-DateToday)+15,1,0)),I9-$H9)))</f>
        <v xml:space="preserve"> </v>
      </c>
      <c r="S9" s="405" t="str">
        <f>IF($A9="N/A"," ",IF(Pricetype=2,MAX(J9-$H9,0),IF(Pricetype=1,(_xll.xSPRDOPT(J9,$E9,$CI9,0,($CD9+IF(Smile=TRUE,VLOOKUP(MAX(-5,$H9-J9),Volsmile,2),0)),$CG9,$CH9,($A9-DateToday)+15,1,0)),J9-$H9)))</f>
        <v xml:space="preserve"> </v>
      </c>
      <c r="T9" s="406" t="str">
        <f t="shared" si="9"/>
        <v xml:space="preserve"> </v>
      </c>
      <c r="U9" s="405" t="str">
        <f>IF($A9="N/A"," ",IF(Pricetype=2,MAX(L9-$H9,0),IF(L9&lt;&gt;0,IF(Pricetype=1,(_xll.xSPRDOPT(L9,$E9,$CI9,0,($CD9+IF(Smile=TRUE,VLOOKUP(MAX(-5,$H9-L9),Volsmile,2),0)),$CG9,$CH9,($A9-DateToday)+15,1,0)),L9-$H9),0)))</f>
        <v xml:space="preserve"> </v>
      </c>
      <c r="V9" s="405" t="str">
        <f>IF($A9="N/A"," ",IF(Pricetype=2,MAX(M9-$H9,0),IF(M9&lt;&gt;0,IF(Pricetype=1,(_xll.xSPRDOPT(M9,$E9,$CI9,0,($CD9+IF(Smile=TRUE,VLOOKUP(MAX(-5,$H9-M9),Volsmile,2),0)),$CG9,$CH9,($A9-DateToday)+15,1,0)),M9-$H9),0)))</f>
        <v xml:space="preserve"> </v>
      </c>
      <c r="W9" s="406" t="str">
        <f t="shared" si="10"/>
        <v xml:space="preserve"> </v>
      </c>
      <c r="X9" s="405" t="str">
        <f>IF($A9="N/A"," ",IF(Pricetype=2,MAX(O9-$H9,0),IF(O9&lt;&gt;0,IF(Pricetype=1,(_xll.xSPRDOPT(O9,$E9,$CI9,0,($CD9+IF(Smile=TRUE,VLOOKUP(MAX(-5,$H9-O9),Volsmile,2),0)),$CG9,$CH9,($A9-DateToday)+15,1,0)),O9-$H9),0)))</f>
        <v xml:space="preserve"> </v>
      </c>
      <c r="Y9" s="405" t="str">
        <f>IF($A9="N/A"," ",IF(Pricetype=2,MAX(P9-$H9,0),IF(P9&lt;&gt;0,IF(Pricetype=1,(_xll.xSPRDOPT(P9,$E9,$CI9,0,($CD9+IF(Smile=TRUE,VLOOKUP(MAX(-5,$H9-P9),Volsmile,2),0)),$CG9,$CH9,($A9-DateToday)+15,1,0)),P9-$H9),0)))</f>
        <v xml:space="preserve"> </v>
      </c>
      <c r="Z9" s="406" t="str">
        <f t="shared" si="11"/>
        <v xml:space="preserve"> </v>
      </c>
      <c r="AA9" s="254" t="str">
        <f>IF($A9="N/A"," ",IF(VLOOKUP(MONTH(A9),ManualTable,2)=1,(IF(0&lt;&gt;R9,IF(Pricetype=1,(_xll.xSPRDOPT(I9,$E9,$CI9,0,($CD9+IF(Smile=TRUE,VLOOKUP(MAX(-5,$H9-I9),Volsmile,2),0)),$CG9,$CH9,($A9-DateToday)+15,1,1))*(8*$HD9),8*$HD9),0)),0))</f>
        <v xml:space="preserve"> </v>
      </c>
      <c r="AB9" s="254" t="str">
        <f>IF($A9="N/A"," ",IF(VLOOKUP(MONTH(A9),ManualTable,3)=1,(IF(S9&lt;&gt;0,IF(Pricetype=1,(_xll.xSPRDOPT(J9,$E9,$CI9,0,($CD9+IF(Smile=TRUE,VLOOKUP(MAX(-5,$H9-J9),Volsmile,2),0)),$CG9,$CH9,($A9-DateToday)+15,1,1))*(8*$HD9),8*$HD9),0)),0))</f>
        <v xml:space="preserve"> </v>
      </c>
      <c r="AC9" s="254" t="str">
        <f t="shared" si="66"/>
        <v xml:space="preserve"> </v>
      </c>
      <c r="AD9" s="254" t="str">
        <f>IF($A9="N/A"," ",IF(VLOOKUP(MONTH(A9),ManualTable,5)=1,(IF(U9&lt;&gt;0,IF(Pricetype=1,(_xll.xSPRDOPT(L9,$E9,$CI9,0,($CD9+IF(Smile=TRUE,VLOOKUP(MAX(-5,$H9-L9),Volsmile,2),0)),$CG9,$CH9,($A9-DateToday)+15,1,1))*(8*$HE9),8*$HE9),0)),0))</f>
        <v xml:space="preserve"> </v>
      </c>
      <c r="AE9" s="254" t="str">
        <f>IF($A9="N/A"," ",IF(VLOOKUP(MONTH(A9),ManualTable,6)=1,(IF(V9&lt;&gt;0,IF(Pricetype=1,(_xll.xSPRDOPT(M9,$E9,$CI9,0,($CD9+IF(Smile=TRUE,VLOOKUP(MAX(-5,$H9-M9),Volsmile,2),0)),$CG9,$CH9,($A9-DateToday)+15,1,1))*(8*$HE9),8*$HE9),0)),0))</f>
        <v xml:space="preserve"> </v>
      </c>
      <c r="AF9" s="254" t="str">
        <f t="shared" si="67"/>
        <v xml:space="preserve"> </v>
      </c>
      <c r="AG9" s="254" t="str">
        <f>IF($A9="N/A"," ",IF(VLOOKUP(MONTH(A9),ManualTable,8)=1,(IF(X9&lt;&gt;0,IF(Pricetype=1,(_xll.xSPRDOPT(O9,$E9,$CI9,0,($CD9+IF(Smile=TRUE,VLOOKUP(MAX(-5,$H9-O9),Volsmile,2),0)),$CG9,$CH9,($A9-DateToday)+15,1,1))*(8*$HF9),8*$HF9),0)),0))</f>
        <v xml:space="preserve"> </v>
      </c>
      <c r="AH9" s="254" t="str">
        <f>IF($A9="N/A"," ",IF(VLOOKUP(MONTH(A9),ManualTable,9)=1,(IF(Y9&lt;&gt;0,IF(Pricetype=1,(_xll.xSPRDOPT(P9,$E9,$CI9,0,($CD9+IF(Smile=TRUE,VLOOKUP(MAX(-5,$H9-P9),Volsmile,2),0)),$CG9,$CH9,($A9-DateToday)+15,1,1))*(8*$HF9),8*$HF9),0)),0))</f>
        <v xml:space="preserve"> </v>
      </c>
      <c r="AI9" s="254" t="str">
        <f t="shared" si="68"/>
        <v xml:space="preserve"> </v>
      </c>
      <c r="AJ9" s="227" t="str">
        <f t="shared" si="69"/>
        <v xml:space="preserve"> </v>
      </c>
      <c r="AK9" s="228" t="str">
        <f t="shared" si="70"/>
        <v xml:space="preserve"> </v>
      </c>
      <c r="AL9" s="228" t="str">
        <f t="shared" si="71"/>
        <v xml:space="preserve"> </v>
      </c>
      <c r="AM9" s="228" t="str">
        <f t="shared" si="72"/>
        <v xml:space="preserve"> </v>
      </c>
      <c r="AN9" s="228" t="str">
        <f t="shared" si="12"/>
        <v xml:space="preserve"> </v>
      </c>
      <c r="AO9" s="228" t="str">
        <f t="shared" si="12"/>
        <v xml:space="preserve"> </v>
      </c>
      <c r="AP9" s="228" t="str">
        <f t="shared" si="73"/>
        <v xml:space="preserve"> </v>
      </c>
      <c r="AQ9" s="228" t="str">
        <f t="shared" si="74"/>
        <v xml:space="preserve"> </v>
      </c>
      <c r="AR9" s="229" t="str">
        <f t="shared" si="75"/>
        <v xml:space="preserve"> </v>
      </c>
      <c r="AS9" s="262">
        <f t="shared" si="13"/>
        <v>0</v>
      </c>
      <c r="AT9" s="263">
        <f t="shared" si="14"/>
        <v>0</v>
      </c>
      <c r="AU9" s="263">
        <f t="shared" si="14"/>
        <v>0</v>
      </c>
      <c r="AV9" s="263">
        <f t="shared" si="15"/>
        <v>0</v>
      </c>
      <c r="AW9" s="263">
        <f t="shared" si="76"/>
        <v>0</v>
      </c>
      <c r="AX9" s="263">
        <f t="shared" si="77"/>
        <v>0</v>
      </c>
      <c r="AY9" s="263">
        <f t="shared" si="16"/>
        <v>0</v>
      </c>
      <c r="AZ9" s="263">
        <f t="shared" si="78"/>
        <v>0</v>
      </c>
      <c r="BA9" s="263">
        <f t="shared" si="17"/>
        <v>0</v>
      </c>
      <c r="BB9" s="229"/>
      <c r="BC9" s="266">
        <f t="shared" si="18"/>
        <v>0</v>
      </c>
      <c r="BD9" s="269">
        <f t="shared" si="19"/>
        <v>0</v>
      </c>
      <c r="BE9" s="269">
        <f t="shared" si="19"/>
        <v>0</v>
      </c>
      <c r="BF9" s="269">
        <f t="shared" si="20"/>
        <v>0</v>
      </c>
      <c r="BG9" s="269">
        <f t="shared" si="21"/>
        <v>0</v>
      </c>
      <c r="BH9" s="269">
        <f t="shared" si="21"/>
        <v>0</v>
      </c>
      <c r="BI9" s="269">
        <f t="shared" si="22"/>
        <v>0</v>
      </c>
      <c r="BJ9" s="269">
        <f t="shared" si="23"/>
        <v>0</v>
      </c>
      <c r="BK9" s="269">
        <f t="shared" si="24"/>
        <v>0</v>
      </c>
      <c r="BL9" s="233"/>
      <c r="BM9" s="220" t="str">
        <f>IF($A9="N/A"," ",(IF(MONTH(A9)&gt;=4,IF(MONTH(A9)&lt;=10,Inputs!$F$13-Inputs!$G$13,Inputs!$F$14-Inputs!$G$14),Inputs!$F$14-Inputs!$G$14))*$CK9*Availability)</f>
        <v xml:space="preserve"> </v>
      </c>
      <c r="BN9" s="221" t="str">
        <f t="shared" si="79"/>
        <v xml:space="preserve"> </v>
      </c>
      <c r="BO9" s="221" t="str">
        <f t="shared" si="80"/>
        <v xml:space="preserve"> </v>
      </c>
      <c r="BP9" s="221" t="str">
        <f t="shared" si="81"/>
        <v xml:space="preserve"> </v>
      </c>
      <c r="BQ9" s="221" t="str">
        <f t="shared" si="82"/>
        <v xml:space="preserve"> </v>
      </c>
      <c r="BR9" s="221" t="str">
        <f t="shared" si="83"/>
        <v xml:space="preserve"> </v>
      </c>
      <c r="BS9" s="221" t="str">
        <f t="shared" si="84"/>
        <v xml:space="preserve"> </v>
      </c>
      <c r="BT9" s="221" t="str">
        <f t="shared" si="85"/>
        <v xml:space="preserve"> </v>
      </c>
      <c r="BU9" s="221" t="str">
        <f t="shared" si="86"/>
        <v xml:space="preserve"> </v>
      </c>
      <c r="BV9" s="221" t="str">
        <f t="shared" si="87"/>
        <v xml:space="preserve"> </v>
      </c>
      <c r="BW9" s="221" t="str">
        <f t="shared" si="88"/>
        <v xml:space="preserve"> </v>
      </c>
      <c r="BX9" s="421" t="str">
        <f t="shared" si="89"/>
        <v xml:space="preserve"> </v>
      </c>
      <c r="BY9" s="417" t="str">
        <f t="shared" si="90"/>
        <v xml:space="preserve"> </v>
      </c>
      <c r="BZ9" s="417" t="str">
        <f t="shared" si="91"/>
        <v xml:space="preserve"> </v>
      </c>
      <c r="CA9" s="422" t="str">
        <f t="shared" si="92"/>
        <v xml:space="preserve"> </v>
      </c>
      <c r="CB9" s="347" t="str">
        <f t="shared" si="25"/>
        <v xml:space="preserve"> </v>
      </c>
      <c r="CC9" s="347" t="str">
        <f t="shared" si="93"/>
        <v xml:space="preserve"> </v>
      </c>
      <c r="CD9" s="348" t="str">
        <f t="shared" si="26"/>
        <v xml:space="preserve"> </v>
      </c>
      <c r="CE9" s="347" t="str">
        <f t="shared" si="27"/>
        <v xml:space="preserve"> </v>
      </c>
      <c r="CF9" s="347" t="str">
        <f t="shared" si="28"/>
        <v xml:space="preserve"> </v>
      </c>
      <c r="CG9" s="348" t="str">
        <f t="shared" si="29"/>
        <v xml:space="preserve"> </v>
      </c>
      <c r="CH9" s="347" t="str">
        <f t="shared" si="94"/>
        <v xml:space="preserve"> </v>
      </c>
      <c r="CI9" s="349" t="str">
        <f>IF($A9="N/A"," ",F9+G9+(D9*('Pricing Inputs'!T42)))</f>
        <v xml:space="preserve"> </v>
      </c>
      <c r="CJ9" s="347" t="str">
        <f>IF($A9="N/A"," ",IF(PV=1,0,'Pricing Inputs'!U42))</f>
        <v xml:space="preserve"> </v>
      </c>
      <c r="CK9" s="350" t="str">
        <f t="shared" si="30"/>
        <v xml:space="preserve"> </v>
      </c>
      <c r="CL9" s="365" t="str">
        <f t="shared" si="31"/>
        <v xml:space="preserve"> </v>
      </c>
      <c r="CM9" s="380" t="str">
        <f t="shared" si="95"/>
        <v xml:space="preserve"> </v>
      </c>
      <c r="CN9" s="378" t="str">
        <f t="shared" si="32"/>
        <v xml:space="preserve"> </v>
      </c>
      <c r="CO9" s="378" t="str">
        <f t="shared" si="33"/>
        <v xml:space="preserve"> </v>
      </c>
      <c r="CP9" s="378" t="str">
        <f t="shared" si="34"/>
        <v xml:space="preserve"> </v>
      </c>
      <c r="CQ9" s="378" t="str">
        <f t="shared" si="35"/>
        <v xml:space="preserve"> </v>
      </c>
      <c r="CR9" s="378" t="str">
        <f t="shared" si="36"/>
        <v xml:space="preserve"> </v>
      </c>
      <c r="CS9" s="378" t="str">
        <f t="shared" si="37"/>
        <v xml:space="preserve"> </v>
      </c>
      <c r="CT9" s="378" t="str">
        <f t="shared" si="38"/>
        <v xml:space="preserve"> </v>
      </c>
      <c r="CU9" s="378" t="str">
        <f t="shared" si="39"/>
        <v xml:space="preserve"> </v>
      </c>
      <c r="CV9" s="378" t="str">
        <f t="shared" si="40"/>
        <v xml:space="preserve"> </v>
      </c>
      <c r="CW9" s="254" t="str">
        <f t="shared" si="41"/>
        <v xml:space="preserve"> </v>
      </c>
      <c r="CX9" s="254" t="str">
        <f t="shared" si="42"/>
        <v xml:space="preserve"> </v>
      </c>
      <c r="CY9" s="254" t="str">
        <f t="shared" si="43"/>
        <v xml:space="preserve"> </v>
      </c>
      <c r="CZ9" s="254" t="str">
        <f t="shared" si="44"/>
        <v xml:space="preserve"> </v>
      </c>
      <c r="DA9" s="254" t="str">
        <f t="shared" si="45"/>
        <v xml:space="preserve"> </v>
      </c>
      <c r="DB9" s="254" t="str">
        <f t="shared" si="46"/>
        <v xml:space="preserve"> </v>
      </c>
      <c r="DC9" s="254" t="str">
        <f t="shared" si="47"/>
        <v xml:space="preserve"> </v>
      </c>
      <c r="DD9" s="254" t="str">
        <f t="shared" si="48"/>
        <v xml:space="preserve"> </v>
      </c>
      <c r="DE9" s="254" t="str">
        <f t="shared" si="49"/>
        <v xml:space="preserve"> </v>
      </c>
      <c r="DF9" s="374" t="str">
        <f>IF($A9="N/A"," ",IF(CC=2,(IF(MONTH(A9)&gt;=4,IF(MONTH(A9)&lt;=10,Inputs!$G$13,Inputs!$G$14),Inputs!$G$14))*$CK9,0))</f>
        <v xml:space="preserve"> </v>
      </c>
      <c r="DG9" s="373" t="str">
        <f t="shared" si="50"/>
        <v xml:space="preserve"> </v>
      </c>
      <c r="DH9" s="373" t="str">
        <f t="shared" si="51"/>
        <v xml:space="preserve"> </v>
      </c>
      <c r="DI9" s="373" t="str">
        <f t="shared" si="52"/>
        <v xml:space="preserve"> </v>
      </c>
      <c r="DJ9" s="373" t="str">
        <f t="shared" si="53"/>
        <v xml:space="preserve"> </v>
      </c>
      <c r="DK9" s="373" t="str">
        <f t="shared" si="54"/>
        <v xml:space="preserve"> </v>
      </c>
      <c r="DL9" s="373" t="str">
        <f t="shared" si="55"/>
        <v xml:space="preserve"> </v>
      </c>
      <c r="DM9" s="373" t="str">
        <f t="shared" si="56"/>
        <v xml:space="preserve"> </v>
      </c>
      <c r="DN9" s="373" t="str">
        <f t="shared" si="57"/>
        <v xml:space="preserve"> </v>
      </c>
      <c r="DO9" s="373" t="str">
        <f t="shared" si="58"/>
        <v xml:space="preserve"> </v>
      </c>
      <c r="DP9" s="375" t="str">
        <f t="shared" si="59"/>
        <v xml:space="preserve"> </v>
      </c>
      <c r="DQ9" t="str">
        <f t="shared" si="96"/>
        <v xml:space="preserve"> </v>
      </c>
      <c r="HD9" t="str">
        <f t="shared" si="97"/>
        <v xml:space="preserve"> </v>
      </c>
      <c r="HE9" t="str">
        <f t="shared" si="98"/>
        <v xml:space="preserve"> </v>
      </c>
      <c r="HF9" t="str">
        <f t="shared" si="99"/>
        <v xml:space="preserve"> </v>
      </c>
    </row>
    <row r="10" spans="1:214">
      <c r="A10" s="415" t="str">
        <f>IF(A9="N/A","N/A",IF(EDATE(A9,1)&gt;Inputs!$K$3,"N/A",EDATE(A9,1)))</f>
        <v>N/A</v>
      </c>
      <c r="B10" s="410" t="str">
        <f t="shared" si="60"/>
        <v xml:space="preserve"> </v>
      </c>
      <c r="C10" s="411" t="str">
        <f t="shared" si="61"/>
        <v xml:space="preserve"> </v>
      </c>
      <c r="D10" s="412" t="str">
        <f t="shared" si="62"/>
        <v xml:space="preserve"> </v>
      </c>
      <c r="E10" s="413" t="str">
        <f>IF($A10="N/A"," ",(C10-'Pricing Inputs'!T43)*D10)</f>
        <v xml:space="preserve"> </v>
      </c>
      <c r="F10" s="414" t="str">
        <f t="shared" si="63"/>
        <v xml:space="preserve"> </v>
      </c>
      <c r="G10" s="414" t="str">
        <f t="shared" si="64"/>
        <v xml:space="preserve"> </v>
      </c>
      <c r="H10" s="416" t="str">
        <f t="shared" si="65"/>
        <v xml:space="preserve"> </v>
      </c>
      <c r="I10" s="213" t="str">
        <f t="shared" si="0"/>
        <v xml:space="preserve"> </v>
      </c>
      <c r="J10" s="213" t="str">
        <f t="shared" si="1"/>
        <v xml:space="preserve"> </v>
      </c>
      <c r="K10" s="213" t="str">
        <f t="shared" si="2"/>
        <v xml:space="preserve"> </v>
      </c>
      <c r="L10" s="213" t="str">
        <f t="shared" si="3"/>
        <v xml:space="preserve"> </v>
      </c>
      <c r="M10" s="213" t="str">
        <f t="shared" si="4"/>
        <v xml:space="preserve"> </v>
      </c>
      <c r="N10" s="213" t="str">
        <f t="shared" si="5"/>
        <v xml:space="preserve"> </v>
      </c>
      <c r="O10" s="213" t="str">
        <f t="shared" si="6"/>
        <v xml:space="preserve"> </v>
      </c>
      <c r="P10" s="213" t="str">
        <f t="shared" si="7"/>
        <v xml:space="preserve"> </v>
      </c>
      <c r="Q10" s="213" t="str">
        <f t="shared" si="8"/>
        <v xml:space="preserve"> </v>
      </c>
      <c r="R10" s="405" t="str">
        <f>IF($A10="N/A"," ",IF(Pricetype=2,MAX(I10-$H10,0),IF(Pricetype=1,(_xll.xSPRDOPT(I10,$E10,$CI10,0,($CD10+IF(Smile=TRUE,VLOOKUP(MAX(-5,$H10-I10),Volsmile,2),0)),$CG10,$CH10,($A10-DateToday)+15,1,0)),I10-$H10)))</f>
        <v xml:space="preserve"> </v>
      </c>
      <c r="S10" s="405" t="str">
        <f>IF($A10="N/A"," ",IF(Pricetype=2,MAX(J10-$H10,0),IF(Pricetype=1,(_xll.xSPRDOPT(J10,$E10,$CI10,0,($CD10+IF(Smile=TRUE,VLOOKUP(MAX(-5,$H10-J10),Volsmile,2),0)),$CG10,$CH10,($A10-DateToday)+15,1,0)),J10-$H10)))</f>
        <v xml:space="preserve"> </v>
      </c>
      <c r="T10" s="406" t="str">
        <f t="shared" si="9"/>
        <v xml:space="preserve"> </v>
      </c>
      <c r="U10" s="405" t="str">
        <f>IF($A10="N/A"," ",IF(Pricetype=2,MAX(L10-$H10,0),IF(L10&lt;&gt;0,IF(Pricetype=1,(_xll.xSPRDOPT(L10,$E10,$CI10,0,($CD10+IF(Smile=TRUE,VLOOKUP(MAX(-5,$H10-L10),Volsmile,2),0)),$CG10,$CH10,($A10-DateToday)+15,1,0)),L10-$H10),0)))</f>
        <v xml:space="preserve"> </v>
      </c>
      <c r="V10" s="405" t="str">
        <f>IF($A10="N/A"," ",IF(Pricetype=2,MAX(M10-$H10,0),IF(M10&lt;&gt;0,IF(Pricetype=1,(_xll.xSPRDOPT(M10,$E10,$CI10,0,($CD10+IF(Smile=TRUE,VLOOKUP(MAX(-5,$H10-M10),Volsmile,2),0)),$CG10,$CH10,($A10-DateToday)+15,1,0)),M10-$H10),0)))</f>
        <v xml:space="preserve"> </v>
      </c>
      <c r="W10" s="406" t="str">
        <f t="shared" si="10"/>
        <v xml:space="preserve"> </v>
      </c>
      <c r="X10" s="405" t="str">
        <f>IF($A10="N/A"," ",IF(Pricetype=2,MAX(O10-$H10,0),IF(O10&lt;&gt;0,IF(Pricetype=1,(_xll.xSPRDOPT(O10,$E10,$CI10,0,($CD10+IF(Smile=TRUE,VLOOKUP(MAX(-5,$H10-O10),Volsmile,2),0)),$CG10,$CH10,($A10-DateToday)+15,1,0)),O10-$H10),0)))</f>
        <v xml:space="preserve"> </v>
      </c>
      <c r="Y10" s="405" t="str">
        <f>IF($A10="N/A"," ",IF(Pricetype=2,MAX(P10-$H10,0),IF(P10&lt;&gt;0,IF(Pricetype=1,(_xll.xSPRDOPT(P10,$E10,$CI10,0,($CD10+IF(Smile=TRUE,VLOOKUP(MAX(-5,$H10-P10),Volsmile,2),0)),$CG10,$CH10,($A10-DateToday)+15,1,0)),P10-$H10),0)))</f>
        <v xml:space="preserve"> </v>
      </c>
      <c r="Z10" s="406" t="str">
        <f t="shared" si="11"/>
        <v xml:space="preserve"> </v>
      </c>
      <c r="AA10" s="254" t="str">
        <f>IF($A10="N/A"," ",IF(VLOOKUP(MONTH(A10),ManualTable,2)=1,(IF(0&lt;&gt;R10,IF(Pricetype=1,(_xll.xSPRDOPT(I10,$E10,$CI10,0,($CD10+IF(Smile=TRUE,VLOOKUP(MAX(-5,$H10-I10),Volsmile,2),0)),$CG10,$CH10,($A10-DateToday)+15,1,1))*(8*$HD10),8*$HD10),0)),0))</f>
        <v xml:space="preserve"> </v>
      </c>
      <c r="AB10" s="254" t="str">
        <f>IF($A10="N/A"," ",IF(VLOOKUP(MONTH(A10),ManualTable,3)=1,(IF(S10&lt;&gt;0,IF(Pricetype=1,(_xll.xSPRDOPT(J10,$E10,$CI10,0,($CD10+IF(Smile=TRUE,VLOOKUP(MAX(-5,$H10-J10),Volsmile,2),0)),$CG10,$CH10,($A10-DateToday)+15,1,1))*(8*$HD10),8*$HD10),0)),0))</f>
        <v xml:space="preserve"> </v>
      </c>
      <c r="AC10" s="254" t="str">
        <f t="shared" si="66"/>
        <v xml:space="preserve"> </v>
      </c>
      <c r="AD10" s="254" t="str">
        <f>IF($A10="N/A"," ",IF(VLOOKUP(MONTH(A10),ManualTable,5)=1,(IF(U10&lt;&gt;0,IF(Pricetype=1,(_xll.xSPRDOPT(L10,$E10,$CI10,0,($CD10+IF(Smile=TRUE,VLOOKUP(MAX(-5,$H10-L10),Volsmile,2),0)),$CG10,$CH10,($A10-DateToday)+15,1,1))*(8*$HE10),8*$HE10),0)),0))</f>
        <v xml:space="preserve"> </v>
      </c>
      <c r="AE10" s="254" t="str">
        <f>IF($A10="N/A"," ",IF(VLOOKUP(MONTH(A10),ManualTable,6)=1,(IF(V10&lt;&gt;0,IF(Pricetype=1,(_xll.xSPRDOPT(M10,$E10,$CI10,0,($CD10+IF(Smile=TRUE,VLOOKUP(MAX(-5,$H10-M10),Volsmile,2),0)),$CG10,$CH10,($A10-DateToday)+15,1,1))*(8*$HE10),8*$HE10),0)),0))</f>
        <v xml:space="preserve"> </v>
      </c>
      <c r="AF10" s="254" t="str">
        <f t="shared" si="67"/>
        <v xml:space="preserve"> </v>
      </c>
      <c r="AG10" s="254" t="str">
        <f>IF($A10="N/A"," ",IF(VLOOKUP(MONTH(A10),ManualTable,8)=1,(IF(X10&lt;&gt;0,IF(Pricetype=1,(_xll.xSPRDOPT(O10,$E10,$CI10,0,($CD10+IF(Smile=TRUE,VLOOKUP(MAX(-5,$H10-O10),Volsmile,2),0)),$CG10,$CH10,($A10-DateToday)+15,1,1))*(8*$HF10),8*$HF10),0)),0))</f>
        <v xml:space="preserve"> </v>
      </c>
      <c r="AH10" s="254" t="str">
        <f>IF($A10="N/A"," ",IF(VLOOKUP(MONTH(A10),ManualTable,9)=1,(IF(Y10&lt;&gt;0,IF(Pricetype=1,(_xll.xSPRDOPT(P10,$E10,$CI10,0,($CD10+IF(Smile=TRUE,VLOOKUP(MAX(-5,$H10-P10),Volsmile,2),0)),$CG10,$CH10,($A10-DateToday)+15,1,1))*(8*$HF10),8*$HF10),0)),0))</f>
        <v xml:space="preserve"> </v>
      </c>
      <c r="AI10" s="254" t="str">
        <f t="shared" si="68"/>
        <v xml:space="preserve"> </v>
      </c>
      <c r="AJ10" s="227" t="str">
        <f t="shared" si="69"/>
        <v xml:space="preserve"> </v>
      </c>
      <c r="AK10" s="228" t="str">
        <f t="shared" si="70"/>
        <v xml:space="preserve"> </v>
      </c>
      <c r="AL10" s="228" t="str">
        <f t="shared" si="71"/>
        <v xml:space="preserve"> </v>
      </c>
      <c r="AM10" s="228" t="str">
        <f t="shared" si="72"/>
        <v xml:space="preserve"> </v>
      </c>
      <c r="AN10" s="228" t="str">
        <f t="shared" si="12"/>
        <v xml:space="preserve"> </v>
      </c>
      <c r="AO10" s="228" t="str">
        <f t="shared" si="12"/>
        <v xml:space="preserve"> </v>
      </c>
      <c r="AP10" s="228" t="str">
        <f t="shared" si="73"/>
        <v xml:space="preserve"> </v>
      </c>
      <c r="AQ10" s="228" t="str">
        <f t="shared" si="74"/>
        <v xml:space="preserve"> </v>
      </c>
      <c r="AR10" s="229" t="str">
        <f t="shared" si="75"/>
        <v xml:space="preserve"> </v>
      </c>
      <c r="AS10" s="262">
        <f t="shared" si="13"/>
        <v>0</v>
      </c>
      <c r="AT10" s="263">
        <f t="shared" si="14"/>
        <v>0</v>
      </c>
      <c r="AU10" s="263">
        <f t="shared" si="14"/>
        <v>0</v>
      </c>
      <c r="AV10" s="263">
        <f t="shared" si="15"/>
        <v>0</v>
      </c>
      <c r="AW10" s="263">
        <f t="shared" si="76"/>
        <v>0</v>
      </c>
      <c r="AX10" s="263">
        <f t="shared" si="77"/>
        <v>0</v>
      </c>
      <c r="AY10" s="263">
        <f t="shared" si="16"/>
        <v>0</v>
      </c>
      <c r="AZ10" s="263">
        <f t="shared" si="78"/>
        <v>0</v>
      </c>
      <c r="BA10" s="263">
        <f t="shared" si="17"/>
        <v>0</v>
      </c>
      <c r="BB10" s="229"/>
      <c r="BC10" s="266">
        <f t="shared" si="18"/>
        <v>0</v>
      </c>
      <c r="BD10" s="269">
        <f t="shared" si="19"/>
        <v>0</v>
      </c>
      <c r="BE10" s="269">
        <f t="shared" si="19"/>
        <v>0</v>
      </c>
      <c r="BF10" s="269">
        <f t="shared" si="20"/>
        <v>0</v>
      </c>
      <c r="BG10" s="269">
        <f t="shared" si="21"/>
        <v>0</v>
      </c>
      <c r="BH10" s="269">
        <f t="shared" si="21"/>
        <v>0</v>
      </c>
      <c r="BI10" s="269">
        <f t="shared" si="22"/>
        <v>0</v>
      </c>
      <c r="BJ10" s="269">
        <f t="shared" si="23"/>
        <v>0</v>
      </c>
      <c r="BK10" s="269">
        <f t="shared" si="24"/>
        <v>0</v>
      </c>
      <c r="BL10" s="233"/>
      <c r="BM10" s="220" t="str">
        <f>IF($A10="N/A"," ",(IF(MONTH(A10)&gt;=4,IF(MONTH(A10)&lt;=10,Inputs!$F$13-Inputs!$G$13,Inputs!$F$14-Inputs!$G$14),Inputs!$F$14-Inputs!$G$14))*$CK10*Availability)</f>
        <v xml:space="preserve"> </v>
      </c>
      <c r="BN10" s="221" t="str">
        <f t="shared" si="79"/>
        <v xml:space="preserve"> </v>
      </c>
      <c r="BO10" s="221" t="str">
        <f t="shared" si="80"/>
        <v xml:space="preserve"> </v>
      </c>
      <c r="BP10" s="221" t="str">
        <f t="shared" si="81"/>
        <v xml:space="preserve"> </v>
      </c>
      <c r="BQ10" s="221" t="str">
        <f t="shared" si="82"/>
        <v xml:space="preserve"> </v>
      </c>
      <c r="BR10" s="221" t="str">
        <f t="shared" si="83"/>
        <v xml:space="preserve"> </v>
      </c>
      <c r="BS10" s="221" t="str">
        <f t="shared" si="84"/>
        <v xml:space="preserve"> </v>
      </c>
      <c r="BT10" s="221" t="str">
        <f t="shared" si="85"/>
        <v xml:space="preserve"> </v>
      </c>
      <c r="BU10" s="221" t="str">
        <f t="shared" si="86"/>
        <v xml:space="preserve"> </v>
      </c>
      <c r="BV10" s="221" t="str">
        <f t="shared" si="87"/>
        <v xml:space="preserve"> </v>
      </c>
      <c r="BW10" s="221" t="str">
        <f t="shared" si="88"/>
        <v xml:space="preserve"> </v>
      </c>
      <c r="BX10" s="421" t="str">
        <f t="shared" si="89"/>
        <v xml:space="preserve"> </v>
      </c>
      <c r="BY10" s="417" t="str">
        <f t="shared" si="90"/>
        <v xml:space="preserve"> </v>
      </c>
      <c r="BZ10" s="417" t="str">
        <f t="shared" si="91"/>
        <v xml:space="preserve"> </v>
      </c>
      <c r="CA10" s="422" t="str">
        <f t="shared" si="92"/>
        <v xml:space="preserve"> </v>
      </c>
      <c r="CB10" s="347" t="str">
        <f t="shared" si="25"/>
        <v xml:space="preserve"> </v>
      </c>
      <c r="CC10" s="347" t="str">
        <f t="shared" si="93"/>
        <v xml:space="preserve"> </v>
      </c>
      <c r="CD10" s="348" t="str">
        <f t="shared" si="26"/>
        <v xml:space="preserve"> </v>
      </c>
      <c r="CE10" s="347" t="str">
        <f t="shared" si="27"/>
        <v xml:space="preserve"> </v>
      </c>
      <c r="CF10" s="347" t="str">
        <f t="shared" si="28"/>
        <v xml:space="preserve"> </v>
      </c>
      <c r="CG10" s="348" t="str">
        <f t="shared" si="29"/>
        <v xml:space="preserve"> </v>
      </c>
      <c r="CH10" s="347" t="str">
        <f t="shared" si="94"/>
        <v xml:space="preserve"> </v>
      </c>
      <c r="CI10" s="349" t="str">
        <f>IF($A10="N/A"," ",F10+G10+(D10*('Pricing Inputs'!T43)))</f>
        <v xml:space="preserve"> </v>
      </c>
      <c r="CJ10" s="347" t="str">
        <f>IF($A10="N/A"," ",IF(PV=1,0,'Pricing Inputs'!U43))</f>
        <v xml:space="preserve"> </v>
      </c>
      <c r="CK10" s="350" t="str">
        <f t="shared" si="30"/>
        <v xml:space="preserve"> </v>
      </c>
      <c r="CL10" s="365" t="str">
        <f t="shared" si="31"/>
        <v xml:space="preserve"> </v>
      </c>
      <c r="CM10" s="380" t="str">
        <f t="shared" si="95"/>
        <v xml:space="preserve"> </v>
      </c>
      <c r="CN10" s="378" t="str">
        <f t="shared" si="32"/>
        <v xml:space="preserve"> </v>
      </c>
      <c r="CO10" s="378" t="str">
        <f t="shared" si="33"/>
        <v xml:space="preserve"> </v>
      </c>
      <c r="CP10" s="378" t="str">
        <f t="shared" si="34"/>
        <v xml:space="preserve"> </v>
      </c>
      <c r="CQ10" s="378" t="str">
        <f t="shared" si="35"/>
        <v xml:space="preserve"> </v>
      </c>
      <c r="CR10" s="378" t="str">
        <f t="shared" si="36"/>
        <v xml:space="preserve"> </v>
      </c>
      <c r="CS10" s="378" t="str">
        <f t="shared" si="37"/>
        <v xml:space="preserve"> </v>
      </c>
      <c r="CT10" s="378" t="str">
        <f t="shared" si="38"/>
        <v xml:space="preserve"> </v>
      </c>
      <c r="CU10" s="378" t="str">
        <f t="shared" si="39"/>
        <v xml:space="preserve"> </v>
      </c>
      <c r="CV10" s="378" t="str">
        <f t="shared" si="40"/>
        <v xml:space="preserve"> </v>
      </c>
      <c r="CW10" s="254" t="str">
        <f t="shared" si="41"/>
        <v xml:space="preserve"> </v>
      </c>
      <c r="CX10" s="254" t="str">
        <f t="shared" si="42"/>
        <v xml:space="preserve"> </v>
      </c>
      <c r="CY10" s="254" t="str">
        <f t="shared" si="43"/>
        <v xml:space="preserve"> </v>
      </c>
      <c r="CZ10" s="254" t="str">
        <f t="shared" si="44"/>
        <v xml:space="preserve"> </v>
      </c>
      <c r="DA10" s="254" t="str">
        <f t="shared" si="45"/>
        <v xml:space="preserve"> </v>
      </c>
      <c r="DB10" s="254" t="str">
        <f t="shared" si="46"/>
        <v xml:space="preserve"> </v>
      </c>
      <c r="DC10" s="254" t="str">
        <f t="shared" si="47"/>
        <v xml:space="preserve"> </v>
      </c>
      <c r="DD10" s="254" t="str">
        <f t="shared" si="48"/>
        <v xml:space="preserve"> </v>
      </c>
      <c r="DE10" s="254" t="str">
        <f t="shared" si="49"/>
        <v xml:space="preserve"> </v>
      </c>
      <c r="DF10" s="374" t="str">
        <f>IF($A10="N/A"," ",IF(CC=2,(IF(MONTH(A10)&gt;=4,IF(MONTH(A10)&lt;=10,Inputs!$G$13,Inputs!$G$14),Inputs!$G$14))*$CK10,0))</f>
        <v xml:space="preserve"> </v>
      </c>
      <c r="DG10" s="373" t="str">
        <f t="shared" si="50"/>
        <v xml:space="preserve"> </v>
      </c>
      <c r="DH10" s="373" t="str">
        <f t="shared" si="51"/>
        <v xml:space="preserve"> </v>
      </c>
      <c r="DI10" s="373" t="str">
        <f t="shared" si="52"/>
        <v xml:space="preserve"> </v>
      </c>
      <c r="DJ10" s="373" t="str">
        <f t="shared" si="53"/>
        <v xml:space="preserve"> </v>
      </c>
      <c r="DK10" s="373" t="str">
        <f t="shared" si="54"/>
        <v xml:space="preserve"> </v>
      </c>
      <c r="DL10" s="373" t="str">
        <f t="shared" si="55"/>
        <v xml:space="preserve"> </v>
      </c>
      <c r="DM10" s="373" t="str">
        <f t="shared" si="56"/>
        <v xml:space="preserve"> </v>
      </c>
      <c r="DN10" s="373" t="str">
        <f t="shared" si="57"/>
        <v xml:space="preserve"> </v>
      </c>
      <c r="DO10" s="373" t="str">
        <f t="shared" si="58"/>
        <v xml:space="preserve"> </v>
      </c>
      <c r="DP10" s="375" t="str">
        <f t="shared" si="59"/>
        <v xml:space="preserve"> </v>
      </c>
      <c r="DQ10" t="str">
        <f t="shared" si="96"/>
        <v xml:space="preserve"> </v>
      </c>
      <c r="HD10" t="str">
        <f t="shared" si="97"/>
        <v xml:space="preserve"> </v>
      </c>
      <c r="HE10" t="str">
        <f t="shared" si="98"/>
        <v xml:space="preserve"> </v>
      </c>
      <c r="HF10" t="str">
        <f t="shared" si="99"/>
        <v xml:space="preserve"> </v>
      </c>
    </row>
    <row r="11" spans="1:214">
      <c r="A11" s="415" t="str">
        <f>IF(A10="N/A","N/A",IF(EDATE(A10,1)&gt;Inputs!$K$3,"N/A",EDATE(A10,1)))</f>
        <v>N/A</v>
      </c>
      <c r="B11" s="410" t="str">
        <f t="shared" si="60"/>
        <v xml:space="preserve"> </v>
      </c>
      <c r="C11" s="411" t="str">
        <f t="shared" si="61"/>
        <v xml:space="preserve"> </v>
      </c>
      <c r="D11" s="412" t="str">
        <f t="shared" si="62"/>
        <v xml:space="preserve"> </v>
      </c>
      <c r="E11" s="413" t="str">
        <f>IF($A11="N/A"," ",(C11-'Pricing Inputs'!T44)*D11)</f>
        <v xml:space="preserve"> </v>
      </c>
      <c r="F11" s="414" t="str">
        <f t="shared" si="63"/>
        <v xml:space="preserve"> </v>
      </c>
      <c r="G11" s="414" t="str">
        <f t="shared" si="64"/>
        <v xml:space="preserve"> </v>
      </c>
      <c r="H11" s="416" t="str">
        <f t="shared" si="65"/>
        <v xml:space="preserve"> </v>
      </c>
      <c r="I11" s="213" t="str">
        <f t="shared" si="0"/>
        <v xml:space="preserve"> </v>
      </c>
      <c r="J11" s="213" t="str">
        <f t="shared" si="1"/>
        <v xml:space="preserve"> </v>
      </c>
      <c r="K11" s="213" t="str">
        <f t="shared" si="2"/>
        <v xml:space="preserve"> </v>
      </c>
      <c r="L11" s="213" t="str">
        <f t="shared" si="3"/>
        <v xml:space="preserve"> </v>
      </c>
      <c r="M11" s="213" t="str">
        <f t="shared" si="4"/>
        <v xml:space="preserve"> </v>
      </c>
      <c r="N11" s="213" t="str">
        <f t="shared" si="5"/>
        <v xml:space="preserve"> </v>
      </c>
      <c r="O11" s="213" t="str">
        <f t="shared" si="6"/>
        <v xml:space="preserve"> </v>
      </c>
      <c r="P11" s="213" t="str">
        <f t="shared" si="7"/>
        <v xml:space="preserve"> </v>
      </c>
      <c r="Q11" s="213" t="str">
        <f t="shared" si="8"/>
        <v xml:space="preserve"> </v>
      </c>
      <c r="R11" s="405" t="str">
        <f>IF($A11="N/A"," ",IF(Pricetype=2,MAX(I11-$H11,0),IF(Pricetype=1,(_xll.xSPRDOPT(I11,$E11,$CI11,0,($CD11+IF(Smile=TRUE,VLOOKUP(MAX(-5,$H11-I11),Volsmile,2),0)),$CG11,$CH11,($A11-DateToday)+15,1,0)),I11-$H11)))</f>
        <v xml:space="preserve"> </v>
      </c>
      <c r="S11" s="405" t="str">
        <f>IF($A11="N/A"," ",IF(Pricetype=2,MAX(J11-$H11,0),IF(Pricetype=1,(_xll.xSPRDOPT(J11,$E11,$CI11,0,($CD11+IF(Smile=TRUE,VLOOKUP(MAX(-5,$H11-J11),Volsmile,2),0)),$CG11,$CH11,($A11-DateToday)+15,1,0)),J11-$H11)))</f>
        <v xml:space="preserve"> </v>
      </c>
      <c r="T11" s="406" t="str">
        <f t="shared" si="9"/>
        <v xml:space="preserve"> </v>
      </c>
      <c r="U11" s="405" t="str">
        <f>IF($A11="N/A"," ",IF(Pricetype=2,MAX(L11-$H11,0),IF(L11&lt;&gt;0,IF(Pricetype=1,(_xll.xSPRDOPT(L11,$E11,$CI11,0,($CD11+IF(Smile=TRUE,VLOOKUP(MAX(-5,$H11-L11),Volsmile,2),0)),$CG11,$CH11,($A11-DateToday)+15,1,0)),L11-$H11),0)))</f>
        <v xml:space="preserve"> </v>
      </c>
      <c r="V11" s="405" t="str">
        <f>IF($A11="N/A"," ",IF(Pricetype=2,MAX(M11-$H11,0),IF(M11&lt;&gt;0,IF(Pricetype=1,(_xll.xSPRDOPT(M11,$E11,$CI11,0,($CD11+IF(Smile=TRUE,VLOOKUP(MAX(-5,$H11-M11),Volsmile,2),0)),$CG11,$CH11,($A11-DateToday)+15,1,0)),M11-$H11),0)))</f>
        <v xml:space="preserve"> </v>
      </c>
      <c r="W11" s="406" t="str">
        <f t="shared" si="10"/>
        <v xml:space="preserve"> </v>
      </c>
      <c r="X11" s="405" t="str">
        <f>IF($A11="N/A"," ",IF(Pricetype=2,MAX(O11-$H11,0),IF(O11&lt;&gt;0,IF(Pricetype=1,(_xll.xSPRDOPT(O11,$E11,$CI11,0,($CD11+IF(Smile=TRUE,VLOOKUP(MAX(-5,$H11-O11),Volsmile,2),0)),$CG11,$CH11,($A11-DateToday)+15,1,0)),O11-$H11),0)))</f>
        <v xml:space="preserve"> </v>
      </c>
      <c r="Y11" s="405" t="str">
        <f>IF($A11="N/A"," ",IF(Pricetype=2,MAX(P11-$H11,0),IF(P11&lt;&gt;0,IF(Pricetype=1,(_xll.xSPRDOPT(P11,$E11,$CI11,0,($CD11+IF(Smile=TRUE,VLOOKUP(MAX(-5,$H11-P11),Volsmile,2),0)),$CG11,$CH11,($A11-DateToday)+15,1,0)),P11-$H11),0)))</f>
        <v xml:space="preserve"> </v>
      </c>
      <c r="Z11" s="406" t="str">
        <f t="shared" si="11"/>
        <v xml:space="preserve"> </v>
      </c>
      <c r="AA11" s="254" t="str">
        <f>IF($A11="N/A"," ",IF(VLOOKUP(MONTH(A11),ManualTable,2)=1,(IF(0&lt;&gt;R11,IF(Pricetype=1,(_xll.xSPRDOPT(I11,$E11,$CI11,0,($CD11+IF(Smile=TRUE,VLOOKUP(MAX(-5,$H11-I11),Volsmile,2),0)),$CG11,$CH11,($A11-DateToday)+15,1,1))*(8*$HD11),8*$HD11),0)),0))</f>
        <v xml:space="preserve"> </v>
      </c>
      <c r="AB11" s="254" t="str">
        <f>IF($A11="N/A"," ",IF(VLOOKUP(MONTH(A11),ManualTable,3)=1,(IF(S11&lt;&gt;0,IF(Pricetype=1,(_xll.xSPRDOPT(J11,$E11,$CI11,0,($CD11+IF(Smile=TRUE,VLOOKUP(MAX(-5,$H11-J11),Volsmile,2),0)),$CG11,$CH11,($A11-DateToday)+15,1,1))*(8*$HD11),8*$HD11),0)),0))</f>
        <v xml:space="preserve"> </v>
      </c>
      <c r="AC11" s="254" t="str">
        <f t="shared" si="66"/>
        <v xml:space="preserve"> </v>
      </c>
      <c r="AD11" s="254" t="str">
        <f>IF($A11="N/A"," ",IF(VLOOKUP(MONTH(A11),ManualTable,5)=1,(IF(U11&lt;&gt;0,IF(Pricetype=1,(_xll.xSPRDOPT(L11,$E11,$CI11,0,($CD11+IF(Smile=TRUE,VLOOKUP(MAX(-5,$H11-L11),Volsmile,2),0)),$CG11,$CH11,($A11-DateToday)+15,1,1))*(8*$HE11),8*$HE11),0)),0))</f>
        <v xml:space="preserve"> </v>
      </c>
      <c r="AE11" s="254" t="str">
        <f>IF($A11="N/A"," ",IF(VLOOKUP(MONTH(A11),ManualTable,6)=1,(IF(V11&lt;&gt;0,IF(Pricetype=1,(_xll.xSPRDOPT(M11,$E11,$CI11,0,($CD11+IF(Smile=TRUE,VLOOKUP(MAX(-5,$H11-M11),Volsmile,2),0)),$CG11,$CH11,($A11-DateToday)+15,1,1))*(8*$HE11),8*$HE11),0)),0))</f>
        <v xml:space="preserve"> </v>
      </c>
      <c r="AF11" s="254" t="str">
        <f t="shared" si="67"/>
        <v xml:space="preserve"> </v>
      </c>
      <c r="AG11" s="254" t="str">
        <f>IF($A11="N/A"," ",IF(VLOOKUP(MONTH(A11),ManualTable,8)=1,(IF(X11&lt;&gt;0,IF(Pricetype=1,(_xll.xSPRDOPT(O11,$E11,$CI11,0,($CD11+IF(Smile=TRUE,VLOOKUP(MAX(-5,$H11-O11),Volsmile,2),0)),$CG11,$CH11,($A11-DateToday)+15,1,1))*(8*$HF11),8*$HF11),0)),0))</f>
        <v xml:space="preserve"> </v>
      </c>
      <c r="AH11" s="254" t="str">
        <f>IF($A11="N/A"," ",IF(VLOOKUP(MONTH(A11),ManualTable,9)=1,(IF(Y11&lt;&gt;0,IF(Pricetype=1,(_xll.xSPRDOPT(P11,$E11,$CI11,0,($CD11+IF(Smile=TRUE,VLOOKUP(MAX(-5,$H11-P11),Volsmile,2),0)),$CG11,$CH11,($A11-DateToday)+15,1,1))*(8*$HF11),8*$HF11),0)),0))</f>
        <v xml:space="preserve"> </v>
      </c>
      <c r="AI11" s="254" t="str">
        <f t="shared" si="68"/>
        <v xml:space="preserve"> </v>
      </c>
      <c r="AJ11" s="227" t="str">
        <f t="shared" si="69"/>
        <v xml:space="preserve"> </v>
      </c>
      <c r="AK11" s="228" t="str">
        <f t="shared" si="70"/>
        <v xml:space="preserve"> </v>
      </c>
      <c r="AL11" s="228" t="str">
        <f t="shared" si="71"/>
        <v xml:space="preserve"> </v>
      </c>
      <c r="AM11" s="228" t="str">
        <f t="shared" si="72"/>
        <v xml:space="preserve"> </v>
      </c>
      <c r="AN11" s="228" t="str">
        <f t="shared" si="12"/>
        <v xml:space="preserve"> </v>
      </c>
      <c r="AO11" s="228" t="str">
        <f t="shared" si="12"/>
        <v xml:space="preserve"> </v>
      </c>
      <c r="AP11" s="228" t="str">
        <f t="shared" si="73"/>
        <v xml:space="preserve"> </v>
      </c>
      <c r="AQ11" s="228" t="str">
        <f t="shared" si="74"/>
        <v xml:space="preserve"> </v>
      </c>
      <c r="AR11" s="229" t="str">
        <f t="shared" si="75"/>
        <v xml:space="preserve"> </v>
      </c>
      <c r="AS11" s="262">
        <f t="shared" si="13"/>
        <v>0</v>
      </c>
      <c r="AT11" s="263">
        <f t="shared" si="14"/>
        <v>0</v>
      </c>
      <c r="AU11" s="263">
        <f t="shared" si="14"/>
        <v>0</v>
      </c>
      <c r="AV11" s="263">
        <f t="shared" si="15"/>
        <v>0</v>
      </c>
      <c r="AW11" s="263">
        <f t="shared" si="76"/>
        <v>0</v>
      </c>
      <c r="AX11" s="263">
        <f t="shared" si="77"/>
        <v>0</v>
      </c>
      <c r="AY11" s="263">
        <f t="shared" si="16"/>
        <v>0</v>
      </c>
      <c r="AZ11" s="263">
        <f t="shared" si="78"/>
        <v>0</v>
      </c>
      <c r="BA11" s="263">
        <f t="shared" si="17"/>
        <v>0</v>
      </c>
      <c r="BB11" s="229"/>
      <c r="BC11" s="266">
        <f t="shared" si="18"/>
        <v>0</v>
      </c>
      <c r="BD11" s="269">
        <f t="shared" si="19"/>
        <v>0</v>
      </c>
      <c r="BE11" s="269">
        <f t="shared" si="19"/>
        <v>0</v>
      </c>
      <c r="BF11" s="269">
        <f t="shared" si="20"/>
        <v>0</v>
      </c>
      <c r="BG11" s="269">
        <f t="shared" si="21"/>
        <v>0</v>
      </c>
      <c r="BH11" s="269">
        <f t="shared" si="21"/>
        <v>0</v>
      </c>
      <c r="BI11" s="269">
        <f t="shared" si="22"/>
        <v>0</v>
      </c>
      <c r="BJ11" s="269">
        <f t="shared" si="23"/>
        <v>0</v>
      </c>
      <c r="BK11" s="269">
        <f t="shared" si="24"/>
        <v>0</v>
      </c>
      <c r="BL11" s="233"/>
      <c r="BM11" s="220" t="str">
        <f>IF($A11="N/A"," ",(IF(MONTH(A11)&gt;=4,IF(MONTH(A11)&lt;=10,Inputs!$F$13-Inputs!$G$13,Inputs!$F$14-Inputs!$G$14),Inputs!$F$14-Inputs!$G$14))*$CK11*Availability)</f>
        <v xml:space="preserve"> </v>
      </c>
      <c r="BN11" s="221" t="str">
        <f t="shared" si="79"/>
        <v xml:space="preserve"> </v>
      </c>
      <c r="BO11" s="221" t="str">
        <f t="shared" si="80"/>
        <v xml:space="preserve"> </v>
      </c>
      <c r="BP11" s="221" t="str">
        <f t="shared" si="81"/>
        <v xml:space="preserve"> </v>
      </c>
      <c r="BQ11" s="221" t="str">
        <f t="shared" si="82"/>
        <v xml:space="preserve"> </v>
      </c>
      <c r="BR11" s="221" t="str">
        <f t="shared" si="83"/>
        <v xml:space="preserve"> </v>
      </c>
      <c r="BS11" s="221" t="str">
        <f t="shared" si="84"/>
        <v xml:space="preserve"> </v>
      </c>
      <c r="BT11" s="221" t="str">
        <f t="shared" si="85"/>
        <v xml:space="preserve"> </v>
      </c>
      <c r="BU11" s="221" t="str">
        <f t="shared" si="86"/>
        <v xml:space="preserve"> </v>
      </c>
      <c r="BV11" s="221" t="str">
        <f t="shared" si="87"/>
        <v xml:space="preserve"> </v>
      </c>
      <c r="BW11" s="221" t="str">
        <f t="shared" si="88"/>
        <v xml:space="preserve"> </v>
      </c>
      <c r="BX11" s="421" t="str">
        <f t="shared" si="89"/>
        <v xml:space="preserve"> </v>
      </c>
      <c r="BY11" s="417" t="str">
        <f t="shared" si="90"/>
        <v xml:space="preserve"> </v>
      </c>
      <c r="BZ11" s="417" t="str">
        <f t="shared" si="91"/>
        <v xml:space="preserve"> </v>
      </c>
      <c r="CA11" s="422" t="str">
        <f t="shared" si="92"/>
        <v xml:space="preserve"> </v>
      </c>
      <c r="CB11" s="347" t="str">
        <f t="shared" si="25"/>
        <v xml:space="preserve"> </v>
      </c>
      <c r="CC11" s="347" t="str">
        <f t="shared" si="93"/>
        <v xml:space="preserve"> </v>
      </c>
      <c r="CD11" s="348" t="str">
        <f t="shared" si="26"/>
        <v xml:space="preserve"> </v>
      </c>
      <c r="CE11" s="347" t="str">
        <f t="shared" si="27"/>
        <v xml:space="preserve"> </v>
      </c>
      <c r="CF11" s="347" t="str">
        <f t="shared" si="28"/>
        <v xml:space="preserve"> </v>
      </c>
      <c r="CG11" s="348" t="str">
        <f t="shared" si="29"/>
        <v xml:space="preserve"> </v>
      </c>
      <c r="CH11" s="347" t="str">
        <f t="shared" si="94"/>
        <v xml:space="preserve"> </v>
      </c>
      <c r="CI11" s="349" t="str">
        <f>IF($A11="N/A"," ",F11+G11+(D11*('Pricing Inputs'!T44)))</f>
        <v xml:space="preserve"> </v>
      </c>
      <c r="CJ11" s="347" t="str">
        <f>IF($A11="N/A"," ",IF(PV=1,0,'Pricing Inputs'!U44))</f>
        <v xml:space="preserve"> </v>
      </c>
      <c r="CK11" s="350" t="str">
        <f t="shared" si="30"/>
        <v xml:space="preserve"> </v>
      </c>
      <c r="CL11" s="365" t="str">
        <f t="shared" si="31"/>
        <v xml:space="preserve"> </v>
      </c>
      <c r="CM11" s="380" t="str">
        <f t="shared" si="95"/>
        <v xml:space="preserve"> </v>
      </c>
      <c r="CN11" s="378" t="str">
        <f t="shared" si="32"/>
        <v xml:space="preserve"> </v>
      </c>
      <c r="CO11" s="378" t="str">
        <f t="shared" si="33"/>
        <v xml:space="preserve"> </v>
      </c>
      <c r="CP11" s="378" t="str">
        <f t="shared" si="34"/>
        <v xml:space="preserve"> </v>
      </c>
      <c r="CQ11" s="378" t="str">
        <f t="shared" si="35"/>
        <v xml:space="preserve"> </v>
      </c>
      <c r="CR11" s="378" t="str">
        <f t="shared" si="36"/>
        <v xml:space="preserve"> </v>
      </c>
      <c r="CS11" s="378" t="str">
        <f t="shared" si="37"/>
        <v xml:space="preserve"> </v>
      </c>
      <c r="CT11" s="378" t="str">
        <f t="shared" si="38"/>
        <v xml:space="preserve"> </v>
      </c>
      <c r="CU11" s="378" t="str">
        <f t="shared" si="39"/>
        <v xml:space="preserve"> </v>
      </c>
      <c r="CV11" s="378" t="str">
        <f t="shared" si="40"/>
        <v xml:space="preserve"> </v>
      </c>
      <c r="CW11" s="254" t="str">
        <f t="shared" si="41"/>
        <v xml:space="preserve"> </v>
      </c>
      <c r="CX11" s="254" t="str">
        <f t="shared" si="42"/>
        <v xml:space="preserve"> </v>
      </c>
      <c r="CY11" s="254" t="str">
        <f t="shared" si="43"/>
        <v xml:space="preserve"> </v>
      </c>
      <c r="CZ11" s="254" t="str">
        <f t="shared" si="44"/>
        <v xml:space="preserve"> </v>
      </c>
      <c r="DA11" s="254" t="str">
        <f t="shared" si="45"/>
        <v xml:space="preserve"> </v>
      </c>
      <c r="DB11" s="254" t="str">
        <f t="shared" si="46"/>
        <v xml:space="preserve"> </v>
      </c>
      <c r="DC11" s="254" t="str">
        <f t="shared" si="47"/>
        <v xml:space="preserve"> </v>
      </c>
      <c r="DD11" s="254" t="str">
        <f t="shared" si="48"/>
        <v xml:space="preserve"> </v>
      </c>
      <c r="DE11" s="254" t="str">
        <f t="shared" si="49"/>
        <v xml:space="preserve"> </v>
      </c>
      <c r="DF11" s="374" t="str">
        <f>IF($A11="N/A"," ",IF(CC=2,(IF(MONTH(A11)&gt;=4,IF(MONTH(A11)&lt;=10,Inputs!$G$13,Inputs!$G$14),Inputs!$G$14))*$CK11,0))</f>
        <v xml:space="preserve"> </v>
      </c>
      <c r="DG11" s="373" t="str">
        <f t="shared" si="50"/>
        <v xml:space="preserve"> </v>
      </c>
      <c r="DH11" s="373" t="str">
        <f t="shared" si="51"/>
        <v xml:space="preserve"> </v>
      </c>
      <c r="DI11" s="373" t="str">
        <f t="shared" si="52"/>
        <v xml:space="preserve"> </v>
      </c>
      <c r="DJ11" s="373" t="str">
        <f t="shared" si="53"/>
        <v xml:space="preserve"> </v>
      </c>
      <c r="DK11" s="373" t="str">
        <f t="shared" si="54"/>
        <v xml:space="preserve"> </v>
      </c>
      <c r="DL11" s="373" t="str">
        <f t="shared" si="55"/>
        <v xml:space="preserve"> </v>
      </c>
      <c r="DM11" s="373" t="str">
        <f t="shared" si="56"/>
        <v xml:space="preserve"> </v>
      </c>
      <c r="DN11" s="373" t="str">
        <f t="shared" si="57"/>
        <v xml:space="preserve"> </v>
      </c>
      <c r="DO11" s="373" t="str">
        <f t="shared" si="58"/>
        <v xml:space="preserve"> </v>
      </c>
      <c r="DP11" s="375" t="str">
        <f t="shared" si="59"/>
        <v xml:space="preserve"> </v>
      </c>
      <c r="DQ11" t="str">
        <f t="shared" si="96"/>
        <v xml:space="preserve"> </v>
      </c>
      <c r="HD11" t="str">
        <f t="shared" si="97"/>
        <v xml:space="preserve"> </v>
      </c>
      <c r="HE11" t="str">
        <f t="shared" si="98"/>
        <v xml:space="preserve"> </v>
      </c>
      <c r="HF11" t="str">
        <f t="shared" si="99"/>
        <v xml:space="preserve"> </v>
      </c>
    </row>
    <row r="12" spans="1:214">
      <c r="A12" s="415" t="str">
        <f>IF(A11="N/A","N/A",IF(EDATE(A11,1)&gt;Inputs!$K$3,"N/A",EDATE(A11,1)))</f>
        <v>N/A</v>
      </c>
      <c r="B12" s="410" t="str">
        <f t="shared" si="60"/>
        <v xml:space="preserve"> </v>
      </c>
      <c r="C12" s="411" t="str">
        <f t="shared" si="61"/>
        <v xml:space="preserve"> </v>
      </c>
      <c r="D12" s="412" t="str">
        <f t="shared" si="62"/>
        <v xml:space="preserve"> </v>
      </c>
      <c r="E12" s="413" t="str">
        <f>IF($A12="N/A"," ",(C12-'Pricing Inputs'!T45)*D12)</f>
        <v xml:space="preserve"> </v>
      </c>
      <c r="F12" s="414" t="str">
        <f t="shared" si="63"/>
        <v xml:space="preserve"> </v>
      </c>
      <c r="G12" s="414" t="str">
        <f t="shared" si="64"/>
        <v xml:space="preserve"> </v>
      </c>
      <c r="H12" s="416" t="str">
        <f t="shared" si="65"/>
        <v xml:space="preserve"> </v>
      </c>
      <c r="I12" s="213" t="str">
        <f t="shared" si="0"/>
        <v xml:space="preserve"> </v>
      </c>
      <c r="J12" s="213" t="str">
        <f t="shared" si="1"/>
        <v xml:space="preserve"> </v>
      </c>
      <c r="K12" s="213" t="str">
        <f t="shared" si="2"/>
        <v xml:space="preserve"> </v>
      </c>
      <c r="L12" s="213" t="str">
        <f t="shared" si="3"/>
        <v xml:space="preserve"> </v>
      </c>
      <c r="M12" s="213" t="str">
        <f t="shared" si="4"/>
        <v xml:space="preserve"> </v>
      </c>
      <c r="N12" s="213" t="str">
        <f t="shared" si="5"/>
        <v xml:space="preserve"> </v>
      </c>
      <c r="O12" s="213" t="str">
        <f t="shared" si="6"/>
        <v xml:space="preserve"> </v>
      </c>
      <c r="P12" s="213" t="str">
        <f t="shared" si="7"/>
        <v xml:space="preserve"> </v>
      </c>
      <c r="Q12" s="213" t="str">
        <f t="shared" si="8"/>
        <v xml:space="preserve"> </v>
      </c>
      <c r="R12" s="405" t="str">
        <f>IF($A12="N/A"," ",IF(Pricetype=2,MAX(I12-$H12,0),IF(Pricetype=1,(_xll.xSPRDOPT(I12,$E12,$CI12,0,($CD12+IF(Smile=TRUE,VLOOKUP(MAX(-5,$H12-I12),Volsmile,2),0)),$CG12,$CH12,($A12-DateToday)+15,1,0)),I12-$H12)))</f>
        <v xml:space="preserve"> </v>
      </c>
      <c r="S12" s="405" t="str">
        <f>IF($A12="N/A"," ",IF(Pricetype=2,MAX(J12-$H12,0),IF(Pricetype=1,(_xll.xSPRDOPT(J12,$E12,$CI12,0,($CD12+IF(Smile=TRUE,VLOOKUP(MAX(-5,$H12-J12),Volsmile,2),0)),$CG12,$CH12,($A12-DateToday)+15,1,0)),J12-$H12)))</f>
        <v xml:space="preserve"> </v>
      </c>
      <c r="T12" s="406" t="str">
        <f t="shared" si="9"/>
        <v xml:space="preserve"> </v>
      </c>
      <c r="U12" s="405" t="str">
        <f>IF($A12="N/A"," ",IF(Pricetype=2,MAX(L12-$H12,0),IF(L12&lt;&gt;0,IF(Pricetype=1,(_xll.xSPRDOPT(L12,$E12,$CI12,0,($CD12+IF(Smile=TRUE,VLOOKUP(MAX(-5,$H12-L12),Volsmile,2),0)),$CG12,$CH12,($A12-DateToday)+15,1,0)),L12-$H12),0)))</f>
        <v xml:space="preserve"> </v>
      </c>
      <c r="V12" s="405" t="str">
        <f>IF($A12="N/A"," ",IF(Pricetype=2,MAX(M12-$H12,0),IF(M12&lt;&gt;0,IF(Pricetype=1,(_xll.xSPRDOPT(M12,$E12,$CI12,0,($CD12+IF(Smile=TRUE,VLOOKUP(MAX(-5,$H12-M12),Volsmile,2),0)),$CG12,$CH12,($A12-DateToday)+15,1,0)),M12-$H12),0)))</f>
        <v xml:space="preserve"> </v>
      </c>
      <c r="W12" s="406" t="str">
        <f t="shared" si="10"/>
        <v xml:space="preserve"> </v>
      </c>
      <c r="X12" s="405" t="str">
        <f>IF($A12="N/A"," ",IF(Pricetype=2,MAX(O12-$H12,0),IF(O12&lt;&gt;0,IF(Pricetype=1,(_xll.xSPRDOPT(O12,$E12,$CI12,0,($CD12+IF(Smile=TRUE,VLOOKUP(MAX(-5,$H12-O12),Volsmile,2),0)),$CG12,$CH12,($A12-DateToday)+15,1,0)),O12-$H12),0)))</f>
        <v xml:space="preserve"> </v>
      </c>
      <c r="Y12" s="405" t="str">
        <f>IF($A12="N/A"," ",IF(Pricetype=2,MAX(P12-$H12,0),IF(P12&lt;&gt;0,IF(Pricetype=1,(_xll.xSPRDOPT(P12,$E12,$CI12,0,($CD12+IF(Smile=TRUE,VLOOKUP(MAX(-5,$H12-P12),Volsmile,2),0)),$CG12,$CH12,($A12-DateToday)+15,1,0)),P12-$H12),0)))</f>
        <v xml:space="preserve"> </v>
      </c>
      <c r="Z12" s="406" t="str">
        <f t="shared" si="11"/>
        <v xml:space="preserve"> </v>
      </c>
      <c r="AA12" s="254" t="str">
        <f>IF($A12="N/A"," ",IF(VLOOKUP(MONTH(A12),ManualTable,2)=1,(IF(0&lt;&gt;R12,IF(Pricetype=1,(_xll.xSPRDOPT(I12,$E12,$CI12,0,($CD12+IF(Smile=TRUE,VLOOKUP(MAX(-5,$H12-I12),Volsmile,2),0)),$CG12,$CH12,($A12-DateToday)+15,1,1))*(8*$HD12),8*$HD12),0)),0))</f>
        <v xml:space="preserve"> </v>
      </c>
      <c r="AB12" s="254" t="str">
        <f>IF($A12="N/A"," ",IF(VLOOKUP(MONTH(A12),ManualTable,3)=1,(IF(S12&lt;&gt;0,IF(Pricetype=1,(_xll.xSPRDOPT(J12,$E12,$CI12,0,($CD12+IF(Smile=TRUE,VLOOKUP(MAX(-5,$H12-J12),Volsmile,2),0)),$CG12,$CH12,($A12-DateToday)+15,1,1))*(8*$HD12),8*$HD12),0)),0))</f>
        <v xml:space="preserve"> </v>
      </c>
      <c r="AC12" s="254" t="str">
        <f t="shared" si="66"/>
        <v xml:space="preserve"> </v>
      </c>
      <c r="AD12" s="254" t="str">
        <f>IF($A12="N/A"," ",IF(VLOOKUP(MONTH(A12),ManualTable,5)=1,(IF(U12&lt;&gt;0,IF(Pricetype=1,(_xll.xSPRDOPT(L12,$E12,$CI12,0,($CD12+IF(Smile=TRUE,VLOOKUP(MAX(-5,$H12-L12),Volsmile,2),0)),$CG12,$CH12,($A12-DateToday)+15,1,1))*(8*$HE12),8*$HE12),0)),0))</f>
        <v xml:space="preserve"> </v>
      </c>
      <c r="AE12" s="254" t="str">
        <f>IF($A12="N/A"," ",IF(VLOOKUP(MONTH(A12),ManualTable,6)=1,(IF(V12&lt;&gt;0,IF(Pricetype=1,(_xll.xSPRDOPT(M12,$E12,$CI12,0,($CD12+IF(Smile=TRUE,VLOOKUP(MAX(-5,$H12-M12),Volsmile,2),0)),$CG12,$CH12,($A12-DateToday)+15,1,1))*(8*$HE12),8*$HE12),0)),0))</f>
        <v xml:space="preserve"> </v>
      </c>
      <c r="AF12" s="254" t="str">
        <f t="shared" si="67"/>
        <v xml:space="preserve"> </v>
      </c>
      <c r="AG12" s="254" t="str">
        <f>IF($A12="N/A"," ",IF(VLOOKUP(MONTH(A12),ManualTable,8)=1,(IF(X12&lt;&gt;0,IF(Pricetype=1,(_xll.xSPRDOPT(O12,$E12,$CI12,0,($CD12+IF(Smile=TRUE,VLOOKUP(MAX(-5,$H12-O12),Volsmile,2),0)),$CG12,$CH12,($A12-DateToday)+15,1,1))*(8*$HF12),8*$HF12),0)),0))</f>
        <v xml:space="preserve"> </v>
      </c>
      <c r="AH12" s="254" t="str">
        <f>IF($A12="N/A"," ",IF(VLOOKUP(MONTH(A12),ManualTable,9)=1,(IF(Y12&lt;&gt;0,IF(Pricetype=1,(_xll.xSPRDOPT(P12,$E12,$CI12,0,($CD12+IF(Smile=TRUE,VLOOKUP(MAX(-5,$H12-P12),Volsmile,2),0)),$CG12,$CH12,($A12-DateToday)+15,1,1))*(8*$HF12),8*$HF12),0)),0))</f>
        <v xml:space="preserve"> </v>
      </c>
      <c r="AI12" s="254" t="str">
        <f t="shared" si="68"/>
        <v xml:space="preserve"> </v>
      </c>
      <c r="AJ12" s="227" t="str">
        <f t="shared" si="69"/>
        <v xml:space="preserve"> </v>
      </c>
      <c r="AK12" s="228" t="str">
        <f t="shared" si="70"/>
        <v xml:space="preserve"> </v>
      </c>
      <c r="AL12" s="228" t="str">
        <f t="shared" si="71"/>
        <v xml:space="preserve"> </v>
      </c>
      <c r="AM12" s="228" t="str">
        <f t="shared" si="72"/>
        <v xml:space="preserve"> </v>
      </c>
      <c r="AN12" s="228" t="str">
        <f t="shared" si="12"/>
        <v xml:space="preserve"> </v>
      </c>
      <c r="AO12" s="228" t="str">
        <f t="shared" si="12"/>
        <v xml:space="preserve"> </v>
      </c>
      <c r="AP12" s="228" t="str">
        <f t="shared" si="73"/>
        <v xml:space="preserve"> </v>
      </c>
      <c r="AQ12" s="228" t="str">
        <f t="shared" si="74"/>
        <v xml:space="preserve"> </v>
      </c>
      <c r="AR12" s="229" t="str">
        <f t="shared" si="75"/>
        <v xml:space="preserve"> </v>
      </c>
      <c r="AS12" s="262">
        <f t="shared" si="13"/>
        <v>0</v>
      </c>
      <c r="AT12" s="263">
        <f t="shared" si="14"/>
        <v>0</v>
      </c>
      <c r="AU12" s="263">
        <f t="shared" si="14"/>
        <v>0</v>
      </c>
      <c r="AV12" s="263">
        <f t="shared" si="15"/>
        <v>0</v>
      </c>
      <c r="AW12" s="263">
        <f t="shared" si="76"/>
        <v>0</v>
      </c>
      <c r="AX12" s="263">
        <f t="shared" si="77"/>
        <v>0</v>
      </c>
      <c r="AY12" s="263">
        <f t="shared" si="16"/>
        <v>0</v>
      </c>
      <c r="AZ12" s="263">
        <f t="shared" si="78"/>
        <v>0</v>
      </c>
      <c r="BA12" s="263">
        <f t="shared" si="17"/>
        <v>0</v>
      </c>
      <c r="BB12" s="229"/>
      <c r="BC12" s="266">
        <f t="shared" si="18"/>
        <v>0</v>
      </c>
      <c r="BD12" s="269">
        <f t="shared" si="19"/>
        <v>0</v>
      </c>
      <c r="BE12" s="269">
        <f t="shared" si="19"/>
        <v>0</v>
      </c>
      <c r="BF12" s="269">
        <f t="shared" si="20"/>
        <v>0</v>
      </c>
      <c r="BG12" s="269">
        <f t="shared" si="21"/>
        <v>0</v>
      </c>
      <c r="BH12" s="269">
        <f t="shared" si="21"/>
        <v>0</v>
      </c>
      <c r="BI12" s="269">
        <f t="shared" si="22"/>
        <v>0</v>
      </c>
      <c r="BJ12" s="269">
        <f t="shared" si="23"/>
        <v>0</v>
      </c>
      <c r="BK12" s="269">
        <f t="shared" si="24"/>
        <v>0</v>
      </c>
      <c r="BL12" s="233"/>
      <c r="BM12" s="220" t="str">
        <f>IF($A12="N/A"," ",(IF(MONTH(A12)&gt;=4,IF(MONTH(A12)&lt;=10,Inputs!$F$13-Inputs!$G$13,Inputs!$F$14-Inputs!$G$14),Inputs!$F$14-Inputs!$G$14))*$CK12*Availability)</f>
        <v xml:space="preserve"> </v>
      </c>
      <c r="BN12" s="221" t="str">
        <f t="shared" si="79"/>
        <v xml:space="preserve"> </v>
      </c>
      <c r="BO12" s="221" t="str">
        <f t="shared" si="80"/>
        <v xml:space="preserve"> </v>
      </c>
      <c r="BP12" s="221" t="str">
        <f t="shared" si="81"/>
        <v xml:space="preserve"> </v>
      </c>
      <c r="BQ12" s="221" t="str">
        <f t="shared" si="82"/>
        <v xml:space="preserve"> </v>
      </c>
      <c r="BR12" s="221" t="str">
        <f t="shared" si="83"/>
        <v xml:space="preserve"> </v>
      </c>
      <c r="BS12" s="221" t="str">
        <f t="shared" si="84"/>
        <v xml:space="preserve"> </v>
      </c>
      <c r="BT12" s="221" t="str">
        <f t="shared" si="85"/>
        <v xml:space="preserve"> </v>
      </c>
      <c r="BU12" s="221" t="str">
        <f t="shared" si="86"/>
        <v xml:space="preserve"> </v>
      </c>
      <c r="BV12" s="221" t="str">
        <f t="shared" si="87"/>
        <v xml:space="preserve"> </v>
      </c>
      <c r="BW12" s="221" t="str">
        <f t="shared" si="88"/>
        <v xml:space="preserve"> </v>
      </c>
      <c r="BX12" s="421" t="str">
        <f t="shared" si="89"/>
        <v xml:space="preserve"> </v>
      </c>
      <c r="BY12" s="417" t="str">
        <f t="shared" si="90"/>
        <v xml:space="preserve"> </v>
      </c>
      <c r="BZ12" s="417" t="str">
        <f t="shared" si="91"/>
        <v xml:space="preserve"> </v>
      </c>
      <c r="CA12" s="422" t="str">
        <f t="shared" si="92"/>
        <v xml:space="preserve"> </v>
      </c>
      <c r="CB12" s="347" t="str">
        <f t="shared" si="25"/>
        <v xml:space="preserve"> </v>
      </c>
      <c r="CC12" s="347" t="str">
        <f t="shared" si="93"/>
        <v xml:space="preserve"> </v>
      </c>
      <c r="CD12" s="348" t="str">
        <f t="shared" si="26"/>
        <v xml:space="preserve"> </v>
      </c>
      <c r="CE12" s="347" t="str">
        <f t="shared" si="27"/>
        <v xml:space="preserve"> </v>
      </c>
      <c r="CF12" s="347" t="str">
        <f t="shared" si="28"/>
        <v xml:space="preserve"> </v>
      </c>
      <c r="CG12" s="348" t="str">
        <f t="shared" si="29"/>
        <v xml:space="preserve"> </v>
      </c>
      <c r="CH12" s="347" t="str">
        <f t="shared" si="94"/>
        <v xml:space="preserve"> </v>
      </c>
      <c r="CI12" s="349" t="str">
        <f>IF($A12="N/A"," ",F12+G12+(D12*('Pricing Inputs'!T45)))</f>
        <v xml:space="preserve"> </v>
      </c>
      <c r="CJ12" s="347" t="str">
        <f>IF($A12="N/A"," ",IF(PV=1,0,'Pricing Inputs'!U45))</f>
        <v xml:space="preserve"> </v>
      </c>
      <c r="CK12" s="350" t="str">
        <f t="shared" si="30"/>
        <v xml:space="preserve"> </v>
      </c>
      <c r="CL12" s="365" t="str">
        <f t="shared" si="31"/>
        <v xml:space="preserve"> </v>
      </c>
      <c r="CM12" s="380" t="str">
        <f t="shared" si="95"/>
        <v xml:space="preserve"> </v>
      </c>
      <c r="CN12" s="378" t="str">
        <f t="shared" si="32"/>
        <v xml:space="preserve"> </v>
      </c>
      <c r="CO12" s="378" t="str">
        <f t="shared" si="33"/>
        <v xml:space="preserve"> </v>
      </c>
      <c r="CP12" s="378" t="str">
        <f t="shared" si="34"/>
        <v xml:space="preserve"> </v>
      </c>
      <c r="CQ12" s="378" t="str">
        <f t="shared" si="35"/>
        <v xml:space="preserve"> </v>
      </c>
      <c r="CR12" s="378" t="str">
        <f t="shared" si="36"/>
        <v xml:space="preserve"> </v>
      </c>
      <c r="CS12" s="378" t="str">
        <f t="shared" si="37"/>
        <v xml:space="preserve"> </v>
      </c>
      <c r="CT12" s="378" t="str">
        <f t="shared" si="38"/>
        <v xml:space="preserve"> </v>
      </c>
      <c r="CU12" s="378" t="str">
        <f t="shared" si="39"/>
        <v xml:space="preserve"> </v>
      </c>
      <c r="CV12" s="378" t="str">
        <f t="shared" si="40"/>
        <v xml:space="preserve"> </v>
      </c>
      <c r="CW12" s="254" t="str">
        <f t="shared" si="41"/>
        <v xml:space="preserve"> </v>
      </c>
      <c r="CX12" s="254" t="str">
        <f t="shared" si="42"/>
        <v xml:space="preserve"> </v>
      </c>
      <c r="CY12" s="254" t="str">
        <f t="shared" si="43"/>
        <v xml:space="preserve"> </v>
      </c>
      <c r="CZ12" s="254" t="str">
        <f t="shared" si="44"/>
        <v xml:space="preserve"> </v>
      </c>
      <c r="DA12" s="254" t="str">
        <f t="shared" si="45"/>
        <v xml:space="preserve"> </v>
      </c>
      <c r="DB12" s="254" t="str">
        <f t="shared" si="46"/>
        <v xml:space="preserve"> </v>
      </c>
      <c r="DC12" s="254" t="str">
        <f t="shared" si="47"/>
        <v xml:space="preserve"> </v>
      </c>
      <c r="DD12" s="254" t="str">
        <f t="shared" si="48"/>
        <v xml:space="preserve"> </v>
      </c>
      <c r="DE12" s="254" t="str">
        <f t="shared" si="49"/>
        <v xml:space="preserve"> </v>
      </c>
      <c r="DF12" s="374" t="str">
        <f>IF($A12="N/A"," ",IF(CC=2,(IF(MONTH(A12)&gt;=4,IF(MONTH(A12)&lt;=10,Inputs!$G$13,Inputs!$G$14),Inputs!$G$14))*$CK12,0))</f>
        <v xml:space="preserve"> </v>
      </c>
      <c r="DG12" s="373" t="str">
        <f t="shared" si="50"/>
        <v xml:space="preserve"> </v>
      </c>
      <c r="DH12" s="373" t="str">
        <f t="shared" si="51"/>
        <v xml:space="preserve"> </v>
      </c>
      <c r="DI12" s="373" t="str">
        <f t="shared" si="52"/>
        <v xml:space="preserve"> </v>
      </c>
      <c r="DJ12" s="373" t="str">
        <f t="shared" si="53"/>
        <v xml:space="preserve"> </v>
      </c>
      <c r="DK12" s="373" t="str">
        <f t="shared" si="54"/>
        <v xml:space="preserve"> </v>
      </c>
      <c r="DL12" s="373" t="str">
        <f t="shared" si="55"/>
        <v xml:space="preserve"> </v>
      </c>
      <c r="DM12" s="373" t="str">
        <f t="shared" si="56"/>
        <v xml:space="preserve"> </v>
      </c>
      <c r="DN12" s="373" t="str">
        <f t="shared" si="57"/>
        <v xml:space="preserve"> </v>
      </c>
      <c r="DO12" s="373" t="str">
        <f t="shared" si="58"/>
        <v xml:space="preserve"> </v>
      </c>
      <c r="DP12" s="375" t="str">
        <f t="shared" si="59"/>
        <v xml:space="preserve"> </v>
      </c>
      <c r="DQ12" t="str">
        <f t="shared" si="96"/>
        <v xml:space="preserve"> </v>
      </c>
      <c r="HD12" t="str">
        <f t="shared" si="97"/>
        <v xml:space="preserve"> </v>
      </c>
      <c r="HE12" t="str">
        <f t="shared" si="98"/>
        <v xml:space="preserve"> </v>
      </c>
      <c r="HF12" t="str">
        <f t="shared" si="99"/>
        <v xml:space="preserve"> </v>
      </c>
    </row>
    <row r="13" spans="1:214">
      <c r="A13" s="415" t="str">
        <f>IF(A12="N/A","N/A",IF(EDATE(A12,1)&gt;Inputs!$K$3,"N/A",EDATE(A12,1)))</f>
        <v>N/A</v>
      </c>
      <c r="B13" s="410" t="str">
        <f t="shared" si="60"/>
        <v xml:space="preserve"> </v>
      </c>
      <c r="C13" s="411" t="str">
        <f t="shared" si="61"/>
        <v xml:space="preserve"> </v>
      </c>
      <c r="D13" s="412" t="str">
        <f t="shared" si="62"/>
        <v xml:space="preserve"> </v>
      </c>
      <c r="E13" s="413" t="str">
        <f>IF($A13="N/A"," ",(C13-'Pricing Inputs'!T46)*D13)</f>
        <v xml:space="preserve"> </v>
      </c>
      <c r="F13" s="414" t="str">
        <f t="shared" si="63"/>
        <v xml:space="preserve"> </v>
      </c>
      <c r="G13" s="414" t="str">
        <f t="shared" si="64"/>
        <v xml:space="preserve"> </v>
      </c>
      <c r="H13" s="416" t="str">
        <f t="shared" si="65"/>
        <v xml:space="preserve"> </v>
      </c>
      <c r="I13" s="213" t="str">
        <f t="shared" si="0"/>
        <v xml:space="preserve"> </v>
      </c>
      <c r="J13" s="213" t="str">
        <f t="shared" si="1"/>
        <v xml:space="preserve"> </v>
      </c>
      <c r="K13" s="213" t="str">
        <f t="shared" si="2"/>
        <v xml:space="preserve"> </v>
      </c>
      <c r="L13" s="213" t="str">
        <f t="shared" si="3"/>
        <v xml:space="preserve"> </v>
      </c>
      <c r="M13" s="213" t="str">
        <f t="shared" si="4"/>
        <v xml:space="preserve"> </v>
      </c>
      <c r="N13" s="213" t="str">
        <f t="shared" si="5"/>
        <v xml:space="preserve"> </v>
      </c>
      <c r="O13" s="213" t="str">
        <f t="shared" si="6"/>
        <v xml:space="preserve"> </v>
      </c>
      <c r="P13" s="213" t="str">
        <f t="shared" si="7"/>
        <v xml:space="preserve"> </v>
      </c>
      <c r="Q13" s="213" t="str">
        <f t="shared" si="8"/>
        <v xml:space="preserve"> </v>
      </c>
      <c r="R13" s="405" t="str">
        <f>IF($A13="N/A"," ",IF(Pricetype=2,MAX(I13-$H13,0),IF(Pricetype=1,(_xll.xSPRDOPT(I13,$E13,$CI13,0,($CD13+IF(Smile=TRUE,VLOOKUP(MAX(-5,$H13-I13),Volsmile,2),0)),$CG13,$CH13,($A13-DateToday)+15,1,0)),I13-$H13)))</f>
        <v xml:space="preserve"> </v>
      </c>
      <c r="S13" s="405" t="str">
        <f>IF($A13="N/A"," ",IF(Pricetype=2,MAX(J13-$H13,0),IF(Pricetype=1,(_xll.xSPRDOPT(J13,$E13,$CI13,0,($CD13+IF(Smile=TRUE,VLOOKUP(MAX(-5,$H13-J13),Volsmile,2),0)),$CG13,$CH13,($A13-DateToday)+15,1,0)),J13-$H13)))</f>
        <v xml:space="preserve"> </v>
      </c>
      <c r="T13" s="406" t="str">
        <f t="shared" si="9"/>
        <v xml:space="preserve"> </v>
      </c>
      <c r="U13" s="405" t="str">
        <f>IF($A13="N/A"," ",IF(Pricetype=2,MAX(L13-$H13,0),IF(L13&lt;&gt;0,IF(Pricetype=1,(_xll.xSPRDOPT(L13,$E13,$CI13,0,($CD13+IF(Smile=TRUE,VLOOKUP(MAX(-5,$H13-L13),Volsmile,2),0)),$CG13,$CH13,($A13-DateToday)+15,1,0)),L13-$H13),0)))</f>
        <v xml:space="preserve"> </v>
      </c>
      <c r="V13" s="405" t="str">
        <f>IF($A13="N/A"," ",IF(Pricetype=2,MAX(M13-$H13,0),IF(M13&lt;&gt;0,IF(Pricetype=1,(_xll.xSPRDOPT(M13,$E13,$CI13,0,($CD13+IF(Smile=TRUE,VLOOKUP(MAX(-5,$H13-M13),Volsmile,2),0)),$CG13,$CH13,($A13-DateToday)+15,1,0)),M13-$H13),0)))</f>
        <v xml:space="preserve"> </v>
      </c>
      <c r="W13" s="406" t="str">
        <f t="shared" si="10"/>
        <v xml:space="preserve"> </v>
      </c>
      <c r="X13" s="405" t="str">
        <f>IF($A13="N/A"," ",IF(Pricetype=2,MAX(O13-$H13,0),IF(O13&lt;&gt;0,IF(Pricetype=1,(_xll.xSPRDOPT(O13,$E13,$CI13,0,($CD13+IF(Smile=TRUE,VLOOKUP(MAX(-5,$H13-O13),Volsmile,2),0)),$CG13,$CH13,($A13-DateToday)+15,1,0)),O13-$H13),0)))</f>
        <v xml:space="preserve"> </v>
      </c>
      <c r="Y13" s="405" t="str">
        <f>IF($A13="N/A"," ",IF(Pricetype=2,MAX(P13-$H13,0),IF(P13&lt;&gt;0,IF(Pricetype=1,(_xll.xSPRDOPT(P13,$E13,$CI13,0,($CD13+IF(Smile=TRUE,VLOOKUP(MAX(-5,$H13-P13),Volsmile,2),0)),$CG13,$CH13,($A13-DateToday)+15,1,0)),P13-$H13),0)))</f>
        <v xml:space="preserve"> </v>
      </c>
      <c r="Z13" s="406" t="str">
        <f t="shared" si="11"/>
        <v xml:space="preserve"> </v>
      </c>
      <c r="AA13" s="254" t="str">
        <f>IF($A13="N/A"," ",IF(VLOOKUP(MONTH(A13),ManualTable,2)=1,(IF(0&lt;&gt;R13,IF(Pricetype=1,(_xll.xSPRDOPT(I13,$E13,$CI13,0,($CD13+IF(Smile=TRUE,VLOOKUP(MAX(-5,$H13-I13),Volsmile,2),0)),$CG13,$CH13,($A13-DateToday)+15,1,1))*(8*$HD13),8*$HD13),0)),0))</f>
        <v xml:space="preserve"> </v>
      </c>
      <c r="AB13" s="254" t="str">
        <f>IF($A13="N/A"," ",IF(VLOOKUP(MONTH(A13),ManualTable,3)=1,(IF(S13&lt;&gt;0,IF(Pricetype=1,(_xll.xSPRDOPT(J13,$E13,$CI13,0,($CD13+IF(Smile=TRUE,VLOOKUP(MAX(-5,$H13-J13),Volsmile,2),0)),$CG13,$CH13,($A13-DateToday)+15,1,1))*(8*$HD13),8*$HD13),0)),0))</f>
        <v xml:space="preserve"> </v>
      </c>
      <c r="AC13" s="254" t="str">
        <f t="shared" si="66"/>
        <v xml:space="preserve"> </v>
      </c>
      <c r="AD13" s="254" t="str">
        <f>IF($A13="N/A"," ",IF(VLOOKUP(MONTH(A13),ManualTable,5)=1,(IF(U13&lt;&gt;0,IF(Pricetype=1,(_xll.xSPRDOPT(L13,$E13,$CI13,0,($CD13+IF(Smile=TRUE,VLOOKUP(MAX(-5,$H13-L13),Volsmile,2),0)),$CG13,$CH13,($A13-DateToday)+15,1,1))*(8*$HE13),8*$HE13),0)),0))</f>
        <v xml:space="preserve"> </v>
      </c>
      <c r="AE13" s="254" t="str">
        <f>IF($A13="N/A"," ",IF(VLOOKUP(MONTH(A13),ManualTable,6)=1,(IF(V13&lt;&gt;0,IF(Pricetype=1,(_xll.xSPRDOPT(M13,$E13,$CI13,0,($CD13+IF(Smile=TRUE,VLOOKUP(MAX(-5,$H13-M13),Volsmile,2),0)),$CG13,$CH13,($A13-DateToday)+15,1,1))*(8*$HE13),8*$HE13),0)),0))</f>
        <v xml:space="preserve"> </v>
      </c>
      <c r="AF13" s="254" t="str">
        <f t="shared" si="67"/>
        <v xml:space="preserve"> </v>
      </c>
      <c r="AG13" s="254" t="str">
        <f>IF($A13="N/A"," ",IF(VLOOKUP(MONTH(A13),ManualTable,8)=1,(IF(X13&lt;&gt;0,IF(Pricetype=1,(_xll.xSPRDOPT(O13,$E13,$CI13,0,($CD13+IF(Smile=TRUE,VLOOKUP(MAX(-5,$H13-O13),Volsmile,2),0)),$CG13,$CH13,($A13-DateToday)+15,1,1))*(8*$HF13),8*$HF13),0)),0))</f>
        <v xml:space="preserve"> </v>
      </c>
      <c r="AH13" s="254" t="str">
        <f>IF($A13="N/A"," ",IF(VLOOKUP(MONTH(A13),ManualTable,9)=1,(IF(Y13&lt;&gt;0,IF(Pricetype=1,(_xll.xSPRDOPT(P13,$E13,$CI13,0,($CD13+IF(Smile=TRUE,VLOOKUP(MAX(-5,$H13-P13),Volsmile,2),0)),$CG13,$CH13,($A13-DateToday)+15,1,1))*(8*$HF13),8*$HF13),0)),0))</f>
        <v xml:space="preserve"> </v>
      </c>
      <c r="AI13" s="254" t="str">
        <f t="shared" si="68"/>
        <v xml:space="preserve"> </v>
      </c>
      <c r="AJ13" s="227" t="str">
        <f t="shared" si="69"/>
        <v xml:space="preserve"> </v>
      </c>
      <c r="AK13" s="228" t="str">
        <f t="shared" si="70"/>
        <v xml:space="preserve"> </v>
      </c>
      <c r="AL13" s="228" t="str">
        <f t="shared" si="71"/>
        <v xml:space="preserve"> </v>
      </c>
      <c r="AM13" s="228" t="str">
        <f t="shared" si="72"/>
        <v xml:space="preserve"> </v>
      </c>
      <c r="AN13" s="228" t="str">
        <f t="shared" si="12"/>
        <v xml:space="preserve"> </v>
      </c>
      <c r="AO13" s="228" t="str">
        <f t="shared" si="12"/>
        <v xml:space="preserve"> </v>
      </c>
      <c r="AP13" s="228" t="str">
        <f t="shared" si="73"/>
        <v xml:space="preserve"> </v>
      </c>
      <c r="AQ13" s="228" t="str">
        <f t="shared" si="74"/>
        <v xml:space="preserve"> </v>
      </c>
      <c r="AR13" s="229" t="str">
        <f t="shared" si="75"/>
        <v xml:space="preserve"> </v>
      </c>
      <c r="AS13" s="262">
        <f t="shared" si="13"/>
        <v>0</v>
      </c>
      <c r="AT13" s="263">
        <f t="shared" si="14"/>
        <v>0</v>
      </c>
      <c r="AU13" s="263">
        <f t="shared" si="14"/>
        <v>0</v>
      </c>
      <c r="AV13" s="263">
        <f t="shared" si="15"/>
        <v>0</v>
      </c>
      <c r="AW13" s="263">
        <f t="shared" si="76"/>
        <v>0</v>
      </c>
      <c r="AX13" s="263">
        <f t="shared" si="77"/>
        <v>0</v>
      </c>
      <c r="AY13" s="263">
        <f t="shared" si="16"/>
        <v>0</v>
      </c>
      <c r="AZ13" s="263">
        <f t="shared" si="78"/>
        <v>0</v>
      </c>
      <c r="BA13" s="263">
        <f t="shared" si="17"/>
        <v>0</v>
      </c>
      <c r="BB13" s="234" t="s">
        <v>1271</v>
      </c>
      <c r="BC13" s="266">
        <f t="shared" si="18"/>
        <v>0</v>
      </c>
      <c r="BD13" s="269">
        <f t="shared" si="19"/>
        <v>0</v>
      </c>
      <c r="BE13" s="269">
        <f t="shared" si="19"/>
        <v>0</v>
      </c>
      <c r="BF13" s="269">
        <f t="shared" si="20"/>
        <v>0</v>
      </c>
      <c r="BG13" s="269">
        <f t="shared" si="21"/>
        <v>0</v>
      </c>
      <c r="BH13" s="269">
        <f t="shared" si="21"/>
        <v>0</v>
      </c>
      <c r="BI13" s="269">
        <f t="shared" si="22"/>
        <v>0</v>
      </c>
      <c r="BJ13" s="269">
        <f t="shared" si="23"/>
        <v>0</v>
      </c>
      <c r="BK13" s="269">
        <f t="shared" si="24"/>
        <v>0</v>
      </c>
      <c r="BL13" s="233" t="s">
        <v>1283</v>
      </c>
      <c r="BM13" s="220" t="str">
        <f>IF($A13="N/A"," ",(IF(MONTH(A13)&gt;=4,IF(MONTH(A13)&lt;=10,Inputs!$F$13-Inputs!$G$13,Inputs!$F$14-Inputs!$G$14),Inputs!$F$14-Inputs!$G$14))*$CK13*Availability)</f>
        <v xml:space="preserve"> </v>
      </c>
      <c r="BN13" s="221" t="str">
        <f t="shared" si="79"/>
        <v xml:space="preserve"> </v>
      </c>
      <c r="BO13" s="221" t="str">
        <f t="shared" si="80"/>
        <v xml:space="preserve"> </v>
      </c>
      <c r="BP13" s="221" t="str">
        <f t="shared" si="81"/>
        <v xml:space="preserve"> </v>
      </c>
      <c r="BQ13" s="221" t="str">
        <f t="shared" si="82"/>
        <v xml:space="preserve"> </v>
      </c>
      <c r="BR13" s="221" t="str">
        <f t="shared" si="83"/>
        <v xml:space="preserve"> </v>
      </c>
      <c r="BS13" s="221" t="str">
        <f t="shared" si="84"/>
        <v xml:space="preserve"> </v>
      </c>
      <c r="BT13" s="221" t="str">
        <f t="shared" si="85"/>
        <v xml:space="preserve"> </v>
      </c>
      <c r="BU13" s="221" t="str">
        <f t="shared" si="86"/>
        <v xml:space="preserve"> </v>
      </c>
      <c r="BV13" s="221" t="str">
        <f t="shared" si="87"/>
        <v xml:space="preserve"> </v>
      </c>
      <c r="BW13" s="221" t="str">
        <f t="shared" si="88"/>
        <v xml:space="preserve"> </v>
      </c>
      <c r="BX13" s="421" t="str">
        <f t="shared" si="89"/>
        <v xml:space="preserve"> </v>
      </c>
      <c r="BY13" s="417" t="str">
        <f t="shared" si="90"/>
        <v xml:space="preserve"> </v>
      </c>
      <c r="BZ13" s="417" t="str">
        <f t="shared" si="91"/>
        <v xml:space="preserve"> </v>
      </c>
      <c r="CA13" s="422" t="str">
        <f t="shared" si="92"/>
        <v xml:space="preserve"> </v>
      </c>
      <c r="CB13" s="347" t="str">
        <f t="shared" si="25"/>
        <v xml:space="preserve"> </v>
      </c>
      <c r="CC13" s="347" t="str">
        <f t="shared" si="93"/>
        <v xml:space="preserve"> </v>
      </c>
      <c r="CD13" s="348" t="str">
        <f t="shared" si="26"/>
        <v xml:space="preserve"> </v>
      </c>
      <c r="CE13" s="347" t="str">
        <f t="shared" si="27"/>
        <v xml:space="preserve"> </v>
      </c>
      <c r="CF13" s="347" t="str">
        <f t="shared" si="28"/>
        <v xml:space="preserve"> </v>
      </c>
      <c r="CG13" s="348" t="str">
        <f t="shared" si="29"/>
        <v xml:space="preserve"> </v>
      </c>
      <c r="CH13" s="347" t="str">
        <f t="shared" si="94"/>
        <v xml:space="preserve"> </v>
      </c>
      <c r="CI13" s="349" t="str">
        <f>IF($A13="N/A"," ",F13+G13+(D13*('Pricing Inputs'!T46)))</f>
        <v xml:space="preserve"> </v>
      </c>
      <c r="CJ13" s="347" t="str">
        <f>IF($A13="N/A"," ",IF(PV=1,0,'Pricing Inputs'!U46))</f>
        <v xml:space="preserve"> </v>
      </c>
      <c r="CK13" s="350" t="str">
        <f t="shared" si="30"/>
        <v xml:space="preserve"> </v>
      </c>
      <c r="CL13" s="365" t="str">
        <f t="shared" si="31"/>
        <v xml:space="preserve"> </v>
      </c>
      <c r="CM13" s="380" t="str">
        <f t="shared" si="95"/>
        <v xml:space="preserve"> </v>
      </c>
      <c r="CN13" s="378" t="str">
        <f t="shared" si="32"/>
        <v xml:space="preserve"> </v>
      </c>
      <c r="CO13" s="378" t="str">
        <f t="shared" si="33"/>
        <v xml:space="preserve"> </v>
      </c>
      <c r="CP13" s="378" t="str">
        <f t="shared" si="34"/>
        <v xml:space="preserve"> </v>
      </c>
      <c r="CQ13" s="378" t="str">
        <f t="shared" si="35"/>
        <v xml:space="preserve"> </v>
      </c>
      <c r="CR13" s="378" t="str">
        <f t="shared" si="36"/>
        <v xml:space="preserve"> </v>
      </c>
      <c r="CS13" s="378" t="str">
        <f t="shared" si="37"/>
        <v xml:space="preserve"> </v>
      </c>
      <c r="CT13" s="378" t="str">
        <f t="shared" si="38"/>
        <v xml:space="preserve"> </v>
      </c>
      <c r="CU13" s="378" t="str">
        <f t="shared" si="39"/>
        <v xml:space="preserve"> </v>
      </c>
      <c r="CV13" s="378" t="str">
        <f t="shared" si="40"/>
        <v xml:space="preserve"> </v>
      </c>
      <c r="CW13" s="254" t="str">
        <f t="shared" si="41"/>
        <v xml:space="preserve"> </v>
      </c>
      <c r="CX13" s="254" t="str">
        <f t="shared" si="42"/>
        <v xml:space="preserve"> </v>
      </c>
      <c r="CY13" s="254" t="str">
        <f t="shared" si="43"/>
        <v xml:space="preserve"> </v>
      </c>
      <c r="CZ13" s="254" t="str">
        <f t="shared" si="44"/>
        <v xml:space="preserve"> </v>
      </c>
      <c r="DA13" s="254" t="str">
        <f t="shared" si="45"/>
        <v xml:space="preserve"> </v>
      </c>
      <c r="DB13" s="254" t="str">
        <f t="shared" si="46"/>
        <v xml:space="preserve"> </v>
      </c>
      <c r="DC13" s="254" t="str">
        <f t="shared" si="47"/>
        <v xml:space="preserve"> </v>
      </c>
      <c r="DD13" s="254" t="str">
        <f t="shared" si="48"/>
        <v xml:space="preserve"> </v>
      </c>
      <c r="DE13" s="254" t="str">
        <f t="shared" si="49"/>
        <v xml:space="preserve"> </v>
      </c>
      <c r="DF13" s="374" t="str">
        <f>IF($A13="N/A"," ",IF(CC=2,(IF(MONTH(A13)&gt;=4,IF(MONTH(A13)&lt;=10,Inputs!$G$13,Inputs!$G$14),Inputs!$G$14))*$CK13,0))</f>
        <v xml:space="preserve"> </v>
      </c>
      <c r="DG13" s="373" t="str">
        <f t="shared" si="50"/>
        <v xml:space="preserve"> </v>
      </c>
      <c r="DH13" s="373" t="str">
        <f t="shared" si="51"/>
        <v xml:space="preserve"> </v>
      </c>
      <c r="DI13" s="373" t="str">
        <f t="shared" si="52"/>
        <v xml:space="preserve"> </v>
      </c>
      <c r="DJ13" s="373" t="str">
        <f t="shared" si="53"/>
        <v xml:space="preserve"> </v>
      </c>
      <c r="DK13" s="373" t="str">
        <f t="shared" si="54"/>
        <v xml:space="preserve"> </v>
      </c>
      <c r="DL13" s="373" t="str">
        <f t="shared" si="55"/>
        <v xml:space="preserve"> </v>
      </c>
      <c r="DM13" s="373" t="str">
        <f t="shared" si="56"/>
        <v xml:space="preserve"> </v>
      </c>
      <c r="DN13" s="373" t="str">
        <f t="shared" si="57"/>
        <v xml:space="preserve"> </v>
      </c>
      <c r="DO13" s="373" t="str">
        <f t="shared" si="58"/>
        <v xml:space="preserve"> </v>
      </c>
      <c r="DP13" s="375" t="str">
        <f t="shared" si="59"/>
        <v xml:space="preserve"> </v>
      </c>
      <c r="DQ13" t="str">
        <f t="shared" si="96"/>
        <v xml:space="preserve"> </v>
      </c>
      <c r="HD13" t="str">
        <f t="shared" si="97"/>
        <v xml:space="preserve"> </v>
      </c>
      <c r="HE13" t="str">
        <f t="shared" si="98"/>
        <v xml:space="preserve"> </v>
      </c>
      <c r="HF13" t="str">
        <f t="shared" si="99"/>
        <v xml:space="preserve"> </v>
      </c>
    </row>
    <row r="14" spans="1:214">
      <c r="A14" s="415" t="str">
        <f>IF(A13="N/A","N/A",IF(EDATE(A13,1)&gt;Inputs!$K$3,"N/A",EDATE(A13,1)))</f>
        <v>N/A</v>
      </c>
      <c r="B14" s="410" t="str">
        <f t="shared" si="60"/>
        <v xml:space="preserve"> </v>
      </c>
      <c r="C14" s="411" t="str">
        <f t="shared" si="61"/>
        <v xml:space="preserve"> </v>
      </c>
      <c r="D14" s="412" t="str">
        <f t="shared" si="62"/>
        <v xml:space="preserve"> </v>
      </c>
      <c r="E14" s="413" t="str">
        <f>IF($A14="N/A"," ",(C14-'Pricing Inputs'!T47)*D14)</f>
        <v xml:space="preserve"> </v>
      </c>
      <c r="F14" s="414" t="str">
        <f t="shared" si="63"/>
        <v xml:space="preserve"> </v>
      </c>
      <c r="G14" s="414" t="str">
        <f t="shared" si="64"/>
        <v xml:space="preserve"> </v>
      </c>
      <c r="H14" s="416" t="str">
        <f t="shared" si="65"/>
        <v xml:space="preserve"> </v>
      </c>
      <c r="I14" s="213" t="str">
        <f t="shared" si="0"/>
        <v xml:space="preserve"> </v>
      </c>
      <c r="J14" s="213" t="str">
        <f t="shared" si="1"/>
        <v xml:space="preserve"> </v>
      </c>
      <c r="K14" s="213" t="str">
        <f t="shared" si="2"/>
        <v xml:space="preserve"> </v>
      </c>
      <c r="L14" s="213" t="str">
        <f t="shared" si="3"/>
        <v xml:space="preserve"> </v>
      </c>
      <c r="M14" s="213" t="str">
        <f t="shared" si="4"/>
        <v xml:space="preserve"> </v>
      </c>
      <c r="N14" s="213" t="str">
        <f t="shared" si="5"/>
        <v xml:space="preserve"> </v>
      </c>
      <c r="O14" s="213" t="str">
        <f t="shared" si="6"/>
        <v xml:space="preserve"> </v>
      </c>
      <c r="P14" s="213" t="str">
        <f t="shared" si="7"/>
        <v xml:space="preserve"> </v>
      </c>
      <c r="Q14" s="213" t="str">
        <f t="shared" si="8"/>
        <v xml:space="preserve"> </v>
      </c>
      <c r="R14" s="405" t="str">
        <f>IF($A14="N/A"," ",IF(Pricetype=2,MAX(I14-$H14,0),IF(Pricetype=1,(_xll.xSPRDOPT(I14,$E14,$CI14,0,($CD14+IF(Smile=TRUE,VLOOKUP(MAX(-5,$H14-I14),Volsmile,2),0)),$CG14,$CH14,($A14-DateToday)+15,1,0)),I14-$H14)))</f>
        <v xml:space="preserve"> </v>
      </c>
      <c r="S14" s="405" t="str">
        <f>IF($A14="N/A"," ",IF(Pricetype=2,MAX(J14-$H14,0),IF(Pricetype=1,(_xll.xSPRDOPT(J14,$E14,$CI14,0,($CD14+IF(Smile=TRUE,VLOOKUP(MAX(-5,$H14-J14),Volsmile,2),0)),$CG14,$CH14,($A14-DateToday)+15,1,0)),J14-$H14)))</f>
        <v xml:space="preserve"> </v>
      </c>
      <c r="T14" s="406" t="str">
        <f t="shared" si="9"/>
        <v xml:space="preserve"> </v>
      </c>
      <c r="U14" s="405" t="str">
        <f>IF($A14="N/A"," ",IF(Pricetype=2,MAX(L14-$H14,0),IF(L14&lt;&gt;0,IF(Pricetype=1,(_xll.xSPRDOPT(L14,$E14,$CI14,0,($CD14+IF(Smile=TRUE,VLOOKUP(MAX(-5,$H14-L14),Volsmile,2),0)),$CG14,$CH14,($A14-DateToday)+15,1,0)),L14-$H14),0)))</f>
        <v xml:space="preserve"> </v>
      </c>
      <c r="V14" s="405" t="str">
        <f>IF($A14="N/A"," ",IF(Pricetype=2,MAX(M14-$H14,0),IF(M14&lt;&gt;0,IF(Pricetype=1,(_xll.xSPRDOPT(M14,$E14,$CI14,0,($CD14+IF(Smile=TRUE,VLOOKUP(MAX(-5,$H14-M14),Volsmile,2),0)),$CG14,$CH14,($A14-DateToday)+15,1,0)),M14-$H14),0)))</f>
        <v xml:space="preserve"> </v>
      </c>
      <c r="W14" s="406" t="str">
        <f t="shared" si="10"/>
        <v xml:space="preserve"> </v>
      </c>
      <c r="X14" s="405" t="str">
        <f>IF($A14="N/A"," ",IF(Pricetype=2,MAX(O14-$H14,0),IF(O14&lt;&gt;0,IF(Pricetype=1,(_xll.xSPRDOPT(O14,$E14,$CI14,0,($CD14+IF(Smile=TRUE,VLOOKUP(MAX(-5,$H14-O14),Volsmile,2),0)),$CG14,$CH14,($A14-DateToday)+15,1,0)),O14-$H14),0)))</f>
        <v xml:space="preserve"> </v>
      </c>
      <c r="Y14" s="405" t="str">
        <f>IF($A14="N/A"," ",IF(Pricetype=2,MAX(P14-$H14,0),IF(P14&lt;&gt;0,IF(Pricetype=1,(_xll.xSPRDOPT(P14,$E14,$CI14,0,($CD14+IF(Smile=TRUE,VLOOKUP(MAX(-5,$H14-P14),Volsmile,2),0)),$CG14,$CH14,($A14-DateToday)+15,1,0)),P14-$H14),0)))</f>
        <v xml:space="preserve"> </v>
      </c>
      <c r="Z14" s="406" t="str">
        <f t="shared" si="11"/>
        <v xml:space="preserve"> </v>
      </c>
      <c r="AA14" s="254" t="str">
        <f>IF($A14="N/A"," ",IF(VLOOKUP(MONTH(A14),ManualTable,2)=1,(IF(0&lt;&gt;R14,IF(Pricetype=1,(_xll.xSPRDOPT(I14,$E14,$CI14,0,($CD14+IF(Smile=TRUE,VLOOKUP(MAX(-5,$H14-I14),Volsmile,2),0)),$CG14,$CH14,($A14-DateToday)+15,1,1))*(8*$HD14),8*$HD14),0)),0))</f>
        <v xml:space="preserve"> </v>
      </c>
      <c r="AB14" s="254" t="str">
        <f>IF($A14="N/A"," ",IF(VLOOKUP(MONTH(A14),ManualTable,3)=1,(IF(S14&lt;&gt;0,IF(Pricetype=1,(_xll.xSPRDOPT(J14,$E14,$CI14,0,($CD14+IF(Smile=TRUE,VLOOKUP(MAX(-5,$H14-J14),Volsmile,2),0)),$CG14,$CH14,($A14-DateToday)+15,1,1))*(8*$HD14),8*$HD14),0)),0))</f>
        <v xml:space="preserve"> </v>
      </c>
      <c r="AC14" s="254" t="str">
        <f t="shared" si="66"/>
        <v xml:space="preserve"> </v>
      </c>
      <c r="AD14" s="254" t="str">
        <f>IF($A14="N/A"," ",IF(VLOOKUP(MONTH(A14),ManualTable,5)=1,(IF(U14&lt;&gt;0,IF(Pricetype=1,(_xll.xSPRDOPT(L14,$E14,$CI14,0,($CD14+IF(Smile=TRUE,VLOOKUP(MAX(-5,$H14-L14),Volsmile,2),0)),$CG14,$CH14,($A14-DateToday)+15,1,1))*(8*$HE14),8*$HE14),0)),0))</f>
        <v xml:space="preserve"> </v>
      </c>
      <c r="AE14" s="254" t="str">
        <f>IF($A14="N/A"," ",IF(VLOOKUP(MONTH(A14),ManualTable,6)=1,(IF(V14&lt;&gt;0,IF(Pricetype=1,(_xll.xSPRDOPT(M14,$E14,$CI14,0,($CD14+IF(Smile=TRUE,VLOOKUP(MAX(-5,$H14-M14),Volsmile,2),0)),$CG14,$CH14,($A14-DateToday)+15,1,1))*(8*$HE14),8*$HE14),0)),0))</f>
        <v xml:space="preserve"> </v>
      </c>
      <c r="AF14" s="254" t="str">
        <f t="shared" si="67"/>
        <v xml:space="preserve"> </v>
      </c>
      <c r="AG14" s="254" t="str">
        <f>IF($A14="N/A"," ",IF(VLOOKUP(MONTH(A14),ManualTable,8)=1,(IF(X14&lt;&gt;0,IF(Pricetype=1,(_xll.xSPRDOPT(O14,$E14,$CI14,0,($CD14+IF(Smile=TRUE,VLOOKUP(MAX(-5,$H14-O14),Volsmile,2),0)),$CG14,$CH14,($A14-DateToday)+15,1,1))*(8*$HF14),8*$HF14),0)),0))</f>
        <v xml:space="preserve"> </v>
      </c>
      <c r="AH14" s="254" t="str">
        <f>IF($A14="N/A"," ",IF(VLOOKUP(MONTH(A14),ManualTable,9)=1,(IF(Y14&lt;&gt;0,IF(Pricetype=1,(_xll.xSPRDOPT(P14,$E14,$CI14,0,($CD14+IF(Smile=TRUE,VLOOKUP(MAX(-5,$H14-P14),Volsmile,2),0)),$CG14,$CH14,($A14-DateToday)+15,1,1))*(8*$HF14),8*$HF14),0)),0))</f>
        <v xml:space="preserve"> </v>
      </c>
      <c r="AI14" s="254" t="str">
        <f t="shared" si="68"/>
        <v xml:space="preserve"> </v>
      </c>
      <c r="AJ14" s="227" t="str">
        <f t="shared" si="69"/>
        <v xml:space="preserve"> </v>
      </c>
      <c r="AK14" s="228" t="str">
        <f t="shared" si="70"/>
        <v xml:space="preserve"> </v>
      </c>
      <c r="AL14" s="228" t="str">
        <f t="shared" si="71"/>
        <v xml:space="preserve"> </v>
      </c>
      <c r="AM14" s="228" t="str">
        <f t="shared" si="72"/>
        <v xml:space="preserve"> </v>
      </c>
      <c r="AN14" s="228" t="str">
        <f t="shared" si="12"/>
        <v xml:space="preserve"> </v>
      </c>
      <c r="AO14" s="228" t="str">
        <f t="shared" si="12"/>
        <v xml:space="preserve"> </v>
      </c>
      <c r="AP14" s="228" t="str">
        <f t="shared" si="73"/>
        <v xml:space="preserve"> </v>
      </c>
      <c r="AQ14" s="228" t="str">
        <f t="shared" si="74"/>
        <v xml:space="preserve"> </v>
      </c>
      <c r="AR14" s="229" t="str">
        <f t="shared" si="75"/>
        <v xml:space="preserve"> </v>
      </c>
      <c r="AS14" s="262">
        <f t="shared" si="13"/>
        <v>0</v>
      </c>
      <c r="AT14" s="263">
        <f t="shared" si="14"/>
        <v>0</v>
      </c>
      <c r="AU14" s="263">
        <f t="shared" si="14"/>
        <v>0</v>
      </c>
      <c r="AV14" s="263">
        <f t="shared" si="15"/>
        <v>0</v>
      </c>
      <c r="AW14" s="263">
        <f t="shared" si="76"/>
        <v>0</v>
      </c>
      <c r="AX14" s="263">
        <f t="shared" si="77"/>
        <v>0</v>
      </c>
      <c r="AY14" s="263">
        <f t="shared" si="16"/>
        <v>0</v>
      </c>
      <c r="AZ14" s="263">
        <f t="shared" si="78"/>
        <v>0</v>
      </c>
      <c r="BA14" s="263">
        <f t="shared" si="17"/>
        <v>0</v>
      </c>
      <c r="BB14" s="229" t="e">
        <f ca="1">SUM(AS4:BA15)</f>
        <v>#N/A</v>
      </c>
      <c r="BC14" s="266">
        <f t="shared" si="18"/>
        <v>0</v>
      </c>
      <c r="BD14" s="269">
        <f t="shared" si="19"/>
        <v>0</v>
      </c>
      <c r="BE14" s="269">
        <f t="shared" si="19"/>
        <v>0</v>
      </c>
      <c r="BF14" s="269">
        <f t="shared" si="20"/>
        <v>0</v>
      </c>
      <c r="BG14" s="269">
        <f t="shared" si="21"/>
        <v>0</v>
      </c>
      <c r="BH14" s="269">
        <f t="shared" si="21"/>
        <v>0</v>
      </c>
      <c r="BI14" s="269">
        <f t="shared" si="22"/>
        <v>0</v>
      </c>
      <c r="BJ14" s="269">
        <f t="shared" si="23"/>
        <v>0</v>
      </c>
      <c r="BK14" s="269">
        <f t="shared" si="24"/>
        <v>0</v>
      </c>
      <c r="BL14" s="229" t="e">
        <f ca="1">SUM(BC4:BK15)</f>
        <v>#N/A</v>
      </c>
      <c r="BM14" s="220" t="str">
        <f>IF($A14="N/A"," ",(IF(MONTH(A14)&gt;=4,IF(MONTH(A14)&lt;=10,Inputs!$F$13-Inputs!$G$13,Inputs!$F$14-Inputs!$G$14),Inputs!$F$14-Inputs!$G$14))*$CK14*Availability)</f>
        <v xml:space="preserve"> </v>
      </c>
      <c r="BN14" s="221" t="str">
        <f t="shared" si="79"/>
        <v xml:space="preserve"> </v>
      </c>
      <c r="BO14" s="221" t="str">
        <f t="shared" si="80"/>
        <v xml:space="preserve"> </v>
      </c>
      <c r="BP14" s="221" t="str">
        <f t="shared" si="81"/>
        <v xml:space="preserve"> </v>
      </c>
      <c r="BQ14" s="221" t="str">
        <f t="shared" si="82"/>
        <v xml:space="preserve"> </v>
      </c>
      <c r="BR14" s="221" t="str">
        <f t="shared" si="83"/>
        <v xml:space="preserve"> </v>
      </c>
      <c r="BS14" s="221" t="str">
        <f t="shared" si="84"/>
        <v xml:space="preserve"> </v>
      </c>
      <c r="BT14" s="221" t="str">
        <f t="shared" si="85"/>
        <v xml:space="preserve"> </v>
      </c>
      <c r="BU14" s="221" t="str">
        <f t="shared" si="86"/>
        <v xml:space="preserve"> </v>
      </c>
      <c r="BV14" s="221" t="str">
        <f t="shared" si="87"/>
        <v xml:space="preserve"> </v>
      </c>
      <c r="BW14" s="221" t="str">
        <f t="shared" si="88"/>
        <v xml:space="preserve"> </v>
      </c>
      <c r="BX14" s="421" t="str">
        <f t="shared" si="89"/>
        <v xml:space="preserve"> </v>
      </c>
      <c r="BY14" s="417" t="str">
        <f t="shared" si="90"/>
        <v xml:space="preserve"> </v>
      </c>
      <c r="BZ14" s="417" t="str">
        <f t="shared" si="91"/>
        <v xml:space="preserve"> </v>
      </c>
      <c r="CA14" s="422" t="str">
        <f t="shared" si="92"/>
        <v xml:space="preserve"> </v>
      </c>
      <c r="CB14" s="347" t="str">
        <f t="shared" si="25"/>
        <v xml:space="preserve"> </v>
      </c>
      <c r="CC14" s="347" t="str">
        <f t="shared" si="93"/>
        <v xml:space="preserve"> </v>
      </c>
      <c r="CD14" s="348" t="str">
        <f t="shared" si="26"/>
        <v xml:space="preserve"> </v>
      </c>
      <c r="CE14" s="347" t="str">
        <f t="shared" si="27"/>
        <v xml:space="preserve"> </v>
      </c>
      <c r="CF14" s="347" t="str">
        <f t="shared" si="28"/>
        <v xml:space="preserve"> </v>
      </c>
      <c r="CG14" s="348" t="str">
        <f t="shared" si="29"/>
        <v xml:space="preserve"> </v>
      </c>
      <c r="CH14" s="347" t="str">
        <f t="shared" si="94"/>
        <v xml:space="preserve"> </v>
      </c>
      <c r="CI14" s="349" t="str">
        <f>IF($A14="N/A"," ",F14+G14+(D14*('Pricing Inputs'!T47)))</f>
        <v xml:space="preserve"> </v>
      </c>
      <c r="CJ14" s="347" t="str">
        <f>IF($A14="N/A"," ",IF(PV=1,0,'Pricing Inputs'!U47))</f>
        <v xml:space="preserve"> </v>
      </c>
      <c r="CK14" s="350" t="str">
        <f t="shared" si="30"/>
        <v xml:space="preserve"> </v>
      </c>
      <c r="CL14" s="365" t="str">
        <f t="shared" si="31"/>
        <v xml:space="preserve"> </v>
      </c>
      <c r="CM14" s="380" t="str">
        <f t="shared" si="95"/>
        <v xml:space="preserve"> </v>
      </c>
      <c r="CN14" s="378" t="str">
        <f t="shared" si="32"/>
        <v xml:space="preserve"> </v>
      </c>
      <c r="CO14" s="378" t="str">
        <f t="shared" si="33"/>
        <v xml:space="preserve"> </v>
      </c>
      <c r="CP14" s="378" t="str">
        <f t="shared" si="34"/>
        <v xml:space="preserve"> </v>
      </c>
      <c r="CQ14" s="378" t="str">
        <f t="shared" si="35"/>
        <v xml:space="preserve"> </v>
      </c>
      <c r="CR14" s="378" t="str">
        <f t="shared" si="36"/>
        <v xml:space="preserve"> </v>
      </c>
      <c r="CS14" s="378" t="str">
        <f t="shared" si="37"/>
        <v xml:space="preserve"> </v>
      </c>
      <c r="CT14" s="378" t="str">
        <f t="shared" si="38"/>
        <v xml:space="preserve"> </v>
      </c>
      <c r="CU14" s="378" t="str">
        <f t="shared" si="39"/>
        <v xml:space="preserve"> </v>
      </c>
      <c r="CV14" s="378" t="str">
        <f t="shared" si="40"/>
        <v xml:space="preserve"> </v>
      </c>
      <c r="CW14" s="254" t="str">
        <f t="shared" si="41"/>
        <v xml:space="preserve"> </v>
      </c>
      <c r="CX14" s="254" t="str">
        <f t="shared" si="42"/>
        <v xml:space="preserve"> </v>
      </c>
      <c r="CY14" s="254" t="str">
        <f t="shared" si="43"/>
        <v xml:space="preserve"> </v>
      </c>
      <c r="CZ14" s="254" t="str">
        <f t="shared" si="44"/>
        <v xml:space="preserve"> </v>
      </c>
      <c r="DA14" s="254" t="str">
        <f t="shared" si="45"/>
        <v xml:space="preserve"> </v>
      </c>
      <c r="DB14" s="254" t="str">
        <f t="shared" si="46"/>
        <v xml:space="preserve"> </v>
      </c>
      <c r="DC14" s="254" t="str">
        <f t="shared" si="47"/>
        <v xml:space="preserve"> </v>
      </c>
      <c r="DD14" s="254" t="str">
        <f t="shared" si="48"/>
        <v xml:space="preserve"> </v>
      </c>
      <c r="DE14" s="254" t="str">
        <f t="shared" si="49"/>
        <v xml:space="preserve"> </v>
      </c>
      <c r="DF14" s="374" t="str">
        <f>IF($A14="N/A"," ",IF(CC=2,(IF(MONTH(A14)&gt;=4,IF(MONTH(A14)&lt;=10,Inputs!$G$13,Inputs!$G$14),Inputs!$G$14))*$CK14,0))</f>
        <v xml:space="preserve"> </v>
      </c>
      <c r="DG14" s="373" t="str">
        <f t="shared" si="50"/>
        <v xml:space="preserve"> </v>
      </c>
      <c r="DH14" s="373" t="str">
        <f t="shared" si="51"/>
        <v xml:space="preserve"> </v>
      </c>
      <c r="DI14" s="373" t="str">
        <f t="shared" si="52"/>
        <v xml:space="preserve"> </v>
      </c>
      <c r="DJ14" s="373" t="str">
        <f t="shared" si="53"/>
        <v xml:space="preserve"> </v>
      </c>
      <c r="DK14" s="373" t="str">
        <f t="shared" si="54"/>
        <v xml:space="preserve"> </v>
      </c>
      <c r="DL14" s="373" t="str">
        <f t="shared" si="55"/>
        <v xml:space="preserve"> </v>
      </c>
      <c r="DM14" s="373" t="str">
        <f t="shared" si="56"/>
        <v xml:space="preserve"> </v>
      </c>
      <c r="DN14" s="373" t="str">
        <f t="shared" si="57"/>
        <v xml:space="preserve"> </v>
      </c>
      <c r="DO14" s="373" t="str">
        <f t="shared" si="58"/>
        <v xml:space="preserve"> </v>
      </c>
      <c r="DP14" s="375" t="str">
        <f t="shared" si="59"/>
        <v xml:space="preserve"> </v>
      </c>
      <c r="DQ14" t="str">
        <f t="shared" si="96"/>
        <v xml:space="preserve"> </v>
      </c>
      <c r="HD14" t="str">
        <f t="shared" si="97"/>
        <v xml:space="preserve"> </v>
      </c>
      <c r="HE14" t="str">
        <f t="shared" si="98"/>
        <v xml:space="preserve"> </v>
      </c>
      <c r="HF14" t="str">
        <f t="shared" si="99"/>
        <v xml:space="preserve"> </v>
      </c>
    </row>
    <row r="15" spans="1:214">
      <c r="A15" s="415" t="str">
        <f>IF(A14="N/A","N/A",IF(EDATE(A14,1)&gt;Inputs!$K$3,"N/A",EDATE(A14,1)))</f>
        <v>N/A</v>
      </c>
      <c r="B15" s="410" t="str">
        <f t="shared" si="60"/>
        <v xml:space="preserve"> </v>
      </c>
      <c r="C15" s="411" t="str">
        <f t="shared" si="61"/>
        <v xml:space="preserve"> </v>
      </c>
      <c r="D15" s="412" t="str">
        <f t="shared" si="62"/>
        <v xml:space="preserve"> </v>
      </c>
      <c r="E15" s="413" t="str">
        <f>IF($A15="N/A"," ",(C15-'Pricing Inputs'!T48)*D15)</f>
        <v xml:space="preserve"> </v>
      </c>
      <c r="F15" s="414" t="str">
        <f t="shared" si="63"/>
        <v xml:space="preserve"> </v>
      </c>
      <c r="G15" s="414" t="str">
        <f t="shared" si="64"/>
        <v xml:space="preserve"> </v>
      </c>
      <c r="H15" s="416" t="str">
        <f t="shared" si="65"/>
        <v xml:space="preserve"> </v>
      </c>
      <c r="I15" s="213" t="str">
        <f t="shared" si="0"/>
        <v xml:space="preserve"> </v>
      </c>
      <c r="J15" s="213" t="str">
        <f t="shared" si="1"/>
        <v xml:space="preserve"> </v>
      </c>
      <c r="K15" s="213" t="str">
        <f t="shared" si="2"/>
        <v xml:space="preserve"> </v>
      </c>
      <c r="L15" s="213" t="str">
        <f t="shared" si="3"/>
        <v xml:space="preserve"> </v>
      </c>
      <c r="M15" s="213" t="str">
        <f t="shared" si="4"/>
        <v xml:space="preserve"> </v>
      </c>
      <c r="N15" s="213" t="str">
        <f t="shared" si="5"/>
        <v xml:space="preserve"> </v>
      </c>
      <c r="O15" s="213" t="str">
        <f t="shared" si="6"/>
        <v xml:space="preserve"> </v>
      </c>
      <c r="P15" s="213" t="str">
        <f t="shared" si="7"/>
        <v xml:space="preserve"> </v>
      </c>
      <c r="Q15" s="213" t="str">
        <f t="shared" si="8"/>
        <v xml:space="preserve"> </v>
      </c>
      <c r="R15" s="405" t="str">
        <f>IF($A15="N/A"," ",IF(Pricetype=2,MAX(I15-$H15,0),IF(Pricetype=1,(_xll.xSPRDOPT(I15,$E15,$CI15,0,($CD15+IF(Smile=TRUE,VLOOKUP(MAX(-5,$H15-I15),Volsmile,2),0)),$CG15,$CH15,($A15-DateToday)+15,1,0)),I15-$H15)))</f>
        <v xml:space="preserve"> </v>
      </c>
      <c r="S15" s="405" t="str">
        <f>IF($A15="N/A"," ",IF(Pricetype=2,MAX(J15-$H15,0),IF(Pricetype=1,(_xll.xSPRDOPT(J15,$E15,$CI15,0,($CD15+IF(Smile=TRUE,VLOOKUP(MAX(-5,$H15-J15),Volsmile,2),0)),$CG15,$CH15,($A15-DateToday)+15,1,0)),J15-$H15)))</f>
        <v xml:space="preserve"> </v>
      </c>
      <c r="T15" s="406" t="str">
        <f t="shared" si="9"/>
        <v xml:space="preserve"> </v>
      </c>
      <c r="U15" s="405" t="str">
        <f>IF($A15="N/A"," ",IF(Pricetype=2,MAX(L15-$H15,0),IF(L15&lt;&gt;0,IF(Pricetype=1,(_xll.xSPRDOPT(L15,$E15,$CI15,0,($CD15+IF(Smile=TRUE,VLOOKUP(MAX(-5,$H15-L15),Volsmile,2),0)),$CG15,$CH15,($A15-DateToday)+15,1,0)),L15-$H15),0)))</f>
        <v xml:space="preserve"> </v>
      </c>
      <c r="V15" s="405" t="str">
        <f>IF($A15="N/A"," ",IF(Pricetype=2,MAX(M15-$H15,0),IF(M15&lt;&gt;0,IF(Pricetype=1,(_xll.xSPRDOPT(M15,$E15,$CI15,0,($CD15+IF(Smile=TRUE,VLOOKUP(MAX(-5,$H15-M15),Volsmile,2),0)),$CG15,$CH15,($A15-DateToday)+15,1,0)),M15-$H15),0)))</f>
        <v xml:space="preserve"> </v>
      </c>
      <c r="W15" s="406" t="str">
        <f t="shared" si="10"/>
        <v xml:space="preserve"> </v>
      </c>
      <c r="X15" s="405" t="str">
        <f>IF($A15="N/A"," ",IF(Pricetype=2,MAX(O15-$H15,0),IF(O15&lt;&gt;0,IF(Pricetype=1,(_xll.xSPRDOPT(O15,$E15,$CI15,0,($CD15+IF(Smile=TRUE,VLOOKUP(MAX(-5,$H15-O15),Volsmile,2),0)),$CG15,$CH15,($A15-DateToday)+15,1,0)),O15-$H15),0)))</f>
        <v xml:space="preserve"> </v>
      </c>
      <c r="Y15" s="405" t="str">
        <f>IF($A15="N/A"," ",IF(Pricetype=2,MAX(P15-$H15,0),IF(P15&lt;&gt;0,IF(Pricetype=1,(_xll.xSPRDOPT(P15,$E15,$CI15,0,($CD15+IF(Smile=TRUE,VLOOKUP(MAX(-5,$H15-P15),Volsmile,2),0)),$CG15,$CH15,($A15-DateToday)+15,1,0)),P15-$H15),0)))</f>
        <v xml:space="preserve"> </v>
      </c>
      <c r="Z15" s="406" t="str">
        <f t="shared" si="11"/>
        <v xml:space="preserve"> </v>
      </c>
      <c r="AA15" s="254" t="str">
        <f>IF($A15="N/A"," ",IF(VLOOKUP(MONTH(A15),ManualTable,2)=1,(IF(0&lt;&gt;R15,IF(Pricetype=1,(_xll.xSPRDOPT(I15,$E15,$CI15,0,($CD15+IF(Smile=TRUE,VLOOKUP(MAX(-5,$H15-I15),Volsmile,2),0)),$CG15,$CH15,($A15-DateToday)+15,1,1))*(8*$HD15),8*$HD15),0)),0))</f>
        <v xml:space="preserve"> </v>
      </c>
      <c r="AB15" s="254" t="str">
        <f>IF($A15="N/A"," ",IF(VLOOKUP(MONTH(A15),ManualTable,3)=1,(IF(S15&lt;&gt;0,IF(Pricetype=1,(_xll.xSPRDOPT(J15,$E15,$CI15,0,($CD15+IF(Smile=TRUE,VLOOKUP(MAX(-5,$H15-J15),Volsmile,2),0)),$CG15,$CH15,($A15-DateToday)+15,1,1))*(8*$HD15),8*$HD15),0)),0))</f>
        <v xml:space="preserve"> </v>
      </c>
      <c r="AC15" s="254" t="str">
        <f t="shared" si="66"/>
        <v xml:space="preserve"> </v>
      </c>
      <c r="AD15" s="254" t="str">
        <f>IF($A15="N/A"," ",IF(VLOOKUP(MONTH(A15),ManualTable,5)=1,(IF(U15&lt;&gt;0,IF(Pricetype=1,(_xll.xSPRDOPT(L15,$E15,$CI15,0,($CD15+IF(Smile=TRUE,VLOOKUP(MAX(-5,$H15-L15),Volsmile,2),0)),$CG15,$CH15,($A15-DateToday)+15,1,1))*(8*$HE15),8*$HE15),0)),0))</f>
        <v xml:space="preserve"> </v>
      </c>
      <c r="AE15" s="254" t="str">
        <f>IF($A15="N/A"," ",IF(VLOOKUP(MONTH(A15),ManualTable,6)=1,(IF(V15&lt;&gt;0,IF(Pricetype=1,(_xll.xSPRDOPT(M15,$E15,$CI15,0,($CD15+IF(Smile=TRUE,VLOOKUP(MAX(-5,$H15-M15),Volsmile,2),0)),$CG15,$CH15,($A15-DateToday)+15,1,1))*(8*$HE15),8*$HE15),0)),0))</f>
        <v xml:space="preserve"> </v>
      </c>
      <c r="AF15" s="254" t="str">
        <f t="shared" si="67"/>
        <v xml:space="preserve"> </v>
      </c>
      <c r="AG15" s="254" t="str">
        <f>IF($A15="N/A"," ",IF(VLOOKUP(MONTH(A15),ManualTable,8)=1,(IF(X15&lt;&gt;0,IF(Pricetype=1,(_xll.xSPRDOPT(O15,$E15,$CI15,0,($CD15+IF(Smile=TRUE,VLOOKUP(MAX(-5,$H15-O15),Volsmile,2),0)),$CG15,$CH15,($A15-DateToday)+15,1,1))*(8*$HF15),8*$HF15),0)),0))</f>
        <v xml:space="preserve"> </v>
      </c>
      <c r="AH15" s="254" t="str">
        <f>IF($A15="N/A"," ",IF(VLOOKUP(MONTH(A15),ManualTable,9)=1,(IF(Y15&lt;&gt;0,IF(Pricetype=1,(_xll.xSPRDOPT(P15,$E15,$CI15,0,($CD15+IF(Smile=TRUE,VLOOKUP(MAX(-5,$H15-P15),Volsmile,2),0)),$CG15,$CH15,($A15-DateToday)+15,1,1))*(8*$HF15),8*$HF15),0)),0))</f>
        <v xml:space="preserve"> </v>
      </c>
      <c r="AI15" s="254" t="str">
        <f t="shared" si="68"/>
        <v xml:space="preserve"> </v>
      </c>
      <c r="AJ15" s="230" t="str">
        <f t="shared" si="69"/>
        <v xml:space="preserve"> </v>
      </c>
      <c r="AK15" s="231" t="str">
        <f t="shared" si="70"/>
        <v xml:space="preserve"> </v>
      </c>
      <c r="AL15" s="231" t="str">
        <f t="shared" si="71"/>
        <v xml:space="preserve"> </v>
      </c>
      <c r="AM15" s="231" t="str">
        <f t="shared" si="72"/>
        <v xml:space="preserve"> </v>
      </c>
      <c r="AN15" s="231" t="str">
        <f t="shared" si="12"/>
        <v xml:space="preserve"> </v>
      </c>
      <c r="AO15" s="228" t="str">
        <f t="shared" si="12"/>
        <v xml:space="preserve"> </v>
      </c>
      <c r="AP15" s="231" t="str">
        <f t="shared" si="73"/>
        <v xml:space="preserve"> </v>
      </c>
      <c r="AQ15" s="231" t="str">
        <f t="shared" si="74"/>
        <v xml:space="preserve"> </v>
      </c>
      <c r="AR15" s="232" t="str">
        <f t="shared" si="75"/>
        <v xml:space="preserve"> </v>
      </c>
      <c r="AS15" s="264">
        <f t="shared" si="13"/>
        <v>0</v>
      </c>
      <c r="AT15" s="265">
        <f t="shared" si="14"/>
        <v>0</v>
      </c>
      <c r="AU15" s="265">
        <f t="shared" si="14"/>
        <v>0</v>
      </c>
      <c r="AV15" s="265">
        <f t="shared" si="15"/>
        <v>0</v>
      </c>
      <c r="AW15" s="265">
        <f t="shared" si="76"/>
        <v>0</v>
      </c>
      <c r="AX15" s="265">
        <f t="shared" si="77"/>
        <v>0</v>
      </c>
      <c r="AY15" s="265">
        <f t="shared" si="16"/>
        <v>0</v>
      </c>
      <c r="AZ15" s="265">
        <f t="shared" si="78"/>
        <v>0</v>
      </c>
      <c r="BA15" s="265">
        <f t="shared" si="17"/>
        <v>0</v>
      </c>
      <c r="BB15" s="232" t="e">
        <f ca="1">IF(($AZ$2-BB14)&gt;=0,$AZ$2-BB14,0)</f>
        <v>#N/A</v>
      </c>
      <c r="BC15" s="270">
        <f t="shared" si="18"/>
        <v>0</v>
      </c>
      <c r="BD15" s="271">
        <f t="shared" si="19"/>
        <v>0</v>
      </c>
      <c r="BE15" s="269">
        <f t="shared" si="19"/>
        <v>0</v>
      </c>
      <c r="BF15" s="271">
        <f t="shared" si="20"/>
        <v>0</v>
      </c>
      <c r="BG15" s="271">
        <f t="shared" si="21"/>
        <v>0</v>
      </c>
      <c r="BH15" s="269">
        <f t="shared" si="21"/>
        <v>0</v>
      </c>
      <c r="BI15" s="271">
        <f t="shared" si="22"/>
        <v>0</v>
      </c>
      <c r="BJ15" s="271">
        <f t="shared" si="23"/>
        <v>0</v>
      </c>
      <c r="BK15" s="271">
        <f t="shared" si="24"/>
        <v>0</v>
      </c>
      <c r="BL15" s="235" t="e">
        <f ca="1">BB14+BL14</f>
        <v>#N/A</v>
      </c>
      <c r="BM15" s="220" t="str">
        <f>IF($A15="N/A"," ",(IF(MONTH(A15)&gt;=4,IF(MONTH(A15)&lt;=10,Inputs!$F$13-Inputs!$G$13,Inputs!$F$14-Inputs!$G$14),Inputs!$F$14-Inputs!$G$14))*$CK15*Availability)</f>
        <v xml:space="preserve"> </v>
      </c>
      <c r="BN15" s="221" t="str">
        <f t="shared" si="79"/>
        <v xml:space="preserve"> </v>
      </c>
      <c r="BO15" s="221" t="str">
        <f t="shared" si="80"/>
        <v xml:space="preserve"> </v>
      </c>
      <c r="BP15" s="221" t="str">
        <f t="shared" si="81"/>
        <v xml:space="preserve"> </v>
      </c>
      <c r="BQ15" s="221" t="str">
        <f t="shared" si="82"/>
        <v xml:space="preserve"> </v>
      </c>
      <c r="BR15" s="221" t="str">
        <f t="shared" si="83"/>
        <v xml:space="preserve"> </v>
      </c>
      <c r="BS15" s="221" t="str">
        <f t="shared" si="84"/>
        <v xml:space="preserve"> </v>
      </c>
      <c r="BT15" s="221" t="str">
        <f t="shared" si="85"/>
        <v xml:space="preserve"> </v>
      </c>
      <c r="BU15" s="221" t="str">
        <f t="shared" si="86"/>
        <v xml:space="preserve"> </v>
      </c>
      <c r="BV15" s="221" t="str">
        <f t="shared" si="87"/>
        <v xml:space="preserve"> </v>
      </c>
      <c r="BW15" s="221" t="str">
        <f t="shared" si="88"/>
        <v xml:space="preserve"> </v>
      </c>
      <c r="BX15" s="421" t="str">
        <f t="shared" si="89"/>
        <v xml:space="preserve"> </v>
      </c>
      <c r="BY15" s="417" t="str">
        <f t="shared" si="90"/>
        <v xml:space="preserve"> </v>
      </c>
      <c r="BZ15" s="417" t="str">
        <f t="shared" si="91"/>
        <v xml:space="preserve"> </v>
      </c>
      <c r="CA15" s="422" t="str">
        <f t="shared" si="92"/>
        <v xml:space="preserve"> </v>
      </c>
      <c r="CB15" s="347" t="str">
        <f t="shared" si="25"/>
        <v xml:space="preserve"> </v>
      </c>
      <c r="CC15" s="347" t="str">
        <f t="shared" si="93"/>
        <v xml:space="preserve"> </v>
      </c>
      <c r="CD15" s="348" t="str">
        <f t="shared" si="26"/>
        <v xml:space="preserve"> </v>
      </c>
      <c r="CE15" s="347" t="str">
        <f t="shared" si="27"/>
        <v xml:space="preserve"> </v>
      </c>
      <c r="CF15" s="347" t="str">
        <f t="shared" si="28"/>
        <v xml:space="preserve"> </v>
      </c>
      <c r="CG15" s="348" t="str">
        <f t="shared" si="29"/>
        <v xml:space="preserve"> </v>
      </c>
      <c r="CH15" s="347" t="str">
        <f t="shared" si="94"/>
        <v xml:space="preserve"> </v>
      </c>
      <c r="CI15" s="349" t="str">
        <f>IF($A15="N/A"," ",F15+G15+(D15*('Pricing Inputs'!T48)))</f>
        <v xml:space="preserve"> </v>
      </c>
      <c r="CJ15" s="347" t="str">
        <f>IF($A15="N/A"," ",IF(PV=1,0,'Pricing Inputs'!U48))</f>
        <v xml:space="preserve"> </v>
      </c>
      <c r="CK15" s="350" t="str">
        <f t="shared" si="30"/>
        <v xml:space="preserve"> </v>
      </c>
      <c r="CL15" s="365" t="str">
        <f t="shared" si="31"/>
        <v xml:space="preserve"> </v>
      </c>
      <c r="CM15" s="380" t="str">
        <f t="shared" si="95"/>
        <v xml:space="preserve"> </v>
      </c>
      <c r="CN15" s="378" t="str">
        <f t="shared" si="32"/>
        <v xml:space="preserve"> </v>
      </c>
      <c r="CO15" s="378" t="str">
        <f t="shared" si="33"/>
        <v xml:space="preserve"> </v>
      </c>
      <c r="CP15" s="378" t="str">
        <f t="shared" si="34"/>
        <v xml:space="preserve"> </v>
      </c>
      <c r="CQ15" s="378" t="str">
        <f t="shared" si="35"/>
        <v xml:space="preserve"> </v>
      </c>
      <c r="CR15" s="378" t="str">
        <f t="shared" si="36"/>
        <v xml:space="preserve"> </v>
      </c>
      <c r="CS15" s="378" t="str">
        <f t="shared" si="37"/>
        <v xml:space="preserve"> </v>
      </c>
      <c r="CT15" s="378" t="str">
        <f t="shared" si="38"/>
        <v xml:space="preserve"> </v>
      </c>
      <c r="CU15" s="378" t="str">
        <f t="shared" si="39"/>
        <v xml:space="preserve"> </v>
      </c>
      <c r="CV15" s="378" t="str">
        <f t="shared" si="40"/>
        <v xml:space="preserve"> </v>
      </c>
      <c r="CW15" s="254" t="str">
        <f t="shared" si="41"/>
        <v xml:space="preserve"> </v>
      </c>
      <c r="CX15" s="254" t="str">
        <f t="shared" si="42"/>
        <v xml:space="preserve"> </v>
      </c>
      <c r="CY15" s="254" t="str">
        <f t="shared" si="43"/>
        <v xml:space="preserve"> </v>
      </c>
      <c r="CZ15" s="254" t="str">
        <f t="shared" si="44"/>
        <v xml:space="preserve"> </v>
      </c>
      <c r="DA15" s="254" t="str">
        <f t="shared" si="45"/>
        <v xml:space="preserve"> </v>
      </c>
      <c r="DB15" s="254" t="str">
        <f t="shared" si="46"/>
        <v xml:space="preserve"> </v>
      </c>
      <c r="DC15" s="254" t="str">
        <f t="shared" si="47"/>
        <v xml:space="preserve"> </v>
      </c>
      <c r="DD15" s="254" t="str">
        <f t="shared" si="48"/>
        <v xml:space="preserve"> </v>
      </c>
      <c r="DE15" s="254" t="str">
        <f t="shared" si="49"/>
        <v xml:space="preserve"> </v>
      </c>
      <c r="DF15" s="374" t="str">
        <f>IF($A15="N/A"," ",IF(CC=2,(IF(MONTH(A15)&gt;=4,IF(MONTH(A15)&lt;=10,Inputs!$G$13,Inputs!$G$14),Inputs!$G$14))*$CK15,0))</f>
        <v xml:space="preserve"> </v>
      </c>
      <c r="DG15" s="373" t="str">
        <f t="shared" si="50"/>
        <v xml:space="preserve"> </v>
      </c>
      <c r="DH15" s="373" t="str">
        <f t="shared" si="51"/>
        <v xml:space="preserve"> </v>
      </c>
      <c r="DI15" s="373" t="str">
        <f t="shared" si="52"/>
        <v xml:space="preserve"> </v>
      </c>
      <c r="DJ15" s="373" t="str">
        <f t="shared" si="53"/>
        <v xml:space="preserve"> </v>
      </c>
      <c r="DK15" s="373" t="str">
        <f t="shared" si="54"/>
        <v xml:space="preserve"> </v>
      </c>
      <c r="DL15" s="373" t="str">
        <f t="shared" si="55"/>
        <v xml:space="preserve"> </v>
      </c>
      <c r="DM15" s="373" t="str">
        <f t="shared" si="56"/>
        <v xml:space="preserve"> </v>
      </c>
      <c r="DN15" s="373" t="str">
        <f t="shared" si="57"/>
        <v xml:space="preserve"> </v>
      </c>
      <c r="DO15" s="373" t="str">
        <f t="shared" si="58"/>
        <v xml:space="preserve"> </v>
      </c>
      <c r="DP15" s="375" t="str">
        <f t="shared" si="59"/>
        <v xml:space="preserve"> </v>
      </c>
      <c r="DQ15" t="str">
        <f t="shared" si="96"/>
        <v xml:space="preserve"> </v>
      </c>
      <c r="HD15" t="str">
        <f t="shared" si="97"/>
        <v xml:space="preserve"> </v>
      </c>
      <c r="HE15" t="str">
        <f t="shared" si="98"/>
        <v xml:space="preserve"> </v>
      </c>
      <c r="HF15" t="str">
        <f t="shared" si="99"/>
        <v xml:space="preserve"> </v>
      </c>
    </row>
    <row r="16" spans="1:214">
      <c r="A16" s="415" t="str">
        <f>IF(A15="N/A","N/A",IF(EDATE(A15,1)&gt;Inputs!$K$3,"N/A",EDATE(A15,1)))</f>
        <v>N/A</v>
      </c>
      <c r="B16" s="410" t="str">
        <f t="shared" si="60"/>
        <v xml:space="preserve"> </v>
      </c>
      <c r="C16" s="411" t="str">
        <f t="shared" si="61"/>
        <v xml:space="preserve"> </v>
      </c>
      <c r="D16" s="412" t="str">
        <f t="shared" si="62"/>
        <v xml:space="preserve"> </v>
      </c>
      <c r="E16" s="413" t="str">
        <f>IF($A16="N/A"," ",(C16-'Pricing Inputs'!T49)*D16)</f>
        <v xml:space="preserve"> </v>
      </c>
      <c r="F16" s="414" t="str">
        <f>IF(A16="N/A"," ",$F4*(1+VOMesc))</f>
        <v xml:space="preserve"> </v>
      </c>
      <c r="G16" s="414" t="str">
        <f t="shared" si="64"/>
        <v xml:space="preserve"> </v>
      </c>
      <c r="H16" s="416" t="str">
        <f t="shared" si="65"/>
        <v xml:space="preserve"> </v>
      </c>
      <c r="I16" s="213" t="str">
        <f t="shared" si="0"/>
        <v xml:space="preserve"> </v>
      </c>
      <c r="J16" s="213" t="str">
        <f t="shared" si="1"/>
        <v xml:space="preserve"> </v>
      </c>
      <c r="K16" s="213" t="str">
        <f t="shared" si="2"/>
        <v xml:space="preserve"> </v>
      </c>
      <c r="L16" s="213" t="str">
        <f t="shared" si="3"/>
        <v xml:space="preserve"> </v>
      </c>
      <c r="M16" s="213" t="str">
        <f t="shared" si="4"/>
        <v xml:space="preserve"> </v>
      </c>
      <c r="N16" s="213" t="str">
        <f t="shared" si="5"/>
        <v xml:space="preserve"> </v>
      </c>
      <c r="O16" s="213" t="str">
        <f t="shared" si="6"/>
        <v xml:space="preserve"> </v>
      </c>
      <c r="P16" s="213" t="str">
        <f t="shared" si="7"/>
        <v xml:space="preserve"> </v>
      </c>
      <c r="Q16" s="213" t="str">
        <f t="shared" si="8"/>
        <v xml:space="preserve"> </v>
      </c>
      <c r="R16" s="405" t="str">
        <f>IF($A16="N/A"," ",IF(Pricetype=2,MAX(I16-$H16,0),IF(Pricetype=1,(_xll.xSPRDOPT(I16,$E16,$CI16,0,($CD16+IF(Smile=TRUE,VLOOKUP(MAX(-5,$H16-I16),Volsmile,2),0)),$CG16,$CH16,($A16-DateToday)+15,1,0)),I16-$H16)))</f>
        <v xml:space="preserve"> </v>
      </c>
      <c r="S16" s="405" t="str">
        <f>IF($A16="N/A"," ",IF(Pricetype=2,MAX(J16-$H16,0),IF(Pricetype=1,(_xll.xSPRDOPT(J16,$E16,$CI16,0,($CD16+IF(Smile=TRUE,VLOOKUP(MAX(-5,$H16-J16),Volsmile,2),0)),$CG16,$CH16,($A16-DateToday)+15,1,0)),J16-$H16)))</f>
        <v xml:space="preserve"> </v>
      </c>
      <c r="T16" s="406" t="str">
        <f t="shared" si="9"/>
        <v xml:space="preserve"> </v>
      </c>
      <c r="U16" s="405" t="str">
        <f>IF($A16="N/A"," ",IF(Pricetype=2,MAX(L16-$H16,0),IF(L16&lt;&gt;0,IF(Pricetype=1,(_xll.xSPRDOPT(L16,$E16,$CI16,0,($CD16+IF(Smile=TRUE,VLOOKUP(MAX(-5,$H16-L16),Volsmile,2),0)),$CG16,$CH16,($A16-DateToday)+15,1,0)),L16-$H16),0)))</f>
        <v xml:space="preserve"> </v>
      </c>
      <c r="V16" s="405" t="str">
        <f>IF($A16="N/A"," ",IF(Pricetype=2,MAX(M16-$H16,0),IF(M16&lt;&gt;0,IF(Pricetype=1,(_xll.xSPRDOPT(M16,$E16,$CI16,0,($CD16+IF(Smile=TRUE,VLOOKUP(MAX(-5,$H16-M16),Volsmile,2),0)),$CG16,$CH16,($A16-DateToday)+15,1,0)),M16-$H16),0)))</f>
        <v xml:space="preserve"> </v>
      </c>
      <c r="W16" s="406" t="str">
        <f t="shared" si="10"/>
        <v xml:space="preserve"> </v>
      </c>
      <c r="X16" s="405" t="str">
        <f>IF($A16="N/A"," ",IF(Pricetype=2,MAX(O16-$H16,0),IF(O16&lt;&gt;0,IF(Pricetype=1,(_xll.xSPRDOPT(O16,$E16,$CI16,0,($CD16+IF(Smile=TRUE,VLOOKUP(MAX(-5,$H16-O16),Volsmile,2),0)),$CG16,$CH16,($A16-DateToday)+15,1,0)),O16-$H16),0)))</f>
        <v xml:space="preserve"> </v>
      </c>
      <c r="Y16" s="405" t="str">
        <f>IF($A16="N/A"," ",IF(Pricetype=2,MAX(P16-$H16,0),IF(P16&lt;&gt;0,IF(Pricetype=1,(_xll.xSPRDOPT(P16,$E16,$CI16,0,($CD16+IF(Smile=TRUE,VLOOKUP(MAX(-5,$H16-P16),Volsmile,2),0)),$CG16,$CH16,($A16-DateToday)+15,1,0)),P16-$H16),0)))</f>
        <v xml:space="preserve"> </v>
      </c>
      <c r="Z16" s="406" t="str">
        <f t="shared" si="11"/>
        <v xml:space="preserve"> </v>
      </c>
      <c r="AA16" s="254" t="str">
        <f>IF($A16="N/A"," ",IF(VLOOKUP(MONTH(A16),ManualTable,2)=1,(IF(0&lt;&gt;R16,IF(Pricetype=1,(_xll.xSPRDOPT(I16,$E16,$CI16,0,($CD16+IF(Smile=TRUE,VLOOKUP(MAX(-5,$H16-I16),Volsmile,2),0)),$CG16,$CH16,($A16-DateToday)+15,1,1))*(8*$HD16),8*$HD16),0)),0))</f>
        <v xml:space="preserve"> </v>
      </c>
      <c r="AB16" s="254" t="str">
        <f>IF($A16="N/A"," ",IF(VLOOKUP(MONTH(A16),ManualTable,3)=1,(IF(S16&lt;&gt;0,IF(Pricetype=1,(_xll.xSPRDOPT(J16,$E16,$CI16,0,($CD16+IF(Smile=TRUE,VLOOKUP(MAX(-5,$H16-J16),Volsmile,2),0)),$CG16,$CH16,($A16-DateToday)+15,1,1))*(8*$HD16),8*$HD16),0)),0))</f>
        <v xml:space="preserve"> </v>
      </c>
      <c r="AC16" s="254" t="str">
        <f t="shared" si="66"/>
        <v xml:space="preserve"> </v>
      </c>
      <c r="AD16" s="254" t="str">
        <f>IF($A16="N/A"," ",IF(VLOOKUP(MONTH(A16),ManualTable,5)=1,(IF(U16&lt;&gt;0,IF(Pricetype=1,(_xll.xSPRDOPT(L16,$E16,$CI16,0,($CD16+IF(Smile=TRUE,VLOOKUP(MAX(-5,$H16-L16),Volsmile,2),0)),$CG16,$CH16,($A16-DateToday)+15,1,1))*(8*$HE16),8*$HE16),0)),0))</f>
        <v xml:space="preserve"> </v>
      </c>
      <c r="AE16" s="254" t="str">
        <f>IF($A16="N/A"," ",IF(VLOOKUP(MONTH(A16),ManualTable,6)=1,(IF(V16&lt;&gt;0,IF(Pricetype=1,(_xll.xSPRDOPT(M16,$E16,$CI16,0,($CD16+IF(Smile=TRUE,VLOOKUP(MAX(-5,$H16-M16),Volsmile,2),0)),$CG16,$CH16,($A16-DateToday)+15,1,1))*(8*$HE16),8*$HE16),0)),0))</f>
        <v xml:space="preserve"> </v>
      </c>
      <c r="AF16" s="254" t="str">
        <f t="shared" si="67"/>
        <v xml:space="preserve"> </v>
      </c>
      <c r="AG16" s="254" t="str">
        <f>IF($A16="N/A"," ",IF(VLOOKUP(MONTH(A16),ManualTable,8)=1,(IF(X16&lt;&gt;0,IF(Pricetype=1,(_xll.xSPRDOPT(O16,$E16,$CI16,0,($CD16+IF(Smile=TRUE,VLOOKUP(MAX(-5,$H16-O16),Volsmile,2),0)),$CG16,$CH16,($A16-DateToday)+15,1,1))*(8*$HF16),8*$HF16),0)),0))</f>
        <v xml:space="preserve"> </v>
      </c>
      <c r="AH16" s="254" t="str">
        <f>IF($A16="N/A"," ",IF(VLOOKUP(MONTH(A16),ManualTable,9)=1,(IF(Y16&lt;&gt;0,IF(Pricetype=1,(_xll.xSPRDOPT(P16,$E16,$CI16,0,($CD16+IF(Smile=TRUE,VLOOKUP(MAX(-5,$H16-P16),Volsmile,2),0)),$CG16,$CH16,($A16-DateToday)+15,1,1))*(8*$HF16),8*$HF16),0)),0))</f>
        <v xml:space="preserve"> </v>
      </c>
      <c r="AI16" s="254" t="str">
        <f t="shared" si="68"/>
        <v xml:space="preserve"> </v>
      </c>
      <c r="AJ16" s="224" t="str">
        <f>IF($A16="N/A"," ",RANK(R16,$R$16:$Z$27))</f>
        <v xml:space="preserve"> </v>
      </c>
      <c r="AK16" s="225" t="str">
        <f>IF($A16="N/A"," ",RANK(S16,$R$16:$Z$27))</f>
        <v xml:space="preserve"> </v>
      </c>
      <c r="AL16" s="228" t="str">
        <f t="shared" ref="AK16:AL27" si="100">IF($A16="N/A"," ",RANK(T16,$R$16:$Z$27))</f>
        <v xml:space="preserve"> </v>
      </c>
      <c r="AM16" s="225" t="str">
        <f t="shared" ref="AM16:AR16" si="101">IF($A16="N/A"," ",RANK(U16,$R$16:$Z$27))</f>
        <v xml:space="preserve"> </v>
      </c>
      <c r="AN16" s="225" t="str">
        <f t="shared" si="101"/>
        <v xml:space="preserve"> </v>
      </c>
      <c r="AO16" s="225" t="str">
        <f t="shared" si="101"/>
        <v xml:space="preserve"> </v>
      </c>
      <c r="AP16" s="225" t="str">
        <f t="shared" si="101"/>
        <v xml:space="preserve"> </v>
      </c>
      <c r="AQ16" s="225" t="str">
        <f t="shared" si="101"/>
        <v xml:space="preserve"> </v>
      </c>
      <c r="AR16" s="226" t="str">
        <f t="shared" si="101"/>
        <v xml:space="preserve"> </v>
      </c>
      <c r="AS16" s="260" t="str">
        <f t="shared" ref="AS16:AS79" si="102">IF($A16="N/A"," ",IF(AJ16&lt;=$AR$2,AA16,0))</f>
        <v xml:space="preserve"> </v>
      </c>
      <c r="AT16" s="261" t="str">
        <f t="shared" ref="AT16:AU79" si="103">IF($A16="N/A"," ",IF(AK16&lt;=$AR$2,AB16,0))</f>
        <v xml:space="preserve"> </v>
      </c>
      <c r="AU16" s="263" t="str">
        <f t="shared" si="103"/>
        <v xml:space="preserve"> </v>
      </c>
      <c r="AV16" s="261" t="str">
        <f t="shared" ref="AV16:AV79" si="104">IF($A16="N/A"," ",IF(AM16&lt;=$AR$2,AD16,0))</f>
        <v xml:space="preserve"> </v>
      </c>
      <c r="AW16" s="263" t="str">
        <f t="shared" ref="AW16:AX79" si="105">IF($A16="N/A"," ",IF(AN16&lt;=$AR$2,AE16,0))</f>
        <v xml:space="preserve"> </v>
      </c>
      <c r="AX16" s="263" t="str">
        <f t="shared" si="105"/>
        <v xml:space="preserve"> </v>
      </c>
      <c r="AY16" s="261" t="str">
        <f t="shared" ref="AY16:AY79" si="106">IF($A16="N/A"," ",IF(AP16&lt;=$AR$2,AG16,0))</f>
        <v xml:space="preserve"> </v>
      </c>
      <c r="AZ16" s="261" t="str">
        <f t="shared" ref="AZ16:AZ79" si="107">IF($A16="N/A"," ",IF(AQ16&lt;=$AR$2,AH16,0))</f>
        <v xml:space="preserve"> </v>
      </c>
      <c r="BA16" s="261" t="str">
        <f t="shared" ref="BA16:BA79" si="108">IF($A16="N/A"," ",IF(AR16&lt;=$AR$2,AI16,0))</f>
        <v xml:space="preserve"> </v>
      </c>
      <c r="BB16" s="225"/>
      <c r="BC16" s="272" t="str">
        <f t="shared" ref="BC16:BC27" si="109">IF($A16="N/A"," ",IF(AND(AJ16=$AR$2+1,AS16=0),MIN($BB$27,AA16),0))</f>
        <v xml:space="preserve"> </v>
      </c>
      <c r="BD16" s="267" t="str">
        <f t="shared" ref="BD16:BE27" si="110">IF($A16="N/A"," ",IF(AND(AK16=$AR$2+1,AT16=0),MIN($BB$27,AB16),0))</f>
        <v xml:space="preserve"> </v>
      </c>
      <c r="BE16" s="267" t="str">
        <f t="shared" si="110"/>
        <v xml:space="preserve"> </v>
      </c>
      <c r="BF16" s="267" t="str">
        <f t="shared" ref="BF16:BF27" si="111">IF($A16="N/A"," ",IF(AND(AM16=$AR$2+1,AV16=0),MIN($BB$27,AD16),0))</f>
        <v xml:space="preserve"> </v>
      </c>
      <c r="BG16" s="267" t="str">
        <f t="shared" ref="BG16:BH27" si="112">IF($A16="N/A"," ",IF(AND(AN16=$AR$2+1,AW16=0),MIN($BB$27,AE16),0))</f>
        <v xml:space="preserve"> </v>
      </c>
      <c r="BH16" s="267" t="str">
        <f t="shared" si="112"/>
        <v xml:space="preserve"> </v>
      </c>
      <c r="BI16" s="267" t="str">
        <f t="shared" ref="BI16:BI27" si="113">IF($A16="N/A"," ",IF(AND(AP16=$AR$2+1,AY16=0),MIN($BB$27,AG16),0))</f>
        <v xml:space="preserve"> </v>
      </c>
      <c r="BJ16" s="267" t="str">
        <f t="shared" ref="BJ16:BJ27" si="114">IF($A16="N/A"," ",IF(AND(AQ16=$AR$2+1,AZ16=0),MIN($BB$27,AH16),0))</f>
        <v xml:space="preserve"> </v>
      </c>
      <c r="BK16" s="267" t="str">
        <f t="shared" ref="BK16:BK27" si="115">IF($A16="N/A"," ",IF(AND(AR16=$AR$2+1,BA16=0),MIN($BB$27,AI16),0))</f>
        <v xml:space="preserve"> </v>
      </c>
      <c r="BL16" s="268"/>
      <c r="BM16" s="220" t="str">
        <f>IF($A16="N/A"," ",(IF(MONTH(A16)&gt;=4,IF(MONTH(A16)&lt;=10,Inputs!$F$13-Inputs!$G$13,Inputs!$F$14-Inputs!$G$14),Inputs!$F$14-Inputs!$G$14))*$CK16*Availability)</f>
        <v xml:space="preserve"> </v>
      </c>
      <c r="BN16" s="221" t="str">
        <f t="shared" si="79"/>
        <v xml:space="preserve"> </v>
      </c>
      <c r="BO16" s="221" t="str">
        <f t="shared" si="80"/>
        <v xml:space="preserve"> </v>
      </c>
      <c r="BP16" s="221" t="str">
        <f t="shared" si="81"/>
        <v xml:space="preserve"> </v>
      </c>
      <c r="BQ16" s="221" t="str">
        <f t="shared" si="82"/>
        <v xml:space="preserve"> </v>
      </c>
      <c r="BR16" s="221" t="str">
        <f t="shared" si="83"/>
        <v xml:space="preserve"> </v>
      </c>
      <c r="BS16" s="221" t="str">
        <f t="shared" si="84"/>
        <v xml:space="preserve"> </v>
      </c>
      <c r="BT16" s="221" t="str">
        <f t="shared" si="85"/>
        <v xml:space="preserve"> </v>
      </c>
      <c r="BU16" s="221" t="str">
        <f t="shared" si="86"/>
        <v xml:space="preserve"> </v>
      </c>
      <c r="BV16" s="221" t="str">
        <f t="shared" si="87"/>
        <v xml:space="preserve"> </v>
      </c>
      <c r="BW16" s="221" t="str">
        <f t="shared" si="88"/>
        <v xml:space="preserve"> </v>
      </c>
      <c r="BX16" s="421" t="str">
        <f t="shared" si="89"/>
        <v xml:space="preserve"> </v>
      </c>
      <c r="BY16" s="417" t="str">
        <f t="shared" si="90"/>
        <v xml:space="preserve"> </v>
      </c>
      <c r="BZ16" s="417" t="str">
        <f t="shared" si="91"/>
        <v xml:space="preserve"> </v>
      </c>
      <c r="CA16" s="422" t="str">
        <f t="shared" si="92"/>
        <v xml:space="preserve"> </v>
      </c>
      <c r="CB16" s="347" t="str">
        <f t="shared" si="25"/>
        <v xml:space="preserve"> </v>
      </c>
      <c r="CC16" s="347" t="str">
        <f t="shared" si="93"/>
        <v xml:space="preserve"> </v>
      </c>
      <c r="CD16" s="348" t="str">
        <f t="shared" si="26"/>
        <v xml:space="preserve"> </v>
      </c>
      <c r="CE16" s="347" t="str">
        <f t="shared" si="27"/>
        <v xml:space="preserve"> </v>
      </c>
      <c r="CF16" s="347" t="str">
        <f t="shared" si="28"/>
        <v xml:space="preserve"> </v>
      </c>
      <c r="CG16" s="348" t="str">
        <f t="shared" si="29"/>
        <v xml:space="preserve"> </v>
      </c>
      <c r="CH16" s="347" t="str">
        <f t="shared" si="94"/>
        <v xml:space="preserve"> </v>
      </c>
      <c r="CI16" s="349" t="str">
        <f>IF($A16="N/A"," ",F16+G16+(D16*('Pricing Inputs'!T49)))</f>
        <v xml:space="preserve"> </v>
      </c>
      <c r="CJ16" s="347" t="str">
        <f>IF($A16="N/A"," ",IF(PV=1,0,'Pricing Inputs'!U49))</f>
        <v xml:space="preserve"> </v>
      </c>
      <c r="CK16" s="350" t="str">
        <f t="shared" si="30"/>
        <v xml:space="preserve"> </v>
      </c>
      <c r="CL16" s="365" t="str">
        <f t="shared" si="31"/>
        <v xml:space="preserve"> </v>
      </c>
      <c r="CM16" s="380" t="str">
        <f t="shared" si="95"/>
        <v xml:space="preserve"> </v>
      </c>
      <c r="CN16" s="378" t="str">
        <f t="shared" si="32"/>
        <v xml:space="preserve"> </v>
      </c>
      <c r="CO16" s="378" t="str">
        <f t="shared" si="33"/>
        <v xml:space="preserve"> </v>
      </c>
      <c r="CP16" s="378" t="str">
        <f t="shared" si="34"/>
        <v xml:space="preserve"> </v>
      </c>
      <c r="CQ16" s="378" t="str">
        <f t="shared" si="35"/>
        <v xml:space="preserve"> </v>
      </c>
      <c r="CR16" s="378" t="str">
        <f t="shared" si="36"/>
        <v xml:space="preserve"> </v>
      </c>
      <c r="CS16" s="378" t="str">
        <f t="shared" si="37"/>
        <v xml:space="preserve"> </v>
      </c>
      <c r="CT16" s="378" t="str">
        <f t="shared" si="38"/>
        <v xml:space="preserve"> </v>
      </c>
      <c r="CU16" s="378" t="str">
        <f t="shared" si="39"/>
        <v xml:space="preserve"> </v>
      </c>
      <c r="CV16" s="378" t="str">
        <f t="shared" si="40"/>
        <v xml:space="preserve"> </v>
      </c>
      <c r="CW16" s="254" t="str">
        <f t="shared" si="41"/>
        <v xml:space="preserve"> </v>
      </c>
      <c r="CX16" s="254" t="str">
        <f t="shared" si="42"/>
        <v xml:space="preserve"> </v>
      </c>
      <c r="CY16" s="254" t="str">
        <f t="shared" si="43"/>
        <v xml:space="preserve"> </v>
      </c>
      <c r="CZ16" s="254" t="str">
        <f t="shared" si="44"/>
        <v xml:space="preserve"> </v>
      </c>
      <c r="DA16" s="254" t="str">
        <f t="shared" si="45"/>
        <v xml:space="preserve"> </v>
      </c>
      <c r="DB16" s="254" t="str">
        <f t="shared" si="46"/>
        <v xml:space="preserve"> </v>
      </c>
      <c r="DC16" s="254" t="str">
        <f t="shared" si="47"/>
        <v xml:space="preserve"> </v>
      </c>
      <c r="DD16" s="254" t="str">
        <f t="shared" si="48"/>
        <v xml:space="preserve"> </v>
      </c>
      <c r="DE16" s="254" t="str">
        <f t="shared" si="49"/>
        <v xml:space="preserve"> </v>
      </c>
      <c r="DF16" s="374" t="str">
        <f>IF($A16="N/A"," ",IF(CC=2,(IF(MONTH(A16)&gt;=4,IF(MONTH(A16)&lt;=10,Inputs!$G$13,Inputs!$G$14),Inputs!$G$14))*$CK16,0))</f>
        <v xml:space="preserve"> </v>
      </c>
      <c r="DG16" s="373" t="str">
        <f t="shared" si="50"/>
        <v xml:space="preserve"> </v>
      </c>
      <c r="DH16" s="373" t="str">
        <f t="shared" si="51"/>
        <v xml:space="preserve"> </v>
      </c>
      <c r="DI16" s="373" t="str">
        <f t="shared" si="52"/>
        <v xml:space="preserve"> </v>
      </c>
      <c r="DJ16" s="373" t="str">
        <f t="shared" si="53"/>
        <v xml:space="preserve"> </v>
      </c>
      <c r="DK16" s="373" t="str">
        <f t="shared" si="54"/>
        <v xml:space="preserve"> </v>
      </c>
      <c r="DL16" s="373" t="str">
        <f t="shared" si="55"/>
        <v xml:space="preserve"> </v>
      </c>
      <c r="DM16" s="373" t="str">
        <f t="shared" si="56"/>
        <v xml:space="preserve"> </v>
      </c>
      <c r="DN16" s="373" t="str">
        <f t="shared" si="57"/>
        <v xml:space="preserve"> </v>
      </c>
      <c r="DO16" s="373" t="str">
        <f t="shared" si="58"/>
        <v xml:space="preserve"> </v>
      </c>
      <c r="DP16" s="375" t="str">
        <f t="shared" si="59"/>
        <v xml:space="preserve"> </v>
      </c>
      <c r="DQ16" t="str">
        <f t="shared" si="96"/>
        <v xml:space="preserve"> </v>
      </c>
      <c r="HD16" t="str">
        <f t="shared" si="97"/>
        <v xml:space="preserve"> </v>
      </c>
      <c r="HE16" t="str">
        <f t="shared" si="98"/>
        <v xml:space="preserve"> </v>
      </c>
      <c r="HF16" t="str">
        <f t="shared" si="99"/>
        <v xml:space="preserve"> </v>
      </c>
    </row>
    <row r="17" spans="1:214">
      <c r="A17" s="415" t="str">
        <f>IF(A16="N/A","N/A",IF(EDATE(A16,1)&gt;Inputs!$K$3,"N/A",EDATE(A16,1)))</f>
        <v>N/A</v>
      </c>
      <c r="B17" s="410" t="str">
        <f t="shared" si="60"/>
        <v xml:space="preserve"> </v>
      </c>
      <c r="C17" s="411" t="str">
        <f t="shared" si="61"/>
        <v xml:space="preserve"> </v>
      </c>
      <c r="D17" s="412" t="str">
        <f t="shared" si="62"/>
        <v xml:space="preserve"> </v>
      </c>
      <c r="E17" s="413" t="str">
        <f>IF($A17="N/A"," ",(C17-'Pricing Inputs'!T50)*D17)</f>
        <v xml:space="preserve"> </v>
      </c>
      <c r="F17" s="414" t="str">
        <f t="shared" ref="F17:F80" si="116">IF(A17="N/A"," ",$F5*(1+VOMesc))</f>
        <v xml:space="preserve"> </v>
      </c>
      <c r="G17" s="414" t="str">
        <f t="shared" si="64"/>
        <v xml:space="preserve"> </v>
      </c>
      <c r="H17" s="416" t="str">
        <f t="shared" si="65"/>
        <v xml:space="preserve"> </v>
      </c>
      <c r="I17" s="213" t="str">
        <f t="shared" si="0"/>
        <v xml:space="preserve"> </v>
      </c>
      <c r="J17" s="213" t="str">
        <f t="shared" si="1"/>
        <v xml:space="preserve"> </v>
      </c>
      <c r="K17" s="213" t="str">
        <f t="shared" si="2"/>
        <v xml:space="preserve"> </v>
      </c>
      <c r="L17" s="213" t="str">
        <f t="shared" si="3"/>
        <v xml:space="preserve"> </v>
      </c>
      <c r="M17" s="213" t="str">
        <f t="shared" si="4"/>
        <v xml:space="preserve"> </v>
      </c>
      <c r="N17" s="213" t="str">
        <f t="shared" si="5"/>
        <v xml:space="preserve"> </v>
      </c>
      <c r="O17" s="213" t="str">
        <f t="shared" si="6"/>
        <v xml:space="preserve"> </v>
      </c>
      <c r="P17" s="213" t="str">
        <f t="shared" si="7"/>
        <v xml:space="preserve"> </v>
      </c>
      <c r="Q17" s="213" t="str">
        <f t="shared" si="8"/>
        <v xml:space="preserve"> </v>
      </c>
      <c r="R17" s="405" t="str">
        <f>IF($A17="N/A"," ",IF(Pricetype=2,MAX(I17-$H17,0),IF(Pricetype=1,(_xll.xSPRDOPT(I17,$E17,$CI17,0,($CD17+IF(Smile=TRUE,VLOOKUP(MAX(-5,$H17-I17),Volsmile,2),0)),$CG17,$CH17,($A17-DateToday)+15,1,0)),I17-$H17)))</f>
        <v xml:space="preserve"> </v>
      </c>
      <c r="S17" s="405" t="str">
        <f>IF($A17="N/A"," ",IF(Pricetype=2,MAX(J17-$H17,0),IF(Pricetype=1,(_xll.xSPRDOPT(J17,$E17,$CI17,0,($CD17+IF(Smile=TRUE,VLOOKUP(MAX(-5,$H17-J17),Volsmile,2),0)),$CG17,$CH17,($A17-DateToday)+15,1,0)),J17-$H17)))</f>
        <v xml:space="preserve"> </v>
      </c>
      <c r="T17" s="406" t="str">
        <f t="shared" si="9"/>
        <v xml:space="preserve"> </v>
      </c>
      <c r="U17" s="405" t="str">
        <f>IF($A17="N/A"," ",IF(Pricetype=2,MAX(L17-$H17,0),IF(L17&lt;&gt;0,IF(Pricetype=1,(_xll.xSPRDOPT(L17,$E17,$CI17,0,($CD17+IF(Smile=TRUE,VLOOKUP(MAX(-5,$H17-L17),Volsmile,2),0)),$CG17,$CH17,($A17-DateToday)+15,1,0)),L17-$H17),0)))</f>
        <v xml:space="preserve"> </v>
      </c>
      <c r="V17" s="405" t="str">
        <f>IF($A17="N/A"," ",IF(Pricetype=2,MAX(M17-$H17,0),IF(M17&lt;&gt;0,IF(Pricetype=1,(_xll.xSPRDOPT(M17,$E17,$CI17,0,($CD17+IF(Smile=TRUE,VLOOKUP(MAX(-5,$H17-M17),Volsmile,2),0)),$CG17,$CH17,($A17-DateToday)+15,1,0)),M17-$H17),0)))</f>
        <v xml:space="preserve"> </v>
      </c>
      <c r="W17" s="406" t="str">
        <f t="shared" si="10"/>
        <v xml:space="preserve"> </v>
      </c>
      <c r="X17" s="405" t="str">
        <f>IF($A17="N/A"," ",IF(Pricetype=2,MAX(O17-$H17,0),IF(O17&lt;&gt;0,IF(Pricetype=1,(_xll.xSPRDOPT(O17,$E17,$CI17,0,($CD17+IF(Smile=TRUE,VLOOKUP(MAX(-5,$H17-O17),Volsmile,2),0)),$CG17,$CH17,($A17-DateToday)+15,1,0)),O17-$H17),0)))</f>
        <v xml:space="preserve"> </v>
      </c>
      <c r="Y17" s="405" t="str">
        <f>IF($A17="N/A"," ",IF(Pricetype=2,MAX(P17-$H17,0),IF(P17&lt;&gt;0,IF(Pricetype=1,(_xll.xSPRDOPT(P17,$E17,$CI17,0,($CD17+IF(Smile=TRUE,VLOOKUP(MAX(-5,$H17-P17),Volsmile,2),0)),$CG17,$CH17,($A17-DateToday)+15,1,0)),P17-$H17),0)))</f>
        <v xml:space="preserve"> </v>
      </c>
      <c r="Z17" s="406" t="str">
        <f t="shared" si="11"/>
        <v xml:space="preserve"> </v>
      </c>
      <c r="AA17" s="254" t="str">
        <f>IF($A17="N/A"," ",IF(VLOOKUP(MONTH(A17),ManualTable,2)=1,(IF(0&lt;&gt;R17,IF(Pricetype=1,(_xll.xSPRDOPT(I17,$E17,$CI17,0,($CD17+IF(Smile=TRUE,VLOOKUP(MAX(-5,$H17-I17),Volsmile,2),0)),$CG17,$CH17,($A17-DateToday)+15,1,1))*(8*$HD17),8*$HD17),0)),0))</f>
        <v xml:space="preserve"> </v>
      </c>
      <c r="AB17" s="254" t="str">
        <f>IF($A17="N/A"," ",IF(VLOOKUP(MONTH(A17),ManualTable,3)=1,(IF(S17&lt;&gt;0,IF(Pricetype=1,(_xll.xSPRDOPT(J17,$E17,$CI17,0,($CD17+IF(Smile=TRUE,VLOOKUP(MAX(-5,$H17-J17),Volsmile,2),0)),$CG17,$CH17,($A17-DateToday)+15,1,1))*(8*$HD17),8*$HD17),0)),0))</f>
        <v xml:space="preserve"> </v>
      </c>
      <c r="AC17" s="254" t="str">
        <f t="shared" si="66"/>
        <v xml:space="preserve"> </v>
      </c>
      <c r="AD17" s="254" t="str">
        <f>IF($A17="N/A"," ",IF(VLOOKUP(MONTH(A17),ManualTable,5)=1,(IF(U17&lt;&gt;0,IF(Pricetype=1,(_xll.xSPRDOPT(L17,$E17,$CI17,0,($CD17+IF(Smile=TRUE,VLOOKUP(MAX(-5,$H17-L17),Volsmile,2),0)),$CG17,$CH17,($A17-DateToday)+15,1,1))*(8*$HE17),8*$HE17),0)),0))</f>
        <v xml:space="preserve"> </v>
      </c>
      <c r="AE17" s="254" t="str">
        <f>IF($A17="N/A"," ",IF(VLOOKUP(MONTH(A17),ManualTable,6)=1,(IF(V17&lt;&gt;0,IF(Pricetype=1,(_xll.xSPRDOPT(M17,$E17,$CI17,0,($CD17+IF(Smile=TRUE,VLOOKUP(MAX(-5,$H17-M17),Volsmile,2),0)),$CG17,$CH17,($A17-DateToday)+15,1,1))*(8*$HE17),8*$HE17),0)),0))</f>
        <v xml:space="preserve"> </v>
      </c>
      <c r="AF17" s="254" t="str">
        <f t="shared" si="67"/>
        <v xml:space="preserve"> </v>
      </c>
      <c r="AG17" s="254" t="str">
        <f>IF($A17="N/A"," ",IF(VLOOKUP(MONTH(A17),ManualTable,8)=1,(IF(X17&lt;&gt;0,IF(Pricetype=1,(_xll.xSPRDOPT(O17,$E17,$CI17,0,($CD17+IF(Smile=TRUE,VLOOKUP(MAX(-5,$H17-O17),Volsmile,2),0)),$CG17,$CH17,($A17-DateToday)+15,1,1))*(8*$HF17),8*$HF17),0)),0))</f>
        <v xml:space="preserve"> </v>
      </c>
      <c r="AH17" s="254" t="str">
        <f>IF($A17="N/A"," ",IF(VLOOKUP(MONTH(A17),ManualTable,9)=1,(IF(Y17&lt;&gt;0,IF(Pricetype=1,(_xll.xSPRDOPT(P17,$E17,$CI17,0,($CD17+IF(Smile=TRUE,VLOOKUP(MAX(-5,$H17-P17),Volsmile,2),0)),$CG17,$CH17,($A17-DateToday)+15,1,1))*(8*$HF17),8*$HF17),0)),0))</f>
        <v xml:space="preserve"> </v>
      </c>
      <c r="AI17" s="254" t="str">
        <f t="shared" si="68"/>
        <v xml:space="preserve"> </v>
      </c>
      <c r="AJ17" s="227" t="str">
        <f t="shared" ref="AJ17:AJ27" si="117">IF($A17="N/A"," ",RANK(R17,$R$16:$Z$27))</f>
        <v xml:space="preserve"> </v>
      </c>
      <c r="AK17" s="228" t="str">
        <f t="shared" si="100"/>
        <v xml:space="preserve"> </v>
      </c>
      <c r="AL17" s="228" t="str">
        <f t="shared" si="100"/>
        <v xml:space="preserve"> </v>
      </c>
      <c r="AM17" s="228" t="str">
        <f t="shared" ref="AM17:AM27" si="118">IF($A17="N/A"," ",RANK(U17,$R$16:$Z$27))</f>
        <v xml:space="preserve"> </v>
      </c>
      <c r="AN17" s="228" t="str">
        <f t="shared" ref="AN17:AO27" si="119">IF($A17="N/A"," ",RANK(V17,$R$16:$Z$27))</f>
        <v xml:space="preserve"> </v>
      </c>
      <c r="AO17" s="228" t="str">
        <f t="shared" si="119"/>
        <v xml:space="preserve"> </v>
      </c>
      <c r="AP17" s="228" t="str">
        <f t="shared" ref="AP17:AP27" si="120">IF($A17="N/A"," ",RANK(X17,$R$16:$Z$27))</f>
        <v xml:space="preserve"> </v>
      </c>
      <c r="AQ17" s="228" t="str">
        <f t="shared" ref="AQ17:AQ27" si="121">IF($A17="N/A"," ",RANK(Y17,$R$16:$Z$27))</f>
        <v xml:space="preserve"> </v>
      </c>
      <c r="AR17" s="229" t="str">
        <f t="shared" ref="AR17:AR27" si="122">IF($A17="N/A"," ",RANK(Z17,$R$16:$Z$27))</f>
        <v xml:space="preserve"> </v>
      </c>
      <c r="AS17" s="262" t="str">
        <f t="shared" si="102"/>
        <v xml:space="preserve"> </v>
      </c>
      <c r="AT17" s="263" t="str">
        <f t="shared" si="103"/>
        <v xml:space="preserve"> </v>
      </c>
      <c r="AU17" s="263" t="str">
        <f t="shared" si="103"/>
        <v xml:space="preserve"> </v>
      </c>
      <c r="AV17" s="263" t="str">
        <f t="shared" si="104"/>
        <v xml:space="preserve"> </v>
      </c>
      <c r="AW17" s="263" t="str">
        <f t="shared" si="105"/>
        <v xml:space="preserve"> </v>
      </c>
      <c r="AX17" s="263" t="str">
        <f t="shared" si="105"/>
        <v xml:space="preserve"> </v>
      </c>
      <c r="AY17" s="263" t="str">
        <f t="shared" si="106"/>
        <v xml:space="preserve"> </v>
      </c>
      <c r="AZ17" s="263" t="str">
        <f t="shared" si="107"/>
        <v xml:space="preserve"> </v>
      </c>
      <c r="BA17" s="263" t="str">
        <f t="shared" si="108"/>
        <v xml:space="preserve"> </v>
      </c>
      <c r="BB17" s="228"/>
      <c r="BC17" s="266" t="str">
        <f t="shared" si="109"/>
        <v xml:space="preserve"> </v>
      </c>
      <c r="BD17" s="269" t="str">
        <f t="shared" si="110"/>
        <v xml:space="preserve"> </v>
      </c>
      <c r="BE17" s="269" t="str">
        <f t="shared" si="110"/>
        <v xml:space="preserve"> </v>
      </c>
      <c r="BF17" s="269" t="str">
        <f t="shared" si="111"/>
        <v xml:space="preserve"> </v>
      </c>
      <c r="BG17" s="269" t="str">
        <f t="shared" si="112"/>
        <v xml:space="preserve"> </v>
      </c>
      <c r="BH17" s="269" t="str">
        <f t="shared" si="112"/>
        <v xml:space="preserve"> </v>
      </c>
      <c r="BI17" s="269" t="str">
        <f t="shared" si="113"/>
        <v xml:space="preserve"> </v>
      </c>
      <c r="BJ17" s="269" t="str">
        <f t="shared" si="114"/>
        <v xml:space="preserve"> </v>
      </c>
      <c r="BK17" s="269" t="str">
        <f t="shared" si="115"/>
        <v xml:space="preserve"> </v>
      </c>
      <c r="BL17" s="273"/>
      <c r="BM17" s="220" t="str">
        <f>IF($A17="N/A"," ",(IF(MONTH(A17)&gt;=4,IF(MONTH(A17)&lt;=10,Inputs!$F$13-Inputs!$G$13,Inputs!$F$14-Inputs!$G$14),Inputs!$F$14-Inputs!$G$14))*$CK17*Availability)</f>
        <v xml:space="preserve"> </v>
      </c>
      <c r="BN17" s="221" t="str">
        <f t="shared" si="79"/>
        <v xml:space="preserve"> </v>
      </c>
      <c r="BO17" s="221" t="str">
        <f t="shared" si="80"/>
        <v xml:space="preserve"> </v>
      </c>
      <c r="BP17" s="221" t="str">
        <f t="shared" si="81"/>
        <v xml:space="preserve"> </v>
      </c>
      <c r="BQ17" s="221" t="str">
        <f t="shared" si="82"/>
        <v xml:space="preserve"> </v>
      </c>
      <c r="BR17" s="221" t="str">
        <f t="shared" si="83"/>
        <v xml:space="preserve"> </v>
      </c>
      <c r="BS17" s="221" t="str">
        <f t="shared" si="84"/>
        <v xml:space="preserve"> </v>
      </c>
      <c r="BT17" s="221" t="str">
        <f t="shared" si="85"/>
        <v xml:space="preserve"> </v>
      </c>
      <c r="BU17" s="221" t="str">
        <f t="shared" si="86"/>
        <v xml:space="preserve"> </v>
      </c>
      <c r="BV17" s="221" t="str">
        <f t="shared" si="87"/>
        <v xml:space="preserve"> </v>
      </c>
      <c r="BW17" s="221" t="str">
        <f t="shared" si="88"/>
        <v xml:space="preserve"> </v>
      </c>
      <c r="BX17" s="421" t="str">
        <f t="shared" si="89"/>
        <v xml:space="preserve"> </v>
      </c>
      <c r="BY17" s="417" t="str">
        <f t="shared" si="90"/>
        <v xml:space="preserve"> </v>
      </c>
      <c r="BZ17" s="417" t="str">
        <f t="shared" si="91"/>
        <v xml:space="preserve"> </v>
      </c>
      <c r="CA17" s="422" t="str">
        <f t="shared" si="92"/>
        <v xml:space="preserve"> </v>
      </c>
      <c r="CB17" s="347" t="str">
        <f t="shared" si="25"/>
        <v xml:space="preserve"> </v>
      </c>
      <c r="CC17" s="347" t="str">
        <f t="shared" si="93"/>
        <v xml:space="preserve"> </v>
      </c>
      <c r="CD17" s="348" t="str">
        <f t="shared" si="26"/>
        <v xml:space="preserve"> </v>
      </c>
      <c r="CE17" s="347" t="str">
        <f t="shared" si="27"/>
        <v xml:space="preserve"> </v>
      </c>
      <c r="CF17" s="347" t="str">
        <f t="shared" si="28"/>
        <v xml:space="preserve"> </v>
      </c>
      <c r="CG17" s="348" t="str">
        <f t="shared" si="29"/>
        <v xml:space="preserve"> </v>
      </c>
      <c r="CH17" s="347" t="str">
        <f t="shared" si="94"/>
        <v xml:space="preserve"> </v>
      </c>
      <c r="CI17" s="349" t="str">
        <f>IF($A17="N/A"," ",F17+G17+(D17*('Pricing Inputs'!T50)))</f>
        <v xml:space="preserve"> </v>
      </c>
      <c r="CJ17" s="347" t="str">
        <f>IF($A17="N/A"," ",IF(PV=1,0,'Pricing Inputs'!U50))</f>
        <v xml:space="preserve"> </v>
      </c>
      <c r="CK17" s="350" t="str">
        <f t="shared" si="30"/>
        <v xml:space="preserve"> </v>
      </c>
      <c r="CL17" s="365" t="str">
        <f t="shared" si="31"/>
        <v xml:space="preserve"> </v>
      </c>
      <c r="CM17" s="380" t="str">
        <f t="shared" si="95"/>
        <v xml:space="preserve"> </v>
      </c>
      <c r="CN17" s="378" t="str">
        <f t="shared" si="32"/>
        <v xml:space="preserve"> </v>
      </c>
      <c r="CO17" s="378" t="str">
        <f t="shared" si="33"/>
        <v xml:space="preserve"> </v>
      </c>
      <c r="CP17" s="378" t="str">
        <f t="shared" si="34"/>
        <v xml:space="preserve"> </v>
      </c>
      <c r="CQ17" s="378" t="str">
        <f t="shared" si="35"/>
        <v xml:space="preserve"> </v>
      </c>
      <c r="CR17" s="378" t="str">
        <f t="shared" si="36"/>
        <v xml:space="preserve"> </v>
      </c>
      <c r="CS17" s="378" t="str">
        <f t="shared" si="37"/>
        <v xml:space="preserve"> </v>
      </c>
      <c r="CT17" s="378" t="str">
        <f t="shared" si="38"/>
        <v xml:space="preserve"> </v>
      </c>
      <c r="CU17" s="378" t="str">
        <f t="shared" si="39"/>
        <v xml:space="preserve"> </v>
      </c>
      <c r="CV17" s="378" t="str">
        <f t="shared" si="40"/>
        <v xml:space="preserve"> </v>
      </c>
      <c r="CW17" s="254" t="str">
        <f t="shared" si="41"/>
        <v xml:space="preserve"> </v>
      </c>
      <c r="CX17" s="254" t="str">
        <f t="shared" si="42"/>
        <v xml:space="preserve"> </v>
      </c>
      <c r="CY17" s="254" t="str">
        <f t="shared" si="43"/>
        <v xml:space="preserve"> </v>
      </c>
      <c r="CZ17" s="254" t="str">
        <f t="shared" si="44"/>
        <v xml:space="preserve"> </v>
      </c>
      <c r="DA17" s="254" t="str">
        <f t="shared" si="45"/>
        <v xml:space="preserve"> </v>
      </c>
      <c r="DB17" s="254" t="str">
        <f t="shared" si="46"/>
        <v xml:space="preserve"> </v>
      </c>
      <c r="DC17" s="254" t="str">
        <f t="shared" si="47"/>
        <v xml:space="preserve"> </v>
      </c>
      <c r="DD17" s="254" t="str">
        <f t="shared" si="48"/>
        <v xml:space="preserve"> </v>
      </c>
      <c r="DE17" s="254" t="str">
        <f t="shared" si="49"/>
        <v xml:space="preserve"> </v>
      </c>
      <c r="DF17" s="374" t="str">
        <f>IF($A17="N/A"," ",IF(CC=2,(IF(MONTH(A17)&gt;=4,IF(MONTH(A17)&lt;=10,Inputs!$G$13,Inputs!$G$14),Inputs!$G$14))*$CK17,0))</f>
        <v xml:space="preserve"> </v>
      </c>
      <c r="DG17" s="373" t="str">
        <f t="shared" si="50"/>
        <v xml:space="preserve"> </v>
      </c>
      <c r="DH17" s="373" t="str">
        <f t="shared" si="51"/>
        <v xml:space="preserve"> </v>
      </c>
      <c r="DI17" s="373" t="str">
        <f t="shared" si="52"/>
        <v xml:space="preserve"> </v>
      </c>
      <c r="DJ17" s="373" t="str">
        <f t="shared" si="53"/>
        <v xml:space="preserve"> </v>
      </c>
      <c r="DK17" s="373" t="str">
        <f t="shared" si="54"/>
        <v xml:space="preserve"> </v>
      </c>
      <c r="DL17" s="373" t="str">
        <f t="shared" si="55"/>
        <v xml:space="preserve"> </v>
      </c>
      <c r="DM17" s="373" t="str">
        <f t="shared" si="56"/>
        <v xml:space="preserve"> </v>
      </c>
      <c r="DN17" s="373" t="str">
        <f t="shared" si="57"/>
        <v xml:space="preserve"> </v>
      </c>
      <c r="DO17" s="373" t="str">
        <f t="shared" si="58"/>
        <v xml:space="preserve"> </v>
      </c>
      <c r="DP17" s="375" t="str">
        <f t="shared" si="59"/>
        <v xml:space="preserve"> </v>
      </c>
      <c r="DQ17" t="str">
        <f t="shared" si="96"/>
        <v xml:space="preserve"> </v>
      </c>
      <c r="HD17" t="str">
        <f t="shared" si="97"/>
        <v xml:space="preserve"> </v>
      </c>
      <c r="HE17" t="str">
        <f t="shared" si="98"/>
        <v xml:space="preserve"> </v>
      </c>
      <c r="HF17" t="str">
        <f t="shared" si="99"/>
        <v xml:space="preserve"> </v>
      </c>
    </row>
    <row r="18" spans="1:214">
      <c r="A18" s="415" t="str">
        <f>IF(A17="N/A","N/A",IF(EDATE(A17,1)&gt;Inputs!$K$3,"N/A",EDATE(A17,1)))</f>
        <v>N/A</v>
      </c>
      <c r="B18" s="410" t="str">
        <f t="shared" si="60"/>
        <v xml:space="preserve"> </v>
      </c>
      <c r="C18" s="411" t="str">
        <f t="shared" si="61"/>
        <v xml:space="preserve"> </v>
      </c>
      <c r="D18" s="412" t="str">
        <f t="shared" si="62"/>
        <v xml:space="preserve"> </v>
      </c>
      <c r="E18" s="413" t="str">
        <f>IF($A18="N/A"," ",(C18-'Pricing Inputs'!T51)*D18)</f>
        <v xml:space="preserve"> </v>
      </c>
      <c r="F18" s="414" t="str">
        <f t="shared" si="116"/>
        <v xml:space="preserve"> </v>
      </c>
      <c r="G18" s="414" t="str">
        <f t="shared" si="64"/>
        <v xml:space="preserve"> </v>
      </c>
      <c r="H18" s="416" t="str">
        <f t="shared" si="65"/>
        <v xml:space="preserve"> </v>
      </c>
      <c r="I18" s="213" t="str">
        <f t="shared" si="0"/>
        <v xml:space="preserve"> </v>
      </c>
      <c r="J18" s="213" t="str">
        <f t="shared" si="1"/>
        <v xml:space="preserve"> </v>
      </c>
      <c r="K18" s="213" t="str">
        <f t="shared" si="2"/>
        <v xml:space="preserve"> </v>
      </c>
      <c r="L18" s="213" t="str">
        <f t="shared" si="3"/>
        <v xml:space="preserve"> </v>
      </c>
      <c r="M18" s="213" t="str">
        <f t="shared" si="4"/>
        <v xml:space="preserve"> </v>
      </c>
      <c r="N18" s="213" t="str">
        <f t="shared" si="5"/>
        <v xml:space="preserve"> </v>
      </c>
      <c r="O18" s="213" t="str">
        <f t="shared" si="6"/>
        <v xml:space="preserve"> </v>
      </c>
      <c r="P18" s="213" t="str">
        <f t="shared" si="7"/>
        <v xml:space="preserve"> </v>
      </c>
      <c r="Q18" s="213" t="str">
        <f t="shared" si="8"/>
        <v xml:space="preserve"> </v>
      </c>
      <c r="R18" s="405" t="str">
        <f>IF($A18="N/A"," ",IF(Pricetype=2,MAX(I18-$H18,0),IF(Pricetype=1,(_xll.xSPRDOPT(I18,$E18,$CI18,0,($CD18+IF(Smile=TRUE,VLOOKUP(MAX(-5,$H18-I18),Volsmile,2),0)),$CG18,$CH18,($A18-DateToday)+15,1,0)),I18-$H18)))</f>
        <v xml:space="preserve"> </v>
      </c>
      <c r="S18" s="405" t="str">
        <f>IF($A18="N/A"," ",IF(Pricetype=2,MAX(J18-$H18,0),IF(Pricetype=1,(_xll.xSPRDOPT(J18,$E18,$CI18,0,($CD18+IF(Smile=TRUE,VLOOKUP(MAX(-5,$H18-J18),Volsmile,2),0)),$CG18,$CH18,($A18-DateToday)+15,1,0)),J18-$H18)))</f>
        <v xml:space="preserve"> </v>
      </c>
      <c r="T18" s="406" t="str">
        <f t="shared" si="9"/>
        <v xml:space="preserve"> </v>
      </c>
      <c r="U18" s="405" t="str">
        <f>IF($A18="N/A"," ",IF(Pricetype=2,MAX(L18-$H18,0),IF(L18&lt;&gt;0,IF(Pricetype=1,(_xll.xSPRDOPT(L18,$E18,$CI18,0,($CD18+IF(Smile=TRUE,VLOOKUP(MAX(-5,$H18-L18),Volsmile,2),0)),$CG18,$CH18,($A18-DateToday)+15,1,0)),L18-$H18),0)))</f>
        <v xml:space="preserve"> </v>
      </c>
      <c r="V18" s="405" t="str">
        <f>IF($A18="N/A"," ",IF(Pricetype=2,MAX(M18-$H18,0),IF(M18&lt;&gt;0,IF(Pricetype=1,(_xll.xSPRDOPT(M18,$E18,$CI18,0,($CD18+IF(Smile=TRUE,VLOOKUP(MAX(-5,$H18-M18),Volsmile,2),0)),$CG18,$CH18,($A18-DateToday)+15,1,0)),M18-$H18),0)))</f>
        <v xml:space="preserve"> </v>
      </c>
      <c r="W18" s="406" t="str">
        <f t="shared" si="10"/>
        <v xml:space="preserve"> </v>
      </c>
      <c r="X18" s="405" t="str">
        <f>IF($A18="N/A"," ",IF(Pricetype=2,MAX(O18-$H18,0),IF(O18&lt;&gt;0,IF(Pricetype=1,(_xll.xSPRDOPT(O18,$E18,$CI18,0,($CD18+IF(Smile=TRUE,VLOOKUP(MAX(-5,$H18-O18),Volsmile,2),0)),$CG18,$CH18,($A18-DateToday)+15,1,0)),O18-$H18),0)))</f>
        <v xml:space="preserve"> </v>
      </c>
      <c r="Y18" s="405" t="str">
        <f>IF($A18="N/A"," ",IF(Pricetype=2,MAX(P18-$H18,0),IF(P18&lt;&gt;0,IF(Pricetype=1,(_xll.xSPRDOPT(P18,$E18,$CI18,0,($CD18+IF(Smile=TRUE,VLOOKUP(MAX(-5,$H18-P18),Volsmile,2),0)),$CG18,$CH18,($A18-DateToday)+15,1,0)),P18-$H18),0)))</f>
        <v xml:space="preserve"> </v>
      </c>
      <c r="Z18" s="406" t="str">
        <f t="shared" si="11"/>
        <v xml:space="preserve"> </v>
      </c>
      <c r="AA18" s="254" t="str">
        <f>IF($A18="N/A"," ",IF(VLOOKUP(MONTH(A18),ManualTable,2)=1,(IF(0&lt;&gt;R18,IF(Pricetype=1,(_xll.xSPRDOPT(I18,$E18,$CI18,0,($CD18+IF(Smile=TRUE,VLOOKUP(MAX(-5,$H18-I18),Volsmile,2),0)),$CG18,$CH18,($A18-DateToday)+15,1,1))*(8*$HD18),8*$HD18),0)),0))</f>
        <v xml:space="preserve"> </v>
      </c>
      <c r="AB18" s="254" t="str">
        <f>IF($A18="N/A"," ",IF(VLOOKUP(MONTH(A18),ManualTable,3)=1,(IF(S18&lt;&gt;0,IF(Pricetype=1,(_xll.xSPRDOPT(J18,$E18,$CI18,0,($CD18+IF(Smile=TRUE,VLOOKUP(MAX(-5,$H18-J18),Volsmile,2),0)),$CG18,$CH18,($A18-DateToday)+15,1,1))*(8*$HD18),8*$HD18),0)),0))</f>
        <v xml:space="preserve"> </v>
      </c>
      <c r="AC18" s="254" t="str">
        <f t="shared" si="66"/>
        <v xml:space="preserve"> </v>
      </c>
      <c r="AD18" s="254" t="str">
        <f>IF($A18="N/A"," ",IF(VLOOKUP(MONTH(A18),ManualTable,5)=1,(IF(U18&lt;&gt;0,IF(Pricetype=1,(_xll.xSPRDOPT(L18,$E18,$CI18,0,($CD18+IF(Smile=TRUE,VLOOKUP(MAX(-5,$H18-L18),Volsmile,2),0)),$CG18,$CH18,($A18-DateToday)+15,1,1))*(8*$HE18),8*$HE18),0)),0))</f>
        <v xml:space="preserve"> </v>
      </c>
      <c r="AE18" s="254" t="str">
        <f>IF($A18="N/A"," ",IF(VLOOKUP(MONTH(A18),ManualTable,6)=1,(IF(V18&lt;&gt;0,IF(Pricetype=1,(_xll.xSPRDOPT(M18,$E18,$CI18,0,($CD18+IF(Smile=TRUE,VLOOKUP(MAX(-5,$H18-M18),Volsmile,2),0)),$CG18,$CH18,($A18-DateToday)+15,1,1))*(8*$HE18),8*$HE18),0)),0))</f>
        <v xml:space="preserve"> </v>
      </c>
      <c r="AF18" s="254" t="str">
        <f t="shared" si="67"/>
        <v xml:space="preserve"> </v>
      </c>
      <c r="AG18" s="254" t="str">
        <f>IF($A18="N/A"," ",IF(VLOOKUP(MONTH(A18),ManualTable,8)=1,(IF(X18&lt;&gt;0,IF(Pricetype=1,(_xll.xSPRDOPT(O18,$E18,$CI18,0,($CD18+IF(Smile=TRUE,VLOOKUP(MAX(-5,$H18-O18),Volsmile,2),0)),$CG18,$CH18,($A18-DateToday)+15,1,1))*(8*$HF18),8*$HF18),0)),0))</f>
        <v xml:space="preserve"> </v>
      </c>
      <c r="AH18" s="254" t="str">
        <f>IF($A18="N/A"," ",IF(VLOOKUP(MONTH(A18),ManualTable,9)=1,(IF(Y18&lt;&gt;0,IF(Pricetype=1,(_xll.xSPRDOPT(P18,$E18,$CI18,0,($CD18+IF(Smile=TRUE,VLOOKUP(MAX(-5,$H18-P18),Volsmile,2),0)),$CG18,$CH18,($A18-DateToday)+15,1,1))*(8*$HF18),8*$HF18),0)),0))</f>
        <v xml:space="preserve"> </v>
      </c>
      <c r="AI18" s="254" t="str">
        <f t="shared" si="68"/>
        <v xml:space="preserve"> </v>
      </c>
      <c r="AJ18" s="227" t="str">
        <f t="shared" si="117"/>
        <v xml:space="preserve"> </v>
      </c>
      <c r="AK18" s="228" t="str">
        <f t="shared" si="100"/>
        <v xml:space="preserve"> </v>
      </c>
      <c r="AL18" s="228" t="str">
        <f t="shared" si="100"/>
        <v xml:space="preserve"> </v>
      </c>
      <c r="AM18" s="228" t="str">
        <f t="shared" si="118"/>
        <v xml:space="preserve"> </v>
      </c>
      <c r="AN18" s="228" t="str">
        <f t="shared" si="119"/>
        <v xml:space="preserve"> </v>
      </c>
      <c r="AO18" s="228" t="str">
        <f t="shared" si="119"/>
        <v xml:space="preserve"> </v>
      </c>
      <c r="AP18" s="228" t="str">
        <f t="shared" si="120"/>
        <v xml:space="preserve"> </v>
      </c>
      <c r="AQ18" s="228" t="str">
        <f t="shared" si="121"/>
        <v xml:space="preserve"> </v>
      </c>
      <c r="AR18" s="229" t="str">
        <f t="shared" si="122"/>
        <v xml:space="preserve"> </v>
      </c>
      <c r="AS18" s="262" t="str">
        <f t="shared" si="102"/>
        <v xml:space="preserve"> </v>
      </c>
      <c r="AT18" s="263" t="str">
        <f t="shared" si="103"/>
        <v xml:space="preserve"> </v>
      </c>
      <c r="AU18" s="263" t="str">
        <f t="shared" si="103"/>
        <v xml:space="preserve"> </v>
      </c>
      <c r="AV18" s="263" t="str">
        <f t="shared" si="104"/>
        <v xml:space="preserve"> </v>
      </c>
      <c r="AW18" s="263" t="str">
        <f t="shared" si="105"/>
        <v xml:space="preserve"> </v>
      </c>
      <c r="AX18" s="263" t="str">
        <f t="shared" si="105"/>
        <v xml:space="preserve"> </v>
      </c>
      <c r="AY18" s="263" t="str">
        <f t="shared" si="106"/>
        <v xml:space="preserve"> </v>
      </c>
      <c r="AZ18" s="263" t="str">
        <f t="shared" si="107"/>
        <v xml:space="preserve"> </v>
      </c>
      <c r="BA18" s="263" t="str">
        <f t="shared" si="108"/>
        <v xml:space="preserve"> </v>
      </c>
      <c r="BB18" s="228"/>
      <c r="BC18" s="266" t="str">
        <f t="shared" si="109"/>
        <v xml:space="preserve"> </v>
      </c>
      <c r="BD18" s="269" t="str">
        <f t="shared" si="110"/>
        <v xml:space="preserve"> </v>
      </c>
      <c r="BE18" s="269" t="str">
        <f t="shared" si="110"/>
        <v xml:space="preserve"> </v>
      </c>
      <c r="BF18" s="269" t="str">
        <f t="shared" si="111"/>
        <v xml:space="preserve"> </v>
      </c>
      <c r="BG18" s="269" t="str">
        <f t="shared" si="112"/>
        <v xml:space="preserve"> </v>
      </c>
      <c r="BH18" s="269" t="str">
        <f t="shared" si="112"/>
        <v xml:space="preserve"> </v>
      </c>
      <c r="BI18" s="269" t="str">
        <f t="shared" si="113"/>
        <v xml:space="preserve"> </v>
      </c>
      <c r="BJ18" s="269" t="str">
        <f t="shared" si="114"/>
        <v xml:space="preserve"> </v>
      </c>
      <c r="BK18" s="269" t="str">
        <f t="shared" si="115"/>
        <v xml:space="preserve"> </v>
      </c>
      <c r="BL18" s="273"/>
      <c r="BM18" s="220" t="str">
        <f>IF($A18="N/A"," ",(IF(MONTH(A18)&gt;=4,IF(MONTH(A18)&lt;=10,Inputs!$F$13-Inputs!$G$13,Inputs!$F$14-Inputs!$G$14),Inputs!$F$14-Inputs!$G$14))*$CK18*Availability)</f>
        <v xml:space="preserve"> </v>
      </c>
      <c r="BN18" s="221" t="str">
        <f t="shared" si="79"/>
        <v xml:space="preserve"> </v>
      </c>
      <c r="BO18" s="221" t="str">
        <f t="shared" si="80"/>
        <v xml:space="preserve"> </v>
      </c>
      <c r="BP18" s="221" t="str">
        <f t="shared" si="81"/>
        <v xml:space="preserve"> </v>
      </c>
      <c r="BQ18" s="221" t="str">
        <f t="shared" si="82"/>
        <v xml:space="preserve"> </v>
      </c>
      <c r="BR18" s="221" t="str">
        <f t="shared" si="83"/>
        <v xml:space="preserve"> </v>
      </c>
      <c r="BS18" s="221" t="str">
        <f t="shared" si="84"/>
        <v xml:space="preserve"> </v>
      </c>
      <c r="BT18" s="221" t="str">
        <f t="shared" si="85"/>
        <v xml:space="preserve"> </v>
      </c>
      <c r="BU18" s="221" t="str">
        <f t="shared" si="86"/>
        <v xml:space="preserve"> </v>
      </c>
      <c r="BV18" s="221" t="str">
        <f t="shared" si="87"/>
        <v xml:space="preserve"> </v>
      </c>
      <c r="BW18" s="221" t="str">
        <f t="shared" si="88"/>
        <v xml:space="preserve"> </v>
      </c>
      <c r="BX18" s="421" t="str">
        <f t="shared" si="89"/>
        <v xml:space="preserve"> </v>
      </c>
      <c r="BY18" s="417" t="str">
        <f t="shared" si="90"/>
        <v xml:space="preserve"> </v>
      </c>
      <c r="BZ18" s="417" t="str">
        <f t="shared" si="91"/>
        <v xml:space="preserve"> </v>
      </c>
      <c r="CA18" s="422" t="str">
        <f t="shared" si="92"/>
        <v xml:space="preserve"> </v>
      </c>
      <c r="CB18" s="347" t="str">
        <f t="shared" si="25"/>
        <v xml:space="preserve"> </v>
      </c>
      <c r="CC18" s="347" t="str">
        <f t="shared" si="93"/>
        <v xml:space="preserve"> </v>
      </c>
      <c r="CD18" s="348" t="str">
        <f t="shared" si="26"/>
        <v xml:space="preserve"> </v>
      </c>
      <c r="CE18" s="347" t="str">
        <f t="shared" si="27"/>
        <v xml:space="preserve"> </v>
      </c>
      <c r="CF18" s="347" t="str">
        <f t="shared" si="28"/>
        <v xml:space="preserve"> </v>
      </c>
      <c r="CG18" s="348" t="str">
        <f t="shared" si="29"/>
        <v xml:space="preserve"> </v>
      </c>
      <c r="CH18" s="347" t="str">
        <f t="shared" si="94"/>
        <v xml:space="preserve"> </v>
      </c>
      <c r="CI18" s="349" t="str">
        <f>IF($A18="N/A"," ",F18+G18+(D18*('Pricing Inputs'!T51)))</f>
        <v xml:space="preserve"> </v>
      </c>
      <c r="CJ18" s="347" t="str">
        <f>IF($A18="N/A"," ",IF(PV=1,0,'Pricing Inputs'!U51))</f>
        <v xml:space="preserve"> </v>
      </c>
      <c r="CK18" s="350" t="str">
        <f t="shared" si="30"/>
        <v xml:space="preserve"> </v>
      </c>
      <c r="CL18" s="365" t="str">
        <f t="shared" si="31"/>
        <v xml:space="preserve"> </v>
      </c>
      <c r="CM18" s="380" t="str">
        <f t="shared" si="95"/>
        <v xml:space="preserve"> </v>
      </c>
      <c r="CN18" s="378" t="str">
        <f t="shared" si="32"/>
        <v xml:space="preserve"> </v>
      </c>
      <c r="CO18" s="378" t="str">
        <f t="shared" si="33"/>
        <v xml:space="preserve"> </v>
      </c>
      <c r="CP18" s="378" t="str">
        <f t="shared" si="34"/>
        <v xml:space="preserve"> </v>
      </c>
      <c r="CQ18" s="378" t="str">
        <f t="shared" si="35"/>
        <v xml:space="preserve"> </v>
      </c>
      <c r="CR18" s="378" t="str">
        <f t="shared" si="36"/>
        <v xml:space="preserve"> </v>
      </c>
      <c r="CS18" s="378" t="str">
        <f t="shared" si="37"/>
        <v xml:space="preserve"> </v>
      </c>
      <c r="CT18" s="378" t="str">
        <f t="shared" si="38"/>
        <v xml:space="preserve"> </v>
      </c>
      <c r="CU18" s="378" t="str">
        <f t="shared" si="39"/>
        <v xml:space="preserve"> </v>
      </c>
      <c r="CV18" s="378" t="str">
        <f t="shared" si="40"/>
        <v xml:space="preserve"> </v>
      </c>
      <c r="CW18" s="254" t="str">
        <f t="shared" si="41"/>
        <v xml:space="preserve"> </v>
      </c>
      <c r="CX18" s="254" t="str">
        <f t="shared" si="42"/>
        <v xml:space="preserve"> </v>
      </c>
      <c r="CY18" s="254" t="str">
        <f t="shared" si="43"/>
        <v xml:space="preserve"> </v>
      </c>
      <c r="CZ18" s="254" t="str">
        <f t="shared" si="44"/>
        <v xml:space="preserve"> </v>
      </c>
      <c r="DA18" s="254" t="str">
        <f t="shared" si="45"/>
        <v xml:space="preserve"> </v>
      </c>
      <c r="DB18" s="254" t="str">
        <f t="shared" si="46"/>
        <v xml:space="preserve"> </v>
      </c>
      <c r="DC18" s="254" t="str">
        <f t="shared" si="47"/>
        <v xml:space="preserve"> </v>
      </c>
      <c r="DD18" s="254" t="str">
        <f t="shared" si="48"/>
        <v xml:space="preserve"> </v>
      </c>
      <c r="DE18" s="254" t="str">
        <f t="shared" si="49"/>
        <v xml:space="preserve"> </v>
      </c>
      <c r="DF18" s="374" t="str">
        <f>IF($A18="N/A"," ",IF(CC=2,(IF(MONTH(A18)&gt;=4,IF(MONTH(A18)&lt;=10,Inputs!$G$13,Inputs!$G$14),Inputs!$G$14))*$CK18,0))</f>
        <v xml:space="preserve"> </v>
      </c>
      <c r="DG18" s="373" t="str">
        <f t="shared" si="50"/>
        <v xml:space="preserve"> </v>
      </c>
      <c r="DH18" s="373" t="str">
        <f t="shared" si="51"/>
        <v xml:space="preserve"> </v>
      </c>
      <c r="DI18" s="373" t="str">
        <f t="shared" si="52"/>
        <v xml:space="preserve"> </v>
      </c>
      <c r="DJ18" s="373" t="str">
        <f t="shared" si="53"/>
        <v xml:space="preserve"> </v>
      </c>
      <c r="DK18" s="373" t="str">
        <f t="shared" si="54"/>
        <v xml:space="preserve"> </v>
      </c>
      <c r="DL18" s="373" t="str">
        <f t="shared" si="55"/>
        <v xml:space="preserve"> </v>
      </c>
      <c r="DM18" s="373" t="str">
        <f t="shared" si="56"/>
        <v xml:space="preserve"> </v>
      </c>
      <c r="DN18" s="373" t="str">
        <f t="shared" si="57"/>
        <v xml:space="preserve"> </v>
      </c>
      <c r="DO18" s="373" t="str">
        <f t="shared" si="58"/>
        <v xml:space="preserve"> </v>
      </c>
      <c r="DP18" s="375" t="str">
        <f t="shared" si="59"/>
        <v xml:space="preserve"> </v>
      </c>
      <c r="DQ18" t="str">
        <f t="shared" si="96"/>
        <v xml:space="preserve"> </v>
      </c>
      <c r="HD18" t="str">
        <f t="shared" si="97"/>
        <v xml:space="preserve"> </v>
      </c>
      <c r="HE18" t="str">
        <f t="shared" si="98"/>
        <v xml:space="preserve"> </v>
      </c>
      <c r="HF18" t="str">
        <f t="shared" si="99"/>
        <v xml:space="preserve"> </v>
      </c>
    </row>
    <row r="19" spans="1:214">
      <c r="A19" s="415" t="str">
        <f>IF(A18="N/A","N/A",IF(EDATE(A18,1)&gt;Inputs!$K$3,"N/A",EDATE(A18,1)))</f>
        <v>N/A</v>
      </c>
      <c r="B19" s="410" t="str">
        <f t="shared" si="60"/>
        <v xml:space="preserve"> </v>
      </c>
      <c r="C19" s="411" t="str">
        <f t="shared" si="61"/>
        <v xml:space="preserve"> </v>
      </c>
      <c r="D19" s="412" t="str">
        <f t="shared" si="62"/>
        <v xml:space="preserve"> </v>
      </c>
      <c r="E19" s="413" t="str">
        <f>IF($A19="N/A"," ",(C19-'Pricing Inputs'!T52)*D19)</f>
        <v xml:space="preserve"> </v>
      </c>
      <c r="F19" s="414" t="str">
        <f t="shared" si="116"/>
        <v xml:space="preserve"> </v>
      </c>
      <c r="G19" s="414" t="str">
        <f t="shared" si="64"/>
        <v xml:space="preserve"> </v>
      </c>
      <c r="H19" s="416" t="str">
        <f t="shared" si="65"/>
        <v xml:space="preserve"> </v>
      </c>
      <c r="I19" s="213" t="str">
        <f t="shared" si="0"/>
        <v xml:space="preserve"> </v>
      </c>
      <c r="J19" s="213" t="str">
        <f t="shared" si="1"/>
        <v xml:space="preserve"> </v>
      </c>
      <c r="K19" s="213" t="str">
        <f t="shared" si="2"/>
        <v xml:space="preserve"> </v>
      </c>
      <c r="L19" s="213" t="str">
        <f t="shared" si="3"/>
        <v xml:space="preserve"> </v>
      </c>
      <c r="M19" s="213" t="str">
        <f t="shared" si="4"/>
        <v xml:space="preserve"> </v>
      </c>
      <c r="N19" s="213" t="str">
        <f t="shared" si="5"/>
        <v xml:space="preserve"> </v>
      </c>
      <c r="O19" s="213" t="str">
        <f t="shared" si="6"/>
        <v xml:space="preserve"> </v>
      </c>
      <c r="P19" s="213" t="str">
        <f t="shared" si="7"/>
        <v xml:space="preserve"> </v>
      </c>
      <c r="Q19" s="213" t="str">
        <f t="shared" si="8"/>
        <v xml:space="preserve"> </v>
      </c>
      <c r="R19" s="405" t="str">
        <f>IF($A19="N/A"," ",IF(Pricetype=2,MAX(I19-$H19,0),IF(Pricetype=1,(_xll.xSPRDOPT(I19,$E19,$CI19,0,($CD19+IF(Smile=TRUE,VLOOKUP(MAX(-5,$H19-I19),Volsmile,2),0)),$CG19,$CH19,($A19-DateToday)+15,1,0)),I19-$H19)))</f>
        <v xml:space="preserve"> </v>
      </c>
      <c r="S19" s="405" t="str">
        <f>IF($A19="N/A"," ",IF(Pricetype=2,MAX(J19-$H19,0),IF(Pricetype=1,(_xll.xSPRDOPT(J19,$E19,$CI19,0,($CD19+IF(Smile=TRUE,VLOOKUP(MAX(-5,$H19-J19),Volsmile,2),0)),$CG19,$CH19,($A19-DateToday)+15,1,0)),J19-$H19)))</f>
        <v xml:space="preserve"> </v>
      </c>
      <c r="T19" s="406" t="str">
        <f t="shared" si="9"/>
        <v xml:space="preserve"> </v>
      </c>
      <c r="U19" s="405" t="str">
        <f>IF($A19="N/A"," ",IF(Pricetype=2,MAX(L19-$H19,0),IF(L19&lt;&gt;0,IF(Pricetype=1,(_xll.xSPRDOPT(L19,$E19,$CI19,0,($CD19+IF(Smile=TRUE,VLOOKUP(MAX(-5,$H19-L19),Volsmile,2),0)),$CG19,$CH19,($A19-DateToday)+15,1,0)),L19-$H19),0)))</f>
        <v xml:space="preserve"> </v>
      </c>
      <c r="V19" s="405" t="str">
        <f>IF($A19="N/A"," ",IF(Pricetype=2,MAX(M19-$H19,0),IF(M19&lt;&gt;0,IF(Pricetype=1,(_xll.xSPRDOPT(M19,$E19,$CI19,0,($CD19+IF(Smile=TRUE,VLOOKUP(MAX(-5,$H19-M19),Volsmile,2),0)),$CG19,$CH19,($A19-DateToday)+15,1,0)),M19-$H19),0)))</f>
        <v xml:space="preserve"> </v>
      </c>
      <c r="W19" s="406" t="str">
        <f t="shared" si="10"/>
        <v xml:space="preserve"> </v>
      </c>
      <c r="X19" s="405" t="str">
        <f>IF($A19="N/A"," ",IF(Pricetype=2,MAX(O19-$H19,0),IF(O19&lt;&gt;0,IF(Pricetype=1,(_xll.xSPRDOPT(O19,$E19,$CI19,0,($CD19+IF(Smile=TRUE,VLOOKUP(MAX(-5,$H19-O19),Volsmile,2),0)),$CG19,$CH19,($A19-DateToday)+15,1,0)),O19-$H19),0)))</f>
        <v xml:space="preserve"> </v>
      </c>
      <c r="Y19" s="405" t="str">
        <f>IF($A19="N/A"," ",IF(Pricetype=2,MAX(P19-$H19,0),IF(P19&lt;&gt;0,IF(Pricetype=1,(_xll.xSPRDOPT(P19,$E19,$CI19,0,($CD19+IF(Smile=TRUE,VLOOKUP(MAX(-5,$H19-P19),Volsmile,2),0)),$CG19,$CH19,($A19-DateToday)+15,1,0)),P19-$H19),0)))</f>
        <v xml:space="preserve"> </v>
      </c>
      <c r="Z19" s="406" t="str">
        <f t="shared" si="11"/>
        <v xml:space="preserve"> </v>
      </c>
      <c r="AA19" s="254" t="str">
        <f>IF($A19="N/A"," ",IF(VLOOKUP(MONTH(A19),ManualTable,2)=1,(IF(0&lt;&gt;R19,IF(Pricetype=1,(_xll.xSPRDOPT(I19,$E19,$CI19,0,($CD19+IF(Smile=TRUE,VLOOKUP(MAX(-5,$H19-I19),Volsmile,2),0)),$CG19,$CH19,($A19-DateToday)+15,1,1))*(8*$HD19),8*$HD19),0)),0))</f>
        <v xml:space="preserve"> </v>
      </c>
      <c r="AB19" s="254" t="str">
        <f>IF($A19="N/A"," ",IF(VLOOKUP(MONTH(A19),ManualTable,3)=1,(IF(S19&lt;&gt;0,IF(Pricetype=1,(_xll.xSPRDOPT(J19,$E19,$CI19,0,($CD19+IF(Smile=TRUE,VLOOKUP(MAX(-5,$H19-J19),Volsmile,2),0)),$CG19,$CH19,($A19-DateToday)+15,1,1))*(8*$HD19),8*$HD19),0)),0))</f>
        <v xml:space="preserve"> </v>
      </c>
      <c r="AC19" s="254" t="str">
        <f t="shared" si="66"/>
        <v xml:space="preserve"> </v>
      </c>
      <c r="AD19" s="254" t="str">
        <f>IF($A19="N/A"," ",IF(VLOOKUP(MONTH(A19),ManualTable,5)=1,(IF(U19&lt;&gt;0,IF(Pricetype=1,(_xll.xSPRDOPT(L19,$E19,$CI19,0,($CD19+IF(Smile=TRUE,VLOOKUP(MAX(-5,$H19-L19),Volsmile,2),0)),$CG19,$CH19,($A19-DateToday)+15,1,1))*(8*$HE19),8*$HE19),0)),0))</f>
        <v xml:space="preserve"> </v>
      </c>
      <c r="AE19" s="254" t="str">
        <f>IF($A19="N/A"," ",IF(VLOOKUP(MONTH(A19),ManualTable,6)=1,(IF(V19&lt;&gt;0,IF(Pricetype=1,(_xll.xSPRDOPT(M19,$E19,$CI19,0,($CD19+IF(Smile=TRUE,VLOOKUP(MAX(-5,$H19-M19),Volsmile,2),0)),$CG19,$CH19,($A19-DateToday)+15,1,1))*(8*$HE19),8*$HE19),0)),0))</f>
        <v xml:space="preserve"> </v>
      </c>
      <c r="AF19" s="254" t="str">
        <f t="shared" si="67"/>
        <v xml:space="preserve"> </v>
      </c>
      <c r="AG19" s="254" t="str">
        <f>IF($A19="N/A"," ",IF(VLOOKUP(MONTH(A19),ManualTable,8)=1,(IF(X19&lt;&gt;0,IF(Pricetype=1,(_xll.xSPRDOPT(O19,$E19,$CI19,0,($CD19+IF(Smile=TRUE,VLOOKUP(MAX(-5,$H19-O19),Volsmile,2),0)),$CG19,$CH19,($A19-DateToday)+15,1,1))*(8*$HF19),8*$HF19),0)),0))</f>
        <v xml:space="preserve"> </v>
      </c>
      <c r="AH19" s="254" t="str">
        <f>IF($A19="N/A"," ",IF(VLOOKUP(MONTH(A19),ManualTable,9)=1,(IF(Y19&lt;&gt;0,IF(Pricetype=1,(_xll.xSPRDOPT(P19,$E19,$CI19,0,($CD19+IF(Smile=TRUE,VLOOKUP(MAX(-5,$H19-P19),Volsmile,2),0)),$CG19,$CH19,($A19-DateToday)+15,1,1))*(8*$HF19),8*$HF19),0)),0))</f>
        <v xml:space="preserve"> </v>
      </c>
      <c r="AI19" s="254" t="str">
        <f t="shared" si="68"/>
        <v xml:space="preserve"> </v>
      </c>
      <c r="AJ19" s="227" t="str">
        <f t="shared" si="117"/>
        <v xml:space="preserve"> </v>
      </c>
      <c r="AK19" s="228" t="str">
        <f t="shared" si="100"/>
        <v xml:space="preserve"> </v>
      </c>
      <c r="AL19" s="228" t="str">
        <f t="shared" si="100"/>
        <v xml:space="preserve"> </v>
      </c>
      <c r="AM19" s="228" t="str">
        <f t="shared" si="118"/>
        <v xml:space="preserve"> </v>
      </c>
      <c r="AN19" s="228" t="str">
        <f t="shared" si="119"/>
        <v xml:space="preserve"> </v>
      </c>
      <c r="AO19" s="228" t="str">
        <f t="shared" si="119"/>
        <v xml:space="preserve"> </v>
      </c>
      <c r="AP19" s="228" t="str">
        <f t="shared" si="120"/>
        <v xml:space="preserve"> </v>
      </c>
      <c r="AQ19" s="228" t="str">
        <f t="shared" si="121"/>
        <v xml:space="preserve"> </v>
      </c>
      <c r="AR19" s="229" t="str">
        <f t="shared" si="122"/>
        <v xml:space="preserve"> </v>
      </c>
      <c r="AS19" s="262" t="str">
        <f t="shared" si="102"/>
        <v xml:space="preserve"> </v>
      </c>
      <c r="AT19" s="263" t="str">
        <f t="shared" si="103"/>
        <v xml:space="preserve"> </v>
      </c>
      <c r="AU19" s="263" t="str">
        <f t="shared" si="103"/>
        <v xml:space="preserve"> </v>
      </c>
      <c r="AV19" s="263" t="str">
        <f t="shared" si="104"/>
        <v xml:space="preserve"> </v>
      </c>
      <c r="AW19" s="263" t="str">
        <f t="shared" si="105"/>
        <v xml:space="preserve"> </v>
      </c>
      <c r="AX19" s="263" t="str">
        <f t="shared" si="105"/>
        <v xml:space="preserve"> </v>
      </c>
      <c r="AY19" s="263" t="str">
        <f t="shared" si="106"/>
        <v xml:space="preserve"> </v>
      </c>
      <c r="AZ19" s="263" t="str">
        <f t="shared" si="107"/>
        <v xml:space="preserve"> </v>
      </c>
      <c r="BA19" s="263" t="str">
        <f t="shared" si="108"/>
        <v xml:space="preserve"> </v>
      </c>
      <c r="BB19" s="228"/>
      <c r="BC19" s="266" t="str">
        <f t="shared" si="109"/>
        <v xml:space="preserve"> </v>
      </c>
      <c r="BD19" s="269" t="str">
        <f t="shared" si="110"/>
        <v xml:space="preserve"> </v>
      </c>
      <c r="BE19" s="269" t="str">
        <f t="shared" si="110"/>
        <v xml:space="preserve"> </v>
      </c>
      <c r="BF19" s="269" t="str">
        <f t="shared" si="111"/>
        <v xml:space="preserve"> </v>
      </c>
      <c r="BG19" s="269" t="str">
        <f t="shared" si="112"/>
        <v xml:space="preserve"> </v>
      </c>
      <c r="BH19" s="269" t="str">
        <f t="shared" si="112"/>
        <v xml:space="preserve"> </v>
      </c>
      <c r="BI19" s="269" t="str">
        <f t="shared" si="113"/>
        <v xml:space="preserve"> </v>
      </c>
      <c r="BJ19" s="269" t="str">
        <f t="shared" si="114"/>
        <v xml:space="preserve"> </v>
      </c>
      <c r="BK19" s="269" t="str">
        <f t="shared" si="115"/>
        <v xml:space="preserve"> </v>
      </c>
      <c r="BL19" s="273"/>
      <c r="BM19" s="220" t="str">
        <f>IF($A19="N/A"," ",(IF(MONTH(A19)&gt;=4,IF(MONTH(A19)&lt;=10,Inputs!$F$13-Inputs!$G$13,Inputs!$F$14-Inputs!$G$14),Inputs!$F$14-Inputs!$G$14))*$CK19*Availability)</f>
        <v xml:space="preserve"> </v>
      </c>
      <c r="BN19" s="221" t="str">
        <f t="shared" si="79"/>
        <v xml:space="preserve"> </v>
      </c>
      <c r="BO19" s="221" t="str">
        <f t="shared" si="80"/>
        <v xml:space="preserve"> </v>
      </c>
      <c r="BP19" s="221" t="str">
        <f t="shared" si="81"/>
        <v xml:space="preserve"> </v>
      </c>
      <c r="BQ19" s="221" t="str">
        <f t="shared" si="82"/>
        <v xml:space="preserve"> </v>
      </c>
      <c r="BR19" s="221" t="str">
        <f t="shared" si="83"/>
        <v xml:space="preserve"> </v>
      </c>
      <c r="BS19" s="221" t="str">
        <f t="shared" si="84"/>
        <v xml:space="preserve"> </v>
      </c>
      <c r="BT19" s="221" t="str">
        <f t="shared" si="85"/>
        <v xml:space="preserve"> </v>
      </c>
      <c r="BU19" s="221" t="str">
        <f t="shared" si="86"/>
        <v xml:space="preserve"> </v>
      </c>
      <c r="BV19" s="221" t="str">
        <f t="shared" si="87"/>
        <v xml:space="preserve"> </v>
      </c>
      <c r="BW19" s="221" t="str">
        <f t="shared" si="88"/>
        <v xml:space="preserve"> </v>
      </c>
      <c r="BX19" s="421" t="str">
        <f t="shared" si="89"/>
        <v xml:space="preserve"> </v>
      </c>
      <c r="BY19" s="417" t="str">
        <f t="shared" si="90"/>
        <v xml:space="preserve"> </v>
      </c>
      <c r="BZ19" s="417" t="str">
        <f t="shared" si="91"/>
        <v xml:space="preserve"> </v>
      </c>
      <c r="CA19" s="422" t="str">
        <f t="shared" si="92"/>
        <v xml:space="preserve"> </v>
      </c>
      <c r="CB19" s="347" t="str">
        <f t="shared" si="25"/>
        <v xml:space="preserve"> </v>
      </c>
      <c r="CC19" s="347" t="str">
        <f t="shared" si="93"/>
        <v xml:space="preserve"> </v>
      </c>
      <c r="CD19" s="348" t="str">
        <f t="shared" si="26"/>
        <v xml:space="preserve"> </v>
      </c>
      <c r="CE19" s="347" t="str">
        <f t="shared" si="27"/>
        <v xml:space="preserve"> </v>
      </c>
      <c r="CF19" s="347" t="str">
        <f t="shared" si="28"/>
        <v xml:space="preserve"> </v>
      </c>
      <c r="CG19" s="348" t="str">
        <f t="shared" si="29"/>
        <v xml:space="preserve"> </v>
      </c>
      <c r="CH19" s="347" t="str">
        <f t="shared" si="94"/>
        <v xml:space="preserve"> </v>
      </c>
      <c r="CI19" s="349" t="str">
        <f>IF($A19="N/A"," ",F19+G19+(D19*('Pricing Inputs'!T52)))</f>
        <v xml:space="preserve"> </v>
      </c>
      <c r="CJ19" s="347" t="str">
        <f>IF($A19="N/A"," ",IF(PV=1,0,'Pricing Inputs'!U52))</f>
        <v xml:space="preserve"> </v>
      </c>
      <c r="CK19" s="350" t="str">
        <f t="shared" si="30"/>
        <v xml:space="preserve"> </v>
      </c>
      <c r="CL19" s="365" t="str">
        <f t="shared" si="31"/>
        <v xml:space="preserve"> </v>
      </c>
      <c r="CM19" s="380" t="str">
        <f t="shared" si="95"/>
        <v xml:space="preserve"> </v>
      </c>
      <c r="CN19" s="378" t="str">
        <f t="shared" si="32"/>
        <v xml:space="preserve"> </v>
      </c>
      <c r="CO19" s="378" t="str">
        <f t="shared" si="33"/>
        <v xml:space="preserve"> </v>
      </c>
      <c r="CP19" s="378" t="str">
        <f t="shared" si="34"/>
        <v xml:space="preserve"> </v>
      </c>
      <c r="CQ19" s="378" t="str">
        <f t="shared" si="35"/>
        <v xml:space="preserve"> </v>
      </c>
      <c r="CR19" s="378" t="str">
        <f t="shared" si="36"/>
        <v xml:space="preserve"> </v>
      </c>
      <c r="CS19" s="378" t="str">
        <f t="shared" si="37"/>
        <v xml:space="preserve"> </v>
      </c>
      <c r="CT19" s="378" t="str">
        <f t="shared" si="38"/>
        <v xml:space="preserve"> </v>
      </c>
      <c r="CU19" s="378" t="str">
        <f t="shared" si="39"/>
        <v xml:space="preserve"> </v>
      </c>
      <c r="CV19" s="378" t="str">
        <f t="shared" si="40"/>
        <v xml:space="preserve"> </v>
      </c>
      <c r="CW19" s="254" t="str">
        <f t="shared" si="41"/>
        <v xml:space="preserve"> </v>
      </c>
      <c r="CX19" s="254" t="str">
        <f t="shared" si="42"/>
        <v xml:space="preserve"> </v>
      </c>
      <c r="CY19" s="254" t="str">
        <f t="shared" si="43"/>
        <v xml:space="preserve"> </v>
      </c>
      <c r="CZ19" s="254" t="str">
        <f t="shared" si="44"/>
        <v xml:space="preserve"> </v>
      </c>
      <c r="DA19" s="254" t="str">
        <f t="shared" si="45"/>
        <v xml:space="preserve"> </v>
      </c>
      <c r="DB19" s="254" t="str">
        <f t="shared" si="46"/>
        <v xml:space="preserve"> </v>
      </c>
      <c r="DC19" s="254" t="str">
        <f t="shared" si="47"/>
        <v xml:space="preserve"> </v>
      </c>
      <c r="DD19" s="254" t="str">
        <f t="shared" si="48"/>
        <v xml:space="preserve"> </v>
      </c>
      <c r="DE19" s="254" t="str">
        <f t="shared" si="49"/>
        <v xml:space="preserve"> </v>
      </c>
      <c r="DF19" s="374" t="str">
        <f>IF($A19="N/A"," ",IF(CC=2,(IF(MONTH(A19)&gt;=4,IF(MONTH(A19)&lt;=10,Inputs!$G$13,Inputs!$G$14),Inputs!$G$14))*$CK19,0))</f>
        <v xml:space="preserve"> </v>
      </c>
      <c r="DG19" s="373" t="str">
        <f t="shared" si="50"/>
        <v xml:space="preserve"> </v>
      </c>
      <c r="DH19" s="373" t="str">
        <f t="shared" si="51"/>
        <v xml:space="preserve"> </v>
      </c>
      <c r="DI19" s="373" t="str">
        <f t="shared" si="52"/>
        <v xml:space="preserve"> </v>
      </c>
      <c r="DJ19" s="373" t="str">
        <f t="shared" si="53"/>
        <v xml:space="preserve"> </v>
      </c>
      <c r="DK19" s="373" t="str">
        <f t="shared" si="54"/>
        <v xml:space="preserve"> </v>
      </c>
      <c r="DL19" s="373" t="str">
        <f t="shared" si="55"/>
        <v xml:space="preserve"> </v>
      </c>
      <c r="DM19" s="373" t="str">
        <f t="shared" si="56"/>
        <v xml:space="preserve"> </v>
      </c>
      <c r="DN19" s="373" t="str">
        <f t="shared" si="57"/>
        <v xml:space="preserve"> </v>
      </c>
      <c r="DO19" s="373" t="str">
        <f t="shared" si="58"/>
        <v xml:space="preserve"> </v>
      </c>
      <c r="DP19" s="375" t="str">
        <f t="shared" si="59"/>
        <v xml:space="preserve"> </v>
      </c>
      <c r="DQ19" t="str">
        <f t="shared" si="96"/>
        <v xml:space="preserve"> </v>
      </c>
      <c r="HD19" t="str">
        <f t="shared" si="97"/>
        <v xml:space="preserve"> </v>
      </c>
      <c r="HE19" t="str">
        <f t="shared" si="98"/>
        <v xml:space="preserve"> </v>
      </c>
      <c r="HF19" t="str">
        <f t="shared" si="99"/>
        <v xml:space="preserve"> </v>
      </c>
    </row>
    <row r="20" spans="1:214">
      <c r="A20" s="415" t="str">
        <f>IF(A19="N/A","N/A",IF(EDATE(A19,1)&gt;Inputs!$K$3,"N/A",EDATE(A19,1)))</f>
        <v>N/A</v>
      </c>
      <c r="B20" s="410" t="str">
        <f t="shared" si="60"/>
        <v xml:space="preserve"> </v>
      </c>
      <c r="C20" s="411" t="str">
        <f t="shared" si="61"/>
        <v xml:space="preserve"> </v>
      </c>
      <c r="D20" s="412" t="str">
        <f t="shared" si="62"/>
        <v xml:space="preserve"> </v>
      </c>
      <c r="E20" s="413" t="str">
        <f>IF($A20="N/A"," ",(C20-'Pricing Inputs'!T53)*D20)</f>
        <v xml:space="preserve"> </v>
      </c>
      <c r="F20" s="414" t="str">
        <f t="shared" si="116"/>
        <v xml:space="preserve"> </v>
      </c>
      <c r="G20" s="414" t="str">
        <f t="shared" si="64"/>
        <v xml:space="preserve"> </v>
      </c>
      <c r="H20" s="416" t="str">
        <f t="shared" si="65"/>
        <v xml:space="preserve"> </v>
      </c>
      <c r="I20" s="213" t="str">
        <f t="shared" si="0"/>
        <v xml:space="preserve"> </v>
      </c>
      <c r="J20" s="213" t="str">
        <f t="shared" si="1"/>
        <v xml:space="preserve"> </v>
      </c>
      <c r="K20" s="213" t="str">
        <f t="shared" si="2"/>
        <v xml:space="preserve"> </v>
      </c>
      <c r="L20" s="213" t="str">
        <f t="shared" si="3"/>
        <v xml:space="preserve"> </v>
      </c>
      <c r="M20" s="213" t="str">
        <f t="shared" si="4"/>
        <v xml:space="preserve"> </v>
      </c>
      <c r="N20" s="213" t="str">
        <f t="shared" si="5"/>
        <v xml:space="preserve"> </v>
      </c>
      <c r="O20" s="213" t="str">
        <f t="shared" si="6"/>
        <v xml:space="preserve"> </v>
      </c>
      <c r="P20" s="213" t="str">
        <f t="shared" si="7"/>
        <v xml:space="preserve"> </v>
      </c>
      <c r="Q20" s="213" t="str">
        <f t="shared" si="8"/>
        <v xml:space="preserve"> </v>
      </c>
      <c r="R20" s="405" t="str">
        <f>IF($A20="N/A"," ",IF(Pricetype=2,MAX(I20-$H20,0),IF(Pricetype=1,(_xll.xSPRDOPT(I20,$E20,$CI20,0,($CD20+IF(Smile=TRUE,VLOOKUP(MAX(-5,$H20-I20),Volsmile,2),0)),$CG20,$CH20,($A20-DateToday)+15,1,0)),I20-$H20)))</f>
        <v xml:space="preserve"> </v>
      </c>
      <c r="S20" s="405" t="str">
        <f>IF($A20="N/A"," ",IF(Pricetype=2,MAX(J20-$H20,0),IF(Pricetype=1,(_xll.xSPRDOPT(J20,$E20,$CI20,0,($CD20+IF(Smile=TRUE,VLOOKUP(MAX(-5,$H20-J20),Volsmile,2),0)),$CG20,$CH20,($A20-DateToday)+15,1,0)),J20-$H20)))</f>
        <v xml:space="preserve"> </v>
      </c>
      <c r="T20" s="406" t="str">
        <f t="shared" si="9"/>
        <v xml:space="preserve"> </v>
      </c>
      <c r="U20" s="405" t="str">
        <f>IF($A20="N/A"," ",IF(Pricetype=2,MAX(L20-$H20,0),IF(L20&lt;&gt;0,IF(Pricetype=1,(_xll.xSPRDOPT(L20,$E20,$CI20,0,($CD20+IF(Smile=TRUE,VLOOKUP(MAX(-5,$H20-L20),Volsmile,2),0)),$CG20,$CH20,($A20-DateToday)+15,1,0)),L20-$H20),0)))</f>
        <v xml:space="preserve"> </v>
      </c>
      <c r="V20" s="405" t="str">
        <f>IF($A20="N/A"," ",IF(Pricetype=2,MAX(M20-$H20,0),IF(M20&lt;&gt;0,IF(Pricetype=1,(_xll.xSPRDOPT(M20,$E20,$CI20,0,($CD20+IF(Smile=TRUE,VLOOKUP(MAX(-5,$H20-M20),Volsmile,2),0)),$CG20,$CH20,($A20-DateToday)+15,1,0)),M20-$H20),0)))</f>
        <v xml:space="preserve"> </v>
      </c>
      <c r="W20" s="406" t="str">
        <f t="shared" si="10"/>
        <v xml:space="preserve"> </v>
      </c>
      <c r="X20" s="405" t="str">
        <f>IF($A20="N/A"," ",IF(Pricetype=2,MAX(O20-$H20,0),IF(O20&lt;&gt;0,IF(Pricetype=1,(_xll.xSPRDOPT(O20,$E20,$CI20,0,($CD20+IF(Smile=TRUE,VLOOKUP(MAX(-5,$H20-O20),Volsmile,2),0)),$CG20,$CH20,($A20-DateToday)+15,1,0)),O20-$H20),0)))</f>
        <v xml:space="preserve"> </v>
      </c>
      <c r="Y20" s="405" t="str">
        <f>IF($A20="N/A"," ",IF(Pricetype=2,MAX(P20-$H20,0),IF(P20&lt;&gt;0,IF(Pricetype=1,(_xll.xSPRDOPT(P20,$E20,$CI20,0,($CD20+IF(Smile=TRUE,VLOOKUP(MAX(-5,$H20-P20),Volsmile,2),0)),$CG20,$CH20,($A20-DateToday)+15,1,0)),P20-$H20),0)))</f>
        <v xml:space="preserve"> </v>
      </c>
      <c r="Z20" s="406" t="str">
        <f t="shared" si="11"/>
        <v xml:space="preserve"> </v>
      </c>
      <c r="AA20" s="254" t="str">
        <f>IF($A20="N/A"," ",IF(VLOOKUP(MONTH(A20),ManualTable,2)=1,(IF(0&lt;&gt;R20,IF(Pricetype=1,(_xll.xSPRDOPT(I20,$E20,$CI20,0,($CD20+IF(Smile=TRUE,VLOOKUP(MAX(-5,$H20-I20),Volsmile,2),0)),$CG20,$CH20,($A20-DateToday)+15,1,1))*(8*$HD20),8*$HD20),0)),0))</f>
        <v xml:space="preserve"> </v>
      </c>
      <c r="AB20" s="254" t="str">
        <f>IF($A20="N/A"," ",IF(VLOOKUP(MONTH(A20),ManualTable,3)=1,(IF(S20&lt;&gt;0,IF(Pricetype=1,(_xll.xSPRDOPT(J20,$E20,$CI20,0,($CD20+IF(Smile=TRUE,VLOOKUP(MAX(-5,$H20-J20),Volsmile,2),0)),$CG20,$CH20,($A20-DateToday)+15,1,1))*(8*$HD20),8*$HD20),0)),0))</f>
        <v xml:space="preserve"> </v>
      </c>
      <c r="AC20" s="254" t="str">
        <f t="shared" si="66"/>
        <v xml:space="preserve"> </v>
      </c>
      <c r="AD20" s="254" t="str">
        <f>IF($A20="N/A"," ",IF(VLOOKUP(MONTH(A20),ManualTable,5)=1,(IF(U20&lt;&gt;0,IF(Pricetype=1,(_xll.xSPRDOPT(L20,$E20,$CI20,0,($CD20+IF(Smile=TRUE,VLOOKUP(MAX(-5,$H20-L20),Volsmile,2),0)),$CG20,$CH20,($A20-DateToday)+15,1,1))*(8*$HE20),8*$HE20),0)),0))</f>
        <v xml:space="preserve"> </v>
      </c>
      <c r="AE20" s="254" t="str">
        <f>IF($A20="N/A"," ",IF(VLOOKUP(MONTH(A20),ManualTable,6)=1,(IF(V20&lt;&gt;0,IF(Pricetype=1,(_xll.xSPRDOPT(M20,$E20,$CI20,0,($CD20+IF(Smile=TRUE,VLOOKUP(MAX(-5,$H20-M20),Volsmile,2),0)),$CG20,$CH20,($A20-DateToday)+15,1,1))*(8*$HE20),8*$HE20),0)),0))</f>
        <v xml:space="preserve"> </v>
      </c>
      <c r="AF20" s="254" t="str">
        <f t="shared" si="67"/>
        <v xml:space="preserve"> </v>
      </c>
      <c r="AG20" s="254" t="str">
        <f>IF($A20="N/A"," ",IF(VLOOKUP(MONTH(A20),ManualTable,8)=1,(IF(X20&lt;&gt;0,IF(Pricetype=1,(_xll.xSPRDOPT(O20,$E20,$CI20,0,($CD20+IF(Smile=TRUE,VLOOKUP(MAX(-5,$H20-O20),Volsmile,2),0)),$CG20,$CH20,($A20-DateToday)+15,1,1))*(8*$HF20),8*$HF20),0)),0))</f>
        <v xml:space="preserve"> </v>
      </c>
      <c r="AH20" s="254" t="str">
        <f>IF($A20="N/A"," ",IF(VLOOKUP(MONTH(A20),ManualTable,9)=1,(IF(Y20&lt;&gt;0,IF(Pricetype=1,(_xll.xSPRDOPT(P20,$E20,$CI20,0,($CD20+IF(Smile=TRUE,VLOOKUP(MAX(-5,$H20-P20),Volsmile,2),0)),$CG20,$CH20,($A20-DateToday)+15,1,1))*(8*$HF20),8*$HF20),0)),0))</f>
        <v xml:space="preserve"> </v>
      </c>
      <c r="AI20" s="254" t="str">
        <f t="shared" si="68"/>
        <v xml:space="preserve"> </v>
      </c>
      <c r="AJ20" s="227" t="str">
        <f t="shared" si="117"/>
        <v xml:space="preserve"> </v>
      </c>
      <c r="AK20" s="228" t="str">
        <f t="shared" si="100"/>
        <v xml:space="preserve"> </v>
      </c>
      <c r="AL20" s="228" t="str">
        <f t="shared" si="100"/>
        <v xml:space="preserve"> </v>
      </c>
      <c r="AM20" s="228" t="str">
        <f t="shared" si="118"/>
        <v xml:space="preserve"> </v>
      </c>
      <c r="AN20" s="228" t="str">
        <f t="shared" si="119"/>
        <v xml:space="preserve"> </v>
      </c>
      <c r="AO20" s="228" t="str">
        <f t="shared" si="119"/>
        <v xml:space="preserve"> </v>
      </c>
      <c r="AP20" s="228" t="str">
        <f t="shared" si="120"/>
        <v xml:space="preserve"> </v>
      </c>
      <c r="AQ20" s="228" t="str">
        <f t="shared" si="121"/>
        <v xml:space="preserve"> </v>
      </c>
      <c r="AR20" s="229" t="str">
        <f t="shared" si="122"/>
        <v xml:space="preserve"> </v>
      </c>
      <c r="AS20" s="262" t="str">
        <f t="shared" si="102"/>
        <v xml:space="preserve"> </v>
      </c>
      <c r="AT20" s="263" t="str">
        <f t="shared" si="103"/>
        <v xml:space="preserve"> </v>
      </c>
      <c r="AU20" s="263" t="str">
        <f t="shared" si="103"/>
        <v xml:space="preserve"> </v>
      </c>
      <c r="AV20" s="263" t="str">
        <f t="shared" si="104"/>
        <v xml:space="preserve"> </v>
      </c>
      <c r="AW20" s="263" t="str">
        <f t="shared" si="105"/>
        <v xml:space="preserve"> </v>
      </c>
      <c r="AX20" s="263" t="str">
        <f t="shared" si="105"/>
        <v xml:space="preserve"> </v>
      </c>
      <c r="AY20" s="263" t="str">
        <f t="shared" si="106"/>
        <v xml:space="preserve"> </v>
      </c>
      <c r="AZ20" s="263" t="str">
        <f t="shared" si="107"/>
        <v xml:space="preserve"> </v>
      </c>
      <c r="BA20" s="263" t="str">
        <f t="shared" si="108"/>
        <v xml:space="preserve"> </v>
      </c>
      <c r="BB20" s="228"/>
      <c r="BC20" s="266" t="str">
        <f t="shared" si="109"/>
        <v xml:space="preserve"> </v>
      </c>
      <c r="BD20" s="269" t="str">
        <f t="shared" si="110"/>
        <v xml:space="preserve"> </v>
      </c>
      <c r="BE20" s="269" t="str">
        <f t="shared" si="110"/>
        <v xml:space="preserve"> </v>
      </c>
      <c r="BF20" s="269" t="str">
        <f t="shared" si="111"/>
        <v xml:space="preserve"> </v>
      </c>
      <c r="BG20" s="269" t="str">
        <f t="shared" si="112"/>
        <v xml:space="preserve"> </v>
      </c>
      <c r="BH20" s="269" t="str">
        <f t="shared" si="112"/>
        <v xml:space="preserve"> </v>
      </c>
      <c r="BI20" s="269" t="str">
        <f t="shared" si="113"/>
        <v xml:space="preserve"> </v>
      </c>
      <c r="BJ20" s="269" t="str">
        <f t="shared" si="114"/>
        <v xml:space="preserve"> </v>
      </c>
      <c r="BK20" s="269" t="str">
        <f t="shared" si="115"/>
        <v xml:space="preserve"> </v>
      </c>
      <c r="BL20" s="273"/>
      <c r="BM20" s="220" t="str">
        <f>IF($A20="N/A"," ",(IF(MONTH(A20)&gt;=4,IF(MONTH(A20)&lt;=10,Inputs!$F$13-Inputs!$G$13,Inputs!$F$14-Inputs!$G$14),Inputs!$F$14-Inputs!$G$14))*$CK20*Availability)</f>
        <v xml:space="preserve"> </v>
      </c>
      <c r="BN20" s="221" t="str">
        <f t="shared" si="79"/>
        <v xml:space="preserve"> </v>
      </c>
      <c r="BO20" s="221" t="str">
        <f t="shared" si="80"/>
        <v xml:space="preserve"> </v>
      </c>
      <c r="BP20" s="221" t="str">
        <f t="shared" si="81"/>
        <v xml:space="preserve"> </v>
      </c>
      <c r="BQ20" s="221" t="str">
        <f t="shared" si="82"/>
        <v xml:space="preserve"> </v>
      </c>
      <c r="BR20" s="221" t="str">
        <f t="shared" si="83"/>
        <v xml:space="preserve"> </v>
      </c>
      <c r="BS20" s="221" t="str">
        <f t="shared" si="84"/>
        <v xml:space="preserve"> </v>
      </c>
      <c r="BT20" s="221" t="str">
        <f t="shared" si="85"/>
        <v xml:space="preserve"> </v>
      </c>
      <c r="BU20" s="221" t="str">
        <f t="shared" si="86"/>
        <v xml:space="preserve"> </v>
      </c>
      <c r="BV20" s="221" t="str">
        <f t="shared" si="87"/>
        <v xml:space="preserve"> </v>
      </c>
      <c r="BW20" s="221" t="str">
        <f t="shared" si="88"/>
        <v xml:space="preserve"> </v>
      </c>
      <c r="BX20" s="421" t="str">
        <f t="shared" si="89"/>
        <v xml:space="preserve"> </v>
      </c>
      <c r="BY20" s="417" t="str">
        <f t="shared" si="90"/>
        <v xml:space="preserve"> </v>
      </c>
      <c r="BZ20" s="417" t="str">
        <f t="shared" si="91"/>
        <v xml:space="preserve"> </v>
      </c>
      <c r="CA20" s="422" t="str">
        <f t="shared" si="92"/>
        <v xml:space="preserve"> </v>
      </c>
      <c r="CB20" s="347" t="str">
        <f t="shared" si="25"/>
        <v xml:space="preserve"> </v>
      </c>
      <c r="CC20" s="347" t="str">
        <f t="shared" si="93"/>
        <v xml:space="preserve"> </v>
      </c>
      <c r="CD20" s="348" t="str">
        <f t="shared" si="26"/>
        <v xml:space="preserve"> </v>
      </c>
      <c r="CE20" s="347" t="str">
        <f t="shared" si="27"/>
        <v xml:space="preserve"> </v>
      </c>
      <c r="CF20" s="347" t="str">
        <f t="shared" si="28"/>
        <v xml:space="preserve"> </v>
      </c>
      <c r="CG20" s="348" t="str">
        <f t="shared" si="29"/>
        <v xml:space="preserve"> </v>
      </c>
      <c r="CH20" s="347" t="str">
        <f t="shared" si="94"/>
        <v xml:space="preserve"> </v>
      </c>
      <c r="CI20" s="349" t="str">
        <f>IF($A20="N/A"," ",F20+G20+(D20*('Pricing Inputs'!T53)))</f>
        <v xml:space="preserve"> </v>
      </c>
      <c r="CJ20" s="347" t="str">
        <f>IF($A20="N/A"," ",IF(PV=1,0,'Pricing Inputs'!U53))</f>
        <v xml:space="preserve"> </v>
      </c>
      <c r="CK20" s="350" t="str">
        <f t="shared" si="30"/>
        <v xml:space="preserve"> </v>
      </c>
      <c r="CL20" s="365" t="str">
        <f t="shared" si="31"/>
        <v xml:space="preserve"> </v>
      </c>
      <c r="CM20" s="380" t="str">
        <f t="shared" si="95"/>
        <v xml:space="preserve"> </v>
      </c>
      <c r="CN20" s="378" t="str">
        <f t="shared" si="32"/>
        <v xml:space="preserve"> </v>
      </c>
      <c r="CO20" s="378" t="str">
        <f t="shared" si="33"/>
        <v xml:space="preserve"> </v>
      </c>
      <c r="CP20" s="378" t="str">
        <f t="shared" si="34"/>
        <v xml:space="preserve"> </v>
      </c>
      <c r="CQ20" s="378" t="str">
        <f t="shared" si="35"/>
        <v xml:space="preserve"> </v>
      </c>
      <c r="CR20" s="378" t="str">
        <f t="shared" si="36"/>
        <v xml:space="preserve"> </v>
      </c>
      <c r="CS20" s="378" t="str">
        <f t="shared" si="37"/>
        <v xml:space="preserve"> </v>
      </c>
      <c r="CT20" s="378" t="str">
        <f t="shared" si="38"/>
        <v xml:space="preserve"> </v>
      </c>
      <c r="CU20" s="378" t="str">
        <f t="shared" si="39"/>
        <v xml:space="preserve"> </v>
      </c>
      <c r="CV20" s="378" t="str">
        <f t="shared" si="40"/>
        <v xml:space="preserve"> </v>
      </c>
      <c r="CW20" s="254" t="str">
        <f t="shared" si="41"/>
        <v xml:space="preserve"> </v>
      </c>
      <c r="CX20" s="254" t="str">
        <f t="shared" si="42"/>
        <v xml:space="preserve"> </v>
      </c>
      <c r="CY20" s="254" t="str">
        <f t="shared" si="43"/>
        <v xml:space="preserve"> </v>
      </c>
      <c r="CZ20" s="254" t="str">
        <f t="shared" si="44"/>
        <v xml:space="preserve"> </v>
      </c>
      <c r="DA20" s="254" t="str">
        <f t="shared" si="45"/>
        <v xml:space="preserve"> </v>
      </c>
      <c r="DB20" s="254" t="str">
        <f t="shared" si="46"/>
        <v xml:space="preserve"> </v>
      </c>
      <c r="DC20" s="254" t="str">
        <f t="shared" si="47"/>
        <v xml:space="preserve"> </v>
      </c>
      <c r="DD20" s="254" t="str">
        <f t="shared" si="48"/>
        <v xml:space="preserve"> </v>
      </c>
      <c r="DE20" s="254" t="str">
        <f t="shared" si="49"/>
        <v xml:space="preserve"> </v>
      </c>
      <c r="DF20" s="374" t="str">
        <f>IF($A20="N/A"," ",IF(CC=2,(IF(MONTH(A20)&gt;=4,IF(MONTH(A20)&lt;=10,Inputs!$G$13,Inputs!$G$14),Inputs!$G$14))*$CK20,0))</f>
        <v xml:space="preserve"> </v>
      </c>
      <c r="DG20" s="373" t="str">
        <f t="shared" si="50"/>
        <v xml:space="preserve"> </v>
      </c>
      <c r="DH20" s="373" t="str">
        <f t="shared" si="51"/>
        <v xml:space="preserve"> </v>
      </c>
      <c r="DI20" s="373" t="str">
        <f t="shared" si="52"/>
        <v xml:space="preserve"> </v>
      </c>
      <c r="DJ20" s="373" t="str">
        <f t="shared" si="53"/>
        <v xml:space="preserve"> </v>
      </c>
      <c r="DK20" s="373" t="str">
        <f t="shared" si="54"/>
        <v xml:space="preserve"> </v>
      </c>
      <c r="DL20" s="373" t="str">
        <f t="shared" si="55"/>
        <v xml:space="preserve"> </v>
      </c>
      <c r="DM20" s="373" t="str">
        <f t="shared" si="56"/>
        <v xml:space="preserve"> </v>
      </c>
      <c r="DN20" s="373" t="str">
        <f t="shared" si="57"/>
        <v xml:space="preserve"> </v>
      </c>
      <c r="DO20" s="373" t="str">
        <f t="shared" si="58"/>
        <v xml:space="preserve"> </v>
      </c>
      <c r="DP20" s="375" t="str">
        <f t="shared" si="59"/>
        <v xml:space="preserve"> </v>
      </c>
      <c r="DQ20" t="str">
        <f t="shared" si="96"/>
        <v xml:space="preserve"> </v>
      </c>
      <c r="HD20" t="str">
        <f t="shared" si="97"/>
        <v xml:space="preserve"> </v>
      </c>
      <c r="HE20" t="str">
        <f t="shared" si="98"/>
        <v xml:space="preserve"> </v>
      </c>
      <c r="HF20" t="str">
        <f t="shared" si="99"/>
        <v xml:space="preserve"> </v>
      </c>
    </row>
    <row r="21" spans="1:214">
      <c r="A21" s="415" t="str">
        <f>IF(A20="N/A","N/A",IF(EDATE(A20,1)&gt;Inputs!$K$3,"N/A",EDATE(A20,1)))</f>
        <v>N/A</v>
      </c>
      <c r="B21" s="410" t="str">
        <f t="shared" si="60"/>
        <v xml:space="preserve"> </v>
      </c>
      <c r="C21" s="411" t="str">
        <f t="shared" si="61"/>
        <v xml:space="preserve"> </v>
      </c>
      <c r="D21" s="412" t="str">
        <f t="shared" si="62"/>
        <v xml:space="preserve"> </v>
      </c>
      <c r="E21" s="413" t="str">
        <f>IF($A21="N/A"," ",(C21-'Pricing Inputs'!T54)*D21)</f>
        <v xml:space="preserve"> </v>
      </c>
      <c r="F21" s="414" t="str">
        <f t="shared" si="116"/>
        <v xml:space="preserve"> </v>
      </c>
      <c r="G21" s="414" t="str">
        <f t="shared" si="64"/>
        <v xml:space="preserve"> </v>
      </c>
      <c r="H21" s="416" t="str">
        <f t="shared" si="65"/>
        <v xml:space="preserve"> </v>
      </c>
      <c r="I21" s="213" t="str">
        <f t="shared" si="0"/>
        <v xml:space="preserve"> </v>
      </c>
      <c r="J21" s="213" t="str">
        <f t="shared" si="1"/>
        <v xml:space="preserve"> </v>
      </c>
      <c r="K21" s="213" t="str">
        <f t="shared" si="2"/>
        <v xml:space="preserve"> </v>
      </c>
      <c r="L21" s="213" t="str">
        <f t="shared" si="3"/>
        <v xml:space="preserve"> </v>
      </c>
      <c r="M21" s="213" t="str">
        <f t="shared" si="4"/>
        <v xml:space="preserve"> </v>
      </c>
      <c r="N21" s="213" t="str">
        <f t="shared" si="5"/>
        <v xml:space="preserve"> </v>
      </c>
      <c r="O21" s="213" t="str">
        <f t="shared" si="6"/>
        <v xml:space="preserve"> </v>
      </c>
      <c r="P21" s="213" t="str">
        <f t="shared" si="7"/>
        <v xml:space="preserve"> </v>
      </c>
      <c r="Q21" s="213" t="str">
        <f t="shared" si="8"/>
        <v xml:space="preserve"> </v>
      </c>
      <c r="R21" s="405" t="str">
        <f>IF($A21="N/A"," ",IF(Pricetype=2,MAX(I21-$H21,0),IF(Pricetype=1,(_xll.xSPRDOPT(I21,$E21,$CI21,0,($CD21+IF(Smile=TRUE,VLOOKUP(MAX(-5,$H21-I21),Volsmile,2),0)),$CG21,$CH21,($A21-DateToday)+15,1,0)),I21-$H21)))</f>
        <v xml:space="preserve"> </v>
      </c>
      <c r="S21" s="405" t="str">
        <f>IF($A21="N/A"," ",IF(Pricetype=2,MAX(J21-$H21,0),IF(Pricetype=1,(_xll.xSPRDOPT(J21,$E21,$CI21,0,($CD21+IF(Smile=TRUE,VLOOKUP(MAX(-5,$H21-J21),Volsmile,2),0)),$CG21,$CH21,($A21-DateToday)+15,1,0)),J21-$H21)))</f>
        <v xml:space="preserve"> </v>
      </c>
      <c r="T21" s="406" t="str">
        <f t="shared" si="9"/>
        <v xml:space="preserve"> </v>
      </c>
      <c r="U21" s="405" t="str">
        <f>IF($A21="N/A"," ",IF(Pricetype=2,MAX(L21-$H21,0),IF(L21&lt;&gt;0,IF(Pricetype=1,(_xll.xSPRDOPT(L21,$E21,$CI21,0,($CD21+IF(Smile=TRUE,VLOOKUP(MAX(-5,$H21-L21),Volsmile,2),0)),$CG21,$CH21,($A21-DateToday)+15,1,0)),L21-$H21),0)))</f>
        <v xml:space="preserve"> </v>
      </c>
      <c r="V21" s="405" t="str">
        <f>IF($A21="N/A"," ",IF(Pricetype=2,MAX(M21-$H21,0),IF(M21&lt;&gt;0,IF(Pricetype=1,(_xll.xSPRDOPT(M21,$E21,$CI21,0,($CD21+IF(Smile=TRUE,VLOOKUP(MAX(-5,$H21-M21),Volsmile,2),0)),$CG21,$CH21,($A21-DateToday)+15,1,0)),M21-$H21),0)))</f>
        <v xml:space="preserve"> </v>
      </c>
      <c r="W21" s="406" t="str">
        <f t="shared" si="10"/>
        <v xml:space="preserve"> </v>
      </c>
      <c r="X21" s="405" t="str">
        <f>IF($A21="N/A"," ",IF(Pricetype=2,MAX(O21-$H21,0),IF(O21&lt;&gt;0,IF(Pricetype=1,(_xll.xSPRDOPT(O21,$E21,$CI21,0,($CD21+IF(Smile=TRUE,VLOOKUP(MAX(-5,$H21-O21),Volsmile,2),0)),$CG21,$CH21,($A21-DateToday)+15,1,0)),O21-$H21),0)))</f>
        <v xml:space="preserve"> </v>
      </c>
      <c r="Y21" s="405" t="str">
        <f>IF($A21="N/A"," ",IF(Pricetype=2,MAX(P21-$H21,0),IF(P21&lt;&gt;0,IF(Pricetype=1,(_xll.xSPRDOPT(P21,$E21,$CI21,0,($CD21+IF(Smile=TRUE,VLOOKUP(MAX(-5,$H21-P21),Volsmile,2),0)),$CG21,$CH21,($A21-DateToday)+15,1,0)),P21-$H21),0)))</f>
        <v xml:space="preserve"> </v>
      </c>
      <c r="Z21" s="406" t="str">
        <f t="shared" si="11"/>
        <v xml:space="preserve"> </v>
      </c>
      <c r="AA21" s="254" t="str">
        <f>IF($A21="N/A"," ",IF(VLOOKUP(MONTH(A21),ManualTable,2)=1,(IF(0&lt;&gt;R21,IF(Pricetype=1,(_xll.xSPRDOPT(I21,$E21,$CI21,0,($CD21+IF(Smile=TRUE,VLOOKUP(MAX(-5,$H21-I21),Volsmile,2),0)),$CG21,$CH21,($A21-DateToday)+15,1,1))*(8*$HD21),8*$HD21),0)),0))</f>
        <v xml:space="preserve"> </v>
      </c>
      <c r="AB21" s="254" t="str">
        <f>IF($A21="N/A"," ",IF(VLOOKUP(MONTH(A21),ManualTable,3)=1,(IF(S21&lt;&gt;0,IF(Pricetype=1,(_xll.xSPRDOPT(J21,$E21,$CI21,0,($CD21+IF(Smile=TRUE,VLOOKUP(MAX(-5,$H21-J21),Volsmile,2),0)),$CG21,$CH21,($A21-DateToday)+15,1,1))*(8*$HD21),8*$HD21),0)),0))</f>
        <v xml:space="preserve"> </v>
      </c>
      <c r="AC21" s="254" t="str">
        <f t="shared" si="66"/>
        <v xml:space="preserve"> </v>
      </c>
      <c r="AD21" s="254" t="str">
        <f>IF($A21="N/A"," ",IF(VLOOKUP(MONTH(A21),ManualTable,5)=1,(IF(U21&lt;&gt;0,IF(Pricetype=1,(_xll.xSPRDOPT(L21,$E21,$CI21,0,($CD21+IF(Smile=TRUE,VLOOKUP(MAX(-5,$H21-L21),Volsmile,2),0)),$CG21,$CH21,($A21-DateToday)+15,1,1))*(8*$HE21),8*$HE21),0)),0))</f>
        <v xml:space="preserve"> </v>
      </c>
      <c r="AE21" s="254" t="str">
        <f>IF($A21="N/A"," ",IF(VLOOKUP(MONTH(A21),ManualTable,6)=1,(IF(V21&lt;&gt;0,IF(Pricetype=1,(_xll.xSPRDOPT(M21,$E21,$CI21,0,($CD21+IF(Smile=TRUE,VLOOKUP(MAX(-5,$H21-M21),Volsmile,2),0)),$CG21,$CH21,($A21-DateToday)+15,1,1))*(8*$HE21),8*$HE21),0)),0))</f>
        <v xml:space="preserve"> </v>
      </c>
      <c r="AF21" s="254" t="str">
        <f t="shared" si="67"/>
        <v xml:space="preserve"> </v>
      </c>
      <c r="AG21" s="254" t="str">
        <f>IF($A21="N/A"," ",IF(VLOOKUP(MONTH(A21),ManualTable,8)=1,(IF(X21&lt;&gt;0,IF(Pricetype=1,(_xll.xSPRDOPT(O21,$E21,$CI21,0,($CD21+IF(Smile=TRUE,VLOOKUP(MAX(-5,$H21-O21),Volsmile,2),0)),$CG21,$CH21,($A21-DateToday)+15,1,1))*(8*$HF21),8*$HF21),0)),0))</f>
        <v xml:space="preserve"> </v>
      </c>
      <c r="AH21" s="254" t="str">
        <f>IF($A21="N/A"," ",IF(VLOOKUP(MONTH(A21),ManualTable,9)=1,(IF(Y21&lt;&gt;0,IF(Pricetype=1,(_xll.xSPRDOPT(P21,$E21,$CI21,0,($CD21+IF(Smile=TRUE,VLOOKUP(MAX(-5,$H21-P21),Volsmile,2),0)),$CG21,$CH21,($A21-DateToday)+15,1,1))*(8*$HF21),8*$HF21),0)),0))</f>
        <v xml:space="preserve"> </v>
      </c>
      <c r="AI21" s="254" t="str">
        <f t="shared" si="68"/>
        <v xml:space="preserve"> </v>
      </c>
      <c r="AJ21" s="227" t="str">
        <f t="shared" si="117"/>
        <v xml:space="preserve"> </v>
      </c>
      <c r="AK21" s="228" t="str">
        <f t="shared" si="100"/>
        <v xml:space="preserve"> </v>
      </c>
      <c r="AL21" s="228" t="str">
        <f t="shared" si="100"/>
        <v xml:space="preserve"> </v>
      </c>
      <c r="AM21" s="228" t="str">
        <f t="shared" si="118"/>
        <v xml:space="preserve"> </v>
      </c>
      <c r="AN21" s="228" t="str">
        <f t="shared" si="119"/>
        <v xml:space="preserve"> </v>
      </c>
      <c r="AO21" s="228" t="str">
        <f t="shared" si="119"/>
        <v xml:space="preserve"> </v>
      </c>
      <c r="AP21" s="228" t="str">
        <f t="shared" si="120"/>
        <v xml:space="preserve"> </v>
      </c>
      <c r="AQ21" s="228" t="str">
        <f t="shared" si="121"/>
        <v xml:space="preserve"> </v>
      </c>
      <c r="AR21" s="229" t="str">
        <f t="shared" si="122"/>
        <v xml:space="preserve"> </v>
      </c>
      <c r="AS21" s="262" t="str">
        <f t="shared" si="102"/>
        <v xml:space="preserve"> </v>
      </c>
      <c r="AT21" s="263" t="str">
        <f t="shared" si="103"/>
        <v xml:space="preserve"> </v>
      </c>
      <c r="AU21" s="263" t="str">
        <f t="shared" si="103"/>
        <v xml:space="preserve"> </v>
      </c>
      <c r="AV21" s="263" t="str">
        <f t="shared" si="104"/>
        <v xml:space="preserve"> </v>
      </c>
      <c r="AW21" s="263" t="str">
        <f t="shared" si="105"/>
        <v xml:space="preserve"> </v>
      </c>
      <c r="AX21" s="263" t="str">
        <f t="shared" si="105"/>
        <v xml:space="preserve"> </v>
      </c>
      <c r="AY21" s="263" t="str">
        <f t="shared" si="106"/>
        <v xml:space="preserve"> </v>
      </c>
      <c r="AZ21" s="263" t="str">
        <f t="shared" si="107"/>
        <v xml:space="preserve"> </v>
      </c>
      <c r="BA21" s="263" t="str">
        <f t="shared" si="108"/>
        <v xml:space="preserve"> </v>
      </c>
      <c r="BB21" s="228"/>
      <c r="BC21" s="266" t="str">
        <f t="shared" si="109"/>
        <v xml:space="preserve"> </v>
      </c>
      <c r="BD21" s="269" t="str">
        <f t="shared" si="110"/>
        <v xml:space="preserve"> </v>
      </c>
      <c r="BE21" s="269" t="str">
        <f t="shared" si="110"/>
        <v xml:space="preserve"> </v>
      </c>
      <c r="BF21" s="269" t="str">
        <f t="shared" si="111"/>
        <v xml:space="preserve"> </v>
      </c>
      <c r="BG21" s="269" t="str">
        <f t="shared" si="112"/>
        <v xml:space="preserve"> </v>
      </c>
      <c r="BH21" s="269" t="str">
        <f t="shared" si="112"/>
        <v xml:space="preserve"> </v>
      </c>
      <c r="BI21" s="269" t="str">
        <f t="shared" si="113"/>
        <v xml:space="preserve"> </v>
      </c>
      <c r="BJ21" s="269" t="str">
        <f t="shared" si="114"/>
        <v xml:space="preserve"> </v>
      </c>
      <c r="BK21" s="269" t="str">
        <f t="shared" si="115"/>
        <v xml:space="preserve"> </v>
      </c>
      <c r="BL21" s="273"/>
      <c r="BM21" s="220" t="str">
        <f>IF($A21="N/A"," ",(IF(MONTH(A21)&gt;=4,IF(MONTH(A21)&lt;=10,Inputs!$F$13-Inputs!$G$13,Inputs!$F$14-Inputs!$G$14),Inputs!$F$14-Inputs!$G$14))*$CK21*Availability)</f>
        <v xml:space="preserve"> </v>
      </c>
      <c r="BN21" s="221" t="str">
        <f t="shared" si="79"/>
        <v xml:space="preserve"> </v>
      </c>
      <c r="BO21" s="221" t="str">
        <f t="shared" si="80"/>
        <v xml:space="preserve"> </v>
      </c>
      <c r="BP21" s="221" t="str">
        <f t="shared" si="81"/>
        <v xml:space="preserve"> </v>
      </c>
      <c r="BQ21" s="221" t="str">
        <f t="shared" si="82"/>
        <v xml:space="preserve"> </v>
      </c>
      <c r="BR21" s="221" t="str">
        <f t="shared" si="83"/>
        <v xml:space="preserve"> </v>
      </c>
      <c r="BS21" s="221" t="str">
        <f t="shared" si="84"/>
        <v xml:space="preserve"> </v>
      </c>
      <c r="BT21" s="221" t="str">
        <f t="shared" si="85"/>
        <v xml:space="preserve"> </v>
      </c>
      <c r="BU21" s="221" t="str">
        <f t="shared" si="86"/>
        <v xml:space="preserve"> </v>
      </c>
      <c r="BV21" s="221" t="str">
        <f t="shared" si="87"/>
        <v xml:space="preserve"> </v>
      </c>
      <c r="BW21" s="221" t="str">
        <f t="shared" si="88"/>
        <v xml:space="preserve"> </v>
      </c>
      <c r="BX21" s="421" t="str">
        <f t="shared" si="89"/>
        <v xml:space="preserve"> </v>
      </c>
      <c r="BY21" s="417" t="str">
        <f t="shared" si="90"/>
        <v xml:space="preserve"> </v>
      </c>
      <c r="BZ21" s="417" t="str">
        <f t="shared" si="91"/>
        <v xml:space="preserve"> </v>
      </c>
      <c r="CA21" s="422" t="str">
        <f t="shared" si="92"/>
        <v xml:space="preserve"> </v>
      </c>
      <c r="CB21" s="347" t="str">
        <f t="shared" si="25"/>
        <v xml:space="preserve"> </v>
      </c>
      <c r="CC21" s="347" t="str">
        <f t="shared" si="93"/>
        <v xml:space="preserve"> </v>
      </c>
      <c r="CD21" s="348" t="str">
        <f t="shared" si="26"/>
        <v xml:space="preserve"> </v>
      </c>
      <c r="CE21" s="347" t="str">
        <f t="shared" si="27"/>
        <v xml:space="preserve"> </v>
      </c>
      <c r="CF21" s="347" t="str">
        <f t="shared" si="28"/>
        <v xml:space="preserve"> </v>
      </c>
      <c r="CG21" s="348" t="str">
        <f t="shared" si="29"/>
        <v xml:space="preserve"> </v>
      </c>
      <c r="CH21" s="347" t="str">
        <f t="shared" si="94"/>
        <v xml:space="preserve"> </v>
      </c>
      <c r="CI21" s="349" t="str">
        <f>IF($A21="N/A"," ",F21+G21+(D21*('Pricing Inputs'!T54)))</f>
        <v xml:space="preserve"> </v>
      </c>
      <c r="CJ21" s="347" t="str">
        <f>IF($A21="N/A"," ",IF(PV=1,0,'Pricing Inputs'!U54))</f>
        <v xml:space="preserve"> </v>
      </c>
      <c r="CK21" s="350" t="str">
        <f t="shared" si="30"/>
        <v xml:space="preserve"> </v>
      </c>
      <c r="CL21" s="365" t="str">
        <f t="shared" si="31"/>
        <v xml:space="preserve"> </v>
      </c>
      <c r="CM21" s="380" t="str">
        <f t="shared" si="95"/>
        <v xml:space="preserve"> </v>
      </c>
      <c r="CN21" s="378" t="str">
        <f t="shared" si="32"/>
        <v xml:space="preserve"> </v>
      </c>
      <c r="CO21" s="378" t="str">
        <f t="shared" si="33"/>
        <v xml:space="preserve"> </v>
      </c>
      <c r="CP21" s="378" t="str">
        <f t="shared" si="34"/>
        <v xml:space="preserve"> </v>
      </c>
      <c r="CQ21" s="378" t="str">
        <f t="shared" si="35"/>
        <v xml:space="preserve"> </v>
      </c>
      <c r="CR21" s="378" t="str">
        <f t="shared" si="36"/>
        <v xml:space="preserve"> </v>
      </c>
      <c r="CS21" s="378" t="str">
        <f t="shared" si="37"/>
        <v xml:space="preserve"> </v>
      </c>
      <c r="CT21" s="378" t="str">
        <f t="shared" si="38"/>
        <v xml:space="preserve"> </v>
      </c>
      <c r="CU21" s="378" t="str">
        <f t="shared" si="39"/>
        <v xml:space="preserve"> </v>
      </c>
      <c r="CV21" s="378" t="str">
        <f t="shared" si="40"/>
        <v xml:space="preserve"> </v>
      </c>
      <c r="CW21" s="254" t="str">
        <f t="shared" si="41"/>
        <v xml:space="preserve"> </v>
      </c>
      <c r="CX21" s="254" t="str">
        <f t="shared" si="42"/>
        <v xml:space="preserve"> </v>
      </c>
      <c r="CY21" s="254" t="str">
        <f t="shared" si="43"/>
        <v xml:space="preserve"> </v>
      </c>
      <c r="CZ21" s="254" t="str">
        <f t="shared" si="44"/>
        <v xml:space="preserve"> </v>
      </c>
      <c r="DA21" s="254" t="str">
        <f t="shared" si="45"/>
        <v xml:space="preserve"> </v>
      </c>
      <c r="DB21" s="254" t="str">
        <f t="shared" si="46"/>
        <v xml:space="preserve"> </v>
      </c>
      <c r="DC21" s="254" t="str">
        <f t="shared" si="47"/>
        <v xml:space="preserve"> </v>
      </c>
      <c r="DD21" s="254" t="str">
        <f t="shared" si="48"/>
        <v xml:space="preserve"> </v>
      </c>
      <c r="DE21" s="254" t="str">
        <f t="shared" si="49"/>
        <v xml:space="preserve"> </v>
      </c>
      <c r="DF21" s="374" t="str">
        <f>IF($A21="N/A"," ",IF(CC=2,(IF(MONTH(A21)&gt;=4,IF(MONTH(A21)&lt;=10,Inputs!$G$13,Inputs!$G$14),Inputs!$G$14))*$CK21,0))</f>
        <v xml:space="preserve"> </v>
      </c>
      <c r="DG21" s="373" t="str">
        <f t="shared" si="50"/>
        <v xml:space="preserve"> </v>
      </c>
      <c r="DH21" s="373" t="str">
        <f t="shared" si="51"/>
        <v xml:space="preserve"> </v>
      </c>
      <c r="DI21" s="373" t="str">
        <f t="shared" si="52"/>
        <v xml:space="preserve"> </v>
      </c>
      <c r="DJ21" s="373" t="str">
        <f t="shared" si="53"/>
        <v xml:space="preserve"> </v>
      </c>
      <c r="DK21" s="373" t="str">
        <f t="shared" si="54"/>
        <v xml:space="preserve"> </v>
      </c>
      <c r="DL21" s="373" t="str">
        <f t="shared" si="55"/>
        <v xml:space="preserve"> </v>
      </c>
      <c r="DM21" s="373" t="str">
        <f t="shared" si="56"/>
        <v xml:space="preserve"> </v>
      </c>
      <c r="DN21" s="373" t="str">
        <f t="shared" si="57"/>
        <v xml:space="preserve"> </v>
      </c>
      <c r="DO21" s="373" t="str">
        <f t="shared" si="58"/>
        <v xml:space="preserve"> </v>
      </c>
      <c r="DP21" s="375" t="str">
        <f t="shared" si="59"/>
        <v xml:space="preserve"> </v>
      </c>
      <c r="DQ21" t="str">
        <f t="shared" si="96"/>
        <v xml:space="preserve"> </v>
      </c>
      <c r="HD21" t="str">
        <f t="shared" si="97"/>
        <v xml:space="preserve"> </v>
      </c>
      <c r="HE21" t="str">
        <f t="shared" si="98"/>
        <v xml:space="preserve"> </v>
      </c>
      <c r="HF21" t="str">
        <f t="shared" si="99"/>
        <v xml:space="preserve"> </v>
      </c>
    </row>
    <row r="22" spans="1:214">
      <c r="A22" s="415" t="str">
        <f>IF(A21="N/A","N/A",IF(EDATE(A21,1)&gt;Inputs!$K$3,"N/A",EDATE(A21,1)))</f>
        <v>N/A</v>
      </c>
      <c r="B22" s="410" t="str">
        <f t="shared" si="60"/>
        <v xml:space="preserve"> </v>
      </c>
      <c r="C22" s="411" t="str">
        <f t="shared" si="61"/>
        <v xml:space="preserve"> </v>
      </c>
      <c r="D22" s="412" t="str">
        <f t="shared" si="62"/>
        <v xml:space="preserve"> </v>
      </c>
      <c r="E22" s="413" t="str">
        <f>IF($A22="N/A"," ",(C22-'Pricing Inputs'!T55)*D22)</f>
        <v xml:space="preserve"> </v>
      </c>
      <c r="F22" s="414" t="str">
        <f t="shared" si="116"/>
        <v xml:space="preserve"> </v>
      </c>
      <c r="G22" s="414" t="str">
        <f t="shared" si="64"/>
        <v xml:space="preserve"> </v>
      </c>
      <c r="H22" s="416" t="str">
        <f t="shared" si="65"/>
        <v xml:space="preserve"> </v>
      </c>
      <c r="I22" s="213" t="str">
        <f t="shared" si="0"/>
        <v xml:space="preserve"> </v>
      </c>
      <c r="J22" s="213" t="str">
        <f t="shared" si="1"/>
        <v xml:space="preserve"> </v>
      </c>
      <c r="K22" s="213" t="str">
        <f t="shared" si="2"/>
        <v xml:space="preserve"> </v>
      </c>
      <c r="L22" s="213" t="str">
        <f t="shared" si="3"/>
        <v xml:space="preserve"> </v>
      </c>
      <c r="M22" s="213" t="str">
        <f t="shared" si="4"/>
        <v xml:space="preserve"> </v>
      </c>
      <c r="N22" s="213" t="str">
        <f t="shared" si="5"/>
        <v xml:space="preserve"> </v>
      </c>
      <c r="O22" s="213" t="str">
        <f t="shared" si="6"/>
        <v xml:space="preserve"> </v>
      </c>
      <c r="P22" s="213" t="str">
        <f t="shared" si="7"/>
        <v xml:space="preserve"> </v>
      </c>
      <c r="Q22" s="213" t="str">
        <f t="shared" si="8"/>
        <v xml:space="preserve"> </v>
      </c>
      <c r="R22" s="405" t="str">
        <f>IF($A22="N/A"," ",IF(Pricetype=2,MAX(I22-$H22,0),IF(Pricetype=1,(_xll.xSPRDOPT(I22,$E22,$CI22,0,($CD22+IF(Smile=TRUE,VLOOKUP(MAX(-5,$H22-I22),Volsmile,2),0)),$CG22,$CH22,($A22-DateToday)+15,1,0)),I22-$H22)))</f>
        <v xml:space="preserve"> </v>
      </c>
      <c r="S22" s="405" t="str">
        <f>IF($A22="N/A"," ",IF(Pricetype=2,MAX(J22-$H22,0),IF(Pricetype=1,(_xll.xSPRDOPT(J22,$E22,$CI22,0,($CD22+IF(Smile=TRUE,VLOOKUP(MAX(-5,$H22-J22),Volsmile,2),0)),$CG22,$CH22,($A22-DateToday)+15,1,0)),J22-$H22)))</f>
        <v xml:space="preserve"> </v>
      </c>
      <c r="T22" s="406" t="str">
        <f t="shared" si="9"/>
        <v xml:space="preserve"> </v>
      </c>
      <c r="U22" s="405" t="str">
        <f>IF($A22="N/A"," ",IF(Pricetype=2,MAX(L22-$H22,0),IF(L22&lt;&gt;0,IF(Pricetype=1,(_xll.xSPRDOPT(L22,$E22,$CI22,0,($CD22+IF(Smile=TRUE,VLOOKUP(MAX(-5,$H22-L22),Volsmile,2),0)),$CG22,$CH22,($A22-DateToday)+15,1,0)),L22-$H22),0)))</f>
        <v xml:space="preserve"> </v>
      </c>
      <c r="V22" s="405" t="str">
        <f>IF($A22="N/A"," ",IF(Pricetype=2,MAX(M22-$H22,0),IF(M22&lt;&gt;0,IF(Pricetype=1,(_xll.xSPRDOPT(M22,$E22,$CI22,0,($CD22+IF(Smile=TRUE,VLOOKUP(MAX(-5,$H22-M22),Volsmile,2),0)),$CG22,$CH22,($A22-DateToday)+15,1,0)),M22-$H22),0)))</f>
        <v xml:space="preserve"> </v>
      </c>
      <c r="W22" s="406" t="str">
        <f t="shared" si="10"/>
        <v xml:space="preserve"> </v>
      </c>
      <c r="X22" s="405" t="str">
        <f>IF($A22="N/A"," ",IF(Pricetype=2,MAX(O22-$H22,0),IF(O22&lt;&gt;0,IF(Pricetype=1,(_xll.xSPRDOPT(O22,$E22,$CI22,0,($CD22+IF(Smile=TRUE,VLOOKUP(MAX(-5,$H22-O22),Volsmile,2),0)),$CG22,$CH22,($A22-DateToday)+15,1,0)),O22-$H22),0)))</f>
        <v xml:space="preserve"> </v>
      </c>
      <c r="Y22" s="405" t="str">
        <f>IF($A22="N/A"," ",IF(Pricetype=2,MAX(P22-$H22,0),IF(P22&lt;&gt;0,IF(Pricetype=1,(_xll.xSPRDOPT(P22,$E22,$CI22,0,($CD22+IF(Smile=TRUE,VLOOKUP(MAX(-5,$H22-P22),Volsmile,2),0)),$CG22,$CH22,($A22-DateToday)+15,1,0)),P22-$H22),0)))</f>
        <v xml:space="preserve"> </v>
      </c>
      <c r="Z22" s="406" t="str">
        <f t="shared" si="11"/>
        <v xml:space="preserve"> </v>
      </c>
      <c r="AA22" s="254" t="str">
        <f>IF($A22="N/A"," ",IF(VLOOKUP(MONTH(A22),ManualTable,2)=1,(IF(0&lt;&gt;R22,IF(Pricetype=1,(_xll.xSPRDOPT(I22,$E22,$CI22,0,($CD22+IF(Smile=TRUE,VLOOKUP(MAX(-5,$H22-I22),Volsmile,2),0)),$CG22,$CH22,($A22-DateToday)+15,1,1))*(8*$HD22),8*$HD22),0)),0))</f>
        <v xml:space="preserve"> </v>
      </c>
      <c r="AB22" s="254" t="str">
        <f>IF($A22="N/A"," ",IF(VLOOKUP(MONTH(A22),ManualTable,3)=1,(IF(S22&lt;&gt;0,IF(Pricetype=1,(_xll.xSPRDOPT(J22,$E22,$CI22,0,($CD22+IF(Smile=TRUE,VLOOKUP(MAX(-5,$H22-J22),Volsmile,2),0)),$CG22,$CH22,($A22-DateToday)+15,1,1))*(8*$HD22),8*$HD22),0)),0))</f>
        <v xml:space="preserve"> </v>
      </c>
      <c r="AC22" s="254" t="str">
        <f t="shared" si="66"/>
        <v xml:space="preserve"> </v>
      </c>
      <c r="AD22" s="254" t="str">
        <f>IF($A22="N/A"," ",IF(VLOOKUP(MONTH(A22),ManualTable,5)=1,(IF(U22&lt;&gt;0,IF(Pricetype=1,(_xll.xSPRDOPT(L22,$E22,$CI22,0,($CD22+IF(Smile=TRUE,VLOOKUP(MAX(-5,$H22-L22),Volsmile,2),0)),$CG22,$CH22,($A22-DateToday)+15,1,1))*(8*$HE22),8*$HE22),0)),0))</f>
        <v xml:space="preserve"> </v>
      </c>
      <c r="AE22" s="254" t="str">
        <f>IF($A22="N/A"," ",IF(VLOOKUP(MONTH(A22),ManualTable,6)=1,(IF(V22&lt;&gt;0,IF(Pricetype=1,(_xll.xSPRDOPT(M22,$E22,$CI22,0,($CD22+IF(Smile=TRUE,VLOOKUP(MAX(-5,$H22-M22),Volsmile,2),0)),$CG22,$CH22,($A22-DateToday)+15,1,1))*(8*$HE22),8*$HE22),0)),0))</f>
        <v xml:space="preserve"> </v>
      </c>
      <c r="AF22" s="254" t="str">
        <f t="shared" si="67"/>
        <v xml:space="preserve"> </v>
      </c>
      <c r="AG22" s="254" t="str">
        <f>IF($A22="N/A"," ",IF(VLOOKUP(MONTH(A22),ManualTable,8)=1,(IF(X22&lt;&gt;0,IF(Pricetype=1,(_xll.xSPRDOPT(O22,$E22,$CI22,0,($CD22+IF(Smile=TRUE,VLOOKUP(MAX(-5,$H22-O22),Volsmile,2),0)),$CG22,$CH22,($A22-DateToday)+15,1,1))*(8*$HF22),8*$HF22),0)),0))</f>
        <v xml:space="preserve"> </v>
      </c>
      <c r="AH22" s="254" t="str">
        <f>IF($A22="N/A"," ",IF(VLOOKUP(MONTH(A22),ManualTable,9)=1,(IF(Y22&lt;&gt;0,IF(Pricetype=1,(_xll.xSPRDOPT(P22,$E22,$CI22,0,($CD22+IF(Smile=TRUE,VLOOKUP(MAX(-5,$H22-P22),Volsmile,2),0)),$CG22,$CH22,($A22-DateToday)+15,1,1))*(8*$HF22),8*$HF22),0)),0))</f>
        <v xml:space="preserve"> </v>
      </c>
      <c r="AI22" s="254" t="str">
        <f t="shared" si="68"/>
        <v xml:space="preserve"> </v>
      </c>
      <c r="AJ22" s="227" t="str">
        <f t="shared" si="117"/>
        <v xml:space="preserve"> </v>
      </c>
      <c r="AK22" s="228" t="str">
        <f t="shared" si="100"/>
        <v xml:space="preserve"> </v>
      </c>
      <c r="AL22" s="228" t="str">
        <f t="shared" si="100"/>
        <v xml:space="preserve"> </v>
      </c>
      <c r="AM22" s="228" t="str">
        <f t="shared" si="118"/>
        <v xml:space="preserve"> </v>
      </c>
      <c r="AN22" s="228" t="str">
        <f t="shared" si="119"/>
        <v xml:space="preserve"> </v>
      </c>
      <c r="AO22" s="228" t="str">
        <f t="shared" si="119"/>
        <v xml:space="preserve"> </v>
      </c>
      <c r="AP22" s="228" t="str">
        <f t="shared" si="120"/>
        <v xml:space="preserve"> </v>
      </c>
      <c r="AQ22" s="228" t="str">
        <f t="shared" si="121"/>
        <v xml:space="preserve"> </v>
      </c>
      <c r="AR22" s="229" t="str">
        <f t="shared" si="122"/>
        <v xml:space="preserve"> </v>
      </c>
      <c r="AS22" s="262" t="str">
        <f t="shared" si="102"/>
        <v xml:space="preserve"> </v>
      </c>
      <c r="AT22" s="263" t="str">
        <f t="shared" si="103"/>
        <v xml:space="preserve"> </v>
      </c>
      <c r="AU22" s="263" t="str">
        <f t="shared" si="103"/>
        <v xml:space="preserve"> </v>
      </c>
      <c r="AV22" s="263" t="str">
        <f t="shared" si="104"/>
        <v xml:space="preserve"> </v>
      </c>
      <c r="AW22" s="263" t="str">
        <f t="shared" si="105"/>
        <v xml:space="preserve"> </v>
      </c>
      <c r="AX22" s="263" t="str">
        <f t="shared" si="105"/>
        <v xml:space="preserve"> </v>
      </c>
      <c r="AY22" s="263" t="str">
        <f t="shared" si="106"/>
        <v xml:space="preserve"> </v>
      </c>
      <c r="AZ22" s="263" t="str">
        <f t="shared" si="107"/>
        <v xml:space="preserve"> </v>
      </c>
      <c r="BA22" s="263" t="str">
        <f t="shared" si="108"/>
        <v xml:space="preserve"> </v>
      </c>
      <c r="BB22" s="228"/>
      <c r="BC22" s="266" t="str">
        <f t="shared" si="109"/>
        <v xml:space="preserve"> </v>
      </c>
      <c r="BD22" s="269" t="str">
        <f t="shared" si="110"/>
        <v xml:space="preserve"> </v>
      </c>
      <c r="BE22" s="269" t="str">
        <f t="shared" si="110"/>
        <v xml:space="preserve"> </v>
      </c>
      <c r="BF22" s="269" t="str">
        <f t="shared" si="111"/>
        <v xml:space="preserve"> </v>
      </c>
      <c r="BG22" s="269" t="str">
        <f t="shared" si="112"/>
        <v xml:space="preserve"> </v>
      </c>
      <c r="BH22" s="269" t="str">
        <f t="shared" si="112"/>
        <v xml:space="preserve"> </v>
      </c>
      <c r="BI22" s="269" t="str">
        <f t="shared" si="113"/>
        <v xml:space="preserve"> </v>
      </c>
      <c r="BJ22" s="269" t="str">
        <f t="shared" si="114"/>
        <v xml:space="preserve"> </v>
      </c>
      <c r="BK22" s="269" t="str">
        <f t="shared" si="115"/>
        <v xml:space="preserve"> </v>
      </c>
      <c r="BL22" s="273"/>
      <c r="BM22" s="220" t="str">
        <f>IF($A22="N/A"," ",(IF(MONTH(A22)&gt;=4,IF(MONTH(A22)&lt;=10,Inputs!$F$13-Inputs!$G$13,Inputs!$F$14-Inputs!$G$14),Inputs!$F$14-Inputs!$G$14))*$CK22*Availability)</f>
        <v xml:space="preserve"> </v>
      </c>
      <c r="BN22" s="221" t="str">
        <f t="shared" si="79"/>
        <v xml:space="preserve"> </v>
      </c>
      <c r="BO22" s="221" t="str">
        <f t="shared" si="80"/>
        <v xml:space="preserve"> </v>
      </c>
      <c r="BP22" s="221" t="str">
        <f t="shared" si="81"/>
        <v xml:space="preserve"> </v>
      </c>
      <c r="BQ22" s="221" t="str">
        <f t="shared" si="82"/>
        <v xml:space="preserve"> </v>
      </c>
      <c r="BR22" s="221" t="str">
        <f t="shared" si="83"/>
        <v xml:space="preserve"> </v>
      </c>
      <c r="BS22" s="221" t="str">
        <f t="shared" si="84"/>
        <v xml:space="preserve"> </v>
      </c>
      <c r="BT22" s="221" t="str">
        <f t="shared" si="85"/>
        <v xml:space="preserve"> </v>
      </c>
      <c r="BU22" s="221" t="str">
        <f t="shared" si="86"/>
        <v xml:space="preserve"> </v>
      </c>
      <c r="BV22" s="221" t="str">
        <f t="shared" si="87"/>
        <v xml:space="preserve"> </v>
      </c>
      <c r="BW22" s="221" t="str">
        <f t="shared" si="88"/>
        <v xml:space="preserve"> </v>
      </c>
      <c r="BX22" s="421" t="str">
        <f t="shared" si="89"/>
        <v xml:space="preserve"> </v>
      </c>
      <c r="BY22" s="417" t="str">
        <f t="shared" si="90"/>
        <v xml:space="preserve"> </v>
      </c>
      <c r="BZ22" s="417" t="str">
        <f t="shared" si="91"/>
        <v xml:space="preserve"> </v>
      </c>
      <c r="CA22" s="422" t="str">
        <f t="shared" si="92"/>
        <v xml:space="preserve"> </v>
      </c>
      <c r="CB22" s="347" t="str">
        <f t="shared" si="25"/>
        <v xml:space="preserve"> </v>
      </c>
      <c r="CC22" s="347" t="str">
        <f t="shared" si="93"/>
        <v xml:space="preserve"> </v>
      </c>
      <c r="CD22" s="348" t="str">
        <f t="shared" si="26"/>
        <v xml:space="preserve"> </v>
      </c>
      <c r="CE22" s="347" t="str">
        <f t="shared" si="27"/>
        <v xml:space="preserve"> </v>
      </c>
      <c r="CF22" s="347" t="str">
        <f t="shared" si="28"/>
        <v xml:space="preserve"> </v>
      </c>
      <c r="CG22" s="348" t="str">
        <f t="shared" si="29"/>
        <v xml:space="preserve"> </v>
      </c>
      <c r="CH22" s="347" t="str">
        <f t="shared" si="94"/>
        <v xml:space="preserve"> </v>
      </c>
      <c r="CI22" s="349" t="str">
        <f>IF($A22="N/A"," ",F22+G22+(D22*('Pricing Inputs'!T55)))</f>
        <v xml:space="preserve"> </v>
      </c>
      <c r="CJ22" s="347" t="str">
        <f>IF($A22="N/A"," ",IF(PV=1,0,'Pricing Inputs'!U55))</f>
        <v xml:space="preserve"> </v>
      </c>
      <c r="CK22" s="350" t="str">
        <f t="shared" si="30"/>
        <v xml:space="preserve"> </v>
      </c>
      <c r="CL22" s="365" t="str">
        <f t="shared" si="31"/>
        <v xml:space="preserve"> </v>
      </c>
      <c r="CM22" s="380" t="str">
        <f t="shared" si="95"/>
        <v xml:space="preserve"> </v>
      </c>
      <c r="CN22" s="378" t="str">
        <f t="shared" si="32"/>
        <v xml:space="preserve"> </v>
      </c>
      <c r="CO22" s="378" t="str">
        <f t="shared" si="33"/>
        <v xml:space="preserve"> </v>
      </c>
      <c r="CP22" s="378" t="str">
        <f t="shared" si="34"/>
        <v xml:space="preserve"> </v>
      </c>
      <c r="CQ22" s="378" t="str">
        <f t="shared" si="35"/>
        <v xml:space="preserve"> </v>
      </c>
      <c r="CR22" s="378" t="str">
        <f t="shared" si="36"/>
        <v xml:space="preserve"> </v>
      </c>
      <c r="CS22" s="378" t="str">
        <f t="shared" si="37"/>
        <v xml:space="preserve"> </v>
      </c>
      <c r="CT22" s="378" t="str">
        <f t="shared" si="38"/>
        <v xml:space="preserve"> </v>
      </c>
      <c r="CU22" s="378" t="str">
        <f t="shared" si="39"/>
        <v xml:space="preserve"> </v>
      </c>
      <c r="CV22" s="378" t="str">
        <f t="shared" si="40"/>
        <v xml:space="preserve"> </v>
      </c>
      <c r="CW22" s="254" t="str">
        <f t="shared" si="41"/>
        <v xml:space="preserve"> </v>
      </c>
      <c r="CX22" s="254" t="str">
        <f t="shared" si="42"/>
        <v xml:space="preserve"> </v>
      </c>
      <c r="CY22" s="254" t="str">
        <f t="shared" si="43"/>
        <v xml:space="preserve"> </v>
      </c>
      <c r="CZ22" s="254" t="str">
        <f t="shared" si="44"/>
        <v xml:space="preserve"> </v>
      </c>
      <c r="DA22" s="254" t="str">
        <f t="shared" si="45"/>
        <v xml:space="preserve"> </v>
      </c>
      <c r="DB22" s="254" t="str">
        <f t="shared" si="46"/>
        <v xml:space="preserve"> </v>
      </c>
      <c r="DC22" s="254" t="str">
        <f t="shared" si="47"/>
        <v xml:space="preserve"> </v>
      </c>
      <c r="DD22" s="254" t="str">
        <f t="shared" si="48"/>
        <v xml:space="preserve"> </v>
      </c>
      <c r="DE22" s="254" t="str">
        <f t="shared" si="49"/>
        <v xml:space="preserve"> </v>
      </c>
      <c r="DF22" s="374" t="str">
        <f>IF($A22="N/A"," ",IF(CC=2,(IF(MONTH(A22)&gt;=4,IF(MONTH(A22)&lt;=10,Inputs!$G$13,Inputs!$G$14),Inputs!$G$14))*$CK22,0))</f>
        <v xml:space="preserve"> </v>
      </c>
      <c r="DG22" s="373" t="str">
        <f t="shared" si="50"/>
        <v xml:space="preserve"> </v>
      </c>
      <c r="DH22" s="373" t="str">
        <f t="shared" si="51"/>
        <v xml:space="preserve"> </v>
      </c>
      <c r="DI22" s="373" t="str">
        <f t="shared" si="52"/>
        <v xml:space="preserve"> </v>
      </c>
      <c r="DJ22" s="373" t="str">
        <f t="shared" si="53"/>
        <v xml:space="preserve"> </v>
      </c>
      <c r="DK22" s="373" t="str">
        <f t="shared" si="54"/>
        <v xml:space="preserve"> </v>
      </c>
      <c r="DL22" s="373" t="str">
        <f t="shared" si="55"/>
        <v xml:space="preserve"> </v>
      </c>
      <c r="DM22" s="373" t="str">
        <f t="shared" si="56"/>
        <v xml:space="preserve"> </v>
      </c>
      <c r="DN22" s="373" t="str">
        <f t="shared" si="57"/>
        <v xml:space="preserve"> </v>
      </c>
      <c r="DO22" s="373" t="str">
        <f t="shared" si="58"/>
        <v xml:space="preserve"> </v>
      </c>
      <c r="DP22" s="375" t="str">
        <f t="shared" si="59"/>
        <v xml:space="preserve"> </v>
      </c>
      <c r="DQ22" t="str">
        <f t="shared" si="96"/>
        <v xml:space="preserve"> </v>
      </c>
      <c r="HD22" t="str">
        <f t="shared" si="97"/>
        <v xml:space="preserve"> </v>
      </c>
      <c r="HE22" t="str">
        <f t="shared" si="98"/>
        <v xml:space="preserve"> </v>
      </c>
      <c r="HF22" t="str">
        <f t="shared" si="99"/>
        <v xml:space="preserve"> </v>
      </c>
    </row>
    <row r="23" spans="1:214">
      <c r="A23" s="415" t="str">
        <f>IF(A22="N/A","N/A",IF(EDATE(A22,1)&gt;Inputs!$K$3,"N/A",EDATE(A22,1)))</f>
        <v>N/A</v>
      </c>
      <c r="B23" s="410" t="str">
        <f t="shared" si="60"/>
        <v xml:space="preserve"> </v>
      </c>
      <c r="C23" s="411" t="str">
        <f t="shared" si="61"/>
        <v xml:space="preserve"> </v>
      </c>
      <c r="D23" s="412" t="str">
        <f t="shared" si="62"/>
        <v xml:space="preserve"> </v>
      </c>
      <c r="E23" s="413" t="str">
        <f>IF($A23="N/A"," ",(C23-'Pricing Inputs'!T56)*D23)</f>
        <v xml:space="preserve"> </v>
      </c>
      <c r="F23" s="414" t="str">
        <f t="shared" si="116"/>
        <v xml:space="preserve"> </v>
      </c>
      <c r="G23" s="414" t="str">
        <f t="shared" si="64"/>
        <v xml:space="preserve"> </v>
      </c>
      <c r="H23" s="416" t="str">
        <f t="shared" si="65"/>
        <v xml:space="preserve"> </v>
      </c>
      <c r="I23" s="213" t="str">
        <f t="shared" si="0"/>
        <v xml:space="preserve"> </v>
      </c>
      <c r="J23" s="213" t="str">
        <f t="shared" si="1"/>
        <v xml:space="preserve"> </v>
      </c>
      <c r="K23" s="213" t="str">
        <f t="shared" si="2"/>
        <v xml:space="preserve"> </v>
      </c>
      <c r="L23" s="213" t="str">
        <f t="shared" si="3"/>
        <v xml:space="preserve"> </v>
      </c>
      <c r="M23" s="213" t="str">
        <f t="shared" si="4"/>
        <v xml:space="preserve"> </v>
      </c>
      <c r="N23" s="213" t="str">
        <f t="shared" si="5"/>
        <v xml:space="preserve"> </v>
      </c>
      <c r="O23" s="213" t="str">
        <f t="shared" si="6"/>
        <v xml:space="preserve"> </v>
      </c>
      <c r="P23" s="213" t="str">
        <f t="shared" si="7"/>
        <v xml:space="preserve"> </v>
      </c>
      <c r="Q23" s="213" t="str">
        <f t="shared" si="8"/>
        <v xml:space="preserve"> </v>
      </c>
      <c r="R23" s="405" t="str">
        <f>IF($A23="N/A"," ",IF(Pricetype=2,MAX(I23-$H23,0),IF(Pricetype=1,(_xll.xSPRDOPT(I23,$E23,$CI23,0,($CD23+IF(Smile=TRUE,VLOOKUP(MAX(-5,$H23-I23),Volsmile,2),0)),$CG23,$CH23,($A23-DateToday)+15,1,0)),I23-$H23)))</f>
        <v xml:space="preserve"> </v>
      </c>
      <c r="S23" s="405" t="str">
        <f>IF($A23="N/A"," ",IF(Pricetype=2,MAX(J23-$H23,0),IF(Pricetype=1,(_xll.xSPRDOPT(J23,$E23,$CI23,0,($CD23+IF(Smile=TRUE,VLOOKUP(MAX(-5,$H23-J23),Volsmile,2),0)),$CG23,$CH23,($A23-DateToday)+15,1,0)),J23-$H23)))</f>
        <v xml:space="preserve"> </v>
      </c>
      <c r="T23" s="406" t="str">
        <f t="shared" si="9"/>
        <v xml:space="preserve"> </v>
      </c>
      <c r="U23" s="405" t="str">
        <f>IF($A23="N/A"," ",IF(Pricetype=2,MAX(L23-$H23,0),IF(L23&lt;&gt;0,IF(Pricetype=1,(_xll.xSPRDOPT(L23,$E23,$CI23,0,($CD23+IF(Smile=TRUE,VLOOKUP(MAX(-5,$H23-L23),Volsmile,2),0)),$CG23,$CH23,($A23-DateToday)+15,1,0)),L23-$H23),0)))</f>
        <v xml:space="preserve"> </v>
      </c>
      <c r="V23" s="405" t="str">
        <f>IF($A23="N/A"," ",IF(Pricetype=2,MAX(M23-$H23,0),IF(M23&lt;&gt;0,IF(Pricetype=1,(_xll.xSPRDOPT(M23,$E23,$CI23,0,($CD23+IF(Smile=TRUE,VLOOKUP(MAX(-5,$H23-M23),Volsmile,2),0)),$CG23,$CH23,($A23-DateToday)+15,1,0)),M23-$H23),0)))</f>
        <v xml:space="preserve"> </v>
      </c>
      <c r="W23" s="406" t="str">
        <f t="shared" si="10"/>
        <v xml:space="preserve"> </v>
      </c>
      <c r="X23" s="405" t="str">
        <f>IF($A23="N/A"," ",IF(Pricetype=2,MAX(O23-$H23,0),IF(O23&lt;&gt;0,IF(Pricetype=1,(_xll.xSPRDOPT(O23,$E23,$CI23,0,($CD23+IF(Smile=TRUE,VLOOKUP(MAX(-5,$H23-O23),Volsmile,2),0)),$CG23,$CH23,($A23-DateToday)+15,1,0)),O23-$H23),0)))</f>
        <v xml:space="preserve"> </v>
      </c>
      <c r="Y23" s="405" t="str">
        <f>IF($A23="N/A"," ",IF(Pricetype=2,MAX(P23-$H23,0),IF(P23&lt;&gt;0,IF(Pricetype=1,(_xll.xSPRDOPT(P23,$E23,$CI23,0,($CD23+IF(Smile=TRUE,VLOOKUP(MAX(-5,$H23-P23),Volsmile,2),0)),$CG23,$CH23,($A23-DateToday)+15,1,0)),P23-$H23),0)))</f>
        <v xml:space="preserve"> </v>
      </c>
      <c r="Z23" s="406" t="str">
        <f t="shared" si="11"/>
        <v xml:space="preserve"> </v>
      </c>
      <c r="AA23" s="254" t="str">
        <f>IF($A23="N/A"," ",IF(VLOOKUP(MONTH(A23),ManualTable,2)=1,(IF(0&lt;&gt;R23,IF(Pricetype=1,(_xll.xSPRDOPT(I23,$E23,$CI23,0,($CD23+IF(Smile=TRUE,VLOOKUP(MAX(-5,$H23-I23),Volsmile,2),0)),$CG23,$CH23,($A23-DateToday)+15,1,1))*(8*$HD23),8*$HD23),0)),0))</f>
        <v xml:space="preserve"> </v>
      </c>
      <c r="AB23" s="254" t="str">
        <f>IF($A23="N/A"," ",IF(VLOOKUP(MONTH(A23),ManualTable,3)=1,(IF(S23&lt;&gt;0,IF(Pricetype=1,(_xll.xSPRDOPT(J23,$E23,$CI23,0,($CD23+IF(Smile=TRUE,VLOOKUP(MAX(-5,$H23-J23),Volsmile,2),0)),$CG23,$CH23,($A23-DateToday)+15,1,1))*(8*$HD23),8*$HD23),0)),0))</f>
        <v xml:space="preserve"> </v>
      </c>
      <c r="AC23" s="254" t="str">
        <f t="shared" si="66"/>
        <v xml:space="preserve"> </v>
      </c>
      <c r="AD23" s="254" t="str">
        <f>IF($A23="N/A"," ",IF(VLOOKUP(MONTH(A23),ManualTable,5)=1,(IF(U23&lt;&gt;0,IF(Pricetype=1,(_xll.xSPRDOPT(L23,$E23,$CI23,0,($CD23+IF(Smile=TRUE,VLOOKUP(MAX(-5,$H23-L23),Volsmile,2),0)),$CG23,$CH23,($A23-DateToday)+15,1,1))*(8*$HE23),8*$HE23),0)),0))</f>
        <v xml:space="preserve"> </v>
      </c>
      <c r="AE23" s="254" t="str">
        <f>IF($A23="N/A"," ",IF(VLOOKUP(MONTH(A23),ManualTable,6)=1,(IF(V23&lt;&gt;0,IF(Pricetype=1,(_xll.xSPRDOPT(M23,$E23,$CI23,0,($CD23+IF(Smile=TRUE,VLOOKUP(MAX(-5,$H23-M23),Volsmile,2),0)),$CG23,$CH23,($A23-DateToday)+15,1,1))*(8*$HE23),8*$HE23),0)),0))</f>
        <v xml:space="preserve"> </v>
      </c>
      <c r="AF23" s="254" t="str">
        <f t="shared" si="67"/>
        <v xml:space="preserve"> </v>
      </c>
      <c r="AG23" s="254" t="str">
        <f>IF($A23="N/A"," ",IF(VLOOKUP(MONTH(A23),ManualTable,8)=1,(IF(X23&lt;&gt;0,IF(Pricetype=1,(_xll.xSPRDOPT(O23,$E23,$CI23,0,($CD23+IF(Smile=TRUE,VLOOKUP(MAX(-5,$H23-O23),Volsmile,2),0)),$CG23,$CH23,($A23-DateToday)+15,1,1))*(8*$HF23),8*$HF23),0)),0))</f>
        <v xml:space="preserve"> </v>
      </c>
      <c r="AH23" s="254" t="str">
        <f>IF($A23="N/A"," ",IF(VLOOKUP(MONTH(A23),ManualTable,9)=1,(IF(Y23&lt;&gt;0,IF(Pricetype=1,(_xll.xSPRDOPT(P23,$E23,$CI23,0,($CD23+IF(Smile=TRUE,VLOOKUP(MAX(-5,$H23-P23),Volsmile,2),0)),$CG23,$CH23,($A23-DateToday)+15,1,1))*(8*$HF23),8*$HF23),0)),0))</f>
        <v xml:space="preserve"> </v>
      </c>
      <c r="AI23" s="254" t="str">
        <f t="shared" si="68"/>
        <v xml:space="preserve"> </v>
      </c>
      <c r="AJ23" s="227" t="str">
        <f t="shared" si="117"/>
        <v xml:space="preserve"> </v>
      </c>
      <c r="AK23" s="228" t="str">
        <f t="shared" si="100"/>
        <v xml:space="preserve"> </v>
      </c>
      <c r="AL23" s="228" t="str">
        <f t="shared" si="100"/>
        <v xml:space="preserve"> </v>
      </c>
      <c r="AM23" s="228" t="str">
        <f t="shared" si="118"/>
        <v xml:space="preserve"> </v>
      </c>
      <c r="AN23" s="228" t="str">
        <f t="shared" si="119"/>
        <v xml:space="preserve"> </v>
      </c>
      <c r="AO23" s="228" t="str">
        <f t="shared" si="119"/>
        <v xml:space="preserve"> </v>
      </c>
      <c r="AP23" s="228" t="str">
        <f t="shared" si="120"/>
        <v xml:space="preserve"> </v>
      </c>
      <c r="AQ23" s="228" t="str">
        <f t="shared" si="121"/>
        <v xml:space="preserve"> </v>
      </c>
      <c r="AR23" s="229" t="str">
        <f t="shared" si="122"/>
        <v xml:space="preserve"> </v>
      </c>
      <c r="AS23" s="262" t="str">
        <f t="shared" si="102"/>
        <v xml:space="preserve"> </v>
      </c>
      <c r="AT23" s="263" t="str">
        <f t="shared" si="103"/>
        <v xml:space="preserve"> </v>
      </c>
      <c r="AU23" s="263" t="str">
        <f t="shared" si="103"/>
        <v xml:space="preserve"> </v>
      </c>
      <c r="AV23" s="263" t="str">
        <f t="shared" si="104"/>
        <v xml:space="preserve"> </v>
      </c>
      <c r="AW23" s="263" t="str">
        <f t="shared" si="105"/>
        <v xml:space="preserve"> </v>
      </c>
      <c r="AX23" s="263" t="str">
        <f t="shared" si="105"/>
        <v xml:space="preserve"> </v>
      </c>
      <c r="AY23" s="263" t="str">
        <f t="shared" si="106"/>
        <v xml:space="preserve"> </v>
      </c>
      <c r="AZ23" s="263" t="str">
        <f t="shared" si="107"/>
        <v xml:space="preserve"> </v>
      </c>
      <c r="BA23" s="263" t="str">
        <f t="shared" si="108"/>
        <v xml:space="preserve"> </v>
      </c>
      <c r="BB23" s="228"/>
      <c r="BC23" s="266" t="str">
        <f t="shared" si="109"/>
        <v xml:space="preserve"> </v>
      </c>
      <c r="BD23" s="269" t="str">
        <f t="shared" si="110"/>
        <v xml:space="preserve"> </v>
      </c>
      <c r="BE23" s="269" t="str">
        <f t="shared" si="110"/>
        <v xml:space="preserve"> </v>
      </c>
      <c r="BF23" s="269" t="str">
        <f t="shared" si="111"/>
        <v xml:space="preserve"> </v>
      </c>
      <c r="BG23" s="269" t="str">
        <f t="shared" si="112"/>
        <v xml:space="preserve"> </v>
      </c>
      <c r="BH23" s="269" t="str">
        <f t="shared" si="112"/>
        <v xml:space="preserve"> </v>
      </c>
      <c r="BI23" s="269" t="str">
        <f t="shared" si="113"/>
        <v xml:space="preserve"> </v>
      </c>
      <c r="BJ23" s="269" t="str">
        <f t="shared" si="114"/>
        <v xml:space="preserve"> </v>
      </c>
      <c r="BK23" s="269" t="str">
        <f t="shared" si="115"/>
        <v xml:space="preserve"> </v>
      </c>
      <c r="BL23" s="273"/>
      <c r="BM23" s="220" t="str">
        <f>IF($A23="N/A"," ",(IF(MONTH(A23)&gt;=4,IF(MONTH(A23)&lt;=10,Inputs!$F$13-Inputs!$G$13,Inputs!$F$14-Inputs!$G$14),Inputs!$F$14-Inputs!$G$14))*$CK23*Availability)</f>
        <v xml:space="preserve"> </v>
      </c>
      <c r="BN23" s="221" t="str">
        <f t="shared" si="79"/>
        <v xml:space="preserve"> </v>
      </c>
      <c r="BO23" s="221" t="str">
        <f t="shared" si="80"/>
        <v xml:space="preserve"> </v>
      </c>
      <c r="BP23" s="221" t="str">
        <f t="shared" si="81"/>
        <v xml:space="preserve"> </v>
      </c>
      <c r="BQ23" s="221" t="str">
        <f t="shared" si="82"/>
        <v xml:space="preserve"> </v>
      </c>
      <c r="BR23" s="221" t="str">
        <f t="shared" si="83"/>
        <v xml:space="preserve"> </v>
      </c>
      <c r="BS23" s="221" t="str">
        <f t="shared" si="84"/>
        <v xml:space="preserve"> </v>
      </c>
      <c r="BT23" s="221" t="str">
        <f t="shared" si="85"/>
        <v xml:space="preserve"> </v>
      </c>
      <c r="BU23" s="221" t="str">
        <f t="shared" si="86"/>
        <v xml:space="preserve"> </v>
      </c>
      <c r="BV23" s="221" t="str">
        <f t="shared" si="87"/>
        <v xml:space="preserve"> </v>
      </c>
      <c r="BW23" s="221" t="str">
        <f t="shared" si="88"/>
        <v xml:space="preserve"> </v>
      </c>
      <c r="BX23" s="421" t="str">
        <f t="shared" si="89"/>
        <v xml:space="preserve"> </v>
      </c>
      <c r="BY23" s="417" t="str">
        <f t="shared" si="90"/>
        <v xml:space="preserve"> </v>
      </c>
      <c r="BZ23" s="417" t="str">
        <f t="shared" si="91"/>
        <v xml:space="preserve"> </v>
      </c>
      <c r="CA23" s="422" t="str">
        <f t="shared" si="92"/>
        <v xml:space="preserve"> </v>
      </c>
      <c r="CB23" s="347" t="str">
        <f t="shared" si="25"/>
        <v xml:space="preserve"> </v>
      </c>
      <c r="CC23" s="347" t="str">
        <f t="shared" si="93"/>
        <v xml:space="preserve"> </v>
      </c>
      <c r="CD23" s="348" t="str">
        <f t="shared" si="26"/>
        <v xml:space="preserve"> </v>
      </c>
      <c r="CE23" s="347" t="str">
        <f t="shared" si="27"/>
        <v xml:space="preserve"> </v>
      </c>
      <c r="CF23" s="347" t="str">
        <f t="shared" si="28"/>
        <v xml:space="preserve"> </v>
      </c>
      <c r="CG23" s="348" t="str">
        <f t="shared" si="29"/>
        <v xml:space="preserve"> </v>
      </c>
      <c r="CH23" s="347" t="str">
        <f t="shared" si="94"/>
        <v xml:space="preserve"> </v>
      </c>
      <c r="CI23" s="349" t="str">
        <f>IF($A23="N/A"," ",F23+G23+(D23*('Pricing Inputs'!T56)))</f>
        <v xml:space="preserve"> </v>
      </c>
      <c r="CJ23" s="347" t="str">
        <f>IF($A23="N/A"," ",IF(PV=1,0,'Pricing Inputs'!U56))</f>
        <v xml:space="preserve"> </v>
      </c>
      <c r="CK23" s="350" t="str">
        <f t="shared" si="30"/>
        <v xml:space="preserve"> </v>
      </c>
      <c r="CL23" s="365" t="str">
        <f t="shared" si="31"/>
        <v xml:space="preserve"> </v>
      </c>
      <c r="CM23" s="380" t="str">
        <f t="shared" si="95"/>
        <v xml:space="preserve"> </v>
      </c>
      <c r="CN23" s="378" t="str">
        <f t="shared" si="32"/>
        <v xml:space="preserve"> </v>
      </c>
      <c r="CO23" s="378" t="str">
        <f t="shared" si="33"/>
        <v xml:space="preserve"> </v>
      </c>
      <c r="CP23" s="378" t="str">
        <f t="shared" si="34"/>
        <v xml:space="preserve"> </v>
      </c>
      <c r="CQ23" s="378" t="str">
        <f t="shared" si="35"/>
        <v xml:space="preserve"> </v>
      </c>
      <c r="CR23" s="378" t="str">
        <f t="shared" si="36"/>
        <v xml:space="preserve"> </v>
      </c>
      <c r="CS23" s="378" t="str">
        <f t="shared" si="37"/>
        <v xml:space="preserve"> </v>
      </c>
      <c r="CT23" s="378" t="str">
        <f t="shared" si="38"/>
        <v xml:space="preserve"> </v>
      </c>
      <c r="CU23" s="378" t="str">
        <f t="shared" si="39"/>
        <v xml:space="preserve"> </v>
      </c>
      <c r="CV23" s="378" t="str">
        <f t="shared" si="40"/>
        <v xml:space="preserve"> </v>
      </c>
      <c r="CW23" s="254" t="str">
        <f t="shared" si="41"/>
        <v xml:space="preserve"> </v>
      </c>
      <c r="CX23" s="254" t="str">
        <f t="shared" si="42"/>
        <v xml:space="preserve"> </v>
      </c>
      <c r="CY23" s="254" t="str">
        <f t="shared" si="43"/>
        <v xml:space="preserve"> </v>
      </c>
      <c r="CZ23" s="254" t="str">
        <f t="shared" si="44"/>
        <v xml:space="preserve"> </v>
      </c>
      <c r="DA23" s="254" t="str">
        <f t="shared" si="45"/>
        <v xml:space="preserve"> </v>
      </c>
      <c r="DB23" s="254" t="str">
        <f t="shared" si="46"/>
        <v xml:space="preserve"> </v>
      </c>
      <c r="DC23" s="254" t="str">
        <f t="shared" si="47"/>
        <v xml:space="preserve"> </v>
      </c>
      <c r="DD23" s="254" t="str">
        <f t="shared" si="48"/>
        <v xml:space="preserve"> </v>
      </c>
      <c r="DE23" s="254" t="str">
        <f t="shared" si="49"/>
        <v xml:space="preserve"> </v>
      </c>
      <c r="DF23" s="374" t="str">
        <f>IF($A23="N/A"," ",IF(CC=2,(IF(MONTH(A23)&gt;=4,IF(MONTH(A23)&lt;=10,Inputs!$G$13,Inputs!$G$14),Inputs!$G$14))*$CK23,0))</f>
        <v xml:space="preserve"> </v>
      </c>
      <c r="DG23" s="373" t="str">
        <f t="shared" si="50"/>
        <v xml:space="preserve"> </v>
      </c>
      <c r="DH23" s="373" t="str">
        <f t="shared" si="51"/>
        <v xml:space="preserve"> </v>
      </c>
      <c r="DI23" s="373" t="str">
        <f t="shared" si="52"/>
        <v xml:space="preserve"> </v>
      </c>
      <c r="DJ23" s="373" t="str">
        <f t="shared" si="53"/>
        <v xml:space="preserve"> </v>
      </c>
      <c r="DK23" s="373" t="str">
        <f t="shared" si="54"/>
        <v xml:space="preserve"> </v>
      </c>
      <c r="DL23" s="373" t="str">
        <f t="shared" si="55"/>
        <v xml:space="preserve"> </v>
      </c>
      <c r="DM23" s="373" t="str">
        <f t="shared" si="56"/>
        <v xml:space="preserve"> </v>
      </c>
      <c r="DN23" s="373" t="str">
        <f t="shared" si="57"/>
        <v xml:space="preserve"> </v>
      </c>
      <c r="DO23" s="373" t="str">
        <f t="shared" si="58"/>
        <v xml:space="preserve"> </v>
      </c>
      <c r="DP23" s="375" t="str">
        <f t="shared" si="59"/>
        <v xml:space="preserve"> </v>
      </c>
      <c r="DQ23" t="str">
        <f t="shared" si="96"/>
        <v xml:space="preserve"> </v>
      </c>
      <c r="HD23" t="str">
        <f t="shared" si="97"/>
        <v xml:space="preserve"> </v>
      </c>
      <c r="HE23" t="str">
        <f t="shared" si="98"/>
        <v xml:space="preserve"> </v>
      </c>
      <c r="HF23" t="str">
        <f t="shared" si="99"/>
        <v xml:space="preserve"> </v>
      </c>
    </row>
    <row r="24" spans="1:214">
      <c r="A24" s="415" t="str">
        <f>IF(A23="N/A","N/A",IF(EDATE(A23,1)&gt;Inputs!$K$3,"N/A",EDATE(A23,1)))</f>
        <v>N/A</v>
      </c>
      <c r="B24" s="410" t="str">
        <f t="shared" si="60"/>
        <v xml:space="preserve"> </v>
      </c>
      <c r="C24" s="411" t="str">
        <f t="shared" si="61"/>
        <v xml:space="preserve"> </v>
      </c>
      <c r="D24" s="412" t="str">
        <f t="shared" si="62"/>
        <v xml:space="preserve"> </v>
      </c>
      <c r="E24" s="413" t="str">
        <f>IF($A24="N/A"," ",(C24-'Pricing Inputs'!T57)*D24)</f>
        <v xml:space="preserve"> </v>
      </c>
      <c r="F24" s="414" t="str">
        <f t="shared" si="116"/>
        <v xml:space="preserve"> </v>
      </c>
      <c r="G24" s="414" t="str">
        <f t="shared" si="64"/>
        <v xml:space="preserve"> </v>
      </c>
      <c r="H24" s="416" t="str">
        <f t="shared" si="65"/>
        <v xml:space="preserve"> </v>
      </c>
      <c r="I24" s="213" t="str">
        <f t="shared" si="0"/>
        <v xml:space="preserve"> </v>
      </c>
      <c r="J24" s="213" t="str">
        <f t="shared" si="1"/>
        <v xml:space="preserve"> </v>
      </c>
      <c r="K24" s="213" t="str">
        <f t="shared" si="2"/>
        <v xml:space="preserve"> </v>
      </c>
      <c r="L24" s="213" t="str">
        <f t="shared" si="3"/>
        <v xml:space="preserve"> </v>
      </c>
      <c r="M24" s="213" t="str">
        <f t="shared" si="4"/>
        <v xml:space="preserve"> </v>
      </c>
      <c r="N24" s="213" t="str">
        <f t="shared" si="5"/>
        <v xml:space="preserve"> </v>
      </c>
      <c r="O24" s="213" t="str">
        <f t="shared" si="6"/>
        <v xml:space="preserve"> </v>
      </c>
      <c r="P24" s="213" t="str">
        <f t="shared" si="7"/>
        <v xml:space="preserve"> </v>
      </c>
      <c r="Q24" s="213" t="str">
        <f t="shared" si="8"/>
        <v xml:space="preserve"> </v>
      </c>
      <c r="R24" s="405" t="str">
        <f>IF($A24="N/A"," ",IF(Pricetype=2,MAX(I24-$H24,0),IF(Pricetype=1,(_xll.xSPRDOPT(I24,$E24,$CI24,0,($CD24+IF(Smile=TRUE,VLOOKUP(MAX(-5,$H24-I24),Volsmile,2),0)),$CG24,$CH24,($A24-DateToday)+15,1,0)),I24-$H24)))</f>
        <v xml:space="preserve"> </v>
      </c>
      <c r="S24" s="405" t="str">
        <f>IF($A24="N/A"," ",IF(Pricetype=2,MAX(J24-$H24,0),IF(Pricetype=1,(_xll.xSPRDOPT(J24,$E24,$CI24,0,($CD24+IF(Smile=TRUE,VLOOKUP(MAX(-5,$H24-J24),Volsmile,2),0)),$CG24,$CH24,($A24-DateToday)+15,1,0)),J24-$H24)))</f>
        <v xml:space="preserve"> </v>
      </c>
      <c r="T24" s="406" t="str">
        <f t="shared" si="9"/>
        <v xml:space="preserve"> </v>
      </c>
      <c r="U24" s="405" t="str">
        <f>IF($A24="N/A"," ",IF(Pricetype=2,MAX(L24-$H24,0),IF(L24&lt;&gt;0,IF(Pricetype=1,(_xll.xSPRDOPT(L24,$E24,$CI24,0,($CD24+IF(Smile=TRUE,VLOOKUP(MAX(-5,$H24-L24),Volsmile,2),0)),$CG24,$CH24,($A24-DateToday)+15,1,0)),L24-$H24),0)))</f>
        <v xml:space="preserve"> </v>
      </c>
      <c r="V24" s="405" t="str">
        <f>IF($A24="N/A"," ",IF(Pricetype=2,MAX(M24-$H24,0),IF(M24&lt;&gt;0,IF(Pricetype=1,(_xll.xSPRDOPT(M24,$E24,$CI24,0,($CD24+IF(Smile=TRUE,VLOOKUP(MAX(-5,$H24-M24),Volsmile,2),0)),$CG24,$CH24,($A24-DateToday)+15,1,0)),M24-$H24),0)))</f>
        <v xml:space="preserve"> </v>
      </c>
      <c r="W24" s="406" t="str">
        <f t="shared" si="10"/>
        <v xml:space="preserve"> </v>
      </c>
      <c r="X24" s="405" t="str">
        <f>IF($A24="N/A"," ",IF(Pricetype=2,MAX(O24-$H24,0),IF(O24&lt;&gt;0,IF(Pricetype=1,(_xll.xSPRDOPT(O24,$E24,$CI24,0,($CD24+IF(Smile=TRUE,VLOOKUP(MAX(-5,$H24-O24),Volsmile,2),0)),$CG24,$CH24,($A24-DateToday)+15,1,0)),O24-$H24),0)))</f>
        <v xml:space="preserve"> </v>
      </c>
      <c r="Y24" s="405" t="str">
        <f>IF($A24="N/A"," ",IF(Pricetype=2,MAX(P24-$H24,0),IF(P24&lt;&gt;0,IF(Pricetype=1,(_xll.xSPRDOPT(P24,$E24,$CI24,0,($CD24+IF(Smile=TRUE,VLOOKUP(MAX(-5,$H24-P24),Volsmile,2),0)),$CG24,$CH24,($A24-DateToday)+15,1,0)),P24-$H24),0)))</f>
        <v xml:space="preserve"> </v>
      </c>
      <c r="Z24" s="406" t="str">
        <f t="shared" si="11"/>
        <v xml:space="preserve"> </v>
      </c>
      <c r="AA24" s="254" t="str">
        <f>IF($A24="N/A"," ",IF(VLOOKUP(MONTH(A24),ManualTable,2)=1,(IF(0&lt;&gt;R24,IF(Pricetype=1,(_xll.xSPRDOPT(I24,$E24,$CI24,0,($CD24+IF(Smile=TRUE,VLOOKUP(MAX(-5,$H24-I24),Volsmile,2),0)),$CG24,$CH24,($A24-DateToday)+15,1,1))*(8*$HD24),8*$HD24),0)),0))</f>
        <v xml:space="preserve"> </v>
      </c>
      <c r="AB24" s="254" t="str">
        <f>IF($A24="N/A"," ",IF(VLOOKUP(MONTH(A24),ManualTable,3)=1,(IF(S24&lt;&gt;0,IF(Pricetype=1,(_xll.xSPRDOPT(J24,$E24,$CI24,0,($CD24+IF(Smile=TRUE,VLOOKUP(MAX(-5,$H24-J24),Volsmile,2),0)),$CG24,$CH24,($A24-DateToday)+15,1,1))*(8*$HD24),8*$HD24),0)),0))</f>
        <v xml:space="preserve"> </v>
      </c>
      <c r="AC24" s="254" t="str">
        <f t="shared" si="66"/>
        <v xml:space="preserve"> </v>
      </c>
      <c r="AD24" s="254" t="str">
        <f>IF($A24="N/A"," ",IF(VLOOKUP(MONTH(A24),ManualTable,5)=1,(IF(U24&lt;&gt;0,IF(Pricetype=1,(_xll.xSPRDOPT(L24,$E24,$CI24,0,($CD24+IF(Smile=TRUE,VLOOKUP(MAX(-5,$H24-L24),Volsmile,2),0)),$CG24,$CH24,($A24-DateToday)+15,1,1))*(8*$HE24),8*$HE24),0)),0))</f>
        <v xml:space="preserve"> </v>
      </c>
      <c r="AE24" s="254" t="str">
        <f>IF($A24="N/A"," ",IF(VLOOKUP(MONTH(A24),ManualTable,6)=1,(IF(V24&lt;&gt;0,IF(Pricetype=1,(_xll.xSPRDOPT(M24,$E24,$CI24,0,($CD24+IF(Smile=TRUE,VLOOKUP(MAX(-5,$H24-M24),Volsmile,2),0)),$CG24,$CH24,($A24-DateToday)+15,1,1))*(8*$HE24),8*$HE24),0)),0))</f>
        <v xml:space="preserve"> </v>
      </c>
      <c r="AF24" s="254" t="str">
        <f t="shared" si="67"/>
        <v xml:space="preserve"> </v>
      </c>
      <c r="AG24" s="254" t="str">
        <f>IF($A24="N/A"," ",IF(VLOOKUP(MONTH(A24),ManualTable,8)=1,(IF(X24&lt;&gt;0,IF(Pricetype=1,(_xll.xSPRDOPT(O24,$E24,$CI24,0,($CD24+IF(Smile=TRUE,VLOOKUP(MAX(-5,$H24-O24),Volsmile,2),0)),$CG24,$CH24,($A24-DateToday)+15,1,1))*(8*$HF24),8*$HF24),0)),0))</f>
        <v xml:space="preserve"> </v>
      </c>
      <c r="AH24" s="254" t="str">
        <f>IF($A24="N/A"," ",IF(VLOOKUP(MONTH(A24),ManualTable,9)=1,(IF(Y24&lt;&gt;0,IF(Pricetype=1,(_xll.xSPRDOPT(P24,$E24,$CI24,0,($CD24+IF(Smile=TRUE,VLOOKUP(MAX(-5,$H24-P24),Volsmile,2),0)),$CG24,$CH24,($A24-DateToday)+15,1,1))*(8*$HF24),8*$HF24),0)),0))</f>
        <v xml:space="preserve"> </v>
      </c>
      <c r="AI24" s="254" t="str">
        <f t="shared" si="68"/>
        <v xml:space="preserve"> </v>
      </c>
      <c r="AJ24" s="227" t="str">
        <f t="shared" si="117"/>
        <v xml:space="preserve"> </v>
      </c>
      <c r="AK24" s="228" t="str">
        <f t="shared" si="100"/>
        <v xml:space="preserve"> </v>
      </c>
      <c r="AL24" s="228" t="str">
        <f t="shared" si="100"/>
        <v xml:space="preserve"> </v>
      </c>
      <c r="AM24" s="228" t="str">
        <f t="shared" si="118"/>
        <v xml:space="preserve"> </v>
      </c>
      <c r="AN24" s="228" t="str">
        <f t="shared" si="119"/>
        <v xml:space="preserve"> </v>
      </c>
      <c r="AO24" s="228" t="str">
        <f t="shared" si="119"/>
        <v xml:space="preserve"> </v>
      </c>
      <c r="AP24" s="228" t="str">
        <f t="shared" si="120"/>
        <v xml:space="preserve"> </v>
      </c>
      <c r="AQ24" s="228" t="str">
        <f t="shared" si="121"/>
        <v xml:space="preserve"> </v>
      </c>
      <c r="AR24" s="229" t="str">
        <f t="shared" si="122"/>
        <v xml:space="preserve"> </v>
      </c>
      <c r="AS24" s="262" t="str">
        <f t="shared" si="102"/>
        <v xml:space="preserve"> </v>
      </c>
      <c r="AT24" s="263" t="str">
        <f t="shared" si="103"/>
        <v xml:space="preserve"> </v>
      </c>
      <c r="AU24" s="263" t="str">
        <f t="shared" si="103"/>
        <v xml:space="preserve"> </v>
      </c>
      <c r="AV24" s="263" t="str">
        <f t="shared" si="104"/>
        <v xml:space="preserve"> </v>
      </c>
      <c r="AW24" s="263" t="str">
        <f t="shared" si="105"/>
        <v xml:space="preserve"> </v>
      </c>
      <c r="AX24" s="263" t="str">
        <f t="shared" si="105"/>
        <v xml:space="preserve"> </v>
      </c>
      <c r="AY24" s="263" t="str">
        <f t="shared" si="106"/>
        <v xml:space="preserve"> </v>
      </c>
      <c r="AZ24" s="263" t="str">
        <f t="shared" si="107"/>
        <v xml:space="preserve"> </v>
      </c>
      <c r="BA24" s="263" t="str">
        <f t="shared" si="108"/>
        <v xml:space="preserve"> </v>
      </c>
      <c r="BB24" s="228"/>
      <c r="BC24" s="266" t="str">
        <f t="shared" si="109"/>
        <v xml:space="preserve"> </v>
      </c>
      <c r="BD24" s="269" t="str">
        <f t="shared" si="110"/>
        <v xml:space="preserve"> </v>
      </c>
      <c r="BE24" s="269" t="str">
        <f t="shared" si="110"/>
        <v xml:space="preserve"> </v>
      </c>
      <c r="BF24" s="269" t="str">
        <f t="shared" si="111"/>
        <v xml:space="preserve"> </v>
      </c>
      <c r="BG24" s="269" t="str">
        <f t="shared" si="112"/>
        <v xml:space="preserve"> </v>
      </c>
      <c r="BH24" s="269" t="str">
        <f t="shared" si="112"/>
        <v xml:space="preserve"> </v>
      </c>
      <c r="BI24" s="269" t="str">
        <f t="shared" si="113"/>
        <v xml:space="preserve"> </v>
      </c>
      <c r="BJ24" s="269" t="str">
        <f t="shared" si="114"/>
        <v xml:space="preserve"> </v>
      </c>
      <c r="BK24" s="269" t="str">
        <f t="shared" si="115"/>
        <v xml:space="preserve"> </v>
      </c>
      <c r="BL24" s="273"/>
      <c r="BM24" s="220" t="str">
        <f>IF($A24="N/A"," ",(IF(MONTH(A24)&gt;=4,IF(MONTH(A24)&lt;=10,Inputs!$F$13-Inputs!$G$13,Inputs!$F$14-Inputs!$G$14),Inputs!$F$14-Inputs!$G$14))*$CK24*Availability)</f>
        <v xml:space="preserve"> </v>
      </c>
      <c r="BN24" s="221" t="str">
        <f t="shared" si="79"/>
        <v xml:space="preserve"> </v>
      </c>
      <c r="BO24" s="221" t="str">
        <f t="shared" si="80"/>
        <v xml:space="preserve"> </v>
      </c>
      <c r="BP24" s="221" t="str">
        <f t="shared" si="81"/>
        <v xml:space="preserve"> </v>
      </c>
      <c r="BQ24" s="221" t="str">
        <f t="shared" si="82"/>
        <v xml:space="preserve"> </v>
      </c>
      <c r="BR24" s="221" t="str">
        <f t="shared" si="83"/>
        <v xml:space="preserve"> </v>
      </c>
      <c r="BS24" s="221" t="str">
        <f t="shared" si="84"/>
        <v xml:space="preserve"> </v>
      </c>
      <c r="BT24" s="221" t="str">
        <f t="shared" si="85"/>
        <v xml:space="preserve"> </v>
      </c>
      <c r="BU24" s="221" t="str">
        <f t="shared" si="86"/>
        <v xml:space="preserve"> </v>
      </c>
      <c r="BV24" s="221" t="str">
        <f t="shared" si="87"/>
        <v xml:space="preserve"> </v>
      </c>
      <c r="BW24" s="221" t="str">
        <f t="shared" si="88"/>
        <v xml:space="preserve"> </v>
      </c>
      <c r="BX24" s="421" t="str">
        <f t="shared" si="89"/>
        <v xml:space="preserve"> </v>
      </c>
      <c r="BY24" s="417" t="str">
        <f t="shared" si="90"/>
        <v xml:space="preserve"> </v>
      </c>
      <c r="BZ24" s="417" t="str">
        <f t="shared" si="91"/>
        <v xml:space="preserve"> </v>
      </c>
      <c r="CA24" s="422" t="str">
        <f t="shared" si="92"/>
        <v xml:space="preserve"> </v>
      </c>
      <c r="CB24" s="347" t="str">
        <f t="shared" si="25"/>
        <v xml:space="preserve"> </v>
      </c>
      <c r="CC24" s="347" t="str">
        <f t="shared" si="93"/>
        <v xml:space="preserve"> </v>
      </c>
      <c r="CD24" s="348" t="str">
        <f t="shared" si="26"/>
        <v xml:space="preserve"> </v>
      </c>
      <c r="CE24" s="347" t="str">
        <f t="shared" si="27"/>
        <v xml:space="preserve"> </v>
      </c>
      <c r="CF24" s="347" t="str">
        <f t="shared" si="28"/>
        <v xml:space="preserve"> </v>
      </c>
      <c r="CG24" s="348" t="str">
        <f t="shared" si="29"/>
        <v xml:space="preserve"> </v>
      </c>
      <c r="CH24" s="347" t="str">
        <f t="shared" si="94"/>
        <v xml:space="preserve"> </v>
      </c>
      <c r="CI24" s="349" t="str">
        <f>IF($A24="N/A"," ",F24+G24+(D24*('Pricing Inputs'!T57)))</f>
        <v xml:space="preserve"> </v>
      </c>
      <c r="CJ24" s="347" t="str">
        <f>IF($A24="N/A"," ",IF(PV=1,0,'Pricing Inputs'!U57))</f>
        <v xml:space="preserve"> </v>
      </c>
      <c r="CK24" s="350" t="str">
        <f t="shared" si="30"/>
        <v xml:space="preserve"> </v>
      </c>
      <c r="CL24" s="365" t="str">
        <f t="shared" si="31"/>
        <v xml:space="preserve"> </v>
      </c>
      <c r="CM24" s="380" t="str">
        <f t="shared" si="95"/>
        <v xml:space="preserve"> </v>
      </c>
      <c r="CN24" s="378" t="str">
        <f t="shared" si="32"/>
        <v xml:space="preserve"> </v>
      </c>
      <c r="CO24" s="378" t="str">
        <f t="shared" si="33"/>
        <v xml:space="preserve"> </v>
      </c>
      <c r="CP24" s="378" t="str">
        <f t="shared" si="34"/>
        <v xml:space="preserve"> </v>
      </c>
      <c r="CQ24" s="378" t="str">
        <f t="shared" si="35"/>
        <v xml:space="preserve"> </v>
      </c>
      <c r="CR24" s="378" t="str">
        <f t="shared" si="36"/>
        <v xml:space="preserve"> </v>
      </c>
      <c r="CS24" s="378" t="str">
        <f t="shared" si="37"/>
        <v xml:space="preserve"> </v>
      </c>
      <c r="CT24" s="378" t="str">
        <f t="shared" si="38"/>
        <v xml:space="preserve"> </v>
      </c>
      <c r="CU24" s="378" t="str">
        <f t="shared" si="39"/>
        <v xml:space="preserve"> </v>
      </c>
      <c r="CV24" s="378" t="str">
        <f t="shared" si="40"/>
        <v xml:space="preserve"> </v>
      </c>
      <c r="CW24" s="254" t="str">
        <f t="shared" si="41"/>
        <v xml:space="preserve"> </v>
      </c>
      <c r="CX24" s="254" t="str">
        <f t="shared" si="42"/>
        <v xml:space="preserve"> </v>
      </c>
      <c r="CY24" s="254" t="str">
        <f t="shared" si="43"/>
        <v xml:space="preserve"> </v>
      </c>
      <c r="CZ24" s="254" t="str">
        <f t="shared" si="44"/>
        <v xml:space="preserve"> </v>
      </c>
      <c r="DA24" s="254" t="str">
        <f t="shared" si="45"/>
        <v xml:space="preserve"> </v>
      </c>
      <c r="DB24" s="254" t="str">
        <f t="shared" si="46"/>
        <v xml:space="preserve"> </v>
      </c>
      <c r="DC24" s="254" t="str">
        <f t="shared" si="47"/>
        <v xml:space="preserve"> </v>
      </c>
      <c r="DD24" s="254" t="str">
        <f t="shared" si="48"/>
        <v xml:space="preserve"> </v>
      </c>
      <c r="DE24" s="254" t="str">
        <f t="shared" si="49"/>
        <v xml:space="preserve"> </v>
      </c>
      <c r="DF24" s="374" t="str">
        <f>IF($A24="N/A"," ",IF(CC=2,(IF(MONTH(A24)&gt;=4,IF(MONTH(A24)&lt;=10,Inputs!$G$13,Inputs!$G$14),Inputs!$G$14))*$CK24,0))</f>
        <v xml:space="preserve"> </v>
      </c>
      <c r="DG24" s="373" t="str">
        <f t="shared" si="50"/>
        <v xml:space="preserve"> </v>
      </c>
      <c r="DH24" s="373" t="str">
        <f t="shared" si="51"/>
        <v xml:space="preserve"> </v>
      </c>
      <c r="DI24" s="373" t="str">
        <f t="shared" si="52"/>
        <v xml:space="preserve"> </v>
      </c>
      <c r="DJ24" s="373" t="str">
        <f t="shared" si="53"/>
        <v xml:space="preserve"> </v>
      </c>
      <c r="DK24" s="373" t="str">
        <f t="shared" si="54"/>
        <v xml:space="preserve"> </v>
      </c>
      <c r="DL24" s="373" t="str">
        <f t="shared" si="55"/>
        <v xml:space="preserve"> </v>
      </c>
      <c r="DM24" s="373" t="str">
        <f t="shared" si="56"/>
        <v xml:space="preserve"> </v>
      </c>
      <c r="DN24" s="373" t="str">
        <f t="shared" si="57"/>
        <v xml:space="preserve"> </v>
      </c>
      <c r="DO24" s="373" t="str">
        <f t="shared" si="58"/>
        <v xml:space="preserve"> </v>
      </c>
      <c r="DP24" s="375" t="str">
        <f t="shared" si="59"/>
        <v xml:space="preserve"> </v>
      </c>
      <c r="DQ24" t="str">
        <f t="shared" si="96"/>
        <v xml:space="preserve"> </v>
      </c>
      <c r="HD24" t="str">
        <f t="shared" si="97"/>
        <v xml:space="preserve"> </v>
      </c>
      <c r="HE24" t="str">
        <f t="shared" si="98"/>
        <v xml:space="preserve"> </v>
      </c>
      <c r="HF24" t="str">
        <f t="shared" si="99"/>
        <v xml:space="preserve"> </v>
      </c>
    </row>
    <row r="25" spans="1:214">
      <c r="A25" s="415" t="str">
        <f>IF(A24="N/A","N/A",IF(EDATE(A24,1)&gt;Inputs!$K$3,"N/A",EDATE(A24,1)))</f>
        <v>N/A</v>
      </c>
      <c r="B25" s="410" t="str">
        <f t="shared" si="60"/>
        <v xml:space="preserve"> </v>
      </c>
      <c r="C25" s="411" t="str">
        <f t="shared" si="61"/>
        <v xml:space="preserve"> </v>
      </c>
      <c r="D25" s="412" t="str">
        <f t="shared" si="62"/>
        <v xml:space="preserve"> </v>
      </c>
      <c r="E25" s="413" t="str">
        <f>IF($A25="N/A"," ",(C25-'Pricing Inputs'!T58)*D25)</f>
        <v xml:space="preserve"> </v>
      </c>
      <c r="F25" s="414" t="str">
        <f t="shared" si="116"/>
        <v xml:space="preserve"> </v>
      </c>
      <c r="G25" s="414" t="str">
        <f t="shared" si="64"/>
        <v xml:space="preserve"> </v>
      </c>
      <c r="H25" s="416" t="str">
        <f t="shared" si="65"/>
        <v xml:space="preserve"> </v>
      </c>
      <c r="I25" s="213" t="str">
        <f t="shared" si="0"/>
        <v xml:space="preserve"> </v>
      </c>
      <c r="J25" s="213" t="str">
        <f t="shared" si="1"/>
        <v xml:space="preserve"> </v>
      </c>
      <c r="K25" s="213" t="str">
        <f t="shared" si="2"/>
        <v xml:space="preserve"> </v>
      </c>
      <c r="L25" s="213" t="str">
        <f t="shared" si="3"/>
        <v xml:space="preserve"> </v>
      </c>
      <c r="M25" s="213" t="str">
        <f t="shared" si="4"/>
        <v xml:space="preserve"> </v>
      </c>
      <c r="N25" s="213" t="str">
        <f t="shared" si="5"/>
        <v xml:space="preserve"> </v>
      </c>
      <c r="O25" s="213" t="str">
        <f t="shared" si="6"/>
        <v xml:space="preserve"> </v>
      </c>
      <c r="P25" s="213" t="str">
        <f t="shared" si="7"/>
        <v xml:space="preserve"> </v>
      </c>
      <c r="Q25" s="213" t="str">
        <f t="shared" si="8"/>
        <v xml:space="preserve"> </v>
      </c>
      <c r="R25" s="405" t="str">
        <f>IF($A25="N/A"," ",IF(Pricetype=2,MAX(I25-$H25,0),IF(Pricetype=1,(_xll.xSPRDOPT(I25,$E25,$CI25,0,($CD25+IF(Smile=TRUE,VLOOKUP(MAX(-5,$H25-I25),Volsmile,2),0)),$CG25,$CH25,($A25-DateToday)+15,1,0)),I25-$H25)))</f>
        <v xml:space="preserve"> </v>
      </c>
      <c r="S25" s="405" t="str">
        <f>IF($A25="N/A"," ",IF(Pricetype=2,MAX(J25-$H25,0),IF(Pricetype=1,(_xll.xSPRDOPT(J25,$E25,$CI25,0,($CD25+IF(Smile=TRUE,VLOOKUP(MAX(-5,$H25-J25),Volsmile,2),0)),$CG25,$CH25,($A25-DateToday)+15,1,0)),J25-$H25)))</f>
        <v xml:space="preserve"> </v>
      </c>
      <c r="T25" s="406" t="str">
        <f t="shared" si="9"/>
        <v xml:space="preserve"> </v>
      </c>
      <c r="U25" s="405" t="str">
        <f>IF($A25="N/A"," ",IF(Pricetype=2,MAX(L25-$H25,0),IF(L25&lt;&gt;0,IF(Pricetype=1,(_xll.xSPRDOPT(L25,$E25,$CI25,0,($CD25+IF(Smile=TRUE,VLOOKUP(MAX(-5,$H25-L25),Volsmile,2),0)),$CG25,$CH25,($A25-DateToday)+15,1,0)),L25-$H25),0)))</f>
        <v xml:space="preserve"> </v>
      </c>
      <c r="V25" s="405" t="str">
        <f>IF($A25="N/A"," ",IF(Pricetype=2,MAX(M25-$H25,0),IF(M25&lt;&gt;0,IF(Pricetype=1,(_xll.xSPRDOPT(M25,$E25,$CI25,0,($CD25+IF(Smile=TRUE,VLOOKUP(MAX(-5,$H25-M25),Volsmile,2),0)),$CG25,$CH25,($A25-DateToday)+15,1,0)),M25-$H25),0)))</f>
        <v xml:space="preserve"> </v>
      </c>
      <c r="W25" s="406" t="str">
        <f t="shared" si="10"/>
        <v xml:space="preserve"> </v>
      </c>
      <c r="X25" s="405" t="str">
        <f>IF($A25="N/A"," ",IF(Pricetype=2,MAX(O25-$H25,0),IF(O25&lt;&gt;0,IF(Pricetype=1,(_xll.xSPRDOPT(O25,$E25,$CI25,0,($CD25+IF(Smile=TRUE,VLOOKUP(MAX(-5,$H25-O25),Volsmile,2),0)),$CG25,$CH25,($A25-DateToday)+15,1,0)),O25-$H25),0)))</f>
        <v xml:space="preserve"> </v>
      </c>
      <c r="Y25" s="405" t="str">
        <f>IF($A25="N/A"," ",IF(Pricetype=2,MAX(P25-$H25,0),IF(P25&lt;&gt;0,IF(Pricetype=1,(_xll.xSPRDOPT(P25,$E25,$CI25,0,($CD25+IF(Smile=TRUE,VLOOKUP(MAX(-5,$H25-P25),Volsmile,2),0)),$CG25,$CH25,($A25-DateToday)+15,1,0)),P25-$H25),0)))</f>
        <v xml:space="preserve"> </v>
      </c>
      <c r="Z25" s="406" t="str">
        <f t="shared" si="11"/>
        <v xml:space="preserve"> </v>
      </c>
      <c r="AA25" s="254" t="str">
        <f>IF($A25="N/A"," ",IF(VLOOKUP(MONTH(A25),ManualTable,2)=1,(IF(0&lt;&gt;R25,IF(Pricetype=1,(_xll.xSPRDOPT(I25,$E25,$CI25,0,($CD25+IF(Smile=TRUE,VLOOKUP(MAX(-5,$H25-I25),Volsmile,2),0)),$CG25,$CH25,($A25-DateToday)+15,1,1))*(8*$HD25),8*$HD25),0)),0))</f>
        <v xml:space="preserve"> </v>
      </c>
      <c r="AB25" s="254" t="str">
        <f>IF($A25="N/A"," ",IF(VLOOKUP(MONTH(A25),ManualTable,3)=1,(IF(S25&lt;&gt;0,IF(Pricetype=1,(_xll.xSPRDOPT(J25,$E25,$CI25,0,($CD25+IF(Smile=TRUE,VLOOKUP(MAX(-5,$H25-J25),Volsmile,2),0)),$CG25,$CH25,($A25-DateToday)+15,1,1))*(8*$HD25),8*$HD25),0)),0))</f>
        <v xml:space="preserve"> </v>
      </c>
      <c r="AC25" s="254" t="str">
        <f t="shared" si="66"/>
        <v xml:space="preserve"> </v>
      </c>
      <c r="AD25" s="254" t="str">
        <f>IF($A25="N/A"," ",IF(VLOOKUP(MONTH(A25),ManualTable,5)=1,(IF(U25&lt;&gt;0,IF(Pricetype=1,(_xll.xSPRDOPT(L25,$E25,$CI25,0,($CD25+IF(Smile=TRUE,VLOOKUP(MAX(-5,$H25-L25),Volsmile,2),0)),$CG25,$CH25,($A25-DateToday)+15,1,1))*(8*$HE25),8*$HE25),0)),0))</f>
        <v xml:space="preserve"> </v>
      </c>
      <c r="AE25" s="254" t="str">
        <f>IF($A25="N/A"," ",IF(VLOOKUP(MONTH(A25),ManualTable,6)=1,(IF(V25&lt;&gt;0,IF(Pricetype=1,(_xll.xSPRDOPT(M25,$E25,$CI25,0,($CD25+IF(Smile=TRUE,VLOOKUP(MAX(-5,$H25-M25),Volsmile,2),0)),$CG25,$CH25,($A25-DateToday)+15,1,1))*(8*$HE25),8*$HE25),0)),0))</f>
        <v xml:space="preserve"> </v>
      </c>
      <c r="AF25" s="254" t="str">
        <f t="shared" si="67"/>
        <v xml:space="preserve"> </v>
      </c>
      <c r="AG25" s="254" t="str">
        <f>IF($A25="N/A"," ",IF(VLOOKUP(MONTH(A25),ManualTable,8)=1,(IF(X25&lt;&gt;0,IF(Pricetype=1,(_xll.xSPRDOPT(O25,$E25,$CI25,0,($CD25+IF(Smile=TRUE,VLOOKUP(MAX(-5,$H25-O25),Volsmile,2),0)),$CG25,$CH25,($A25-DateToday)+15,1,1))*(8*$HF25),8*$HF25),0)),0))</f>
        <v xml:space="preserve"> </v>
      </c>
      <c r="AH25" s="254" t="str">
        <f>IF($A25="N/A"," ",IF(VLOOKUP(MONTH(A25),ManualTable,9)=1,(IF(Y25&lt;&gt;0,IF(Pricetype=1,(_xll.xSPRDOPT(P25,$E25,$CI25,0,($CD25+IF(Smile=TRUE,VLOOKUP(MAX(-5,$H25-P25),Volsmile,2),0)),$CG25,$CH25,($A25-DateToday)+15,1,1))*(8*$HF25),8*$HF25),0)),0))</f>
        <v xml:space="preserve"> </v>
      </c>
      <c r="AI25" s="254" t="str">
        <f t="shared" si="68"/>
        <v xml:space="preserve"> </v>
      </c>
      <c r="AJ25" s="227" t="str">
        <f t="shared" si="117"/>
        <v xml:space="preserve"> </v>
      </c>
      <c r="AK25" s="228" t="str">
        <f t="shared" si="100"/>
        <v xml:space="preserve"> </v>
      </c>
      <c r="AL25" s="228" t="str">
        <f t="shared" si="100"/>
        <v xml:space="preserve"> </v>
      </c>
      <c r="AM25" s="228" t="str">
        <f t="shared" si="118"/>
        <v xml:space="preserve"> </v>
      </c>
      <c r="AN25" s="228" t="str">
        <f t="shared" si="119"/>
        <v xml:space="preserve"> </v>
      </c>
      <c r="AO25" s="228" t="str">
        <f t="shared" si="119"/>
        <v xml:space="preserve"> </v>
      </c>
      <c r="AP25" s="228" t="str">
        <f t="shared" si="120"/>
        <v xml:space="preserve"> </v>
      </c>
      <c r="AQ25" s="228" t="str">
        <f t="shared" si="121"/>
        <v xml:space="preserve"> </v>
      </c>
      <c r="AR25" s="229" t="str">
        <f t="shared" si="122"/>
        <v xml:space="preserve"> </v>
      </c>
      <c r="AS25" s="262" t="str">
        <f t="shared" si="102"/>
        <v xml:space="preserve"> </v>
      </c>
      <c r="AT25" s="263" t="str">
        <f t="shared" si="103"/>
        <v xml:space="preserve"> </v>
      </c>
      <c r="AU25" s="263" t="str">
        <f t="shared" si="103"/>
        <v xml:space="preserve"> </v>
      </c>
      <c r="AV25" s="263" t="str">
        <f t="shared" si="104"/>
        <v xml:space="preserve"> </v>
      </c>
      <c r="AW25" s="263" t="str">
        <f t="shared" si="105"/>
        <v xml:space="preserve"> </v>
      </c>
      <c r="AX25" s="263" t="str">
        <f t="shared" si="105"/>
        <v xml:space="preserve"> </v>
      </c>
      <c r="AY25" s="263" t="str">
        <f t="shared" si="106"/>
        <v xml:space="preserve"> </v>
      </c>
      <c r="AZ25" s="263" t="str">
        <f t="shared" si="107"/>
        <v xml:space="preserve"> </v>
      </c>
      <c r="BA25" s="263" t="str">
        <f t="shared" si="108"/>
        <v xml:space="preserve"> </v>
      </c>
      <c r="BB25" s="237" t="s">
        <v>1271</v>
      </c>
      <c r="BC25" s="266" t="str">
        <f t="shared" si="109"/>
        <v xml:space="preserve"> </v>
      </c>
      <c r="BD25" s="269" t="str">
        <f t="shared" si="110"/>
        <v xml:space="preserve"> </v>
      </c>
      <c r="BE25" s="269" t="str">
        <f t="shared" si="110"/>
        <v xml:space="preserve"> </v>
      </c>
      <c r="BF25" s="269" t="str">
        <f t="shared" si="111"/>
        <v xml:space="preserve"> </v>
      </c>
      <c r="BG25" s="269" t="str">
        <f t="shared" si="112"/>
        <v xml:space="preserve"> </v>
      </c>
      <c r="BH25" s="269" t="str">
        <f t="shared" si="112"/>
        <v xml:space="preserve"> </v>
      </c>
      <c r="BI25" s="269" t="str">
        <f t="shared" si="113"/>
        <v xml:space="preserve"> </v>
      </c>
      <c r="BJ25" s="269" t="str">
        <f t="shared" si="114"/>
        <v xml:space="preserve"> </v>
      </c>
      <c r="BK25" s="269" t="str">
        <f t="shared" si="115"/>
        <v xml:space="preserve"> </v>
      </c>
      <c r="BL25" s="233" t="s">
        <v>1283</v>
      </c>
      <c r="BM25" s="220" t="str">
        <f>IF($A25="N/A"," ",(IF(MONTH(A25)&gt;=4,IF(MONTH(A25)&lt;=10,Inputs!$F$13-Inputs!$G$13,Inputs!$F$14-Inputs!$G$14),Inputs!$F$14-Inputs!$G$14))*$CK25*Availability)</f>
        <v xml:space="preserve"> </v>
      </c>
      <c r="BN25" s="221" t="str">
        <f t="shared" si="79"/>
        <v xml:space="preserve"> </v>
      </c>
      <c r="BO25" s="221" t="str">
        <f t="shared" si="80"/>
        <v xml:space="preserve"> </v>
      </c>
      <c r="BP25" s="221" t="str">
        <f t="shared" si="81"/>
        <v xml:space="preserve"> </v>
      </c>
      <c r="BQ25" s="221" t="str">
        <f t="shared" si="82"/>
        <v xml:space="preserve"> </v>
      </c>
      <c r="BR25" s="221" t="str">
        <f t="shared" si="83"/>
        <v xml:space="preserve"> </v>
      </c>
      <c r="BS25" s="221" t="str">
        <f t="shared" si="84"/>
        <v xml:space="preserve"> </v>
      </c>
      <c r="BT25" s="221" t="str">
        <f t="shared" si="85"/>
        <v xml:space="preserve"> </v>
      </c>
      <c r="BU25" s="221" t="str">
        <f t="shared" si="86"/>
        <v xml:space="preserve"> </v>
      </c>
      <c r="BV25" s="221" t="str">
        <f t="shared" si="87"/>
        <v xml:space="preserve"> </v>
      </c>
      <c r="BW25" s="221" t="str">
        <f t="shared" si="88"/>
        <v xml:space="preserve"> </v>
      </c>
      <c r="BX25" s="421" t="str">
        <f t="shared" si="89"/>
        <v xml:space="preserve"> </v>
      </c>
      <c r="BY25" s="417" t="str">
        <f t="shared" si="90"/>
        <v xml:space="preserve"> </v>
      </c>
      <c r="BZ25" s="417" t="str">
        <f t="shared" si="91"/>
        <v xml:space="preserve"> </v>
      </c>
      <c r="CA25" s="422" t="str">
        <f t="shared" si="92"/>
        <v xml:space="preserve"> </v>
      </c>
      <c r="CB25" s="347" t="str">
        <f t="shared" si="25"/>
        <v xml:space="preserve"> </v>
      </c>
      <c r="CC25" s="347" t="str">
        <f t="shared" si="93"/>
        <v xml:space="preserve"> </v>
      </c>
      <c r="CD25" s="348" t="str">
        <f t="shared" si="26"/>
        <v xml:space="preserve"> </v>
      </c>
      <c r="CE25" s="347" t="str">
        <f t="shared" si="27"/>
        <v xml:space="preserve"> </v>
      </c>
      <c r="CF25" s="347" t="str">
        <f t="shared" si="28"/>
        <v xml:space="preserve"> </v>
      </c>
      <c r="CG25" s="348" t="str">
        <f t="shared" si="29"/>
        <v xml:space="preserve"> </v>
      </c>
      <c r="CH25" s="347" t="str">
        <f t="shared" si="94"/>
        <v xml:space="preserve"> </v>
      </c>
      <c r="CI25" s="349" t="str">
        <f>IF($A25="N/A"," ",F25+G25+(D25*('Pricing Inputs'!T58)))</f>
        <v xml:space="preserve"> </v>
      </c>
      <c r="CJ25" s="347" t="str">
        <f>IF($A25="N/A"," ",IF(PV=1,0,'Pricing Inputs'!U58))</f>
        <v xml:space="preserve"> </v>
      </c>
      <c r="CK25" s="350" t="str">
        <f t="shared" si="30"/>
        <v xml:space="preserve"> </v>
      </c>
      <c r="CL25" s="365" t="str">
        <f t="shared" si="31"/>
        <v xml:space="preserve"> </v>
      </c>
      <c r="CM25" s="380" t="str">
        <f t="shared" si="95"/>
        <v xml:space="preserve"> </v>
      </c>
      <c r="CN25" s="378" t="str">
        <f t="shared" si="32"/>
        <v xml:space="preserve"> </v>
      </c>
      <c r="CO25" s="378" t="str">
        <f t="shared" si="33"/>
        <v xml:space="preserve"> </v>
      </c>
      <c r="CP25" s="378" t="str">
        <f t="shared" si="34"/>
        <v xml:space="preserve"> </v>
      </c>
      <c r="CQ25" s="378" t="str">
        <f t="shared" si="35"/>
        <v xml:space="preserve"> </v>
      </c>
      <c r="CR25" s="378" t="str">
        <f t="shared" si="36"/>
        <v xml:space="preserve"> </v>
      </c>
      <c r="CS25" s="378" t="str">
        <f t="shared" si="37"/>
        <v xml:space="preserve"> </v>
      </c>
      <c r="CT25" s="378" t="str">
        <f t="shared" si="38"/>
        <v xml:space="preserve"> </v>
      </c>
      <c r="CU25" s="378" t="str">
        <f t="shared" si="39"/>
        <v xml:space="preserve"> </v>
      </c>
      <c r="CV25" s="378" t="str">
        <f t="shared" si="40"/>
        <v xml:space="preserve"> </v>
      </c>
      <c r="CW25" s="254" t="str">
        <f t="shared" si="41"/>
        <v xml:space="preserve"> </v>
      </c>
      <c r="CX25" s="254" t="str">
        <f t="shared" si="42"/>
        <v xml:space="preserve"> </v>
      </c>
      <c r="CY25" s="254" t="str">
        <f t="shared" si="43"/>
        <v xml:space="preserve"> </v>
      </c>
      <c r="CZ25" s="254" t="str">
        <f t="shared" si="44"/>
        <v xml:space="preserve"> </v>
      </c>
      <c r="DA25" s="254" t="str">
        <f t="shared" si="45"/>
        <v xml:space="preserve"> </v>
      </c>
      <c r="DB25" s="254" t="str">
        <f t="shared" si="46"/>
        <v xml:space="preserve"> </v>
      </c>
      <c r="DC25" s="254" t="str">
        <f t="shared" si="47"/>
        <v xml:space="preserve"> </v>
      </c>
      <c r="DD25" s="254" t="str">
        <f t="shared" si="48"/>
        <v xml:space="preserve"> </v>
      </c>
      <c r="DE25" s="254" t="str">
        <f t="shared" si="49"/>
        <v xml:space="preserve"> </v>
      </c>
      <c r="DF25" s="374" t="str">
        <f>IF($A25="N/A"," ",IF(CC=2,(IF(MONTH(A25)&gt;=4,IF(MONTH(A25)&lt;=10,Inputs!$G$13,Inputs!$G$14),Inputs!$G$14))*$CK25,0))</f>
        <v xml:space="preserve"> </v>
      </c>
      <c r="DG25" s="373" t="str">
        <f t="shared" si="50"/>
        <v xml:space="preserve"> </v>
      </c>
      <c r="DH25" s="373" t="str">
        <f t="shared" si="51"/>
        <v xml:space="preserve"> </v>
      </c>
      <c r="DI25" s="373" t="str">
        <f t="shared" si="52"/>
        <v xml:space="preserve"> </v>
      </c>
      <c r="DJ25" s="373" t="str">
        <f t="shared" si="53"/>
        <v xml:space="preserve"> </v>
      </c>
      <c r="DK25" s="373" t="str">
        <f t="shared" si="54"/>
        <v xml:space="preserve"> </v>
      </c>
      <c r="DL25" s="373" t="str">
        <f t="shared" si="55"/>
        <v xml:space="preserve"> </v>
      </c>
      <c r="DM25" s="373" t="str">
        <f t="shared" si="56"/>
        <v xml:space="preserve"> </v>
      </c>
      <c r="DN25" s="373" t="str">
        <f t="shared" si="57"/>
        <v xml:space="preserve"> </v>
      </c>
      <c r="DO25" s="373" t="str">
        <f t="shared" si="58"/>
        <v xml:space="preserve"> </v>
      </c>
      <c r="DP25" s="375" t="str">
        <f t="shared" si="59"/>
        <v xml:space="preserve"> </v>
      </c>
      <c r="DQ25" t="str">
        <f t="shared" si="96"/>
        <v xml:space="preserve"> </v>
      </c>
      <c r="HD25" t="str">
        <f t="shared" si="97"/>
        <v xml:space="preserve"> </v>
      </c>
      <c r="HE25" t="str">
        <f t="shared" si="98"/>
        <v xml:space="preserve"> </v>
      </c>
      <c r="HF25" t="str">
        <f t="shared" si="99"/>
        <v xml:space="preserve"> </v>
      </c>
    </row>
    <row r="26" spans="1:214">
      <c r="A26" s="415" t="str">
        <f>IF(A25="N/A","N/A",IF(EDATE(A25,1)&gt;Inputs!$K$3,"N/A",EDATE(A25,1)))</f>
        <v>N/A</v>
      </c>
      <c r="B26" s="410" t="str">
        <f t="shared" si="60"/>
        <v xml:space="preserve"> </v>
      </c>
      <c r="C26" s="411" t="str">
        <f t="shared" si="61"/>
        <v xml:space="preserve"> </v>
      </c>
      <c r="D26" s="412" t="str">
        <f t="shared" si="62"/>
        <v xml:space="preserve"> </v>
      </c>
      <c r="E26" s="413" t="str">
        <f>IF($A26="N/A"," ",(C26-'Pricing Inputs'!T59)*D26)</f>
        <v xml:space="preserve"> </v>
      </c>
      <c r="F26" s="414" t="str">
        <f t="shared" si="116"/>
        <v xml:space="preserve"> </v>
      </c>
      <c r="G26" s="414" t="str">
        <f t="shared" si="64"/>
        <v xml:space="preserve"> </v>
      </c>
      <c r="H26" s="416" t="str">
        <f t="shared" si="65"/>
        <v xml:space="preserve"> </v>
      </c>
      <c r="I26" s="213" t="str">
        <f t="shared" si="0"/>
        <v xml:space="preserve"> </v>
      </c>
      <c r="J26" s="213" t="str">
        <f t="shared" si="1"/>
        <v xml:space="preserve"> </v>
      </c>
      <c r="K26" s="213" t="str">
        <f t="shared" si="2"/>
        <v xml:space="preserve"> </v>
      </c>
      <c r="L26" s="213" t="str">
        <f t="shared" si="3"/>
        <v xml:space="preserve"> </v>
      </c>
      <c r="M26" s="213" t="str">
        <f t="shared" si="4"/>
        <v xml:space="preserve"> </v>
      </c>
      <c r="N26" s="213" t="str">
        <f t="shared" si="5"/>
        <v xml:space="preserve"> </v>
      </c>
      <c r="O26" s="213" t="str">
        <f t="shared" si="6"/>
        <v xml:space="preserve"> </v>
      </c>
      <c r="P26" s="213" t="str">
        <f t="shared" si="7"/>
        <v xml:space="preserve"> </v>
      </c>
      <c r="Q26" s="213" t="str">
        <f t="shared" si="8"/>
        <v xml:space="preserve"> </v>
      </c>
      <c r="R26" s="405" t="str">
        <f>IF($A26="N/A"," ",IF(Pricetype=2,MAX(I26-$H26,0),IF(Pricetype=1,(_xll.xSPRDOPT(I26,$E26,$CI26,0,($CD26+IF(Smile=TRUE,VLOOKUP(MAX(-5,$H26-I26),Volsmile,2),0)),$CG26,$CH26,($A26-DateToday)+15,1,0)),I26-$H26)))</f>
        <v xml:space="preserve"> </v>
      </c>
      <c r="S26" s="405" t="str">
        <f>IF($A26="N/A"," ",IF(Pricetype=2,MAX(J26-$H26,0),IF(Pricetype=1,(_xll.xSPRDOPT(J26,$E26,$CI26,0,($CD26+IF(Smile=TRUE,VLOOKUP(MAX(-5,$H26-J26),Volsmile,2),0)),$CG26,$CH26,($A26-DateToday)+15,1,0)),J26-$H26)))</f>
        <v xml:space="preserve"> </v>
      </c>
      <c r="T26" s="406" t="str">
        <f t="shared" si="9"/>
        <v xml:space="preserve"> </v>
      </c>
      <c r="U26" s="405" t="str">
        <f>IF($A26="N/A"," ",IF(Pricetype=2,MAX(L26-$H26,0),IF(L26&lt;&gt;0,IF(Pricetype=1,(_xll.xSPRDOPT(L26,$E26,$CI26,0,($CD26+IF(Smile=TRUE,VLOOKUP(MAX(-5,$H26-L26),Volsmile,2),0)),$CG26,$CH26,($A26-DateToday)+15,1,0)),L26-$H26),0)))</f>
        <v xml:space="preserve"> </v>
      </c>
      <c r="V26" s="405" t="str">
        <f>IF($A26="N/A"," ",IF(Pricetype=2,MAX(M26-$H26,0),IF(M26&lt;&gt;0,IF(Pricetype=1,(_xll.xSPRDOPT(M26,$E26,$CI26,0,($CD26+IF(Smile=TRUE,VLOOKUP(MAX(-5,$H26-M26),Volsmile,2),0)),$CG26,$CH26,($A26-DateToday)+15,1,0)),M26-$H26),0)))</f>
        <v xml:space="preserve"> </v>
      </c>
      <c r="W26" s="406" t="str">
        <f t="shared" si="10"/>
        <v xml:space="preserve"> </v>
      </c>
      <c r="X26" s="405" t="str">
        <f>IF($A26="N/A"," ",IF(Pricetype=2,MAX(O26-$H26,0),IF(O26&lt;&gt;0,IF(Pricetype=1,(_xll.xSPRDOPT(O26,$E26,$CI26,0,($CD26+IF(Smile=TRUE,VLOOKUP(MAX(-5,$H26-O26),Volsmile,2),0)),$CG26,$CH26,($A26-DateToday)+15,1,0)),O26-$H26),0)))</f>
        <v xml:space="preserve"> </v>
      </c>
      <c r="Y26" s="405" t="str">
        <f>IF($A26="N/A"," ",IF(Pricetype=2,MAX(P26-$H26,0),IF(P26&lt;&gt;0,IF(Pricetype=1,(_xll.xSPRDOPT(P26,$E26,$CI26,0,($CD26+IF(Smile=TRUE,VLOOKUP(MAX(-5,$H26-P26),Volsmile,2),0)),$CG26,$CH26,($A26-DateToday)+15,1,0)),P26-$H26),0)))</f>
        <v xml:space="preserve"> </v>
      </c>
      <c r="Z26" s="406" t="str">
        <f t="shared" si="11"/>
        <v xml:space="preserve"> </v>
      </c>
      <c r="AA26" s="254" t="str">
        <f>IF($A26="N/A"," ",IF(VLOOKUP(MONTH(A26),ManualTable,2)=1,(IF(0&lt;&gt;R26,IF(Pricetype=1,(_xll.xSPRDOPT(I26,$E26,$CI26,0,($CD26+IF(Smile=TRUE,VLOOKUP(MAX(-5,$H26-I26),Volsmile,2),0)),$CG26,$CH26,($A26-DateToday)+15,1,1))*(8*$HD26),8*$HD26),0)),0))</f>
        <v xml:space="preserve"> </v>
      </c>
      <c r="AB26" s="254" t="str">
        <f>IF($A26="N/A"," ",IF(VLOOKUP(MONTH(A26),ManualTable,3)=1,(IF(S26&lt;&gt;0,IF(Pricetype=1,(_xll.xSPRDOPT(J26,$E26,$CI26,0,($CD26+IF(Smile=TRUE,VLOOKUP(MAX(-5,$H26-J26),Volsmile,2),0)),$CG26,$CH26,($A26-DateToday)+15,1,1))*(8*$HD26),8*$HD26),0)),0))</f>
        <v xml:space="preserve"> </v>
      </c>
      <c r="AC26" s="254" t="str">
        <f t="shared" si="66"/>
        <v xml:space="preserve"> </v>
      </c>
      <c r="AD26" s="254" t="str">
        <f>IF($A26="N/A"," ",IF(VLOOKUP(MONTH(A26),ManualTable,5)=1,(IF(U26&lt;&gt;0,IF(Pricetype=1,(_xll.xSPRDOPT(L26,$E26,$CI26,0,($CD26+IF(Smile=TRUE,VLOOKUP(MAX(-5,$H26-L26),Volsmile,2),0)),$CG26,$CH26,($A26-DateToday)+15,1,1))*(8*$HE26),8*$HE26),0)),0))</f>
        <v xml:space="preserve"> </v>
      </c>
      <c r="AE26" s="254" t="str">
        <f>IF($A26="N/A"," ",IF(VLOOKUP(MONTH(A26),ManualTable,6)=1,(IF(V26&lt;&gt;0,IF(Pricetype=1,(_xll.xSPRDOPT(M26,$E26,$CI26,0,($CD26+IF(Smile=TRUE,VLOOKUP(MAX(-5,$H26-M26),Volsmile,2),0)),$CG26,$CH26,($A26-DateToday)+15,1,1))*(8*$HE26),8*$HE26),0)),0))</f>
        <v xml:space="preserve"> </v>
      </c>
      <c r="AF26" s="254" t="str">
        <f t="shared" si="67"/>
        <v xml:space="preserve"> </v>
      </c>
      <c r="AG26" s="254" t="str">
        <f>IF($A26="N/A"," ",IF(VLOOKUP(MONTH(A26),ManualTable,8)=1,(IF(X26&lt;&gt;0,IF(Pricetype=1,(_xll.xSPRDOPT(O26,$E26,$CI26,0,($CD26+IF(Smile=TRUE,VLOOKUP(MAX(-5,$H26-O26),Volsmile,2),0)),$CG26,$CH26,($A26-DateToday)+15,1,1))*(8*$HF26),8*$HF26),0)),0))</f>
        <v xml:space="preserve"> </v>
      </c>
      <c r="AH26" s="254" t="str">
        <f>IF($A26="N/A"," ",IF(VLOOKUP(MONTH(A26),ManualTable,9)=1,(IF(Y26&lt;&gt;0,IF(Pricetype=1,(_xll.xSPRDOPT(P26,$E26,$CI26,0,($CD26+IF(Smile=TRUE,VLOOKUP(MAX(-5,$H26-P26),Volsmile,2),0)),$CG26,$CH26,($A26-DateToday)+15,1,1))*(8*$HF26),8*$HF26),0)),0))</f>
        <v xml:space="preserve"> </v>
      </c>
      <c r="AI26" s="254" t="str">
        <f t="shared" si="68"/>
        <v xml:space="preserve"> </v>
      </c>
      <c r="AJ26" s="227" t="str">
        <f t="shared" si="117"/>
        <v xml:space="preserve"> </v>
      </c>
      <c r="AK26" s="228" t="str">
        <f t="shared" si="100"/>
        <v xml:space="preserve"> </v>
      </c>
      <c r="AL26" s="228" t="str">
        <f t="shared" si="100"/>
        <v xml:space="preserve"> </v>
      </c>
      <c r="AM26" s="228" t="str">
        <f t="shared" si="118"/>
        <v xml:space="preserve"> </v>
      </c>
      <c r="AN26" s="228" t="str">
        <f t="shared" si="119"/>
        <v xml:space="preserve"> </v>
      </c>
      <c r="AO26" s="228" t="str">
        <f t="shared" si="119"/>
        <v xml:space="preserve"> </v>
      </c>
      <c r="AP26" s="228" t="str">
        <f t="shared" si="120"/>
        <v xml:space="preserve"> </v>
      </c>
      <c r="AQ26" s="228" t="str">
        <f t="shared" si="121"/>
        <v xml:space="preserve"> </v>
      </c>
      <c r="AR26" s="229" t="str">
        <f t="shared" si="122"/>
        <v xml:space="preserve"> </v>
      </c>
      <c r="AS26" s="262" t="str">
        <f t="shared" si="102"/>
        <v xml:space="preserve"> </v>
      </c>
      <c r="AT26" s="263" t="str">
        <f t="shared" si="103"/>
        <v xml:space="preserve"> </v>
      </c>
      <c r="AU26" s="263" t="str">
        <f t="shared" si="103"/>
        <v xml:space="preserve"> </v>
      </c>
      <c r="AV26" s="263" t="str">
        <f t="shared" si="104"/>
        <v xml:space="preserve"> </v>
      </c>
      <c r="AW26" s="263" t="str">
        <f t="shared" si="105"/>
        <v xml:space="preserve"> </v>
      </c>
      <c r="AX26" s="263" t="str">
        <f t="shared" si="105"/>
        <v xml:space="preserve"> </v>
      </c>
      <c r="AY26" s="263" t="str">
        <f t="shared" si="106"/>
        <v xml:space="preserve"> </v>
      </c>
      <c r="AZ26" s="263" t="str">
        <f t="shared" si="107"/>
        <v xml:space="preserve"> </v>
      </c>
      <c r="BA26" s="263" t="str">
        <f t="shared" si="108"/>
        <v xml:space="preserve"> </v>
      </c>
      <c r="BB26" s="228">
        <f>SUM(AS16:BA27)</f>
        <v>0</v>
      </c>
      <c r="BC26" s="266" t="str">
        <f t="shared" si="109"/>
        <v xml:space="preserve"> </v>
      </c>
      <c r="BD26" s="269" t="str">
        <f t="shared" si="110"/>
        <v xml:space="preserve"> </v>
      </c>
      <c r="BE26" s="269" t="str">
        <f t="shared" si="110"/>
        <v xml:space="preserve"> </v>
      </c>
      <c r="BF26" s="269" t="str">
        <f t="shared" si="111"/>
        <v xml:space="preserve"> </v>
      </c>
      <c r="BG26" s="269" t="str">
        <f t="shared" si="112"/>
        <v xml:space="preserve"> </v>
      </c>
      <c r="BH26" s="269" t="str">
        <f t="shared" si="112"/>
        <v xml:space="preserve"> </v>
      </c>
      <c r="BI26" s="269" t="str">
        <f t="shared" si="113"/>
        <v xml:space="preserve"> </v>
      </c>
      <c r="BJ26" s="269" t="str">
        <f t="shared" si="114"/>
        <v xml:space="preserve"> </v>
      </c>
      <c r="BK26" s="269" t="str">
        <f t="shared" si="115"/>
        <v xml:space="preserve"> </v>
      </c>
      <c r="BL26" s="229">
        <f>SUM(BC16:BK27)</f>
        <v>0</v>
      </c>
      <c r="BM26" s="220" t="str">
        <f>IF($A26="N/A"," ",(IF(MONTH(A26)&gt;=4,IF(MONTH(A26)&lt;=10,Inputs!$F$13-Inputs!$G$13,Inputs!$F$14-Inputs!$G$14),Inputs!$F$14-Inputs!$G$14))*$CK26*Availability)</f>
        <v xml:space="preserve"> </v>
      </c>
      <c r="BN26" s="221" t="str">
        <f t="shared" si="79"/>
        <v xml:space="preserve"> </v>
      </c>
      <c r="BO26" s="221" t="str">
        <f t="shared" si="80"/>
        <v xml:space="preserve"> </v>
      </c>
      <c r="BP26" s="221" t="str">
        <f t="shared" si="81"/>
        <v xml:space="preserve"> </v>
      </c>
      <c r="BQ26" s="221" t="str">
        <f t="shared" si="82"/>
        <v xml:space="preserve"> </v>
      </c>
      <c r="BR26" s="221" t="str">
        <f t="shared" si="83"/>
        <v xml:space="preserve"> </v>
      </c>
      <c r="BS26" s="221" t="str">
        <f t="shared" si="84"/>
        <v xml:space="preserve"> </v>
      </c>
      <c r="BT26" s="221" t="str">
        <f t="shared" si="85"/>
        <v xml:space="preserve"> </v>
      </c>
      <c r="BU26" s="221" t="str">
        <f t="shared" si="86"/>
        <v xml:space="preserve"> </v>
      </c>
      <c r="BV26" s="221" t="str">
        <f t="shared" si="87"/>
        <v xml:space="preserve"> </v>
      </c>
      <c r="BW26" s="221" t="str">
        <f t="shared" si="88"/>
        <v xml:space="preserve"> </v>
      </c>
      <c r="BX26" s="421" t="str">
        <f t="shared" si="89"/>
        <v xml:space="preserve"> </v>
      </c>
      <c r="BY26" s="417" t="str">
        <f t="shared" si="90"/>
        <v xml:space="preserve"> </v>
      </c>
      <c r="BZ26" s="417" t="str">
        <f t="shared" si="91"/>
        <v xml:space="preserve"> </v>
      </c>
      <c r="CA26" s="422" t="str">
        <f t="shared" si="92"/>
        <v xml:space="preserve"> </v>
      </c>
      <c r="CB26" s="347" t="str">
        <f t="shared" si="25"/>
        <v xml:space="preserve"> </v>
      </c>
      <c r="CC26" s="347" t="str">
        <f t="shared" si="93"/>
        <v xml:space="preserve"> </v>
      </c>
      <c r="CD26" s="348" t="str">
        <f t="shared" si="26"/>
        <v xml:space="preserve"> </v>
      </c>
      <c r="CE26" s="347" t="str">
        <f t="shared" si="27"/>
        <v xml:space="preserve"> </v>
      </c>
      <c r="CF26" s="347" t="str">
        <f t="shared" si="28"/>
        <v xml:space="preserve"> </v>
      </c>
      <c r="CG26" s="348" t="str">
        <f t="shared" si="29"/>
        <v xml:space="preserve"> </v>
      </c>
      <c r="CH26" s="347" t="str">
        <f t="shared" si="94"/>
        <v xml:space="preserve"> </v>
      </c>
      <c r="CI26" s="349" t="str">
        <f>IF($A26="N/A"," ",F26+G26+(D26*('Pricing Inputs'!T59)))</f>
        <v xml:space="preserve"> </v>
      </c>
      <c r="CJ26" s="347" t="str">
        <f>IF($A26="N/A"," ",IF(PV=1,0,'Pricing Inputs'!U59))</f>
        <v xml:space="preserve"> </v>
      </c>
      <c r="CK26" s="350" t="str">
        <f t="shared" si="30"/>
        <v xml:space="preserve"> </v>
      </c>
      <c r="CL26" s="365" t="str">
        <f t="shared" si="31"/>
        <v xml:space="preserve"> </v>
      </c>
      <c r="CM26" s="380" t="str">
        <f t="shared" si="95"/>
        <v xml:space="preserve"> </v>
      </c>
      <c r="CN26" s="378" t="str">
        <f t="shared" si="32"/>
        <v xml:space="preserve"> </v>
      </c>
      <c r="CO26" s="378" t="str">
        <f t="shared" si="33"/>
        <v xml:space="preserve"> </v>
      </c>
      <c r="CP26" s="378" t="str">
        <f t="shared" si="34"/>
        <v xml:space="preserve"> </v>
      </c>
      <c r="CQ26" s="378" t="str">
        <f t="shared" si="35"/>
        <v xml:space="preserve"> </v>
      </c>
      <c r="CR26" s="378" t="str">
        <f t="shared" si="36"/>
        <v xml:space="preserve"> </v>
      </c>
      <c r="CS26" s="378" t="str">
        <f t="shared" si="37"/>
        <v xml:space="preserve"> </v>
      </c>
      <c r="CT26" s="378" t="str">
        <f t="shared" si="38"/>
        <v xml:space="preserve"> </v>
      </c>
      <c r="CU26" s="378" t="str">
        <f t="shared" si="39"/>
        <v xml:space="preserve"> </v>
      </c>
      <c r="CV26" s="378" t="str">
        <f t="shared" si="40"/>
        <v xml:space="preserve"> </v>
      </c>
      <c r="CW26" s="254" t="str">
        <f t="shared" si="41"/>
        <v xml:space="preserve"> </v>
      </c>
      <c r="CX26" s="254" t="str">
        <f t="shared" si="42"/>
        <v xml:space="preserve"> </v>
      </c>
      <c r="CY26" s="254" t="str">
        <f t="shared" si="43"/>
        <v xml:space="preserve"> </v>
      </c>
      <c r="CZ26" s="254" t="str">
        <f t="shared" si="44"/>
        <v xml:space="preserve"> </v>
      </c>
      <c r="DA26" s="254" t="str">
        <f t="shared" si="45"/>
        <v xml:space="preserve"> </v>
      </c>
      <c r="DB26" s="254" t="str">
        <f t="shared" si="46"/>
        <v xml:space="preserve"> </v>
      </c>
      <c r="DC26" s="254" t="str">
        <f t="shared" si="47"/>
        <v xml:space="preserve"> </v>
      </c>
      <c r="DD26" s="254" t="str">
        <f t="shared" si="48"/>
        <v xml:space="preserve"> </v>
      </c>
      <c r="DE26" s="254" t="str">
        <f t="shared" si="49"/>
        <v xml:space="preserve"> </v>
      </c>
      <c r="DF26" s="374" t="str">
        <f>IF($A26="N/A"," ",IF(CC=2,(IF(MONTH(A26)&gt;=4,IF(MONTH(A26)&lt;=10,Inputs!$G$13,Inputs!$G$14),Inputs!$G$14))*$CK26,0))</f>
        <v xml:space="preserve"> </v>
      </c>
      <c r="DG26" s="373" t="str">
        <f t="shared" si="50"/>
        <v xml:space="preserve"> </v>
      </c>
      <c r="DH26" s="373" t="str">
        <f t="shared" si="51"/>
        <v xml:space="preserve"> </v>
      </c>
      <c r="DI26" s="373" t="str">
        <f t="shared" si="52"/>
        <v xml:space="preserve"> </v>
      </c>
      <c r="DJ26" s="373" t="str">
        <f t="shared" si="53"/>
        <v xml:space="preserve"> </v>
      </c>
      <c r="DK26" s="373" t="str">
        <f t="shared" si="54"/>
        <v xml:space="preserve"> </v>
      </c>
      <c r="DL26" s="373" t="str">
        <f t="shared" si="55"/>
        <v xml:space="preserve"> </v>
      </c>
      <c r="DM26" s="373" t="str">
        <f t="shared" si="56"/>
        <v xml:space="preserve"> </v>
      </c>
      <c r="DN26" s="373" t="str">
        <f t="shared" si="57"/>
        <v xml:space="preserve"> </v>
      </c>
      <c r="DO26" s="373" t="str">
        <f t="shared" si="58"/>
        <v xml:space="preserve"> </v>
      </c>
      <c r="DP26" s="375" t="str">
        <f t="shared" si="59"/>
        <v xml:space="preserve"> </v>
      </c>
      <c r="DQ26" t="str">
        <f t="shared" si="96"/>
        <v xml:space="preserve"> </v>
      </c>
      <c r="HD26" t="str">
        <f t="shared" si="97"/>
        <v xml:space="preserve"> </v>
      </c>
      <c r="HE26" t="str">
        <f t="shared" si="98"/>
        <v xml:space="preserve"> </v>
      </c>
      <c r="HF26" t="str">
        <f t="shared" si="99"/>
        <v xml:space="preserve"> </v>
      </c>
    </row>
    <row r="27" spans="1:214">
      <c r="A27" s="415" t="str">
        <f>IF(A26="N/A","N/A",IF(EDATE(A26,1)&gt;Inputs!$K$3,"N/A",EDATE(A26,1)))</f>
        <v>N/A</v>
      </c>
      <c r="B27" s="410" t="str">
        <f t="shared" si="60"/>
        <v xml:space="preserve"> </v>
      </c>
      <c r="C27" s="411" t="str">
        <f t="shared" si="61"/>
        <v xml:space="preserve"> </v>
      </c>
      <c r="D27" s="412" t="str">
        <f t="shared" si="62"/>
        <v xml:space="preserve"> </v>
      </c>
      <c r="E27" s="413" t="str">
        <f>IF($A27="N/A"," ",(C27-'Pricing Inputs'!T60)*D27)</f>
        <v xml:space="preserve"> </v>
      </c>
      <c r="F27" s="414" t="str">
        <f t="shared" si="116"/>
        <v xml:space="preserve"> </v>
      </c>
      <c r="G27" s="414" t="str">
        <f t="shared" si="64"/>
        <v xml:space="preserve"> </v>
      </c>
      <c r="H27" s="416" t="str">
        <f t="shared" si="65"/>
        <v xml:space="preserve"> </v>
      </c>
      <c r="I27" s="213" t="str">
        <f t="shared" si="0"/>
        <v xml:space="preserve"> </v>
      </c>
      <c r="J27" s="213" t="str">
        <f t="shared" si="1"/>
        <v xml:space="preserve"> </v>
      </c>
      <c r="K27" s="213" t="str">
        <f t="shared" si="2"/>
        <v xml:space="preserve"> </v>
      </c>
      <c r="L27" s="213" t="str">
        <f t="shared" si="3"/>
        <v xml:space="preserve"> </v>
      </c>
      <c r="M27" s="213" t="str">
        <f t="shared" si="4"/>
        <v xml:space="preserve"> </v>
      </c>
      <c r="N27" s="213" t="str">
        <f t="shared" si="5"/>
        <v xml:space="preserve"> </v>
      </c>
      <c r="O27" s="213" t="str">
        <f t="shared" si="6"/>
        <v xml:space="preserve"> </v>
      </c>
      <c r="P27" s="213" t="str">
        <f t="shared" si="7"/>
        <v xml:space="preserve"> </v>
      </c>
      <c r="Q27" s="213" t="str">
        <f t="shared" si="8"/>
        <v xml:space="preserve"> </v>
      </c>
      <c r="R27" s="405" t="str">
        <f>IF($A27="N/A"," ",IF(Pricetype=2,MAX(I27-$H27,0),IF(Pricetype=1,(_xll.xSPRDOPT(I27,$E27,$CI27,0,($CD27+IF(Smile=TRUE,VLOOKUP(MAX(-5,$H27-I27),Volsmile,2),0)),$CG27,$CH27,($A27-DateToday)+15,1,0)),I27-$H27)))</f>
        <v xml:space="preserve"> </v>
      </c>
      <c r="S27" s="405" t="str">
        <f>IF($A27="N/A"," ",IF(Pricetype=2,MAX(J27-$H27,0),IF(Pricetype=1,(_xll.xSPRDOPT(J27,$E27,$CI27,0,($CD27+IF(Smile=TRUE,VLOOKUP(MAX(-5,$H27-J27),Volsmile,2),0)),$CG27,$CH27,($A27-DateToday)+15,1,0)),J27-$H27)))</f>
        <v xml:space="preserve"> </v>
      </c>
      <c r="T27" s="406" t="str">
        <f t="shared" si="9"/>
        <v xml:space="preserve"> </v>
      </c>
      <c r="U27" s="405" t="str">
        <f>IF($A27="N/A"," ",IF(Pricetype=2,MAX(L27-$H27,0),IF(L27&lt;&gt;0,IF(Pricetype=1,(_xll.xSPRDOPT(L27,$E27,$CI27,0,($CD27+IF(Smile=TRUE,VLOOKUP(MAX(-5,$H27-L27),Volsmile,2),0)),$CG27,$CH27,($A27-DateToday)+15,1,0)),L27-$H27),0)))</f>
        <v xml:space="preserve"> </v>
      </c>
      <c r="V27" s="405" t="str">
        <f>IF($A27="N/A"," ",IF(Pricetype=2,MAX(M27-$H27,0),IF(M27&lt;&gt;0,IF(Pricetype=1,(_xll.xSPRDOPT(M27,$E27,$CI27,0,($CD27+IF(Smile=TRUE,VLOOKUP(MAX(-5,$H27-M27),Volsmile,2),0)),$CG27,$CH27,($A27-DateToday)+15,1,0)),M27-$H27),0)))</f>
        <v xml:space="preserve"> </v>
      </c>
      <c r="W27" s="406" t="str">
        <f t="shared" si="10"/>
        <v xml:space="preserve"> </v>
      </c>
      <c r="X27" s="405" t="str">
        <f>IF($A27="N/A"," ",IF(Pricetype=2,MAX(O27-$H27,0),IF(O27&lt;&gt;0,IF(Pricetype=1,(_xll.xSPRDOPT(O27,$E27,$CI27,0,($CD27+IF(Smile=TRUE,VLOOKUP(MAX(-5,$H27-O27),Volsmile,2),0)),$CG27,$CH27,($A27-DateToday)+15,1,0)),O27-$H27),0)))</f>
        <v xml:space="preserve"> </v>
      </c>
      <c r="Y27" s="405" t="str">
        <f>IF($A27="N/A"," ",IF(Pricetype=2,MAX(P27-$H27,0),IF(P27&lt;&gt;0,IF(Pricetype=1,(_xll.xSPRDOPT(P27,$E27,$CI27,0,($CD27+IF(Smile=TRUE,VLOOKUP(MAX(-5,$H27-P27),Volsmile,2),0)),$CG27,$CH27,($A27-DateToday)+15,1,0)),P27-$H27),0)))</f>
        <v xml:space="preserve"> </v>
      </c>
      <c r="Z27" s="406" t="str">
        <f t="shared" si="11"/>
        <v xml:space="preserve"> </v>
      </c>
      <c r="AA27" s="254" t="str">
        <f>IF($A27="N/A"," ",IF(VLOOKUP(MONTH(A27),ManualTable,2)=1,(IF(0&lt;&gt;R27,IF(Pricetype=1,(_xll.xSPRDOPT(I27,$E27,$CI27,0,($CD27+IF(Smile=TRUE,VLOOKUP(MAX(-5,$H27-I27),Volsmile,2),0)),$CG27,$CH27,($A27-DateToday)+15,1,1))*(8*$HD27),8*$HD27),0)),0))</f>
        <v xml:space="preserve"> </v>
      </c>
      <c r="AB27" s="254" t="str">
        <f>IF($A27="N/A"," ",IF(VLOOKUP(MONTH(A27),ManualTable,3)=1,(IF(S27&lt;&gt;0,IF(Pricetype=1,(_xll.xSPRDOPT(J27,$E27,$CI27,0,($CD27+IF(Smile=TRUE,VLOOKUP(MAX(-5,$H27-J27),Volsmile,2),0)),$CG27,$CH27,($A27-DateToday)+15,1,1))*(8*$HD27),8*$HD27),0)),0))</f>
        <v xml:space="preserve"> </v>
      </c>
      <c r="AC27" s="254" t="str">
        <f t="shared" si="66"/>
        <v xml:space="preserve"> </v>
      </c>
      <c r="AD27" s="254" t="str">
        <f>IF($A27="N/A"," ",IF(VLOOKUP(MONTH(A27),ManualTable,5)=1,(IF(U27&lt;&gt;0,IF(Pricetype=1,(_xll.xSPRDOPT(L27,$E27,$CI27,0,($CD27+IF(Smile=TRUE,VLOOKUP(MAX(-5,$H27-L27),Volsmile,2),0)),$CG27,$CH27,($A27-DateToday)+15,1,1))*(8*$HE27),8*$HE27),0)),0))</f>
        <v xml:space="preserve"> </v>
      </c>
      <c r="AE27" s="254" t="str">
        <f>IF($A27="N/A"," ",IF(VLOOKUP(MONTH(A27),ManualTable,6)=1,(IF(V27&lt;&gt;0,IF(Pricetype=1,(_xll.xSPRDOPT(M27,$E27,$CI27,0,($CD27+IF(Smile=TRUE,VLOOKUP(MAX(-5,$H27-M27),Volsmile,2),0)),$CG27,$CH27,($A27-DateToday)+15,1,1))*(8*$HE27),8*$HE27),0)),0))</f>
        <v xml:space="preserve"> </v>
      </c>
      <c r="AF27" s="254" t="str">
        <f t="shared" si="67"/>
        <v xml:space="preserve"> </v>
      </c>
      <c r="AG27" s="254" t="str">
        <f>IF($A27="N/A"," ",IF(VLOOKUP(MONTH(A27),ManualTable,8)=1,(IF(X27&lt;&gt;0,IF(Pricetype=1,(_xll.xSPRDOPT(O27,$E27,$CI27,0,($CD27+IF(Smile=TRUE,VLOOKUP(MAX(-5,$H27-O27),Volsmile,2),0)),$CG27,$CH27,($A27-DateToday)+15,1,1))*(8*$HF27),8*$HF27),0)),0))</f>
        <v xml:space="preserve"> </v>
      </c>
      <c r="AH27" s="254" t="str">
        <f>IF($A27="N/A"," ",IF(VLOOKUP(MONTH(A27),ManualTable,9)=1,(IF(Y27&lt;&gt;0,IF(Pricetype=1,(_xll.xSPRDOPT(P27,$E27,$CI27,0,($CD27+IF(Smile=TRUE,VLOOKUP(MAX(-5,$H27-P27),Volsmile,2),0)),$CG27,$CH27,($A27-DateToday)+15,1,1))*(8*$HF27),8*$HF27),0)),0))</f>
        <v xml:space="preserve"> </v>
      </c>
      <c r="AI27" s="254" t="str">
        <f t="shared" si="68"/>
        <v xml:space="preserve"> </v>
      </c>
      <c r="AJ27" s="230" t="str">
        <f t="shared" si="117"/>
        <v xml:space="preserve"> </v>
      </c>
      <c r="AK27" s="231" t="str">
        <f t="shared" si="100"/>
        <v xml:space="preserve"> </v>
      </c>
      <c r="AL27" s="231" t="str">
        <f t="shared" si="100"/>
        <v xml:space="preserve"> </v>
      </c>
      <c r="AM27" s="231" t="str">
        <f t="shared" si="118"/>
        <v xml:space="preserve"> </v>
      </c>
      <c r="AN27" s="231" t="str">
        <f t="shared" si="119"/>
        <v xml:space="preserve"> </v>
      </c>
      <c r="AO27" s="228" t="str">
        <f t="shared" si="119"/>
        <v xml:space="preserve"> </v>
      </c>
      <c r="AP27" s="231" t="str">
        <f t="shared" si="120"/>
        <v xml:space="preserve"> </v>
      </c>
      <c r="AQ27" s="231" t="str">
        <f t="shared" si="121"/>
        <v xml:space="preserve"> </v>
      </c>
      <c r="AR27" s="232" t="str">
        <f t="shared" si="122"/>
        <v xml:space="preserve"> </v>
      </c>
      <c r="AS27" s="264" t="str">
        <f t="shared" si="102"/>
        <v xml:space="preserve"> </v>
      </c>
      <c r="AT27" s="265" t="str">
        <f t="shared" si="103"/>
        <v xml:space="preserve"> </v>
      </c>
      <c r="AU27" s="265" t="str">
        <f t="shared" si="103"/>
        <v xml:space="preserve"> </v>
      </c>
      <c r="AV27" s="265" t="str">
        <f t="shared" si="104"/>
        <v xml:space="preserve"> </v>
      </c>
      <c r="AW27" s="265" t="str">
        <f t="shared" si="105"/>
        <v xml:space="preserve"> </v>
      </c>
      <c r="AX27" s="265" t="str">
        <f t="shared" si="105"/>
        <v xml:space="preserve"> </v>
      </c>
      <c r="AY27" s="265" t="str">
        <f t="shared" si="106"/>
        <v xml:space="preserve"> </v>
      </c>
      <c r="AZ27" s="265" t="str">
        <f t="shared" si="107"/>
        <v xml:space="preserve"> </v>
      </c>
      <c r="BA27" s="265" t="str">
        <f t="shared" si="108"/>
        <v xml:space="preserve"> </v>
      </c>
      <c r="BB27" s="232">
        <f>IF(($AZ$2-BB26)&gt;=0,$AZ$2-BB26,0)</f>
        <v>980</v>
      </c>
      <c r="BC27" s="270" t="str">
        <f t="shared" si="109"/>
        <v xml:space="preserve"> </v>
      </c>
      <c r="BD27" s="271" t="str">
        <f t="shared" si="110"/>
        <v xml:space="preserve"> </v>
      </c>
      <c r="BE27" s="269" t="str">
        <f t="shared" si="110"/>
        <v xml:space="preserve"> </v>
      </c>
      <c r="BF27" s="271" t="str">
        <f t="shared" si="111"/>
        <v xml:space="preserve"> </v>
      </c>
      <c r="BG27" s="271" t="str">
        <f t="shared" si="112"/>
        <v xml:space="preserve"> </v>
      </c>
      <c r="BH27" s="269" t="str">
        <f t="shared" si="112"/>
        <v xml:space="preserve"> </v>
      </c>
      <c r="BI27" s="271" t="str">
        <f t="shared" si="113"/>
        <v xml:space="preserve"> </v>
      </c>
      <c r="BJ27" s="271" t="str">
        <f t="shared" si="114"/>
        <v xml:space="preserve"> </v>
      </c>
      <c r="BK27" s="271" t="str">
        <f t="shared" si="115"/>
        <v xml:space="preserve"> </v>
      </c>
      <c r="BL27" s="235">
        <f>BB26+BL26</f>
        <v>0</v>
      </c>
      <c r="BM27" s="220" t="str">
        <f>IF($A27="N/A"," ",(IF(MONTH(A27)&gt;=4,IF(MONTH(A27)&lt;=10,Inputs!$F$13-Inputs!$G$13,Inputs!$F$14-Inputs!$G$14),Inputs!$F$14-Inputs!$G$14))*$CK27*Availability)</f>
        <v xml:space="preserve"> </v>
      </c>
      <c r="BN27" s="221" t="str">
        <f t="shared" si="79"/>
        <v xml:space="preserve"> </v>
      </c>
      <c r="BO27" s="221" t="str">
        <f t="shared" si="80"/>
        <v xml:space="preserve"> </v>
      </c>
      <c r="BP27" s="221" t="str">
        <f t="shared" si="81"/>
        <v xml:space="preserve"> </v>
      </c>
      <c r="BQ27" s="221" t="str">
        <f t="shared" si="82"/>
        <v xml:space="preserve"> </v>
      </c>
      <c r="BR27" s="221" t="str">
        <f t="shared" si="83"/>
        <v xml:space="preserve"> </v>
      </c>
      <c r="BS27" s="221" t="str">
        <f t="shared" si="84"/>
        <v xml:space="preserve"> </v>
      </c>
      <c r="BT27" s="221" t="str">
        <f t="shared" si="85"/>
        <v xml:space="preserve"> </v>
      </c>
      <c r="BU27" s="221" t="str">
        <f t="shared" si="86"/>
        <v xml:space="preserve"> </v>
      </c>
      <c r="BV27" s="221" t="str">
        <f t="shared" si="87"/>
        <v xml:space="preserve"> </v>
      </c>
      <c r="BW27" s="221" t="str">
        <f t="shared" si="88"/>
        <v xml:space="preserve"> </v>
      </c>
      <c r="BX27" s="421" t="str">
        <f t="shared" si="89"/>
        <v xml:space="preserve"> </v>
      </c>
      <c r="BY27" s="417" t="str">
        <f t="shared" si="90"/>
        <v xml:space="preserve"> </v>
      </c>
      <c r="BZ27" s="417" t="str">
        <f t="shared" si="91"/>
        <v xml:space="preserve"> </v>
      </c>
      <c r="CA27" s="422" t="str">
        <f t="shared" si="92"/>
        <v xml:space="preserve"> </v>
      </c>
      <c r="CB27" s="347" t="str">
        <f t="shared" si="25"/>
        <v xml:space="preserve"> </v>
      </c>
      <c r="CC27" s="347" t="str">
        <f t="shared" si="93"/>
        <v xml:space="preserve"> </v>
      </c>
      <c r="CD27" s="348" t="str">
        <f t="shared" si="26"/>
        <v xml:space="preserve"> </v>
      </c>
      <c r="CE27" s="347" t="str">
        <f t="shared" si="27"/>
        <v xml:space="preserve"> </v>
      </c>
      <c r="CF27" s="347" t="str">
        <f t="shared" si="28"/>
        <v xml:space="preserve"> </v>
      </c>
      <c r="CG27" s="348" t="str">
        <f t="shared" si="29"/>
        <v xml:space="preserve"> </v>
      </c>
      <c r="CH27" s="347" t="str">
        <f t="shared" si="94"/>
        <v xml:space="preserve"> </v>
      </c>
      <c r="CI27" s="349" t="str">
        <f>IF($A27="N/A"," ",F27+G27+(D27*('Pricing Inputs'!T60)))</f>
        <v xml:space="preserve"> </v>
      </c>
      <c r="CJ27" s="347" t="str">
        <f>IF($A27="N/A"," ",IF(PV=1,0,'Pricing Inputs'!U60))</f>
        <v xml:space="preserve"> </v>
      </c>
      <c r="CK27" s="350" t="str">
        <f t="shared" si="30"/>
        <v xml:space="preserve"> </v>
      </c>
      <c r="CL27" s="365" t="str">
        <f t="shared" si="31"/>
        <v xml:space="preserve"> </v>
      </c>
      <c r="CM27" s="380" t="str">
        <f t="shared" si="95"/>
        <v xml:space="preserve"> </v>
      </c>
      <c r="CN27" s="378" t="str">
        <f t="shared" si="32"/>
        <v xml:space="preserve"> </v>
      </c>
      <c r="CO27" s="378" t="str">
        <f t="shared" si="33"/>
        <v xml:space="preserve"> </v>
      </c>
      <c r="CP27" s="378" t="str">
        <f t="shared" si="34"/>
        <v xml:space="preserve"> </v>
      </c>
      <c r="CQ27" s="378" t="str">
        <f t="shared" si="35"/>
        <v xml:space="preserve"> </v>
      </c>
      <c r="CR27" s="378" t="str">
        <f t="shared" si="36"/>
        <v xml:space="preserve"> </v>
      </c>
      <c r="CS27" s="378" t="str">
        <f t="shared" si="37"/>
        <v xml:space="preserve"> </v>
      </c>
      <c r="CT27" s="378" t="str">
        <f t="shared" si="38"/>
        <v xml:space="preserve"> </v>
      </c>
      <c r="CU27" s="378" t="str">
        <f t="shared" si="39"/>
        <v xml:space="preserve"> </v>
      </c>
      <c r="CV27" s="378" t="str">
        <f t="shared" si="40"/>
        <v xml:space="preserve"> </v>
      </c>
      <c r="CW27" s="254" t="str">
        <f t="shared" si="41"/>
        <v xml:space="preserve"> </v>
      </c>
      <c r="CX27" s="254" t="str">
        <f t="shared" si="42"/>
        <v xml:space="preserve"> </v>
      </c>
      <c r="CY27" s="254" t="str">
        <f t="shared" si="43"/>
        <v xml:space="preserve"> </v>
      </c>
      <c r="CZ27" s="254" t="str">
        <f t="shared" si="44"/>
        <v xml:space="preserve"> </v>
      </c>
      <c r="DA27" s="254" t="str">
        <f t="shared" si="45"/>
        <v xml:space="preserve"> </v>
      </c>
      <c r="DB27" s="254" t="str">
        <f t="shared" si="46"/>
        <v xml:space="preserve"> </v>
      </c>
      <c r="DC27" s="254" t="str">
        <f t="shared" si="47"/>
        <v xml:space="preserve"> </v>
      </c>
      <c r="DD27" s="254" t="str">
        <f t="shared" si="48"/>
        <v xml:space="preserve"> </v>
      </c>
      <c r="DE27" s="254" t="str">
        <f t="shared" si="49"/>
        <v xml:space="preserve"> </v>
      </c>
      <c r="DF27" s="374" t="str">
        <f>IF($A27="N/A"," ",IF(CC=2,(IF(MONTH(A27)&gt;=4,IF(MONTH(A27)&lt;=10,Inputs!$G$13,Inputs!$G$14),Inputs!$G$14))*$CK27,0))</f>
        <v xml:space="preserve"> </v>
      </c>
      <c r="DG27" s="373" t="str">
        <f t="shared" si="50"/>
        <v xml:space="preserve"> </v>
      </c>
      <c r="DH27" s="373" t="str">
        <f t="shared" si="51"/>
        <v xml:space="preserve"> </v>
      </c>
      <c r="DI27" s="373" t="str">
        <f t="shared" si="52"/>
        <v xml:space="preserve"> </v>
      </c>
      <c r="DJ27" s="373" t="str">
        <f t="shared" si="53"/>
        <v xml:space="preserve"> </v>
      </c>
      <c r="DK27" s="373" t="str">
        <f t="shared" si="54"/>
        <v xml:space="preserve"> </v>
      </c>
      <c r="DL27" s="373" t="str">
        <f t="shared" si="55"/>
        <v xml:space="preserve"> </v>
      </c>
      <c r="DM27" s="373" t="str">
        <f t="shared" si="56"/>
        <v xml:space="preserve"> </v>
      </c>
      <c r="DN27" s="373" t="str">
        <f t="shared" si="57"/>
        <v xml:space="preserve"> </v>
      </c>
      <c r="DO27" s="373" t="str">
        <f t="shared" si="58"/>
        <v xml:space="preserve"> </v>
      </c>
      <c r="DP27" s="375" t="str">
        <f t="shared" si="59"/>
        <v xml:space="preserve"> </v>
      </c>
      <c r="DQ27" t="str">
        <f t="shared" si="96"/>
        <v xml:space="preserve"> </v>
      </c>
      <c r="HD27" t="str">
        <f t="shared" si="97"/>
        <v xml:space="preserve"> </v>
      </c>
      <c r="HE27" t="str">
        <f t="shared" si="98"/>
        <v xml:space="preserve"> </v>
      </c>
      <c r="HF27" t="str">
        <f t="shared" si="99"/>
        <v xml:space="preserve"> </v>
      </c>
    </row>
    <row r="28" spans="1:214">
      <c r="A28" s="415" t="str">
        <f>IF(A27="N/A","N/A",IF(EDATE(A27,1)&gt;Inputs!$K$3,"N/A",EDATE(A27,1)))</f>
        <v>N/A</v>
      </c>
      <c r="B28" s="410" t="str">
        <f t="shared" si="60"/>
        <v xml:space="preserve"> </v>
      </c>
      <c r="C28" s="411" t="str">
        <f t="shared" si="61"/>
        <v xml:space="preserve"> </v>
      </c>
      <c r="D28" s="412" t="str">
        <f t="shared" si="62"/>
        <v xml:space="preserve"> </v>
      </c>
      <c r="E28" s="413" t="str">
        <f>IF($A28="N/A"," ",(C28-'Pricing Inputs'!T61)*D28)</f>
        <v xml:space="preserve"> </v>
      </c>
      <c r="F28" s="414" t="str">
        <f t="shared" si="116"/>
        <v xml:space="preserve"> </v>
      </c>
      <c r="G28" s="414" t="str">
        <f t="shared" si="64"/>
        <v xml:space="preserve"> </v>
      </c>
      <c r="H28" s="416" t="str">
        <f t="shared" si="65"/>
        <v xml:space="preserve"> </v>
      </c>
      <c r="I28" s="213" t="str">
        <f t="shared" si="0"/>
        <v xml:space="preserve"> </v>
      </c>
      <c r="J28" s="213" t="str">
        <f t="shared" si="1"/>
        <v xml:space="preserve"> </v>
      </c>
      <c r="K28" s="213" t="str">
        <f t="shared" si="2"/>
        <v xml:space="preserve"> </v>
      </c>
      <c r="L28" s="213" t="str">
        <f t="shared" si="3"/>
        <v xml:space="preserve"> </v>
      </c>
      <c r="M28" s="213" t="str">
        <f t="shared" si="4"/>
        <v xml:space="preserve"> </v>
      </c>
      <c r="N28" s="213" t="str">
        <f t="shared" si="5"/>
        <v xml:space="preserve"> </v>
      </c>
      <c r="O28" s="213" t="str">
        <f t="shared" si="6"/>
        <v xml:space="preserve"> </v>
      </c>
      <c r="P28" s="213" t="str">
        <f t="shared" si="7"/>
        <v xml:space="preserve"> </v>
      </c>
      <c r="Q28" s="213" t="str">
        <f t="shared" si="8"/>
        <v xml:space="preserve"> </v>
      </c>
      <c r="R28" s="405" t="str">
        <f>IF($A28="N/A"," ",IF(Pricetype=2,MAX(I28-$H28,0),IF(Pricetype=1,(_xll.xSPRDOPT(I28,$E28,$CI28,0,($CD28+IF(Smile=TRUE,VLOOKUP(MAX(-5,$H28-I28),Volsmile,2),0)),$CG28,$CH28,($A28-DateToday)+15,1,0)),I28-$H28)))</f>
        <v xml:space="preserve"> </v>
      </c>
      <c r="S28" s="405" t="str">
        <f>IF($A28="N/A"," ",IF(Pricetype=2,MAX(J28-$H28,0),IF(Pricetype=1,(_xll.xSPRDOPT(J28,$E28,$CI28,0,($CD28+IF(Smile=TRUE,VLOOKUP(MAX(-5,$H28-J28),Volsmile,2),0)),$CG28,$CH28,($A28-DateToday)+15,1,0)),J28-$H28)))</f>
        <v xml:space="preserve"> </v>
      </c>
      <c r="T28" s="406" t="str">
        <f t="shared" si="9"/>
        <v xml:space="preserve"> </v>
      </c>
      <c r="U28" s="405" t="str">
        <f>IF($A28="N/A"," ",IF(Pricetype=2,MAX(L28-$H28,0),IF(L28&lt;&gt;0,IF(Pricetype=1,(_xll.xSPRDOPT(L28,$E28,$CI28,0,($CD28+IF(Smile=TRUE,VLOOKUP(MAX(-5,$H28-L28),Volsmile,2),0)),$CG28,$CH28,($A28-DateToday)+15,1,0)),L28-$H28),0)))</f>
        <v xml:space="preserve"> </v>
      </c>
      <c r="V28" s="405" t="str">
        <f>IF($A28="N/A"," ",IF(Pricetype=2,MAX(M28-$H28,0),IF(M28&lt;&gt;0,IF(Pricetype=1,(_xll.xSPRDOPT(M28,$E28,$CI28,0,($CD28+IF(Smile=TRUE,VLOOKUP(MAX(-5,$H28-M28),Volsmile,2),0)),$CG28,$CH28,($A28-DateToday)+15,1,0)),M28-$H28),0)))</f>
        <v xml:space="preserve"> </v>
      </c>
      <c r="W28" s="406" t="str">
        <f t="shared" si="10"/>
        <v xml:space="preserve"> </v>
      </c>
      <c r="X28" s="405" t="str">
        <f>IF($A28="N/A"," ",IF(Pricetype=2,MAX(O28-$H28,0),IF(O28&lt;&gt;0,IF(Pricetype=1,(_xll.xSPRDOPT(O28,$E28,$CI28,0,($CD28+IF(Smile=TRUE,VLOOKUP(MAX(-5,$H28-O28),Volsmile,2),0)),$CG28,$CH28,($A28-DateToday)+15,1,0)),O28-$H28),0)))</f>
        <v xml:space="preserve"> </v>
      </c>
      <c r="Y28" s="405" t="str">
        <f>IF($A28="N/A"," ",IF(Pricetype=2,MAX(P28-$H28,0),IF(P28&lt;&gt;0,IF(Pricetype=1,(_xll.xSPRDOPT(P28,$E28,$CI28,0,($CD28+IF(Smile=TRUE,VLOOKUP(MAX(-5,$H28-P28),Volsmile,2),0)),$CG28,$CH28,($A28-DateToday)+15,1,0)),P28-$H28),0)))</f>
        <v xml:space="preserve"> </v>
      </c>
      <c r="Z28" s="406" t="str">
        <f t="shared" si="11"/>
        <v xml:space="preserve"> </v>
      </c>
      <c r="AA28" s="254" t="str">
        <f>IF($A28="N/A"," ",IF(VLOOKUP(MONTH(A28),ManualTable,2)=1,(IF(0&lt;&gt;R28,IF(Pricetype=1,(_xll.xSPRDOPT(I28,$E28,$CI28,0,($CD28+IF(Smile=TRUE,VLOOKUP(MAX(-5,$H28-I28),Volsmile,2),0)),$CG28,$CH28,($A28-DateToday)+15,1,1))*(8*$HD28),8*$HD28),0)),0))</f>
        <v xml:space="preserve"> </v>
      </c>
      <c r="AB28" s="254" t="str">
        <f>IF($A28="N/A"," ",IF(VLOOKUP(MONTH(A28),ManualTable,3)=1,(IF(S28&lt;&gt;0,IF(Pricetype=1,(_xll.xSPRDOPT(J28,$E28,$CI28,0,($CD28+IF(Smile=TRUE,VLOOKUP(MAX(-5,$H28-J28),Volsmile,2),0)),$CG28,$CH28,($A28-DateToday)+15,1,1))*(8*$HD28),8*$HD28),0)),0))</f>
        <v xml:space="preserve"> </v>
      </c>
      <c r="AC28" s="254" t="str">
        <f t="shared" si="66"/>
        <v xml:space="preserve"> </v>
      </c>
      <c r="AD28" s="254" t="str">
        <f>IF($A28="N/A"," ",IF(VLOOKUP(MONTH(A28),ManualTable,5)=1,(IF(U28&lt;&gt;0,IF(Pricetype=1,(_xll.xSPRDOPT(L28,$E28,$CI28,0,($CD28+IF(Smile=TRUE,VLOOKUP(MAX(-5,$H28-L28),Volsmile,2),0)),$CG28,$CH28,($A28-DateToday)+15,1,1))*(8*$HE28),8*$HE28),0)),0))</f>
        <v xml:space="preserve"> </v>
      </c>
      <c r="AE28" s="254" t="str">
        <f>IF($A28="N/A"," ",IF(VLOOKUP(MONTH(A28),ManualTable,6)=1,(IF(V28&lt;&gt;0,IF(Pricetype=1,(_xll.xSPRDOPT(M28,$E28,$CI28,0,($CD28+IF(Smile=TRUE,VLOOKUP(MAX(-5,$H28-M28),Volsmile,2),0)),$CG28,$CH28,($A28-DateToday)+15,1,1))*(8*$HE28),8*$HE28),0)),0))</f>
        <v xml:space="preserve"> </v>
      </c>
      <c r="AF28" s="254" t="str">
        <f t="shared" si="67"/>
        <v xml:space="preserve"> </v>
      </c>
      <c r="AG28" s="254" t="str">
        <f>IF($A28="N/A"," ",IF(VLOOKUP(MONTH(A28),ManualTable,8)=1,(IF(X28&lt;&gt;0,IF(Pricetype=1,(_xll.xSPRDOPT(O28,$E28,$CI28,0,($CD28+IF(Smile=TRUE,VLOOKUP(MAX(-5,$H28-O28),Volsmile,2),0)),$CG28,$CH28,($A28-DateToday)+15,1,1))*(8*$HF28),8*$HF28),0)),0))</f>
        <v xml:space="preserve"> </v>
      </c>
      <c r="AH28" s="254" t="str">
        <f>IF($A28="N/A"," ",IF(VLOOKUP(MONTH(A28),ManualTable,9)=1,(IF(Y28&lt;&gt;0,IF(Pricetype=1,(_xll.xSPRDOPT(P28,$E28,$CI28,0,($CD28+IF(Smile=TRUE,VLOOKUP(MAX(-5,$H28-P28),Volsmile,2),0)),$CG28,$CH28,($A28-DateToday)+15,1,1))*(8*$HF28),8*$HF28),0)),0))</f>
        <v xml:space="preserve"> </v>
      </c>
      <c r="AI28" s="254" t="str">
        <f t="shared" si="68"/>
        <v xml:space="preserve"> </v>
      </c>
      <c r="AJ28" s="224" t="str">
        <f>IF($A28="N/A"," ",RANK(R28,$R$28:$Z$39))</f>
        <v xml:space="preserve"> </v>
      </c>
      <c r="AK28" s="225" t="str">
        <f>IF($A28="N/A"," ",RANK(S28,$R$28:$Z$39))</f>
        <v xml:space="preserve"> </v>
      </c>
      <c r="AL28" s="228" t="str">
        <f t="shared" ref="AK28:AL39" si="123">IF($A28="N/A"," ",RANK(T28,$R$28:$Z$39))</f>
        <v xml:space="preserve"> </v>
      </c>
      <c r="AM28" s="225" t="str">
        <f t="shared" ref="AM28:AR28" si="124">IF($A28="N/A"," ",RANK(U28,$R$28:$Z$39))</f>
        <v xml:space="preserve"> </v>
      </c>
      <c r="AN28" s="225" t="str">
        <f t="shared" si="124"/>
        <v xml:space="preserve"> </v>
      </c>
      <c r="AO28" s="225" t="str">
        <f t="shared" si="124"/>
        <v xml:space="preserve"> </v>
      </c>
      <c r="AP28" s="225" t="str">
        <f t="shared" si="124"/>
        <v xml:space="preserve"> </v>
      </c>
      <c r="AQ28" s="225" t="str">
        <f t="shared" si="124"/>
        <v xml:space="preserve"> </v>
      </c>
      <c r="AR28" s="226" t="str">
        <f t="shared" si="124"/>
        <v xml:space="preserve"> </v>
      </c>
      <c r="AS28" s="260" t="str">
        <f t="shared" si="102"/>
        <v xml:space="preserve"> </v>
      </c>
      <c r="AT28" s="261" t="str">
        <f t="shared" si="103"/>
        <v xml:space="preserve"> </v>
      </c>
      <c r="AU28" s="263" t="str">
        <f t="shared" si="103"/>
        <v xml:space="preserve"> </v>
      </c>
      <c r="AV28" s="261" t="str">
        <f t="shared" si="104"/>
        <v xml:space="preserve"> </v>
      </c>
      <c r="AW28" s="261" t="str">
        <f t="shared" si="105"/>
        <v xml:space="preserve"> </v>
      </c>
      <c r="AX28" s="263" t="str">
        <f t="shared" si="105"/>
        <v xml:space="preserve"> </v>
      </c>
      <c r="AY28" s="261" t="str">
        <f t="shared" si="106"/>
        <v xml:space="preserve"> </v>
      </c>
      <c r="AZ28" s="261" t="str">
        <f t="shared" si="107"/>
        <v xml:space="preserve"> </v>
      </c>
      <c r="BA28" s="261" t="str">
        <f t="shared" si="108"/>
        <v xml:space="preserve"> </v>
      </c>
      <c r="BB28" s="226"/>
      <c r="BC28" s="272" t="str">
        <f t="shared" ref="BC28:BC39" si="125">IF($A28="N/A"," ",IF(AND(AJ28=$AR$2+1,AS28=0),MIN($BB$39,AA28),0))</f>
        <v xml:space="preserve"> </v>
      </c>
      <c r="BD28" s="267" t="str">
        <f t="shared" ref="BD28:BE39" si="126">IF($A28="N/A"," ",IF(AND(AK28=$AR$2+1,AT28=0),MIN($BB$39,AB28),0))</f>
        <v xml:space="preserve"> </v>
      </c>
      <c r="BE28" s="267" t="str">
        <f t="shared" si="126"/>
        <v xml:space="preserve"> </v>
      </c>
      <c r="BF28" s="267" t="str">
        <f t="shared" ref="BF28:BF39" si="127">IF($A28="N/A"," ",IF(AND(AM28=$AR$2+1,AV28=0),MIN($BB$39,AD28),0))</f>
        <v xml:space="preserve"> </v>
      </c>
      <c r="BG28" s="267" t="str">
        <f t="shared" ref="BG28:BH39" si="128">IF($A28="N/A"," ",IF(AND(AN28=$AR$2+1,AW28=0),MIN($BB$39,AE28),0))</f>
        <v xml:space="preserve"> </v>
      </c>
      <c r="BH28" s="267" t="str">
        <f t="shared" si="128"/>
        <v xml:space="preserve"> </v>
      </c>
      <c r="BI28" s="267" t="str">
        <f t="shared" ref="BI28:BI39" si="129">IF($A28="N/A"," ",IF(AND(AP28=$AR$2+1,AY28=0),MIN($BB$39,AG28),0))</f>
        <v xml:space="preserve"> </v>
      </c>
      <c r="BJ28" s="267" t="str">
        <f t="shared" ref="BJ28:BJ39" si="130">IF($A28="N/A"," ",IF(AND(AQ28=$AR$2+1,AZ28=0),MIN($BB$39,AH28),0))</f>
        <v xml:space="preserve"> </v>
      </c>
      <c r="BK28" s="267" t="str">
        <f t="shared" ref="BK28:BK39" si="131">IF($A28="N/A"," ",IF(AND(AR28=$AR$2+1,BA28=0),MIN($BB$39,AI28),0))</f>
        <v xml:space="preserve"> </v>
      </c>
      <c r="BL28" s="226"/>
      <c r="BM28" s="220" t="str">
        <f>IF($A28="N/A"," ",(IF(MONTH(A28)&gt;=4,IF(MONTH(A28)&lt;=10,Inputs!$F$13-Inputs!$G$13,Inputs!$F$14-Inputs!$G$14),Inputs!$F$14-Inputs!$G$14))*$CK28*Availability)</f>
        <v xml:space="preserve"> </v>
      </c>
      <c r="BN28" s="221" t="str">
        <f t="shared" si="79"/>
        <v xml:space="preserve"> </v>
      </c>
      <c r="BO28" s="221" t="str">
        <f t="shared" si="80"/>
        <v xml:space="preserve"> </v>
      </c>
      <c r="BP28" s="221" t="str">
        <f t="shared" si="81"/>
        <v xml:space="preserve"> </v>
      </c>
      <c r="BQ28" s="221" t="str">
        <f t="shared" si="82"/>
        <v xml:space="preserve"> </v>
      </c>
      <c r="BR28" s="221" t="str">
        <f t="shared" si="83"/>
        <v xml:space="preserve"> </v>
      </c>
      <c r="BS28" s="221" t="str">
        <f t="shared" si="84"/>
        <v xml:space="preserve"> </v>
      </c>
      <c r="BT28" s="221" t="str">
        <f t="shared" si="85"/>
        <v xml:space="preserve"> </v>
      </c>
      <c r="BU28" s="221" t="str">
        <f t="shared" si="86"/>
        <v xml:space="preserve"> </v>
      </c>
      <c r="BV28" s="221" t="str">
        <f t="shared" si="87"/>
        <v xml:space="preserve"> </v>
      </c>
      <c r="BW28" s="221" t="str">
        <f t="shared" si="88"/>
        <v xml:space="preserve"> </v>
      </c>
      <c r="BX28" s="421" t="str">
        <f t="shared" si="89"/>
        <v xml:space="preserve"> </v>
      </c>
      <c r="BY28" s="417" t="str">
        <f t="shared" si="90"/>
        <v xml:space="preserve"> </v>
      </c>
      <c r="BZ28" s="417" t="str">
        <f t="shared" si="91"/>
        <v xml:space="preserve"> </v>
      </c>
      <c r="CA28" s="422" t="str">
        <f t="shared" si="92"/>
        <v xml:space="preserve"> </v>
      </c>
      <c r="CB28" s="347" t="str">
        <f t="shared" si="25"/>
        <v xml:space="preserve"> </v>
      </c>
      <c r="CC28" s="347" t="str">
        <f t="shared" si="93"/>
        <v xml:space="preserve"> </v>
      </c>
      <c r="CD28" s="348" t="str">
        <f t="shared" si="26"/>
        <v xml:space="preserve"> </v>
      </c>
      <c r="CE28" s="347" t="str">
        <f t="shared" si="27"/>
        <v xml:space="preserve"> </v>
      </c>
      <c r="CF28" s="347" t="str">
        <f t="shared" si="28"/>
        <v xml:space="preserve"> </v>
      </c>
      <c r="CG28" s="348" t="str">
        <f t="shared" si="29"/>
        <v xml:space="preserve"> </v>
      </c>
      <c r="CH28" s="347" t="str">
        <f t="shared" si="94"/>
        <v xml:space="preserve"> </v>
      </c>
      <c r="CI28" s="349" t="str">
        <f>IF($A28="N/A"," ",F28+G28+(D28*('Pricing Inputs'!T61)))</f>
        <v xml:space="preserve"> </v>
      </c>
      <c r="CJ28" s="347" t="str">
        <f>IF($A28="N/A"," ",IF(PV=1,0,'Pricing Inputs'!U61))</f>
        <v xml:space="preserve"> </v>
      </c>
      <c r="CK28" s="350" t="str">
        <f t="shared" si="30"/>
        <v xml:space="preserve"> </v>
      </c>
      <c r="CL28" s="365" t="str">
        <f t="shared" si="31"/>
        <v xml:space="preserve"> </v>
      </c>
      <c r="CM28" s="380" t="str">
        <f t="shared" si="95"/>
        <v xml:space="preserve"> </v>
      </c>
      <c r="CN28" s="378" t="str">
        <f t="shared" si="32"/>
        <v xml:space="preserve"> </v>
      </c>
      <c r="CO28" s="378" t="str">
        <f t="shared" si="33"/>
        <v xml:space="preserve"> </v>
      </c>
      <c r="CP28" s="378" t="str">
        <f t="shared" si="34"/>
        <v xml:space="preserve"> </v>
      </c>
      <c r="CQ28" s="378" t="str">
        <f t="shared" si="35"/>
        <v xml:space="preserve"> </v>
      </c>
      <c r="CR28" s="378" t="str">
        <f t="shared" si="36"/>
        <v xml:space="preserve"> </v>
      </c>
      <c r="CS28" s="378" t="str">
        <f t="shared" si="37"/>
        <v xml:space="preserve"> </v>
      </c>
      <c r="CT28" s="378" t="str">
        <f t="shared" si="38"/>
        <v xml:space="preserve"> </v>
      </c>
      <c r="CU28" s="378" t="str">
        <f t="shared" si="39"/>
        <v xml:space="preserve"> </v>
      </c>
      <c r="CV28" s="378" t="str">
        <f t="shared" si="40"/>
        <v xml:space="preserve"> </v>
      </c>
      <c r="CW28" s="254" t="str">
        <f t="shared" si="41"/>
        <v xml:space="preserve"> </v>
      </c>
      <c r="CX28" s="254" t="str">
        <f t="shared" si="42"/>
        <v xml:space="preserve"> </v>
      </c>
      <c r="CY28" s="254" t="str">
        <f t="shared" si="43"/>
        <v xml:space="preserve"> </v>
      </c>
      <c r="CZ28" s="254" t="str">
        <f t="shared" si="44"/>
        <v xml:space="preserve"> </v>
      </c>
      <c r="DA28" s="254" t="str">
        <f t="shared" si="45"/>
        <v xml:space="preserve"> </v>
      </c>
      <c r="DB28" s="254" t="str">
        <f t="shared" si="46"/>
        <v xml:space="preserve"> </v>
      </c>
      <c r="DC28" s="254" t="str">
        <f t="shared" si="47"/>
        <v xml:space="preserve"> </v>
      </c>
      <c r="DD28" s="254" t="str">
        <f t="shared" si="48"/>
        <v xml:space="preserve"> </v>
      </c>
      <c r="DE28" s="254" t="str">
        <f t="shared" si="49"/>
        <v xml:space="preserve"> </v>
      </c>
      <c r="DF28" s="374" t="str">
        <f>IF($A28="N/A"," ",IF(CC=2,(IF(MONTH(A28)&gt;=4,IF(MONTH(A28)&lt;=10,Inputs!$G$13,Inputs!$G$14),Inputs!$G$14))*$CK28,0))</f>
        <v xml:space="preserve"> </v>
      </c>
      <c r="DG28" s="373" t="str">
        <f t="shared" si="50"/>
        <v xml:space="preserve"> </v>
      </c>
      <c r="DH28" s="373" t="str">
        <f t="shared" si="51"/>
        <v xml:space="preserve"> </v>
      </c>
      <c r="DI28" s="373" t="str">
        <f t="shared" si="52"/>
        <v xml:space="preserve"> </v>
      </c>
      <c r="DJ28" s="373" t="str">
        <f t="shared" si="53"/>
        <v xml:space="preserve"> </v>
      </c>
      <c r="DK28" s="373" t="str">
        <f t="shared" si="54"/>
        <v xml:space="preserve"> </v>
      </c>
      <c r="DL28" s="373" t="str">
        <f t="shared" si="55"/>
        <v xml:space="preserve"> </v>
      </c>
      <c r="DM28" s="373" t="str">
        <f t="shared" si="56"/>
        <v xml:space="preserve"> </v>
      </c>
      <c r="DN28" s="373" t="str">
        <f t="shared" si="57"/>
        <v xml:space="preserve"> </v>
      </c>
      <c r="DO28" s="373" t="str">
        <f t="shared" si="58"/>
        <v xml:space="preserve"> </v>
      </c>
      <c r="DP28" s="375" t="str">
        <f t="shared" si="59"/>
        <v xml:space="preserve"> </v>
      </c>
      <c r="DQ28" t="str">
        <f t="shared" si="96"/>
        <v xml:space="preserve"> </v>
      </c>
      <c r="HD28" t="str">
        <f t="shared" si="97"/>
        <v xml:space="preserve"> </v>
      </c>
      <c r="HE28" t="str">
        <f t="shared" si="98"/>
        <v xml:space="preserve"> </v>
      </c>
      <c r="HF28" t="str">
        <f t="shared" si="99"/>
        <v xml:space="preserve"> </v>
      </c>
    </row>
    <row r="29" spans="1:214">
      <c r="A29" s="415" t="str">
        <f>IF(A28="N/A","N/A",IF(EDATE(A28,1)&gt;Inputs!$K$3,"N/A",EDATE(A28,1)))</f>
        <v>N/A</v>
      </c>
      <c r="B29" s="410" t="str">
        <f t="shared" si="60"/>
        <v xml:space="preserve"> </v>
      </c>
      <c r="C29" s="411" t="str">
        <f t="shared" si="61"/>
        <v xml:space="preserve"> </v>
      </c>
      <c r="D29" s="412" t="str">
        <f t="shared" si="62"/>
        <v xml:space="preserve"> </v>
      </c>
      <c r="E29" s="413" t="str">
        <f>IF($A29="N/A"," ",(C29-'Pricing Inputs'!T62)*D29)</f>
        <v xml:space="preserve"> </v>
      </c>
      <c r="F29" s="414" t="str">
        <f t="shared" si="116"/>
        <v xml:space="preserve"> </v>
      </c>
      <c r="G29" s="414" t="str">
        <f t="shared" si="64"/>
        <v xml:space="preserve"> </v>
      </c>
      <c r="H29" s="416" t="str">
        <f t="shared" si="65"/>
        <v xml:space="preserve"> </v>
      </c>
      <c r="I29" s="213" t="str">
        <f t="shared" si="0"/>
        <v xml:space="preserve"> </v>
      </c>
      <c r="J29" s="213" t="str">
        <f t="shared" si="1"/>
        <v xml:space="preserve"> </v>
      </c>
      <c r="K29" s="213" t="str">
        <f t="shared" si="2"/>
        <v xml:space="preserve"> </v>
      </c>
      <c r="L29" s="213" t="str">
        <f t="shared" si="3"/>
        <v xml:space="preserve"> </v>
      </c>
      <c r="M29" s="213" t="str">
        <f t="shared" si="4"/>
        <v xml:space="preserve"> </v>
      </c>
      <c r="N29" s="213" t="str">
        <f t="shared" si="5"/>
        <v xml:space="preserve"> </v>
      </c>
      <c r="O29" s="213" t="str">
        <f t="shared" si="6"/>
        <v xml:space="preserve"> </v>
      </c>
      <c r="P29" s="213" t="str">
        <f t="shared" si="7"/>
        <v xml:space="preserve"> </v>
      </c>
      <c r="Q29" s="213" t="str">
        <f t="shared" si="8"/>
        <v xml:space="preserve"> </v>
      </c>
      <c r="R29" s="405" t="str">
        <f>IF($A29="N/A"," ",IF(Pricetype=2,MAX(I29-$H29,0),IF(Pricetype=1,(_xll.xSPRDOPT(I29,$E29,$CI29,0,($CD29+IF(Smile=TRUE,VLOOKUP(MAX(-5,$H29-I29),Volsmile,2),0)),$CG29,$CH29,($A29-DateToday)+15,1,0)),I29-$H29)))</f>
        <v xml:space="preserve"> </v>
      </c>
      <c r="S29" s="405" t="str">
        <f>IF($A29="N/A"," ",IF(Pricetype=2,MAX(J29-$H29,0),IF(Pricetype=1,(_xll.xSPRDOPT(J29,$E29,$CI29,0,($CD29+IF(Smile=TRUE,VLOOKUP(MAX(-5,$H29-J29),Volsmile,2),0)),$CG29,$CH29,($A29-DateToday)+15,1,0)),J29-$H29)))</f>
        <v xml:space="preserve"> </v>
      </c>
      <c r="T29" s="406" t="str">
        <f t="shared" si="9"/>
        <v xml:space="preserve"> </v>
      </c>
      <c r="U29" s="405" t="str">
        <f>IF($A29="N/A"," ",IF(Pricetype=2,MAX(L29-$H29,0),IF(L29&lt;&gt;0,IF(Pricetype=1,(_xll.xSPRDOPT(L29,$E29,$CI29,0,($CD29+IF(Smile=TRUE,VLOOKUP(MAX(-5,$H29-L29),Volsmile,2),0)),$CG29,$CH29,($A29-DateToday)+15,1,0)),L29-$H29),0)))</f>
        <v xml:space="preserve"> </v>
      </c>
      <c r="V29" s="405" t="str">
        <f>IF($A29="N/A"," ",IF(Pricetype=2,MAX(M29-$H29,0),IF(M29&lt;&gt;0,IF(Pricetype=1,(_xll.xSPRDOPT(M29,$E29,$CI29,0,($CD29+IF(Smile=TRUE,VLOOKUP(MAX(-5,$H29-M29),Volsmile,2),0)),$CG29,$CH29,($A29-DateToday)+15,1,0)),M29-$H29),0)))</f>
        <v xml:space="preserve"> </v>
      </c>
      <c r="W29" s="406" t="str">
        <f t="shared" si="10"/>
        <v xml:space="preserve"> </v>
      </c>
      <c r="X29" s="405" t="str">
        <f>IF($A29="N/A"," ",IF(Pricetype=2,MAX(O29-$H29,0),IF(O29&lt;&gt;0,IF(Pricetype=1,(_xll.xSPRDOPT(O29,$E29,$CI29,0,($CD29+IF(Smile=TRUE,VLOOKUP(MAX(-5,$H29-O29),Volsmile,2),0)),$CG29,$CH29,($A29-DateToday)+15,1,0)),O29-$H29),0)))</f>
        <v xml:space="preserve"> </v>
      </c>
      <c r="Y29" s="405" t="str">
        <f>IF($A29="N/A"," ",IF(Pricetype=2,MAX(P29-$H29,0),IF(P29&lt;&gt;0,IF(Pricetype=1,(_xll.xSPRDOPT(P29,$E29,$CI29,0,($CD29+IF(Smile=TRUE,VLOOKUP(MAX(-5,$H29-P29),Volsmile,2),0)),$CG29,$CH29,($A29-DateToday)+15,1,0)),P29-$H29),0)))</f>
        <v xml:space="preserve"> </v>
      </c>
      <c r="Z29" s="406" t="str">
        <f t="shared" si="11"/>
        <v xml:space="preserve"> </v>
      </c>
      <c r="AA29" s="254" t="str">
        <f>IF($A29="N/A"," ",IF(VLOOKUP(MONTH(A29),ManualTable,2)=1,(IF(0&lt;&gt;R29,IF(Pricetype=1,(_xll.xSPRDOPT(I29,$E29,$CI29,0,($CD29+IF(Smile=TRUE,VLOOKUP(MAX(-5,$H29-I29),Volsmile,2),0)),$CG29,$CH29,($A29-DateToday)+15,1,1))*(8*$HD29),8*$HD29),0)),0))</f>
        <v xml:space="preserve"> </v>
      </c>
      <c r="AB29" s="254" t="str">
        <f>IF($A29="N/A"," ",IF(VLOOKUP(MONTH(A29),ManualTable,3)=1,(IF(S29&lt;&gt;0,IF(Pricetype=1,(_xll.xSPRDOPT(J29,$E29,$CI29,0,($CD29+IF(Smile=TRUE,VLOOKUP(MAX(-5,$H29-J29),Volsmile,2),0)),$CG29,$CH29,($A29-DateToday)+15,1,1))*(8*$HD29),8*$HD29),0)),0))</f>
        <v xml:space="preserve"> </v>
      </c>
      <c r="AC29" s="254" t="str">
        <f t="shared" si="66"/>
        <v xml:space="preserve"> </v>
      </c>
      <c r="AD29" s="254" t="str">
        <f>IF($A29="N/A"," ",IF(VLOOKUP(MONTH(A29),ManualTable,5)=1,(IF(U29&lt;&gt;0,IF(Pricetype=1,(_xll.xSPRDOPT(L29,$E29,$CI29,0,($CD29+IF(Smile=TRUE,VLOOKUP(MAX(-5,$H29-L29),Volsmile,2),0)),$CG29,$CH29,($A29-DateToday)+15,1,1))*(8*$HE29),8*$HE29),0)),0))</f>
        <v xml:space="preserve"> </v>
      </c>
      <c r="AE29" s="254" t="str">
        <f>IF($A29="N/A"," ",IF(VLOOKUP(MONTH(A29),ManualTable,6)=1,(IF(V29&lt;&gt;0,IF(Pricetype=1,(_xll.xSPRDOPT(M29,$E29,$CI29,0,($CD29+IF(Smile=TRUE,VLOOKUP(MAX(-5,$H29-M29),Volsmile,2),0)),$CG29,$CH29,($A29-DateToday)+15,1,1))*(8*$HE29),8*$HE29),0)),0))</f>
        <v xml:space="preserve"> </v>
      </c>
      <c r="AF29" s="254" t="str">
        <f t="shared" si="67"/>
        <v xml:space="preserve"> </v>
      </c>
      <c r="AG29" s="254" t="str">
        <f>IF($A29="N/A"," ",IF(VLOOKUP(MONTH(A29),ManualTable,8)=1,(IF(X29&lt;&gt;0,IF(Pricetype=1,(_xll.xSPRDOPT(O29,$E29,$CI29,0,($CD29+IF(Smile=TRUE,VLOOKUP(MAX(-5,$H29-O29),Volsmile,2),0)),$CG29,$CH29,($A29-DateToday)+15,1,1))*(8*$HF29),8*$HF29),0)),0))</f>
        <v xml:space="preserve"> </v>
      </c>
      <c r="AH29" s="254" t="str">
        <f>IF($A29="N/A"," ",IF(VLOOKUP(MONTH(A29),ManualTable,9)=1,(IF(Y29&lt;&gt;0,IF(Pricetype=1,(_xll.xSPRDOPT(P29,$E29,$CI29,0,($CD29+IF(Smile=TRUE,VLOOKUP(MAX(-5,$H29-P29),Volsmile,2),0)),$CG29,$CH29,($A29-DateToday)+15,1,1))*(8*$HF29),8*$HF29),0)),0))</f>
        <v xml:space="preserve"> </v>
      </c>
      <c r="AI29" s="254" t="str">
        <f t="shared" si="68"/>
        <v xml:space="preserve"> </v>
      </c>
      <c r="AJ29" s="227" t="str">
        <f t="shared" ref="AJ29:AJ39" si="132">IF($A29="N/A"," ",RANK(R29,$R$28:$Z$39))</f>
        <v xml:space="preserve"> </v>
      </c>
      <c r="AK29" s="228" t="str">
        <f t="shared" si="123"/>
        <v xml:space="preserve"> </v>
      </c>
      <c r="AL29" s="228" t="str">
        <f t="shared" si="123"/>
        <v xml:space="preserve"> </v>
      </c>
      <c r="AM29" s="228" t="str">
        <f t="shared" ref="AM29:AM39" si="133">IF($A29="N/A"," ",RANK(U29,$R$28:$Z$39))</f>
        <v xml:space="preserve"> </v>
      </c>
      <c r="AN29" s="228" t="str">
        <f t="shared" ref="AN29:AO39" si="134">IF($A29="N/A"," ",RANK(V29,$R$28:$Z$39))</f>
        <v xml:space="preserve"> </v>
      </c>
      <c r="AO29" s="228" t="str">
        <f t="shared" si="134"/>
        <v xml:space="preserve"> </v>
      </c>
      <c r="AP29" s="228" t="str">
        <f t="shared" ref="AP29:AP39" si="135">IF($A29="N/A"," ",RANK(X29,$R$28:$Z$39))</f>
        <v xml:space="preserve"> </v>
      </c>
      <c r="AQ29" s="228" t="str">
        <f t="shared" ref="AQ29:AQ39" si="136">IF($A29="N/A"," ",RANK(Y29,$R$28:$Z$39))</f>
        <v xml:space="preserve"> </v>
      </c>
      <c r="AR29" s="229" t="str">
        <f t="shared" ref="AR29:AR39" si="137">IF($A29="N/A"," ",RANK(Z29,$R$28:$Z$39))</f>
        <v xml:space="preserve"> </v>
      </c>
      <c r="AS29" s="262" t="str">
        <f t="shared" si="102"/>
        <v xml:space="preserve"> </v>
      </c>
      <c r="AT29" s="263" t="str">
        <f t="shared" si="103"/>
        <v xml:space="preserve"> </v>
      </c>
      <c r="AU29" s="263" t="str">
        <f t="shared" si="103"/>
        <v xml:space="preserve"> </v>
      </c>
      <c r="AV29" s="263" t="str">
        <f t="shared" si="104"/>
        <v xml:space="preserve"> </v>
      </c>
      <c r="AW29" s="263" t="str">
        <f t="shared" si="105"/>
        <v xml:space="preserve"> </v>
      </c>
      <c r="AX29" s="263" t="str">
        <f t="shared" si="105"/>
        <v xml:space="preserve"> </v>
      </c>
      <c r="AY29" s="263" t="str">
        <f t="shared" si="106"/>
        <v xml:space="preserve"> </v>
      </c>
      <c r="AZ29" s="263" t="str">
        <f t="shared" si="107"/>
        <v xml:space="preserve"> </v>
      </c>
      <c r="BA29" s="263" t="str">
        <f t="shared" si="108"/>
        <v xml:space="preserve"> </v>
      </c>
      <c r="BB29" s="229"/>
      <c r="BC29" s="266" t="str">
        <f t="shared" si="125"/>
        <v xml:space="preserve"> </v>
      </c>
      <c r="BD29" s="269" t="str">
        <f t="shared" si="126"/>
        <v xml:space="preserve"> </v>
      </c>
      <c r="BE29" s="269" t="str">
        <f t="shared" si="126"/>
        <v xml:space="preserve"> </v>
      </c>
      <c r="BF29" s="269" t="str">
        <f t="shared" si="127"/>
        <v xml:space="preserve"> </v>
      </c>
      <c r="BG29" s="269" t="str">
        <f t="shared" si="128"/>
        <v xml:space="preserve"> </v>
      </c>
      <c r="BH29" s="269" t="str">
        <f t="shared" si="128"/>
        <v xml:space="preserve"> </v>
      </c>
      <c r="BI29" s="269" t="str">
        <f t="shared" si="129"/>
        <v xml:space="preserve"> </v>
      </c>
      <c r="BJ29" s="269" t="str">
        <f t="shared" si="130"/>
        <v xml:space="preserve"> </v>
      </c>
      <c r="BK29" s="269" t="str">
        <f t="shared" si="131"/>
        <v xml:space="preserve"> </v>
      </c>
      <c r="BL29" s="229"/>
      <c r="BM29" s="220" t="str">
        <f>IF($A29="N/A"," ",(IF(MONTH(A29)&gt;=4,IF(MONTH(A29)&lt;=10,Inputs!$F$13-Inputs!$G$13,Inputs!$F$14-Inputs!$G$14),Inputs!$F$14-Inputs!$G$14))*$CK29*Availability)</f>
        <v xml:space="preserve"> </v>
      </c>
      <c r="BN29" s="221" t="str">
        <f t="shared" si="79"/>
        <v xml:space="preserve"> </v>
      </c>
      <c r="BO29" s="221" t="str">
        <f t="shared" si="80"/>
        <v xml:space="preserve"> </v>
      </c>
      <c r="BP29" s="221" t="str">
        <f t="shared" si="81"/>
        <v xml:space="preserve"> </v>
      </c>
      <c r="BQ29" s="221" t="str">
        <f t="shared" si="82"/>
        <v xml:space="preserve"> </v>
      </c>
      <c r="BR29" s="221" t="str">
        <f t="shared" si="83"/>
        <v xml:space="preserve"> </v>
      </c>
      <c r="BS29" s="221" t="str">
        <f t="shared" si="84"/>
        <v xml:space="preserve"> </v>
      </c>
      <c r="BT29" s="221" t="str">
        <f t="shared" si="85"/>
        <v xml:space="preserve"> </v>
      </c>
      <c r="BU29" s="221" t="str">
        <f t="shared" si="86"/>
        <v xml:space="preserve"> </v>
      </c>
      <c r="BV29" s="221" t="str">
        <f t="shared" si="87"/>
        <v xml:space="preserve"> </v>
      </c>
      <c r="BW29" s="221" t="str">
        <f t="shared" si="88"/>
        <v xml:space="preserve"> </v>
      </c>
      <c r="BX29" s="421" t="str">
        <f t="shared" si="89"/>
        <v xml:space="preserve"> </v>
      </c>
      <c r="BY29" s="417" t="str">
        <f t="shared" si="90"/>
        <v xml:space="preserve"> </v>
      </c>
      <c r="BZ29" s="417" t="str">
        <f t="shared" si="91"/>
        <v xml:space="preserve"> </v>
      </c>
      <c r="CA29" s="422" t="str">
        <f t="shared" si="92"/>
        <v xml:space="preserve"> </v>
      </c>
      <c r="CB29" s="347" t="str">
        <f t="shared" si="25"/>
        <v xml:space="preserve"> </v>
      </c>
      <c r="CC29" s="347" t="str">
        <f t="shared" si="93"/>
        <v xml:space="preserve"> </v>
      </c>
      <c r="CD29" s="348" t="str">
        <f t="shared" si="26"/>
        <v xml:space="preserve"> </v>
      </c>
      <c r="CE29" s="347" t="str">
        <f t="shared" si="27"/>
        <v xml:space="preserve"> </v>
      </c>
      <c r="CF29" s="347" t="str">
        <f t="shared" si="28"/>
        <v xml:space="preserve"> </v>
      </c>
      <c r="CG29" s="348" t="str">
        <f t="shared" si="29"/>
        <v xml:space="preserve"> </v>
      </c>
      <c r="CH29" s="347" t="str">
        <f t="shared" si="94"/>
        <v xml:space="preserve"> </v>
      </c>
      <c r="CI29" s="349" t="str">
        <f>IF($A29="N/A"," ",F29+G29+(D29*('Pricing Inputs'!T62)))</f>
        <v xml:space="preserve"> </v>
      </c>
      <c r="CJ29" s="347" t="str">
        <f>IF($A29="N/A"," ",IF(PV=1,0,'Pricing Inputs'!U62))</f>
        <v xml:space="preserve"> </v>
      </c>
      <c r="CK29" s="350" t="str">
        <f t="shared" si="30"/>
        <v xml:space="preserve"> </v>
      </c>
      <c r="CL29" s="365" t="str">
        <f t="shared" si="31"/>
        <v xml:space="preserve"> </v>
      </c>
      <c r="CM29" s="380" t="str">
        <f t="shared" si="95"/>
        <v xml:space="preserve"> </v>
      </c>
      <c r="CN29" s="378" t="str">
        <f t="shared" si="32"/>
        <v xml:space="preserve"> </v>
      </c>
      <c r="CO29" s="378" t="str">
        <f t="shared" si="33"/>
        <v xml:space="preserve"> </v>
      </c>
      <c r="CP29" s="378" t="str">
        <f t="shared" si="34"/>
        <v xml:space="preserve"> </v>
      </c>
      <c r="CQ29" s="378" t="str">
        <f t="shared" si="35"/>
        <v xml:space="preserve"> </v>
      </c>
      <c r="CR29" s="378" t="str">
        <f t="shared" si="36"/>
        <v xml:space="preserve"> </v>
      </c>
      <c r="CS29" s="378" t="str">
        <f t="shared" si="37"/>
        <v xml:space="preserve"> </v>
      </c>
      <c r="CT29" s="378" t="str">
        <f t="shared" si="38"/>
        <v xml:space="preserve"> </v>
      </c>
      <c r="CU29" s="378" t="str">
        <f t="shared" si="39"/>
        <v xml:space="preserve"> </v>
      </c>
      <c r="CV29" s="378" t="str">
        <f t="shared" si="40"/>
        <v xml:space="preserve"> </v>
      </c>
      <c r="CW29" s="254" t="str">
        <f t="shared" si="41"/>
        <v xml:space="preserve"> </v>
      </c>
      <c r="CX29" s="254" t="str">
        <f t="shared" si="42"/>
        <v xml:space="preserve"> </v>
      </c>
      <c r="CY29" s="254" t="str">
        <f t="shared" si="43"/>
        <v xml:space="preserve"> </v>
      </c>
      <c r="CZ29" s="254" t="str">
        <f t="shared" si="44"/>
        <v xml:space="preserve"> </v>
      </c>
      <c r="DA29" s="254" t="str">
        <f t="shared" si="45"/>
        <v xml:space="preserve"> </v>
      </c>
      <c r="DB29" s="254" t="str">
        <f t="shared" si="46"/>
        <v xml:space="preserve"> </v>
      </c>
      <c r="DC29" s="254" t="str">
        <f t="shared" si="47"/>
        <v xml:space="preserve"> </v>
      </c>
      <c r="DD29" s="254" t="str">
        <f t="shared" si="48"/>
        <v xml:space="preserve"> </v>
      </c>
      <c r="DE29" s="254" t="str">
        <f t="shared" si="49"/>
        <v xml:space="preserve"> </v>
      </c>
      <c r="DF29" s="374" t="str">
        <f>IF($A29="N/A"," ",IF(CC=2,(IF(MONTH(A29)&gt;=4,IF(MONTH(A29)&lt;=10,Inputs!$G$13,Inputs!$G$14),Inputs!$G$14))*$CK29,0))</f>
        <v xml:space="preserve"> </v>
      </c>
      <c r="DG29" s="373" t="str">
        <f t="shared" si="50"/>
        <v xml:space="preserve"> </v>
      </c>
      <c r="DH29" s="373" t="str">
        <f t="shared" si="51"/>
        <v xml:space="preserve"> </v>
      </c>
      <c r="DI29" s="373" t="str">
        <f t="shared" si="52"/>
        <v xml:space="preserve"> </v>
      </c>
      <c r="DJ29" s="373" t="str">
        <f t="shared" si="53"/>
        <v xml:space="preserve"> </v>
      </c>
      <c r="DK29" s="373" t="str">
        <f t="shared" si="54"/>
        <v xml:space="preserve"> </v>
      </c>
      <c r="DL29" s="373" t="str">
        <f t="shared" si="55"/>
        <v xml:space="preserve"> </v>
      </c>
      <c r="DM29" s="373" t="str">
        <f t="shared" si="56"/>
        <v xml:space="preserve"> </v>
      </c>
      <c r="DN29" s="373" t="str">
        <f t="shared" si="57"/>
        <v xml:space="preserve"> </v>
      </c>
      <c r="DO29" s="373" t="str">
        <f t="shared" si="58"/>
        <v xml:space="preserve"> </v>
      </c>
      <c r="DP29" s="375" t="str">
        <f t="shared" si="59"/>
        <v xml:space="preserve"> </v>
      </c>
      <c r="DQ29" t="str">
        <f t="shared" si="96"/>
        <v xml:space="preserve"> </v>
      </c>
      <c r="HD29" t="str">
        <f t="shared" si="97"/>
        <v xml:space="preserve"> </v>
      </c>
      <c r="HE29" t="str">
        <f t="shared" si="98"/>
        <v xml:space="preserve"> </v>
      </c>
      <c r="HF29" t="str">
        <f t="shared" si="99"/>
        <v xml:space="preserve"> </v>
      </c>
    </row>
    <row r="30" spans="1:214">
      <c r="A30" s="415" t="str">
        <f>IF(A29="N/A","N/A",IF(EDATE(A29,1)&gt;Inputs!$K$3,"N/A",EDATE(A29,1)))</f>
        <v>N/A</v>
      </c>
      <c r="B30" s="410" t="str">
        <f t="shared" si="60"/>
        <v xml:space="preserve"> </v>
      </c>
      <c r="C30" s="411" t="str">
        <f t="shared" si="61"/>
        <v xml:space="preserve"> </v>
      </c>
      <c r="D30" s="412" t="str">
        <f t="shared" si="62"/>
        <v xml:space="preserve"> </v>
      </c>
      <c r="E30" s="413" t="str">
        <f>IF($A30="N/A"," ",(C30-'Pricing Inputs'!T63)*D30)</f>
        <v xml:space="preserve"> </v>
      </c>
      <c r="F30" s="414" t="str">
        <f t="shared" si="116"/>
        <v xml:space="preserve"> </v>
      </c>
      <c r="G30" s="414" t="str">
        <f t="shared" si="64"/>
        <v xml:space="preserve"> </v>
      </c>
      <c r="H30" s="416" t="str">
        <f t="shared" si="65"/>
        <v xml:space="preserve"> </v>
      </c>
      <c r="I30" s="213" t="str">
        <f t="shared" si="0"/>
        <v xml:space="preserve"> </v>
      </c>
      <c r="J30" s="213" t="str">
        <f t="shared" si="1"/>
        <v xml:space="preserve"> </v>
      </c>
      <c r="K30" s="213" t="str">
        <f t="shared" si="2"/>
        <v xml:space="preserve"> </v>
      </c>
      <c r="L30" s="213" t="str">
        <f t="shared" si="3"/>
        <v xml:space="preserve"> </v>
      </c>
      <c r="M30" s="213" t="str">
        <f t="shared" si="4"/>
        <v xml:space="preserve"> </v>
      </c>
      <c r="N30" s="213" t="str">
        <f t="shared" si="5"/>
        <v xml:space="preserve"> </v>
      </c>
      <c r="O30" s="213" t="str">
        <f t="shared" si="6"/>
        <v xml:space="preserve"> </v>
      </c>
      <c r="P30" s="213" t="str">
        <f t="shared" si="7"/>
        <v xml:space="preserve"> </v>
      </c>
      <c r="Q30" s="213" t="str">
        <f t="shared" si="8"/>
        <v xml:space="preserve"> </v>
      </c>
      <c r="R30" s="405" t="str">
        <f>IF($A30="N/A"," ",IF(Pricetype=2,MAX(I30-$H30,0),IF(Pricetype=1,(_xll.xSPRDOPT(I30,$E30,$CI30,0,($CD30+IF(Smile=TRUE,VLOOKUP(MAX(-5,$H30-I30),Volsmile,2),0)),$CG30,$CH30,($A30-DateToday)+15,1,0)),I30-$H30)))</f>
        <v xml:space="preserve"> </v>
      </c>
      <c r="S30" s="405" t="str">
        <f>IF($A30="N/A"," ",IF(Pricetype=2,MAX(J30-$H30,0),IF(Pricetype=1,(_xll.xSPRDOPT(J30,$E30,$CI30,0,($CD30+IF(Smile=TRUE,VLOOKUP(MAX(-5,$H30-J30),Volsmile,2),0)),$CG30,$CH30,($A30-DateToday)+15,1,0)),J30-$H30)))</f>
        <v xml:space="preserve"> </v>
      </c>
      <c r="T30" s="406" t="str">
        <f t="shared" si="9"/>
        <v xml:space="preserve"> </v>
      </c>
      <c r="U30" s="405" t="str">
        <f>IF($A30="N/A"," ",IF(Pricetype=2,MAX(L30-$H30,0),IF(L30&lt;&gt;0,IF(Pricetype=1,(_xll.xSPRDOPT(L30,$E30,$CI30,0,($CD30+IF(Smile=TRUE,VLOOKUP(MAX(-5,$H30-L30),Volsmile,2),0)),$CG30,$CH30,($A30-DateToday)+15,1,0)),L30-$H30),0)))</f>
        <v xml:space="preserve"> </v>
      </c>
      <c r="V30" s="405" t="str">
        <f>IF($A30="N/A"," ",IF(Pricetype=2,MAX(M30-$H30,0),IF(M30&lt;&gt;0,IF(Pricetype=1,(_xll.xSPRDOPT(M30,$E30,$CI30,0,($CD30+IF(Smile=TRUE,VLOOKUP(MAX(-5,$H30-M30),Volsmile,2),0)),$CG30,$CH30,($A30-DateToday)+15,1,0)),M30-$H30),0)))</f>
        <v xml:space="preserve"> </v>
      </c>
      <c r="W30" s="406" t="str">
        <f t="shared" si="10"/>
        <v xml:space="preserve"> </v>
      </c>
      <c r="X30" s="405" t="str">
        <f>IF($A30="N/A"," ",IF(Pricetype=2,MAX(O30-$H30,0),IF(O30&lt;&gt;0,IF(Pricetype=1,(_xll.xSPRDOPT(O30,$E30,$CI30,0,($CD30+IF(Smile=TRUE,VLOOKUP(MAX(-5,$H30-O30),Volsmile,2),0)),$CG30,$CH30,($A30-DateToday)+15,1,0)),O30-$H30),0)))</f>
        <v xml:space="preserve"> </v>
      </c>
      <c r="Y30" s="405" t="str">
        <f>IF($A30="N/A"," ",IF(Pricetype=2,MAX(P30-$H30,0),IF(P30&lt;&gt;0,IF(Pricetype=1,(_xll.xSPRDOPT(P30,$E30,$CI30,0,($CD30+IF(Smile=TRUE,VLOOKUP(MAX(-5,$H30-P30),Volsmile,2),0)),$CG30,$CH30,($A30-DateToday)+15,1,0)),P30-$H30),0)))</f>
        <v xml:space="preserve"> </v>
      </c>
      <c r="Z30" s="406" t="str">
        <f t="shared" si="11"/>
        <v xml:space="preserve"> </v>
      </c>
      <c r="AA30" s="254" t="str">
        <f>IF($A30="N/A"," ",IF(VLOOKUP(MONTH(A30),ManualTable,2)=1,(IF(0&lt;&gt;R30,IF(Pricetype=1,(_xll.xSPRDOPT(I30,$E30,$CI30,0,($CD30+IF(Smile=TRUE,VLOOKUP(MAX(-5,$H30-I30),Volsmile,2),0)),$CG30,$CH30,($A30-DateToday)+15,1,1))*(8*$HD30),8*$HD30),0)),0))</f>
        <v xml:space="preserve"> </v>
      </c>
      <c r="AB30" s="254" t="str">
        <f>IF($A30="N/A"," ",IF(VLOOKUP(MONTH(A30),ManualTable,3)=1,(IF(S30&lt;&gt;0,IF(Pricetype=1,(_xll.xSPRDOPT(J30,$E30,$CI30,0,($CD30+IF(Smile=TRUE,VLOOKUP(MAX(-5,$H30-J30),Volsmile,2),0)),$CG30,$CH30,($A30-DateToday)+15,1,1))*(8*$HD30),8*$HD30),0)),0))</f>
        <v xml:space="preserve"> </v>
      </c>
      <c r="AC30" s="254" t="str">
        <f t="shared" si="66"/>
        <v xml:space="preserve"> </v>
      </c>
      <c r="AD30" s="254" t="str">
        <f>IF($A30="N/A"," ",IF(VLOOKUP(MONTH(A30),ManualTable,5)=1,(IF(U30&lt;&gt;0,IF(Pricetype=1,(_xll.xSPRDOPT(L30,$E30,$CI30,0,($CD30+IF(Smile=TRUE,VLOOKUP(MAX(-5,$H30-L30),Volsmile,2),0)),$CG30,$CH30,($A30-DateToday)+15,1,1))*(8*$HE30),8*$HE30),0)),0))</f>
        <v xml:space="preserve"> </v>
      </c>
      <c r="AE30" s="254" t="str">
        <f>IF($A30="N/A"," ",IF(VLOOKUP(MONTH(A30),ManualTable,6)=1,(IF(V30&lt;&gt;0,IF(Pricetype=1,(_xll.xSPRDOPT(M30,$E30,$CI30,0,($CD30+IF(Smile=TRUE,VLOOKUP(MAX(-5,$H30-M30),Volsmile,2),0)),$CG30,$CH30,($A30-DateToday)+15,1,1))*(8*$HE30),8*$HE30),0)),0))</f>
        <v xml:space="preserve"> </v>
      </c>
      <c r="AF30" s="254" t="str">
        <f t="shared" si="67"/>
        <v xml:space="preserve"> </v>
      </c>
      <c r="AG30" s="254" t="str">
        <f>IF($A30="N/A"," ",IF(VLOOKUP(MONTH(A30),ManualTable,8)=1,(IF(X30&lt;&gt;0,IF(Pricetype=1,(_xll.xSPRDOPT(O30,$E30,$CI30,0,($CD30+IF(Smile=TRUE,VLOOKUP(MAX(-5,$H30-O30),Volsmile,2),0)),$CG30,$CH30,($A30-DateToday)+15,1,1))*(8*$HF30),8*$HF30),0)),0))</f>
        <v xml:space="preserve"> </v>
      </c>
      <c r="AH30" s="254" t="str">
        <f>IF($A30="N/A"," ",IF(VLOOKUP(MONTH(A30),ManualTable,9)=1,(IF(Y30&lt;&gt;0,IF(Pricetype=1,(_xll.xSPRDOPT(P30,$E30,$CI30,0,($CD30+IF(Smile=TRUE,VLOOKUP(MAX(-5,$H30-P30),Volsmile,2),0)),$CG30,$CH30,($A30-DateToday)+15,1,1))*(8*$HF30),8*$HF30),0)),0))</f>
        <v xml:space="preserve"> </v>
      </c>
      <c r="AI30" s="254" t="str">
        <f t="shared" si="68"/>
        <v xml:space="preserve"> </v>
      </c>
      <c r="AJ30" s="227" t="str">
        <f t="shared" si="132"/>
        <v xml:space="preserve"> </v>
      </c>
      <c r="AK30" s="228" t="str">
        <f t="shared" si="123"/>
        <v xml:space="preserve"> </v>
      </c>
      <c r="AL30" s="228" t="str">
        <f t="shared" si="123"/>
        <v xml:space="preserve"> </v>
      </c>
      <c r="AM30" s="228" t="str">
        <f t="shared" si="133"/>
        <v xml:space="preserve"> </v>
      </c>
      <c r="AN30" s="228" t="str">
        <f t="shared" si="134"/>
        <v xml:space="preserve"> </v>
      </c>
      <c r="AO30" s="228" t="str">
        <f t="shared" si="134"/>
        <v xml:space="preserve"> </v>
      </c>
      <c r="AP30" s="228" t="str">
        <f t="shared" si="135"/>
        <v xml:space="preserve"> </v>
      </c>
      <c r="AQ30" s="228" t="str">
        <f t="shared" si="136"/>
        <v xml:space="preserve"> </v>
      </c>
      <c r="AR30" s="229" t="str">
        <f t="shared" si="137"/>
        <v xml:space="preserve"> </v>
      </c>
      <c r="AS30" s="262" t="str">
        <f t="shared" si="102"/>
        <v xml:space="preserve"> </v>
      </c>
      <c r="AT30" s="263" t="str">
        <f t="shared" si="103"/>
        <v xml:space="preserve"> </v>
      </c>
      <c r="AU30" s="263" t="str">
        <f t="shared" si="103"/>
        <v xml:space="preserve"> </v>
      </c>
      <c r="AV30" s="263" t="str">
        <f t="shared" si="104"/>
        <v xml:space="preserve"> </v>
      </c>
      <c r="AW30" s="263" t="str">
        <f t="shared" si="105"/>
        <v xml:space="preserve"> </v>
      </c>
      <c r="AX30" s="263" t="str">
        <f t="shared" si="105"/>
        <v xml:space="preserve"> </v>
      </c>
      <c r="AY30" s="263" t="str">
        <f t="shared" si="106"/>
        <v xml:space="preserve"> </v>
      </c>
      <c r="AZ30" s="263" t="str">
        <f t="shared" si="107"/>
        <v xml:space="preserve"> </v>
      </c>
      <c r="BA30" s="263" t="str">
        <f t="shared" si="108"/>
        <v xml:space="preserve"> </v>
      </c>
      <c r="BB30" s="229"/>
      <c r="BC30" s="266" t="str">
        <f t="shared" si="125"/>
        <v xml:space="preserve"> </v>
      </c>
      <c r="BD30" s="269" t="str">
        <f t="shared" si="126"/>
        <v xml:space="preserve"> </v>
      </c>
      <c r="BE30" s="269" t="str">
        <f t="shared" si="126"/>
        <v xml:space="preserve"> </v>
      </c>
      <c r="BF30" s="269" t="str">
        <f t="shared" si="127"/>
        <v xml:space="preserve"> </v>
      </c>
      <c r="BG30" s="269" t="str">
        <f t="shared" si="128"/>
        <v xml:space="preserve"> </v>
      </c>
      <c r="BH30" s="269" t="str">
        <f t="shared" si="128"/>
        <v xml:space="preserve"> </v>
      </c>
      <c r="BI30" s="269" t="str">
        <f t="shared" si="129"/>
        <v xml:space="preserve"> </v>
      </c>
      <c r="BJ30" s="269" t="str">
        <f t="shared" si="130"/>
        <v xml:space="preserve"> </v>
      </c>
      <c r="BK30" s="269" t="str">
        <f t="shared" si="131"/>
        <v xml:space="preserve"> </v>
      </c>
      <c r="BL30" s="229"/>
      <c r="BM30" s="220" t="str">
        <f>IF($A30="N/A"," ",(IF(MONTH(A30)&gt;=4,IF(MONTH(A30)&lt;=10,Inputs!$F$13-Inputs!$G$13,Inputs!$F$14-Inputs!$G$14),Inputs!$F$14-Inputs!$G$14))*$CK30*Availability)</f>
        <v xml:space="preserve"> </v>
      </c>
      <c r="BN30" s="221" t="str">
        <f t="shared" si="79"/>
        <v xml:space="preserve"> </v>
      </c>
      <c r="BO30" s="221" t="str">
        <f t="shared" si="80"/>
        <v xml:space="preserve"> </v>
      </c>
      <c r="BP30" s="221" t="str">
        <f t="shared" si="81"/>
        <v xml:space="preserve"> </v>
      </c>
      <c r="BQ30" s="221" t="str">
        <f t="shared" si="82"/>
        <v xml:space="preserve"> </v>
      </c>
      <c r="BR30" s="221" t="str">
        <f t="shared" si="83"/>
        <v xml:space="preserve"> </v>
      </c>
      <c r="BS30" s="221" t="str">
        <f t="shared" si="84"/>
        <v xml:space="preserve"> </v>
      </c>
      <c r="BT30" s="221" t="str">
        <f t="shared" si="85"/>
        <v xml:space="preserve"> </v>
      </c>
      <c r="BU30" s="221" t="str">
        <f t="shared" si="86"/>
        <v xml:space="preserve"> </v>
      </c>
      <c r="BV30" s="221" t="str">
        <f t="shared" si="87"/>
        <v xml:space="preserve"> </v>
      </c>
      <c r="BW30" s="221" t="str">
        <f t="shared" si="88"/>
        <v xml:space="preserve"> </v>
      </c>
      <c r="BX30" s="421" t="str">
        <f t="shared" si="89"/>
        <v xml:space="preserve"> </v>
      </c>
      <c r="BY30" s="417" t="str">
        <f t="shared" si="90"/>
        <v xml:space="preserve"> </v>
      </c>
      <c r="BZ30" s="417" t="str">
        <f t="shared" si="91"/>
        <v xml:space="preserve"> </v>
      </c>
      <c r="CA30" s="422" t="str">
        <f t="shared" si="92"/>
        <v xml:space="preserve"> </v>
      </c>
      <c r="CB30" s="347" t="str">
        <f t="shared" si="25"/>
        <v xml:space="preserve"> </v>
      </c>
      <c r="CC30" s="347" t="str">
        <f t="shared" si="93"/>
        <v xml:space="preserve"> </v>
      </c>
      <c r="CD30" s="348" t="str">
        <f t="shared" si="26"/>
        <v xml:space="preserve"> </v>
      </c>
      <c r="CE30" s="347" t="str">
        <f t="shared" si="27"/>
        <v xml:space="preserve"> </v>
      </c>
      <c r="CF30" s="347" t="str">
        <f t="shared" si="28"/>
        <v xml:space="preserve"> </v>
      </c>
      <c r="CG30" s="348" t="str">
        <f t="shared" si="29"/>
        <v xml:space="preserve"> </v>
      </c>
      <c r="CH30" s="347" t="str">
        <f t="shared" si="94"/>
        <v xml:space="preserve"> </v>
      </c>
      <c r="CI30" s="349" t="str">
        <f>IF($A30="N/A"," ",F30+G30+(D30*('Pricing Inputs'!T63)))</f>
        <v xml:space="preserve"> </v>
      </c>
      <c r="CJ30" s="347" t="str">
        <f>IF($A30="N/A"," ",IF(PV=1,0,'Pricing Inputs'!U63))</f>
        <v xml:space="preserve"> </v>
      </c>
      <c r="CK30" s="350" t="str">
        <f t="shared" si="30"/>
        <v xml:space="preserve"> </v>
      </c>
      <c r="CL30" s="365" t="str">
        <f t="shared" si="31"/>
        <v xml:space="preserve"> </v>
      </c>
      <c r="CM30" s="380" t="str">
        <f t="shared" si="95"/>
        <v xml:space="preserve"> </v>
      </c>
      <c r="CN30" s="378" t="str">
        <f t="shared" si="32"/>
        <v xml:space="preserve"> </v>
      </c>
      <c r="CO30" s="378" t="str">
        <f t="shared" si="33"/>
        <v xml:space="preserve"> </v>
      </c>
      <c r="CP30" s="378" t="str">
        <f t="shared" si="34"/>
        <v xml:space="preserve"> </v>
      </c>
      <c r="CQ30" s="378" t="str">
        <f t="shared" si="35"/>
        <v xml:space="preserve"> </v>
      </c>
      <c r="CR30" s="378" t="str">
        <f t="shared" si="36"/>
        <v xml:space="preserve"> </v>
      </c>
      <c r="CS30" s="378" t="str">
        <f t="shared" si="37"/>
        <v xml:space="preserve"> </v>
      </c>
      <c r="CT30" s="378" t="str">
        <f t="shared" si="38"/>
        <v xml:space="preserve"> </v>
      </c>
      <c r="CU30" s="378" t="str">
        <f t="shared" si="39"/>
        <v xml:space="preserve"> </v>
      </c>
      <c r="CV30" s="378" t="str">
        <f t="shared" si="40"/>
        <v xml:space="preserve"> </v>
      </c>
      <c r="CW30" s="254" t="str">
        <f t="shared" si="41"/>
        <v xml:space="preserve"> </v>
      </c>
      <c r="CX30" s="254" t="str">
        <f t="shared" si="42"/>
        <v xml:space="preserve"> </v>
      </c>
      <c r="CY30" s="254" t="str">
        <f t="shared" si="43"/>
        <v xml:space="preserve"> </v>
      </c>
      <c r="CZ30" s="254" t="str">
        <f t="shared" si="44"/>
        <v xml:space="preserve"> </v>
      </c>
      <c r="DA30" s="254" t="str">
        <f t="shared" si="45"/>
        <v xml:space="preserve"> </v>
      </c>
      <c r="DB30" s="254" t="str">
        <f t="shared" si="46"/>
        <v xml:space="preserve"> </v>
      </c>
      <c r="DC30" s="254" t="str">
        <f t="shared" si="47"/>
        <v xml:space="preserve"> </v>
      </c>
      <c r="DD30" s="254" t="str">
        <f t="shared" si="48"/>
        <v xml:space="preserve"> </v>
      </c>
      <c r="DE30" s="254" t="str">
        <f t="shared" si="49"/>
        <v xml:space="preserve"> </v>
      </c>
      <c r="DF30" s="374" t="str">
        <f>IF($A30="N/A"," ",IF(CC=2,(IF(MONTH(A30)&gt;=4,IF(MONTH(A30)&lt;=10,Inputs!$G$13,Inputs!$G$14),Inputs!$G$14))*$CK30,0))</f>
        <v xml:space="preserve"> </v>
      </c>
      <c r="DG30" s="373" t="str">
        <f t="shared" si="50"/>
        <v xml:space="preserve"> </v>
      </c>
      <c r="DH30" s="373" t="str">
        <f t="shared" si="51"/>
        <v xml:space="preserve"> </v>
      </c>
      <c r="DI30" s="373" t="str">
        <f t="shared" si="52"/>
        <v xml:space="preserve"> </v>
      </c>
      <c r="DJ30" s="373" t="str">
        <f t="shared" si="53"/>
        <v xml:space="preserve"> </v>
      </c>
      <c r="DK30" s="373" t="str">
        <f t="shared" si="54"/>
        <v xml:space="preserve"> </v>
      </c>
      <c r="DL30" s="373" t="str">
        <f t="shared" si="55"/>
        <v xml:space="preserve"> </v>
      </c>
      <c r="DM30" s="373" t="str">
        <f t="shared" si="56"/>
        <v xml:space="preserve"> </v>
      </c>
      <c r="DN30" s="373" t="str">
        <f t="shared" si="57"/>
        <v xml:space="preserve"> </v>
      </c>
      <c r="DO30" s="373" t="str">
        <f t="shared" si="58"/>
        <v xml:space="preserve"> </v>
      </c>
      <c r="DP30" s="375" t="str">
        <f t="shared" si="59"/>
        <v xml:space="preserve"> </v>
      </c>
      <c r="DQ30" t="str">
        <f t="shared" si="96"/>
        <v xml:space="preserve"> </v>
      </c>
      <c r="HD30" t="str">
        <f t="shared" si="97"/>
        <v xml:space="preserve"> </v>
      </c>
      <c r="HE30" t="str">
        <f t="shared" si="98"/>
        <v xml:space="preserve"> </v>
      </c>
      <c r="HF30" t="str">
        <f t="shared" si="99"/>
        <v xml:space="preserve"> </v>
      </c>
    </row>
    <row r="31" spans="1:214">
      <c r="A31" s="415" t="str">
        <f>IF(A30="N/A","N/A",IF(EDATE(A30,1)&gt;Inputs!$K$3,"N/A",EDATE(A30,1)))</f>
        <v>N/A</v>
      </c>
      <c r="B31" s="410" t="str">
        <f t="shared" si="60"/>
        <v xml:space="preserve"> </v>
      </c>
      <c r="C31" s="411" t="str">
        <f t="shared" si="61"/>
        <v xml:space="preserve"> </v>
      </c>
      <c r="D31" s="412" t="str">
        <f t="shared" si="62"/>
        <v xml:space="preserve"> </v>
      </c>
      <c r="E31" s="413" t="str">
        <f>IF($A31="N/A"," ",(C31-'Pricing Inputs'!T64)*D31)</f>
        <v xml:space="preserve"> </v>
      </c>
      <c r="F31" s="414" t="str">
        <f t="shared" si="116"/>
        <v xml:space="preserve"> </v>
      </c>
      <c r="G31" s="414" t="str">
        <f t="shared" si="64"/>
        <v xml:space="preserve"> </v>
      </c>
      <c r="H31" s="416" t="str">
        <f t="shared" si="65"/>
        <v xml:space="preserve"> </v>
      </c>
      <c r="I31" s="213" t="str">
        <f t="shared" si="0"/>
        <v xml:space="preserve"> </v>
      </c>
      <c r="J31" s="213" t="str">
        <f t="shared" si="1"/>
        <v xml:space="preserve"> </v>
      </c>
      <c r="K31" s="213" t="str">
        <f t="shared" si="2"/>
        <v xml:space="preserve"> </v>
      </c>
      <c r="L31" s="213" t="str">
        <f t="shared" si="3"/>
        <v xml:space="preserve"> </v>
      </c>
      <c r="M31" s="213" t="str">
        <f t="shared" si="4"/>
        <v xml:space="preserve"> </v>
      </c>
      <c r="N31" s="213" t="str">
        <f t="shared" si="5"/>
        <v xml:space="preserve"> </v>
      </c>
      <c r="O31" s="213" t="str">
        <f t="shared" si="6"/>
        <v xml:space="preserve"> </v>
      </c>
      <c r="P31" s="213" t="str">
        <f t="shared" si="7"/>
        <v xml:space="preserve"> </v>
      </c>
      <c r="Q31" s="213" t="str">
        <f t="shared" si="8"/>
        <v xml:space="preserve"> </v>
      </c>
      <c r="R31" s="405" t="str">
        <f>IF($A31="N/A"," ",IF(Pricetype=2,MAX(I31-$H31,0),IF(Pricetype=1,(_xll.xSPRDOPT(I31,$E31,$CI31,0,($CD31+IF(Smile=TRUE,VLOOKUP(MAX(-5,$H31-I31),Volsmile,2),0)),$CG31,$CH31,($A31-DateToday)+15,1,0)),I31-$H31)))</f>
        <v xml:space="preserve"> </v>
      </c>
      <c r="S31" s="405" t="str">
        <f>IF($A31="N/A"," ",IF(Pricetype=2,MAX(J31-$H31,0),IF(Pricetype=1,(_xll.xSPRDOPT(J31,$E31,$CI31,0,($CD31+IF(Smile=TRUE,VLOOKUP(MAX(-5,$H31-J31),Volsmile,2),0)),$CG31,$CH31,($A31-DateToday)+15,1,0)),J31-$H31)))</f>
        <v xml:space="preserve"> </v>
      </c>
      <c r="T31" s="406" t="str">
        <f t="shared" si="9"/>
        <v xml:space="preserve"> </v>
      </c>
      <c r="U31" s="405" t="str">
        <f>IF($A31="N/A"," ",IF(Pricetype=2,MAX(L31-$H31,0),IF(L31&lt;&gt;0,IF(Pricetype=1,(_xll.xSPRDOPT(L31,$E31,$CI31,0,($CD31+IF(Smile=TRUE,VLOOKUP(MAX(-5,$H31-L31),Volsmile,2),0)),$CG31,$CH31,($A31-DateToday)+15,1,0)),L31-$H31),0)))</f>
        <v xml:space="preserve"> </v>
      </c>
      <c r="V31" s="405" t="str">
        <f>IF($A31="N/A"," ",IF(Pricetype=2,MAX(M31-$H31,0),IF(M31&lt;&gt;0,IF(Pricetype=1,(_xll.xSPRDOPT(M31,$E31,$CI31,0,($CD31+IF(Smile=TRUE,VLOOKUP(MAX(-5,$H31-M31),Volsmile,2),0)),$CG31,$CH31,($A31-DateToday)+15,1,0)),M31-$H31),0)))</f>
        <v xml:space="preserve"> </v>
      </c>
      <c r="W31" s="406" t="str">
        <f t="shared" si="10"/>
        <v xml:space="preserve"> </v>
      </c>
      <c r="X31" s="405" t="str">
        <f>IF($A31="N/A"," ",IF(Pricetype=2,MAX(O31-$H31,0),IF(O31&lt;&gt;0,IF(Pricetype=1,(_xll.xSPRDOPT(O31,$E31,$CI31,0,($CD31+IF(Smile=TRUE,VLOOKUP(MAX(-5,$H31-O31),Volsmile,2),0)),$CG31,$CH31,($A31-DateToday)+15,1,0)),O31-$H31),0)))</f>
        <v xml:space="preserve"> </v>
      </c>
      <c r="Y31" s="405" t="str">
        <f>IF($A31="N/A"," ",IF(Pricetype=2,MAX(P31-$H31,0),IF(P31&lt;&gt;0,IF(Pricetype=1,(_xll.xSPRDOPT(P31,$E31,$CI31,0,($CD31+IF(Smile=TRUE,VLOOKUP(MAX(-5,$H31-P31),Volsmile,2),0)),$CG31,$CH31,($A31-DateToday)+15,1,0)),P31-$H31),0)))</f>
        <v xml:space="preserve"> </v>
      </c>
      <c r="Z31" s="406" t="str">
        <f t="shared" si="11"/>
        <v xml:space="preserve"> </v>
      </c>
      <c r="AA31" s="254" t="str">
        <f>IF($A31="N/A"," ",IF(VLOOKUP(MONTH(A31),ManualTable,2)=1,(IF(0&lt;&gt;R31,IF(Pricetype=1,(_xll.xSPRDOPT(I31,$E31,$CI31,0,($CD31+IF(Smile=TRUE,VLOOKUP(MAX(-5,$H31-I31),Volsmile,2),0)),$CG31,$CH31,($A31-DateToday)+15,1,1))*(8*$HD31),8*$HD31),0)),0))</f>
        <v xml:space="preserve"> </v>
      </c>
      <c r="AB31" s="254" t="str">
        <f>IF($A31="N/A"," ",IF(VLOOKUP(MONTH(A31),ManualTable,3)=1,(IF(S31&lt;&gt;0,IF(Pricetype=1,(_xll.xSPRDOPT(J31,$E31,$CI31,0,($CD31+IF(Smile=TRUE,VLOOKUP(MAX(-5,$H31-J31),Volsmile,2),0)),$CG31,$CH31,($A31-DateToday)+15,1,1))*(8*$HD31),8*$HD31),0)),0))</f>
        <v xml:space="preserve"> </v>
      </c>
      <c r="AC31" s="254" t="str">
        <f t="shared" si="66"/>
        <v xml:space="preserve"> </v>
      </c>
      <c r="AD31" s="254" t="str">
        <f>IF($A31="N/A"," ",IF(VLOOKUP(MONTH(A31),ManualTable,5)=1,(IF(U31&lt;&gt;0,IF(Pricetype=1,(_xll.xSPRDOPT(L31,$E31,$CI31,0,($CD31+IF(Smile=TRUE,VLOOKUP(MAX(-5,$H31-L31),Volsmile,2),0)),$CG31,$CH31,($A31-DateToday)+15,1,1))*(8*$HE31),8*$HE31),0)),0))</f>
        <v xml:space="preserve"> </v>
      </c>
      <c r="AE31" s="254" t="str">
        <f>IF($A31="N/A"," ",IF(VLOOKUP(MONTH(A31),ManualTable,6)=1,(IF(V31&lt;&gt;0,IF(Pricetype=1,(_xll.xSPRDOPT(M31,$E31,$CI31,0,($CD31+IF(Smile=TRUE,VLOOKUP(MAX(-5,$H31-M31),Volsmile,2),0)),$CG31,$CH31,($A31-DateToday)+15,1,1))*(8*$HE31),8*$HE31),0)),0))</f>
        <v xml:space="preserve"> </v>
      </c>
      <c r="AF31" s="254" t="str">
        <f t="shared" si="67"/>
        <v xml:space="preserve"> </v>
      </c>
      <c r="AG31" s="254" t="str">
        <f>IF($A31="N/A"," ",IF(VLOOKUP(MONTH(A31),ManualTable,8)=1,(IF(X31&lt;&gt;0,IF(Pricetype=1,(_xll.xSPRDOPT(O31,$E31,$CI31,0,($CD31+IF(Smile=TRUE,VLOOKUP(MAX(-5,$H31-O31),Volsmile,2),0)),$CG31,$CH31,($A31-DateToday)+15,1,1))*(8*$HF31),8*$HF31),0)),0))</f>
        <v xml:space="preserve"> </v>
      </c>
      <c r="AH31" s="254" t="str">
        <f>IF($A31="N/A"," ",IF(VLOOKUP(MONTH(A31),ManualTable,9)=1,(IF(Y31&lt;&gt;0,IF(Pricetype=1,(_xll.xSPRDOPT(P31,$E31,$CI31,0,($CD31+IF(Smile=TRUE,VLOOKUP(MAX(-5,$H31-P31),Volsmile,2),0)),$CG31,$CH31,($A31-DateToday)+15,1,1))*(8*$HF31),8*$HF31),0)),0))</f>
        <v xml:space="preserve"> </v>
      </c>
      <c r="AI31" s="254" t="str">
        <f t="shared" si="68"/>
        <v xml:space="preserve"> </v>
      </c>
      <c r="AJ31" s="227" t="str">
        <f t="shared" si="132"/>
        <v xml:space="preserve"> </v>
      </c>
      <c r="AK31" s="228" t="str">
        <f t="shared" si="123"/>
        <v xml:space="preserve"> </v>
      </c>
      <c r="AL31" s="228" t="str">
        <f t="shared" si="123"/>
        <v xml:space="preserve"> </v>
      </c>
      <c r="AM31" s="228" t="str">
        <f t="shared" si="133"/>
        <v xml:space="preserve"> </v>
      </c>
      <c r="AN31" s="228" t="str">
        <f t="shared" si="134"/>
        <v xml:space="preserve"> </v>
      </c>
      <c r="AO31" s="228" t="str">
        <f t="shared" si="134"/>
        <v xml:space="preserve"> </v>
      </c>
      <c r="AP31" s="228" t="str">
        <f t="shared" si="135"/>
        <v xml:space="preserve"> </v>
      </c>
      <c r="AQ31" s="228" t="str">
        <f t="shared" si="136"/>
        <v xml:space="preserve"> </v>
      </c>
      <c r="AR31" s="229" t="str">
        <f t="shared" si="137"/>
        <v xml:space="preserve"> </v>
      </c>
      <c r="AS31" s="262" t="str">
        <f t="shared" si="102"/>
        <v xml:space="preserve"> </v>
      </c>
      <c r="AT31" s="263" t="str">
        <f t="shared" si="103"/>
        <v xml:space="preserve"> </v>
      </c>
      <c r="AU31" s="263" t="str">
        <f t="shared" si="103"/>
        <v xml:space="preserve"> </v>
      </c>
      <c r="AV31" s="263" t="str">
        <f t="shared" si="104"/>
        <v xml:space="preserve"> </v>
      </c>
      <c r="AW31" s="263" t="str">
        <f t="shared" si="105"/>
        <v xml:space="preserve"> </v>
      </c>
      <c r="AX31" s="263" t="str">
        <f t="shared" si="105"/>
        <v xml:space="preserve"> </v>
      </c>
      <c r="AY31" s="263" t="str">
        <f t="shared" si="106"/>
        <v xml:space="preserve"> </v>
      </c>
      <c r="AZ31" s="263" t="str">
        <f t="shared" si="107"/>
        <v xml:space="preserve"> </v>
      </c>
      <c r="BA31" s="263" t="str">
        <f t="shared" si="108"/>
        <v xml:space="preserve"> </v>
      </c>
      <c r="BB31" s="229"/>
      <c r="BC31" s="266" t="str">
        <f t="shared" si="125"/>
        <v xml:space="preserve"> </v>
      </c>
      <c r="BD31" s="269" t="str">
        <f t="shared" si="126"/>
        <v xml:space="preserve"> </v>
      </c>
      <c r="BE31" s="269" t="str">
        <f t="shared" si="126"/>
        <v xml:space="preserve"> </v>
      </c>
      <c r="BF31" s="269" t="str">
        <f t="shared" si="127"/>
        <v xml:space="preserve"> </v>
      </c>
      <c r="BG31" s="269" t="str">
        <f t="shared" si="128"/>
        <v xml:space="preserve"> </v>
      </c>
      <c r="BH31" s="269" t="str">
        <f t="shared" si="128"/>
        <v xml:space="preserve"> </v>
      </c>
      <c r="BI31" s="269" t="str">
        <f t="shared" si="129"/>
        <v xml:space="preserve"> </v>
      </c>
      <c r="BJ31" s="269" t="str">
        <f t="shared" si="130"/>
        <v xml:space="preserve"> </v>
      </c>
      <c r="BK31" s="269" t="str">
        <f t="shared" si="131"/>
        <v xml:space="preserve"> </v>
      </c>
      <c r="BL31" s="229"/>
      <c r="BM31" s="220" t="str">
        <f>IF($A31="N/A"," ",(IF(MONTH(A31)&gt;=4,IF(MONTH(A31)&lt;=10,Inputs!$F$13-Inputs!$G$13,Inputs!$F$14-Inputs!$G$14),Inputs!$F$14-Inputs!$G$14))*$CK31*Availability)</f>
        <v xml:space="preserve"> </v>
      </c>
      <c r="BN31" s="221" t="str">
        <f t="shared" si="79"/>
        <v xml:space="preserve"> </v>
      </c>
      <c r="BO31" s="221" t="str">
        <f t="shared" si="80"/>
        <v xml:space="preserve"> </v>
      </c>
      <c r="BP31" s="221" t="str">
        <f t="shared" si="81"/>
        <v xml:space="preserve"> </v>
      </c>
      <c r="BQ31" s="221" t="str">
        <f t="shared" si="82"/>
        <v xml:space="preserve"> </v>
      </c>
      <c r="BR31" s="221" t="str">
        <f t="shared" si="83"/>
        <v xml:space="preserve"> </v>
      </c>
      <c r="BS31" s="221" t="str">
        <f t="shared" si="84"/>
        <v xml:space="preserve"> </v>
      </c>
      <c r="BT31" s="221" t="str">
        <f t="shared" si="85"/>
        <v xml:space="preserve"> </v>
      </c>
      <c r="BU31" s="221" t="str">
        <f t="shared" si="86"/>
        <v xml:space="preserve"> </v>
      </c>
      <c r="BV31" s="221" t="str">
        <f t="shared" si="87"/>
        <v xml:space="preserve"> </v>
      </c>
      <c r="BW31" s="221" t="str">
        <f t="shared" si="88"/>
        <v xml:space="preserve"> </v>
      </c>
      <c r="BX31" s="421" t="str">
        <f t="shared" si="89"/>
        <v xml:space="preserve"> </v>
      </c>
      <c r="BY31" s="417" t="str">
        <f t="shared" si="90"/>
        <v xml:space="preserve"> </v>
      </c>
      <c r="BZ31" s="417" t="str">
        <f t="shared" si="91"/>
        <v xml:space="preserve"> </v>
      </c>
      <c r="CA31" s="422" t="str">
        <f t="shared" si="92"/>
        <v xml:space="preserve"> </v>
      </c>
      <c r="CB31" s="347" t="str">
        <f t="shared" si="25"/>
        <v xml:space="preserve"> </v>
      </c>
      <c r="CC31" s="347" t="str">
        <f t="shared" si="93"/>
        <v xml:space="preserve"> </v>
      </c>
      <c r="CD31" s="348" t="str">
        <f t="shared" si="26"/>
        <v xml:space="preserve"> </v>
      </c>
      <c r="CE31" s="347" t="str">
        <f t="shared" si="27"/>
        <v xml:space="preserve"> </v>
      </c>
      <c r="CF31" s="347" t="str">
        <f t="shared" si="28"/>
        <v xml:space="preserve"> </v>
      </c>
      <c r="CG31" s="348" t="str">
        <f t="shared" si="29"/>
        <v xml:space="preserve"> </v>
      </c>
      <c r="CH31" s="347" t="str">
        <f t="shared" si="94"/>
        <v xml:space="preserve"> </v>
      </c>
      <c r="CI31" s="349" t="str">
        <f>IF($A31="N/A"," ",F31+G31+(D31*('Pricing Inputs'!T64)))</f>
        <v xml:space="preserve"> </v>
      </c>
      <c r="CJ31" s="347" t="str">
        <f>IF($A31="N/A"," ",IF(PV=1,0,'Pricing Inputs'!U64))</f>
        <v xml:space="preserve"> </v>
      </c>
      <c r="CK31" s="350" t="str">
        <f t="shared" si="30"/>
        <v xml:space="preserve"> </v>
      </c>
      <c r="CL31" s="365" t="str">
        <f t="shared" si="31"/>
        <v xml:space="preserve"> </v>
      </c>
      <c r="CM31" s="380" t="str">
        <f t="shared" si="95"/>
        <v xml:space="preserve"> </v>
      </c>
      <c r="CN31" s="378" t="str">
        <f t="shared" si="32"/>
        <v xml:space="preserve"> </v>
      </c>
      <c r="CO31" s="378" t="str">
        <f t="shared" si="33"/>
        <v xml:space="preserve"> </v>
      </c>
      <c r="CP31" s="378" t="str">
        <f t="shared" si="34"/>
        <v xml:space="preserve"> </v>
      </c>
      <c r="CQ31" s="378" t="str">
        <f t="shared" si="35"/>
        <v xml:space="preserve"> </v>
      </c>
      <c r="CR31" s="378" t="str">
        <f t="shared" si="36"/>
        <v xml:space="preserve"> </v>
      </c>
      <c r="CS31" s="378" t="str">
        <f t="shared" si="37"/>
        <v xml:space="preserve"> </v>
      </c>
      <c r="CT31" s="378" t="str">
        <f t="shared" si="38"/>
        <v xml:space="preserve"> </v>
      </c>
      <c r="CU31" s="378" t="str">
        <f t="shared" si="39"/>
        <v xml:space="preserve"> </v>
      </c>
      <c r="CV31" s="378" t="str">
        <f t="shared" si="40"/>
        <v xml:space="preserve"> </v>
      </c>
      <c r="CW31" s="254" t="str">
        <f t="shared" si="41"/>
        <v xml:space="preserve"> </v>
      </c>
      <c r="CX31" s="254" t="str">
        <f t="shared" si="42"/>
        <v xml:space="preserve"> </v>
      </c>
      <c r="CY31" s="254" t="str">
        <f t="shared" si="43"/>
        <v xml:space="preserve"> </v>
      </c>
      <c r="CZ31" s="254" t="str">
        <f t="shared" si="44"/>
        <v xml:space="preserve"> </v>
      </c>
      <c r="DA31" s="254" t="str">
        <f t="shared" si="45"/>
        <v xml:space="preserve"> </v>
      </c>
      <c r="DB31" s="254" t="str">
        <f t="shared" si="46"/>
        <v xml:space="preserve"> </v>
      </c>
      <c r="DC31" s="254" t="str">
        <f t="shared" si="47"/>
        <v xml:space="preserve"> </v>
      </c>
      <c r="DD31" s="254" t="str">
        <f t="shared" si="48"/>
        <v xml:space="preserve"> </v>
      </c>
      <c r="DE31" s="254" t="str">
        <f t="shared" si="49"/>
        <v xml:space="preserve"> </v>
      </c>
      <c r="DF31" s="374" t="str">
        <f>IF($A31="N/A"," ",IF(CC=2,(IF(MONTH(A31)&gt;=4,IF(MONTH(A31)&lt;=10,Inputs!$G$13,Inputs!$G$14),Inputs!$G$14))*$CK31,0))</f>
        <v xml:space="preserve"> </v>
      </c>
      <c r="DG31" s="373" t="str">
        <f t="shared" si="50"/>
        <v xml:space="preserve"> </v>
      </c>
      <c r="DH31" s="373" t="str">
        <f t="shared" si="51"/>
        <v xml:space="preserve"> </v>
      </c>
      <c r="DI31" s="373" t="str">
        <f t="shared" si="52"/>
        <v xml:space="preserve"> </v>
      </c>
      <c r="DJ31" s="373" t="str">
        <f t="shared" si="53"/>
        <v xml:space="preserve"> </v>
      </c>
      <c r="DK31" s="373" t="str">
        <f t="shared" si="54"/>
        <v xml:space="preserve"> </v>
      </c>
      <c r="DL31" s="373" t="str">
        <f t="shared" si="55"/>
        <v xml:space="preserve"> </v>
      </c>
      <c r="DM31" s="373" t="str">
        <f t="shared" si="56"/>
        <v xml:space="preserve"> </v>
      </c>
      <c r="DN31" s="373" t="str">
        <f t="shared" si="57"/>
        <v xml:space="preserve"> </v>
      </c>
      <c r="DO31" s="373" t="str">
        <f t="shared" si="58"/>
        <v xml:space="preserve"> </v>
      </c>
      <c r="DP31" s="375" t="str">
        <f t="shared" si="59"/>
        <v xml:space="preserve"> </v>
      </c>
      <c r="DQ31" t="str">
        <f t="shared" si="96"/>
        <v xml:space="preserve"> </v>
      </c>
      <c r="HD31" t="str">
        <f t="shared" si="97"/>
        <v xml:space="preserve"> </v>
      </c>
      <c r="HE31" t="str">
        <f t="shared" si="98"/>
        <v xml:space="preserve"> </v>
      </c>
      <c r="HF31" t="str">
        <f t="shared" si="99"/>
        <v xml:space="preserve"> </v>
      </c>
    </row>
    <row r="32" spans="1:214">
      <c r="A32" s="415" t="str">
        <f>IF(A31="N/A","N/A",IF(EDATE(A31,1)&gt;Inputs!$K$3,"N/A",EDATE(A31,1)))</f>
        <v>N/A</v>
      </c>
      <c r="B32" s="410" t="str">
        <f t="shared" si="60"/>
        <v xml:space="preserve"> </v>
      </c>
      <c r="C32" s="411" t="str">
        <f t="shared" si="61"/>
        <v xml:space="preserve"> </v>
      </c>
      <c r="D32" s="412" t="str">
        <f t="shared" si="62"/>
        <v xml:space="preserve"> </v>
      </c>
      <c r="E32" s="413" t="str">
        <f>IF($A32="N/A"," ",(C32-'Pricing Inputs'!T65)*D32)</f>
        <v xml:space="preserve"> </v>
      </c>
      <c r="F32" s="414" t="str">
        <f t="shared" si="116"/>
        <v xml:space="preserve"> </v>
      </c>
      <c r="G32" s="414" t="str">
        <f t="shared" si="64"/>
        <v xml:space="preserve"> </v>
      </c>
      <c r="H32" s="416" t="str">
        <f t="shared" si="65"/>
        <v xml:space="preserve"> </v>
      </c>
      <c r="I32" s="213" t="str">
        <f t="shared" si="0"/>
        <v xml:space="preserve"> </v>
      </c>
      <c r="J32" s="213" t="str">
        <f t="shared" si="1"/>
        <v xml:space="preserve"> </v>
      </c>
      <c r="K32" s="213" t="str">
        <f t="shared" si="2"/>
        <v xml:space="preserve"> </v>
      </c>
      <c r="L32" s="213" t="str">
        <f t="shared" si="3"/>
        <v xml:space="preserve"> </v>
      </c>
      <c r="M32" s="213" t="str">
        <f t="shared" si="4"/>
        <v xml:space="preserve"> </v>
      </c>
      <c r="N32" s="213" t="str">
        <f t="shared" si="5"/>
        <v xml:space="preserve"> </v>
      </c>
      <c r="O32" s="213" t="str">
        <f t="shared" si="6"/>
        <v xml:space="preserve"> </v>
      </c>
      <c r="P32" s="213" t="str">
        <f t="shared" si="7"/>
        <v xml:space="preserve"> </v>
      </c>
      <c r="Q32" s="213" t="str">
        <f t="shared" si="8"/>
        <v xml:space="preserve"> </v>
      </c>
      <c r="R32" s="405" t="str">
        <f>IF($A32="N/A"," ",IF(Pricetype=2,MAX(I32-$H32,0),IF(Pricetype=1,(_xll.xSPRDOPT(I32,$E32,$CI32,0,($CD32+IF(Smile=TRUE,VLOOKUP(MAX(-5,$H32-I32),Volsmile,2),0)),$CG32,$CH32,($A32-DateToday)+15,1,0)),I32-$H32)))</f>
        <v xml:space="preserve"> </v>
      </c>
      <c r="S32" s="405" t="str">
        <f>IF($A32="N/A"," ",IF(Pricetype=2,MAX(J32-$H32,0),IF(Pricetype=1,(_xll.xSPRDOPT(J32,$E32,$CI32,0,($CD32+IF(Smile=TRUE,VLOOKUP(MAX(-5,$H32-J32),Volsmile,2),0)),$CG32,$CH32,($A32-DateToday)+15,1,0)),J32-$H32)))</f>
        <v xml:space="preserve"> </v>
      </c>
      <c r="T32" s="406" t="str">
        <f t="shared" si="9"/>
        <v xml:space="preserve"> </v>
      </c>
      <c r="U32" s="405" t="str">
        <f>IF($A32="N/A"," ",IF(Pricetype=2,MAX(L32-$H32,0),IF(L32&lt;&gt;0,IF(Pricetype=1,(_xll.xSPRDOPT(L32,$E32,$CI32,0,($CD32+IF(Smile=TRUE,VLOOKUP(MAX(-5,$H32-L32),Volsmile,2),0)),$CG32,$CH32,($A32-DateToday)+15,1,0)),L32-$H32),0)))</f>
        <v xml:space="preserve"> </v>
      </c>
      <c r="V32" s="405" t="str">
        <f>IF($A32="N/A"," ",IF(Pricetype=2,MAX(M32-$H32,0),IF(M32&lt;&gt;0,IF(Pricetype=1,(_xll.xSPRDOPT(M32,$E32,$CI32,0,($CD32+IF(Smile=TRUE,VLOOKUP(MAX(-5,$H32-M32),Volsmile,2),0)),$CG32,$CH32,($A32-DateToday)+15,1,0)),M32-$H32),0)))</f>
        <v xml:space="preserve"> </v>
      </c>
      <c r="W32" s="406" t="str">
        <f t="shared" si="10"/>
        <v xml:space="preserve"> </v>
      </c>
      <c r="X32" s="405" t="str">
        <f>IF($A32="N/A"," ",IF(Pricetype=2,MAX(O32-$H32,0),IF(O32&lt;&gt;0,IF(Pricetype=1,(_xll.xSPRDOPT(O32,$E32,$CI32,0,($CD32+IF(Smile=TRUE,VLOOKUP(MAX(-5,$H32-O32),Volsmile,2),0)),$CG32,$CH32,($A32-DateToday)+15,1,0)),O32-$H32),0)))</f>
        <v xml:space="preserve"> </v>
      </c>
      <c r="Y32" s="405" t="str">
        <f>IF($A32="N/A"," ",IF(Pricetype=2,MAX(P32-$H32,0),IF(P32&lt;&gt;0,IF(Pricetype=1,(_xll.xSPRDOPT(P32,$E32,$CI32,0,($CD32+IF(Smile=TRUE,VLOOKUP(MAX(-5,$H32-P32),Volsmile,2),0)),$CG32,$CH32,($A32-DateToday)+15,1,0)),P32-$H32),0)))</f>
        <v xml:space="preserve"> </v>
      </c>
      <c r="Z32" s="406" t="str">
        <f t="shared" si="11"/>
        <v xml:space="preserve"> </v>
      </c>
      <c r="AA32" s="254" t="str">
        <f>IF($A32="N/A"," ",IF(VLOOKUP(MONTH(A32),ManualTable,2)=1,(IF(0&lt;&gt;R32,IF(Pricetype=1,(_xll.xSPRDOPT(I32,$E32,$CI32,0,($CD32+IF(Smile=TRUE,VLOOKUP(MAX(-5,$H32-I32),Volsmile,2),0)),$CG32,$CH32,($A32-DateToday)+15,1,1))*(8*$HD32),8*$HD32),0)),0))</f>
        <v xml:space="preserve"> </v>
      </c>
      <c r="AB32" s="254" t="str">
        <f>IF($A32="N/A"," ",IF(VLOOKUP(MONTH(A32),ManualTable,3)=1,(IF(S32&lt;&gt;0,IF(Pricetype=1,(_xll.xSPRDOPT(J32,$E32,$CI32,0,($CD32+IF(Smile=TRUE,VLOOKUP(MAX(-5,$H32-J32),Volsmile,2),0)),$CG32,$CH32,($A32-DateToday)+15,1,1))*(8*$HD32),8*$HD32),0)),0))</f>
        <v xml:space="preserve"> </v>
      </c>
      <c r="AC32" s="254" t="str">
        <f t="shared" si="66"/>
        <v xml:space="preserve"> </v>
      </c>
      <c r="AD32" s="254" t="str">
        <f>IF($A32="N/A"," ",IF(VLOOKUP(MONTH(A32),ManualTable,5)=1,(IF(U32&lt;&gt;0,IF(Pricetype=1,(_xll.xSPRDOPT(L32,$E32,$CI32,0,($CD32+IF(Smile=TRUE,VLOOKUP(MAX(-5,$H32-L32),Volsmile,2),0)),$CG32,$CH32,($A32-DateToday)+15,1,1))*(8*$HE32),8*$HE32),0)),0))</f>
        <v xml:space="preserve"> </v>
      </c>
      <c r="AE32" s="254" t="str">
        <f>IF($A32="N/A"," ",IF(VLOOKUP(MONTH(A32),ManualTable,6)=1,(IF(V32&lt;&gt;0,IF(Pricetype=1,(_xll.xSPRDOPT(M32,$E32,$CI32,0,($CD32+IF(Smile=TRUE,VLOOKUP(MAX(-5,$H32-M32),Volsmile,2),0)),$CG32,$CH32,($A32-DateToday)+15,1,1))*(8*$HE32),8*$HE32),0)),0))</f>
        <v xml:space="preserve"> </v>
      </c>
      <c r="AF32" s="254" t="str">
        <f t="shared" si="67"/>
        <v xml:space="preserve"> </v>
      </c>
      <c r="AG32" s="254" t="str">
        <f>IF($A32="N/A"," ",IF(VLOOKUP(MONTH(A32),ManualTable,8)=1,(IF(X32&lt;&gt;0,IF(Pricetype=1,(_xll.xSPRDOPT(O32,$E32,$CI32,0,($CD32+IF(Smile=TRUE,VLOOKUP(MAX(-5,$H32-O32),Volsmile,2),0)),$CG32,$CH32,($A32-DateToday)+15,1,1))*(8*$HF32),8*$HF32),0)),0))</f>
        <v xml:space="preserve"> </v>
      </c>
      <c r="AH32" s="254" t="str">
        <f>IF($A32="N/A"," ",IF(VLOOKUP(MONTH(A32),ManualTable,9)=1,(IF(Y32&lt;&gt;0,IF(Pricetype=1,(_xll.xSPRDOPT(P32,$E32,$CI32,0,($CD32+IF(Smile=TRUE,VLOOKUP(MAX(-5,$H32-P32),Volsmile,2),0)),$CG32,$CH32,($A32-DateToday)+15,1,1))*(8*$HF32),8*$HF32),0)),0))</f>
        <v xml:space="preserve"> </v>
      </c>
      <c r="AI32" s="254" t="str">
        <f t="shared" si="68"/>
        <v xml:space="preserve"> </v>
      </c>
      <c r="AJ32" s="227" t="str">
        <f t="shared" si="132"/>
        <v xml:space="preserve"> </v>
      </c>
      <c r="AK32" s="228" t="str">
        <f t="shared" si="123"/>
        <v xml:space="preserve"> </v>
      </c>
      <c r="AL32" s="228" t="str">
        <f t="shared" si="123"/>
        <v xml:space="preserve"> </v>
      </c>
      <c r="AM32" s="228" t="str">
        <f t="shared" si="133"/>
        <v xml:space="preserve"> </v>
      </c>
      <c r="AN32" s="228" t="str">
        <f t="shared" si="134"/>
        <v xml:space="preserve"> </v>
      </c>
      <c r="AO32" s="228" t="str">
        <f t="shared" si="134"/>
        <v xml:space="preserve"> </v>
      </c>
      <c r="AP32" s="228" t="str">
        <f t="shared" si="135"/>
        <v xml:space="preserve"> </v>
      </c>
      <c r="AQ32" s="228" t="str">
        <f t="shared" si="136"/>
        <v xml:space="preserve"> </v>
      </c>
      <c r="AR32" s="229" t="str">
        <f t="shared" si="137"/>
        <v xml:space="preserve"> </v>
      </c>
      <c r="AS32" s="262" t="str">
        <f t="shared" si="102"/>
        <v xml:space="preserve"> </v>
      </c>
      <c r="AT32" s="263" t="str">
        <f t="shared" si="103"/>
        <v xml:space="preserve"> </v>
      </c>
      <c r="AU32" s="263" t="str">
        <f t="shared" si="103"/>
        <v xml:space="preserve"> </v>
      </c>
      <c r="AV32" s="263" t="str">
        <f t="shared" si="104"/>
        <v xml:space="preserve"> </v>
      </c>
      <c r="AW32" s="263" t="str">
        <f t="shared" si="105"/>
        <v xml:space="preserve"> </v>
      </c>
      <c r="AX32" s="263" t="str">
        <f t="shared" si="105"/>
        <v xml:space="preserve"> </v>
      </c>
      <c r="AY32" s="263" t="str">
        <f t="shared" si="106"/>
        <v xml:space="preserve"> </v>
      </c>
      <c r="AZ32" s="263" t="str">
        <f t="shared" si="107"/>
        <v xml:space="preserve"> </v>
      </c>
      <c r="BA32" s="263" t="str">
        <f t="shared" si="108"/>
        <v xml:space="preserve"> </v>
      </c>
      <c r="BB32" s="229"/>
      <c r="BC32" s="266" t="str">
        <f t="shared" si="125"/>
        <v xml:space="preserve"> </v>
      </c>
      <c r="BD32" s="269" t="str">
        <f t="shared" si="126"/>
        <v xml:space="preserve"> </v>
      </c>
      <c r="BE32" s="269" t="str">
        <f t="shared" si="126"/>
        <v xml:space="preserve"> </v>
      </c>
      <c r="BF32" s="269" t="str">
        <f t="shared" si="127"/>
        <v xml:space="preserve"> </v>
      </c>
      <c r="BG32" s="269" t="str">
        <f t="shared" si="128"/>
        <v xml:space="preserve"> </v>
      </c>
      <c r="BH32" s="269" t="str">
        <f t="shared" si="128"/>
        <v xml:space="preserve"> </v>
      </c>
      <c r="BI32" s="269" t="str">
        <f t="shared" si="129"/>
        <v xml:space="preserve"> </v>
      </c>
      <c r="BJ32" s="269" t="str">
        <f t="shared" si="130"/>
        <v xml:space="preserve"> </v>
      </c>
      <c r="BK32" s="269" t="str">
        <f t="shared" si="131"/>
        <v xml:space="preserve"> </v>
      </c>
      <c r="BL32" s="229"/>
      <c r="BM32" s="220" t="str">
        <f>IF($A32="N/A"," ",(IF(MONTH(A32)&gt;=4,IF(MONTH(A32)&lt;=10,Inputs!$F$13-Inputs!$G$13,Inputs!$F$14-Inputs!$G$14),Inputs!$F$14-Inputs!$G$14))*$CK32*Availability)</f>
        <v xml:space="preserve"> </v>
      </c>
      <c r="BN32" s="221" t="str">
        <f t="shared" si="79"/>
        <v xml:space="preserve"> </v>
      </c>
      <c r="BO32" s="221" t="str">
        <f t="shared" si="80"/>
        <v xml:space="preserve"> </v>
      </c>
      <c r="BP32" s="221" t="str">
        <f t="shared" si="81"/>
        <v xml:space="preserve"> </v>
      </c>
      <c r="BQ32" s="221" t="str">
        <f t="shared" si="82"/>
        <v xml:space="preserve"> </v>
      </c>
      <c r="BR32" s="221" t="str">
        <f t="shared" si="83"/>
        <v xml:space="preserve"> </v>
      </c>
      <c r="BS32" s="221" t="str">
        <f t="shared" si="84"/>
        <v xml:space="preserve"> </v>
      </c>
      <c r="BT32" s="221" t="str">
        <f t="shared" si="85"/>
        <v xml:space="preserve"> </v>
      </c>
      <c r="BU32" s="221" t="str">
        <f t="shared" si="86"/>
        <v xml:space="preserve"> </v>
      </c>
      <c r="BV32" s="221" t="str">
        <f t="shared" si="87"/>
        <v xml:space="preserve"> </v>
      </c>
      <c r="BW32" s="221" t="str">
        <f t="shared" si="88"/>
        <v xml:space="preserve"> </v>
      </c>
      <c r="BX32" s="421" t="str">
        <f t="shared" si="89"/>
        <v xml:space="preserve"> </v>
      </c>
      <c r="BY32" s="417" t="str">
        <f t="shared" si="90"/>
        <v xml:space="preserve"> </v>
      </c>
      <c r="BZ32" s="417" t="str">
        <f t="shared" si="91"/>
        <v xml:space="preserve"> </v>
      </c>
      <c r="CA32" s="422" t="str">
        <f t="shared" si="92"/>
        <v xml:space="preserve"> </v>
      </c>
      <c r="CB32" s="347" t="str">
        <f t="shared" si="25"/>
        <v xml:space="preserve"> </v>
      </c>
      <c r="CC32" s="347" t="str">
        <f t="shared" si="93"/>
        <v xml:space="preserve"> </v>
      </c>
      <c r="CD32" s="348" t="str">
        <f t="shared" si="26"/>
        <v xml:space="preserve"> </v>
      </c>
      <c r="CE32" s="347" t="str">
        <f t="shared" si="27"/>
        <v xml:space="preserve"> </v>
      </c>
      <c r="CF32" s="347" t="str">
        <f t="shared" si="28"/>
        <v xml:space="preserve"> </v>
      </c>
      <c r="CG32" s="348" t="str">
        <f t="shared" si="29"/>
        <v xml:space="preserve"> </v>
      </c>
      <c r="CH32" s="347" t="str">
        <f t="shared" si="94"/>
        <v xml:space="preserve"> </v>
      </c>
      <c r="CI32" s="349" t="str">
        <f>IF($A32="N/A"," ",F32+G32+(D32*('Pricing Inputs'!T65)))</f>
        <v xml:space="preserve"> </v>
      </c>
      <c r="CJ32" s="347" t="str">
        <f>IF($A32="N/A"," ",IF(PV=1,0,'Pricing Inputs'!U65))</f>
        <v xml:space="preserve"> </v>
      </c>
      <c r="CK32" s="350" t="str">
        <f t="shared" si="30"/>
        <v xml:space="preserve"> </v>
      </c>
      <c r="CL32" s="365" t="str">
        <f t="shared" si="31"/>
        <v xml:space="preserve"> </v>
      </c>
      <c r="CM32" s="380" t="str">
        <f t="shared" si="95"/>
        <v xml:space="preserve"> </v>
      </c>
      <c r="CN32" s="378" t="str">
        <f t="shared" si="32"/>
        <v xml:space="preserve"> </v>
      </c>
      <c r="CO32" s="378" t="str">
        <f t="shared" si="33"/>
        <v xml:space="preserve"> </v>
      </c>
      <c r="CP32" s="378" t="str">
        <f t="shared" si="34"/>
        <v xml:space="preserve"> </v>
      </c>
      <c r="CQ32" s="378" t="str">
        <f t="shared" si="35"/>
        <v xml:space="preserve"> </v>
      </c>
      <c r="CR32" s="378" t="str">
        <f t="shared" si="36"/>
        <v xml:space="preserve"> </v>
      </c>
      <c r="CS32" s="378" t="str">
        <f t="shared" si="37"/>
        <v xml:space="preserve"> </v>
      </c>
      <c r="CT32" s="378" t="str">
        <f t="shared" si="38"/>
        <v xml:space="preserve"> </v>
      </c>
      <c r="CU32" s="378" t="str">
        <f t="shared" si="39"/>
        <v xml:space="preserve"> </v>
      </c>
      <c r="CV32" s="378" t="str">
        <f t="shared" si="40"/>
        <v xml:space="preserve"> </v>
      </c>
      <c r="CW32" s="254" t="str">
        <f t="shared" si="41"/>
        <v xml:space="preserve"> </v>
      </c>
      <c r="CX32" s="254" t="str">
        <f t="shared" si="42"/>
        <v xml:space="preserve"> </v>
      </c>
      <c r="CY32" s="254" t="str">
        <f t="shared" si="43"/>
        <v xml:space="preserve"> </v>
      </c>
      <c r="CZ32" s="254" t="str">
        <f t="shared" si="44"/>
        <v xml:space="preserve"> </v>
      </c>
      <c r="DA32" s="254" t="str">
        <f t="shared" si="45"/>
        <v xml:space="preserve"> </v>
      </c>
      <c r="DB32" s="254" t="str">
        <f t="shared" si="46"/>
        <v xml:space="preserve"> </v>
      </c>
      <c r="DC32" s="254" t="str">
        <f t="shared" si="47"/>
        <v xml:space="preserve"> </v>
      </c>
      <c r="DD32" s="254" t="str">
        <f t="shared" si="48"/>
        <v xml:space="preserve"> </v>
      </c>
      <c r="DE32" s="254" t="str">
        <f t="shared" si="49"/>
        <v xml:space="preserve"> </v>
      </c>
      <c r="DF32" s="374" t="str">
        <f>IF($A32="N/A"," ",IF(CC=2,(IF(MONTH(A32)&gt;=4,IF(MONTH(A32)&lt;=10,Inputs!$G$13,Inputs!$G$14),Inputs!$G$14))*$CK32,0))</f>
        <v xml:space="preserve"> </v>
      </c>
      <c r="DG32" s="373" t="str">
        <f t="shared" si="50"/>
        <v xml:space="preserve"> </v>
      </c>
      <c r="DH32" s="373" t="str">
        <f t="shared" si="51"/>
        <v xml:space="preserve"> </v>
      </c>
      <c r="DI32" s="373" t="str">
        <f t="shared" si="52"/>
        <v xml:space="preserve"> </v>
      </c>
      <c r="DJ32" s="373" t="str">
        <f t="shared" si="53"/>
        <v xml:space="preserve"> </v>
      </c>
      <c r="DK32" s="373" t="str">
        <f t="shared" si="54"/>
        <v xml:space="preserve"> </v>
      </c>
      <c r="DL32" s="373" t="str">
        <f t="shared" si="55"/>
        <v xml:space="preserve"> </v>
      </c>
      <c r="DM32" s="373" t="str">
        <f t="shared" si="56"/>
        <v xml:space="preserve"> </v>
      </c>
      <c r="DN32" s="373" t="str">
        <f t="shared" si="57"/>
        <v xml:space="preserve"> </v>
      </c>
      <c r="DO32" s="373" t="str">
        <f t="shared" si="58"/>
        <v xml:space="preserve"> </v>
      </c>
      <c r="DP32" s="375" t="str">
        <f t="shared" si="59"/>
        <v xml:space="preserve"> </v>
      </c>
      <c r="DQ32" t="str">
        <f t="shared" si="96"/>
        <v xml:space="preserve"> </v>
      </c>
      <c r="HD32" t="str">
        <f t="shared" si="97"/>
        <v xml:space="preserve"> </v>
      </c>
      <c r="HE32" t="str">
        <f t="shared" si="98"/>
        <v xml:space="preserve"> </v>
      </c>
      <c r="HF32" t="str">
        <f t="shared" si="99"/>
        <v xml:space="preserve"> </v>
      </c>
    </row>
    <row r="33" spans="1:214">
      <c r="A33" s="415" t="str">
        <f>IF(A32="N/A","N/A",IF(EDATE(A32,1)&gt;Inputs!$K$3,"N/A",EDATE(A32,1)))</f>
        <v>N/A</v>
      </c>
      <c r="B33" s="410" t="str">
        <f t="shared" si="60"/>
        <v xml:space="preserve"> </v>
      </c>
      <c r="C33" s="411" t="str">
        <f t="shared" si="61"/>
        <v xml:space="preserve"> </v>
      </c>
      <c r="D33" s="412" t="str">
        <f t="shared" si="62"/>
        <v xml:space="preserve"> </v>
      </c>
      <c r="E33" s="413" t="str">
        <f>IF($A33="N/A"," ",(C33-'Pricing Inputs'!T66)*D33)</f>
        <v xml:space="preserve"> </v>
      </c>
      <c r="F33" s="414" t="str">
        <f t="shared" si="116"/>
        <v xml:space="preserve"> </v>
      </c>
      <c r="G33" s="414" t="str">
        <f t="shared" si="64"/>
        <v xml:space="preserve"> </v>
      </c>
      <c r="H33" s="416" t="str">
        <f t="shared" si="65"/>
        <v xml:space="preserve"> </v>
      </c>
      <c r="I33" s="213" t="str">
        <f t="shared" si="0"/>
        <v xml:space="preserve"> </v>
      </c>
      <c r="J33" s="213" t="str">
        <f t="shared" si="1"/>
        <v xml:space="preserve"> </v>
      </c>
      <c r="K33" s="213" t="str">
        <f t="shared" si="2"/>
        <v xml:space="preserve"> </v>
      </c>
      <c r="L33" s="213" t="str">
        <f t="shared" si="3"/>
        <v xml:space="preserve"> </v>
      </c>
      <c r="M33" s="213" t="str">
        <f t="shared" si="4"/>
        <v xml:space="preserve"> </v>
      </c>
      <c r="N33" s="213" t="str">
        <f t="shared" si="5"/>
        <v xml:space="preserve"> </v>
      </c>
      <c r="O33" s="213" t="str">
        <f t="shared" si="6"/>
        <v xml:space="preserve"> </v>
      </c>
      <c r="P33" s="213" t="str">
        <f t="shared" si="7"/>
        <v xml:space="preserve"> </v>
      </c>
      <c r="Q33" s="213" t="str">
        <f t="shared" si="8"/>
        <v xml:space="preserve"> </v>
      </c>
      <c r="R33" s="405" t="str">
        <f>IF($A33="N/A"," ",IF(Pricetype=2,MAX(I33-$H33,0),IF(Pricetype=1,(_xll.xSPRDOPT(I33,$E33,$CI33,0,($CD33+IF(Smile=TRUE,VLOOKUP(MAX(-5,$H33-I33),Volsmile,2),0)),$CG33,$CH33,($A33-DateToday)+15,1,0)),I33-$H33)))</f>
        <v xml:space="preserve"> </v>
      </c>
      <c r="S33" s="405" t="str">
        <f>IF($A33="N/A"," ",IF(Pricetype=2,MAX(J33-$H33,0),IF(Pricetype=1,(_xll.xSPRDOPT(J33,$E33,$CI33,0,($CD33+IF(Smile=TRUE,VLOOKUP(MAX(-5,$H33-J33),Volsmile,2),0)),$CG33,$CH33,($A33-DateToday)+15,1,0)),J33-$H33)))</f>
        <v xml:space="preserve"> </v>
      </c>
      <c r="T33" s="406" t="str">
        <f t="shared" si="9"/>
        <v xml:space="preserve"> </v>
      </c>
      <c r="U33" s="405" t="str">
        <f>IF($A33="N/A"," ",IF(Pricetype=2,MAX(L33-$H33,0),IF(L33&lt;&gt;0,IF(Pricetype=1,(_xll.xSPRDOPT(L33,$E33,$CI33,0,($CD33+IF(Smile=TRUE,VLOOKUP(MAX(-5,$H33-L33),Volsmile,2),0)),$CG33,$CH33,($A33-DateToday)+15,1,0)),L33-$H33),0)))</f>
        <v xml:space="preserve"> </v>
      </c>
      <c r="V33" s="405" t="str">
        <f>IF($A33="N/A"," ",IF(Pricetype=2,MAX(M33-$H33,0),IF(M33&lt;&gt;0,IF(Pricetype=1,(_xll.xSPRDOPT(M33,$E33,$CI33,0,($CD33+IF(Smile=TRUE,VLOOKUP(MAX(-5,$H33-M33),Volsmile,2),0)),$CG33,$CH33,($A33-DateToday)+15,1,0)),M33-$H33),0)))</f>
        <v xml:space="preserve"> </v>
      </c>
      <c r="W33" s="406" t="str">
        <f t="shared" si="10"/>
        <v xml:space="preserve"> </v>
      </c>
      <c r="X33" s="405" t="str">
        <f>IF($A33="N/A"," ",IF(Pricetype=2,MAX(O33-$H33,0),IF(O33&lt;&gt;0,IF(Pricetype=1,(_xll.xSPRDOPT(O33,$E33,$CI33,0,($CD33+IF(Smile=TRUE,VLOOKUP(MAX(-5,$H33-O33),Volsmile,2),0)),$CG33,$CH33,($A33-DateToday)+15,1,0)),O33-$H33),0)))</f>
        <v xml:space="preserve"> </v>
      </c>
      <c r="Y33" s="405" t="str">
        <f>IF($A33="N/A"," ",IF(Pricetype=2,MAX(P33-$H33,0),IF(P33&lt;&gt;0,IF(Pricetype=1,(_xll.xSPRDOPT(P33,$E33,$CI33,0,($CD33+IF(Smile=TRUE,VLOOKUP(MAX(-5,$H33-P33),Volsmile,2),0)),$CG33,$CH33,($A33-DateToday)+15,1,0)),P33-$H33),0)))</f>
        <v xml:space="preserve"> </v>
      </c>
      <c r="Z33" s="406" t="str">
        <f t="shared" si="11"/>
        <v xml:space="preserve"> </v>
      </c>
      <c r="AA33" s="254" t="str">
        <f>IF($A33="N/A"," ",IF(VLOOKUP(MONTH(A33),ManualTable,2)=1,(IF(0&lt;&gt;R33,IF(Pricetype=1,(_xll.xSPRDOPT(I33,$E33,$CI33,0,($CD33+IF(Smile=TRUE,VLOOKUP(MAX(-5,$H33-I33),Volsmile,2),0)),$CG33,$CH33,($A33-DateToday)+15,1,1))*(8*$HD33),8*$HD33),0)),0))</f>
        <v xml:space="preserve"> </v>
      </c>
      <c r="AB33" s="254" t="str">
        <f>IF($A33="N/A"," ",IF(VLOOKUP(MONTH(A33),ManualTable,3)=1,(IF(S33&lt;&gt;0,IF(Pricetype=1,(_xll.xSPRDOPT(J33,$E33,$CI33,0,($CD33+IF(Smile=TRUE,VLOOKUP(MAX(-5,$H33-J33),Volsmile,2),0)),$CG33,$CH33,($A33-DateToday)+15,1,1))*(8*$HD33),8*$HD33),0)),0))</f>
        <v xml:space="preserve"> </v>
      </c>
      <c r="AC33" s="254" t="str">
        <f t="shared" si="66"/>
        <v xml:space="preserve"> </v>
      </c>
      <c r="AD33" s="254" t="str">
        <f>IF($A33="N/A"," ",IF(VLOOKUP(MONTH(A33),ManualTable,5)=1,(IF(U33&lt;&gt;0,IF(Pricetype=1,(_xll.xSPRDOPT(L33,$E33,$CI33,0,($CD33+IF(Smile=TRUE,VLOOKUP(MAX(-5,$H33-L33),Volsmile,2),0)),$CG33,$CH33,($A33-DateToday)+15,1,1))*(8*$HE33),8*$HE33),0)),0))</f>
        <v xml:space="preserve"> </v>
      </c>
      <c r="AE33" s="254" t="str">
        <f>IF($A33="N/A"," ",IF(VLOOKUP(MONTH(A33),ManualTable,6)=1,(IF(V33&lt;&gt;0,IF(Pricetype=1,(_xll.xSPRDOPT(M33,$E33,$CI33,0,($CD33+IF(Smile=TRUE,VLOOKUP(MAX(-5,$H33-M33),Volsmile,2),0)),$CG33,$CH33,($A33-DateToday)+15,1,1))*(8*$HE33),8*$HE33),0)),0))</f>
        <v xml:space="preserve"> </v>
      </c>
      <c r="AF33" s="254" t="str">
        <f t="shared" si="67"/>
        <v xml:space="preserve"> </v>
      </c>
      <c r="AG33" s="254" t="str">
        <f>IF($A33="N/A"," ",IF(VLOOKUP(MONTH(A33),ManualTable,8)=1,(IF(X33&lt;&gt;0,IF(Pricetype=1,(_xll.xSPRDOPT(O33,$E33,$CI33,0,($CD33+IF(Smile=TRUE,VLOOKUP(MAX(-5,$H33-O33),Volsmile,2),0)),$CG33,$CH33,($A33-DateToday)+15,1,1))*(8*$HF33),8*$HF33),0)),0))</f>
        <v xml:space="preserve"> </v>
      </c>
      <c r="AH33" s="254" t="str">
        <f>IF($A33="N/A"," ",IF(VLOOKUP(MONTH(A33),ManualTable,9)=1,(IF(Y33&lt;&gt;0,IF(Pricetype=1,(_xll.xSPRDOPT(P33,$E33,$CI33,0,($CD33+IF(Smile=TRUE,VLOOKUP(MAX(-5,$H33-P33),Volsmile,2),0)),$CG33,$CH33,($A33-DateToday)+15,1,1))*(8*$HF33),8*$HF33),0)),0))</f>
        <v xml:space="preserve"> </v>
      </c>
      <c r="AI33" s="254" t="str">
        <f t="shared" si="68"/>
        <v xml:space="preserve"> </v>
      </c>
      <c r="AJ33" s="227" t="str">
        <f t="shared" si="132"/>
        <v xml:space="preserve"> </v>
      </c>
      <c r="AK33" s="228" t="str">
        <f t="shared" si="123"/>
        <v xml:space="preserve"> </v>
      </c>
      <c r="AL33" s="228" t="str">
        <f t="shared" si="123"/>
        <v xml:space="preserve"> </v>
      </c>
      <c r="AM33" s="228" t="str">
        <f t="shared" si="133"/>
        <v xml:space="preserve"> </v>
      </c>
      <c r="AN33" s="228" t="str">
        <f t="shared" si="134"/>
        <v xml:space="preserve"> </v>
      </c>
      <c r="AO33" s="228" t="str">
        <f t="shared" si="134"/>
        <v xml:space="preserve"> </v>
      </c>
      <c r="AP33" s="228" t="str">
        <f t="shared" si="135"/>
        <v xml:space="preserve"> </v>
      </c>
      <c r="AQ33" s="228" t="str">
        <f t="shared" si="136"/>
        <v xml:space="preserve"> </v>
      </c>
      <c r="AR33" s="229" t="str">
        <f t="shared" si="137"/>
        <v xml:space="preserve"> </v>
      </c>
      <c r="AS33" s="262" t="str">
        <f t="shared" si="102"/>
        <v xml:space="preserve"> </v>
      </c>
      <c r="AT33" s="263" t="str">
        <f t="shared" si="103"/>
        <v xml:space="preserve"> </v>
      </c>
      <c r="AU33" s="263" t="str">
        <f t="shared" si="103"/>
        <v xml:space="preserve"> </v>
      </c>
      <c r="AV33" s="263" t="str">
        <f t="shared" si="104"/>
        <v xml:space="preserve"> </v>
      </c>
      <c r="AW33" s="263" t="str">
        <f t="shared" si="105"/>
        <v xml:space="preserve"> </v>
      </c>
      <c r="AX33" s="263" t="str">
        <f t="shared" si="105"/>
        <v xml:space="preserve"> </v>
      </c>
      <c r="AY33" s="263" t="str">
        <f t="shared" si="106"/>
        <v xml:space="preserve"> </v>
      </c>
      <c r="AZ33" s="263" t="str">
        <f t="shared" si="107"/>
        <v xml:space="preserve"> </v>
      </c>
      <c r="BA33" s="263" t="str">
        <f t="shared" si="108"/>
        <v xml:space="preserve"> </v>
      </c>
      <c r="BB33" s="229"/>
      <c r="BC33" s="266" t="str">
        <f t="shared" si="125"/>
        <v xml:space="preserve"> </v>
      </c>
      <c r="BD33" s="269" t="str">
        <f t="shared" si="126"/>
        <v xml:space="preserve"> </v>
      </c>
      <c r="BE33" s="269" t="str">
        <f t="shared" si="126"/>
        <v xml:space="preserve"> </v>
      </c>
      <c r="BF33" s="269" t="str">
        <f t="shared" si="127"/>
        <v xml:space="preserve"> </v>
      </c>
      <c r="BG33" s="269" t="str">
        <f t="shared" si="128"/>
        <v xml:space="preserve"> </v>
      </c>
      <c r="BH33" s="269" t="str">
        <f t="shared" si="128"/>
        <v xml:space="preserve"> </v>
      </c>
      <c r="BI33" s="269" t="str">
        <f t="shared" si="129"/>
        <v xml:space="preserve"> </v>
      </c>
      <c r="BJ33" s="269" t="str">
        <f t="shared" si="130"/>
        <v xml:space="preserve"> </v>
      </c>
      <c r="BK33" s="269" t="str">
        <f t="shared" si="131"/>
        <v xml:space="preserve"> </v>
      </c>
      <c r="BL33" s="229"/>
      <c r="BM33" s="220" t="str">
        <f>IF($A33="N/A"," ",(IF(MONTH(A33)&gt;=4,IF(MONTH(A33)&lt;=10,Inputs!$F$13-Inputs!$G$13,Inputs!$F$14-Inputs!$G$14),Inputs!$F$14-Inputs!$G$14))*$CK33*Availability)</f>
        <v xml:space="preserve"> </v>
      </c>
      <c r="BN33" s="221" t="str">
        <f t="shared" si="79"/>
        <v xml:space="preserve"> </v>
      </c>
      <c r="BO33" s="221" t="str">
        <f t="shared" si="80"/>
        <v xml:space="preserve"> </v>
      </c>
      <c r="BP33" s="221" t="str">
        <f t="shared" si="81"/>
        <v xml:space="preserve"> </v>
      </c>
      <c r="BQ33" s="221" t="str">
        <f t="shared" si="82"/>
        <v xml:space="preserve"> </v>
      </c>
      <c r="BR33" s="221" t="str">
        <f t="shared" si="83"/>
        <v xml:space="preserve"> </v>
      </c>
      <c r="BS33" s="221" t="str">
        <f t="shared" si="84"/>
        <v xml:space="preserve"> </v>
      </c>
      <c r="BT33" s="221" t="str">
        <f t="shared" si="85"/>
        <v xml:space="preserve"> </v>
      </c>
      <c r="BU33" s="221" t="str">
        <f t="shared" si="86"/>
        <v xml:space="preserve"> </v>
      </c>
      <c r="BV33" s="221" t="str">
        <f t="shared" si="87"/>
        <v xml:space="preserve"> </v>
      </c>
      <c r="BW33" s="221" t="str">
        <f t="shared" si="88"/>
        <v xml:space="preserve"> </v>
      </c>
      <c r="BX33" s="421" t="str">
        <f t="shared" si="89"/>
        <v xml:space="preserve"> </v>
      </c>
      <c r="BY33" s="417" t="str">
        <f t="shared" si="90"/>
        <v xml:space="preserve"> </v>
      </c>
      <c r="BZ33" s="417" t="str">
        <f t="shared" si="91"/>
        <v xml:space="preserve"> </v>
      </c>
      <c r="CA33" s="422" t="str">
        <f t="shared" si="92"/>
        <v xml:space="preserve"> </v>
      </c>
      <c r="CB33" s="347" t="str">
        <f t="shared" si="25"/>
        <v xml:space="preserve"> </v>
      </c>
      <c r="CC33" s="347" t="str">
        <f t="shared" si="93"/>
        <v xml:space="preserve"> </v>
      </c>
      <c r="CD33" s="348" t="str">
        <f t="shared" si="26"/>
        <v xml:space="preserve"> </v>
      </c>
      <c r="CE33" s="347" t="str">
        <f t="shared" si="27"/>
        <v xml:space="preserve"> </v>
      </c>
      <c r="CF33" s="347" t="str">
        <f t="shared" si="28"/>
        <v xml:space="preserve"> </v>
      </c>
      <c r="CG33" s="348" t="str">
        <f t="shared" si="29"/>
        <v xml:space="preserve"> </v>
      </c>
      <c r="CH33" s="347" t="str">
        <f t="shared" si="94"/>
        <v xml:space="preserve"> </v>
      </c>
      <c r="CI33" s="349" t="str">
        <f>IF($A33="N/A"," ",F33+G33+(D33*('Pricing Inputs'!T66)))</f>
        <v xml:space="preserve"> </v>
      </c>
      <c r="CJ33" s="347" t="str">
        <f>IF($A33="N/A"," ",IF(PV=1,0,'Pricing Inputs'!U66))</f>
        <v xml:space="preserve"> </v>
      </c>
      <c r="CK33" s="350" t="str">
        <f t="shared" si="30"/>
        <v xml:space="preserve"> </v>
      </c>
      <c r="CL33" s="365" t="str">
        <f t="shared" si="31"/>
        <v xml:space="preserve"> </v>
      </c>
      <c r="CM33" s="380" t="str">
        <f t="shared" si="95"/>
        <v xml:space="preserve"> </v>
      </c>
      <c r="CN33" s="378" t="str">
        <f t="shared" si="32"/>
        <v xml:space="preserve"> </v>
      </c>
      <c r="CO33" s="378" t="str">
        <f t="shared" si="33"/>
        <v xml:space="preserve"> </v>
      </c>
      <c r="CP33" s="378" t="str">
        <f t="shared" si="34"/>
        <v xml:space="preserve"> </v>
      </c>
      <c r="CQ33" s="378" t="str">
        <f t="shared" si="35"/>
        <v xml:space="preserve"> </v>
      </c>
      <c r="CR33" s="378" t="str">
        <f t="shared" si="36"/>
        <v xml:space="preserve"> </v>
      </c>
      <c r="CS33" s="378" t="str">
        <f t="shared" si="37"/>
        <v xml:space="preserve"> </v>
      </c>
      <c r="CT33" s="378" t="str">
        <f t="shared" si="38"/>
        <v xml:space="preserve"> </v>
      </c>
      <c r="CU33" s="378" t="str">
        <f t="shared" si="39"/>
        <v xml:space="preserve"> </v>
      </c>
      <c r="CV33" s="378" t="str">
        <f t="shared" si="40"/>
        <v xml:space="preserve"> </v>
      </c>
      <c r="CW33" s="254" t="str">
        <f t="shared" si="41"/>
        <v xml:space="preserve"> </v>
      </c>
      <c r="CX33" s="254" t="str">
        <f t="shared" si="42"/>
        <v xml:space="preserve"> </v>
      </c>
      <c r="CY33" s="254" t="str">
        <f t="shared" si="43"/>
        <v xml:space="preserve"> </v>
      </c>
      <c r="CZ33" s="254" t="str">
        <f t="shared" si="44"/>
        <v xml:space="preserve"> </v>
      </c>
      <c r="DA33" s="254" t="str">
        <f t="shared" si="45"/>
        <v xml:space="preserve"> </v>
      </c>
      <c r="DB33" s="254" t="str">
        <f t="shared" si="46"/>
        <v xml:space="preserve"> </v>
      </c>
      <c r="DC33" s="254" t="str">
        <f t="shared" si="47"/>
        <v xml:space="preserve"> </v>
      </c>
      <c r="DD33" s="254" t="str">
        <f t="shared" si="48"/>
        <v xml:space="preserve"> </v>
      </c>
      <c r="DE33" s="254" t="str">
        <f t="shared" si="49"/>
        <v xml:space="preserve"> </v>
      </c>
      <c r="DF33" s="374" t="str">
        <f>IF($A33="N/A"," ",IF(CC=2,(IF(MONTH(A33)&gt;=4,IF(MONTH(A33)&lt;=10,Inputs!$G$13,Inputs!$G$14),Inputs!$G$14))*$CK33,0))</f>
        <v xml:space="preserve"> </v>
      </c>
      <c r="DG33" s="373" t="str">
        <f t="shared" si="50"/>
        <v xml:space="preserve"> </v>
      </c>
      <c r="DH33" s="373" t="str">
        <f t="shared" si="51"/>
        <v xml:space="preserve"> </v>
      </c>
      <c r="DI33" s="373" t="str">
        <f t="shared" si="52"/>
        <v xml:space="preserve"> </v>
      </c>
      <c r="DJ33" s="373" t="str">
        <f t="shared" si="53"/>
        <v xml:space="preserve"> </v>
      </c>
      <c r="DK33" s="373" t="str">
        <f t="shared" si="54"/>
        <v xml:space="preserve"> </v>
      </c>
      <c r="DL33" s="373" t="str">
        <f t="shared" si="55"/>
        <v xml:space="preserve"> </v>
      </c>
      <c r="DM33" s="373" t="str">
        <f t="shared" si="56"/>
        <v xml:space="preserve"> </v>
      </c>
      <c r="DN33" s="373" t="str">
        <f t="shared" si="57"/>
        <v xml:space="preserve"> </v>
      </c>
      <c r="DO33" s="373" t="str">
        <f t="shared" si="58"/>
        <v xml:space="preserve"> </v>
      </c>
      <c r="DP33" s="375" t="str">
        <f t="shared" si="59"/>
        <v xml:space="preserve"> </v>
      </c>
      <c r="DQ33" t="str">
        <f t="shared" si="96"/>
        <v xml:space="preserve"> </v>
      </c>
      <c r="HD33" t="str">
        <f t="shared" si="97"/>
        <v xml:space="preserve"> </v>
      </c>
      <c r="HE33" t="str">
        <f t="shared" si="98"/>
        <v xml:space="preserve"> </v>
      </c>
      <c r="HF33" t="str">
        <f t="shared" si="99"/>
        <v xml:space="preserve"> </v>
      </c>
    </row>
    <row r="34" spans="1:214">
      <c r="A34" s="415" t="str">
        <f>IF(A33="N/A","N/A",IF(EDATE(A33,1)&gt;Inputs!$K$3,"N/A",EDATE(A33,1)))</f>
        <v>N/A</v>
      </c>
      <c r="B34" s="410" t="str">
        <f t="shared" si="60"/>
        <v xml:space="preserve"> </v>
      </c>
      <c r="C34" s="411" t="str">
        <f t="shared" si="61"/>
        <v xml:space="preserve"> </v>
      </c>
      <c r="D34" s="412" t="str">
        <f t="shared" si="62"/>
        <v xml:space="preserve"> </v>
      </c>
      <c r="E34" s="413" t="str">
        <f>IF($A34="N/A"," ",(C34-'Pricing Inputs'!T67)*D34)</f>
        <v xml:space="preserve"> </v>
      </c>
      <c r="F34" s="414" t="str">
        <f t="shared" si="116"/>
        <v xml:space="preserve"> </v>
      </c>
      <c r="G34" s="414" t="str">
        <f t="shared" si="64"/>
        <v xml:space="preserve"> </v>
      </c>
      <c r="H34" s="416" t="str">
        <f t="shared" si="65"/>
        <v xml:space="preserve"> </v>
      </c>
      <c r="I34" s="213" t="str">
        <f t="shared" si="0"/>
        <v xml:space="preserve"> </v>
      </c>
      <c r="J34" s="213" t="str">
        <f t="shared" si="1"/>
        <v xml:space="preserve"> </v>
      </c>
      <c r="K34" s="213" t="str">
        <f t="shared" si="2"/>
        <v xml:space="preserve"> </v>
      </c>
      <c r="L34" s="213" t="str">
        <f t="shared" si="3"/>
        <v xml:space="preserve"> </v>
      </c>
      <c r="M34" s="213" t="str">
        <f t="shared" si="4"/>
        <v xml:space="preserve"> </v>
      </c>
      <c r="N34" s="213" t="str">
        <f t="shared" si="5"/>
        <v xml:space="preserve"> </v>
      </c>
      <c r="O34" s="213" t="str">
        <f t="shared" si="6"/>
        <v xml:space="preserve"> </v>
      </c>
      <c r="P34" s="213" t="str">
        <f t="shared" si="7"/>
        <v xml:space="preserve"> </v>
      </c>
      <c r="Q34" s="213" t="str">
        <f t="shared" si="8"/>
        <v xml:space="preserve"> </v>
      </c>
      <c r="R34" s="405" t="str">
        <f>IF($A34="N/A"," ",IF(Pricetype=2,MAX(I34-$H34,0),IF(Pricetype=1,(_xll.xSPRDOPT(I34,$E34,$CI34,0,($CD34+IF(Smile=TRUE,VLOOKUP(MAX(-5,$H34-I34),Volsmile,2),0)),$CG34,$CH34,($A34-DateToday)+15,1,0)),I34-$H34)))</f>
        <v xml:space="preserve"> </v>
      </c>
      <c r="S34" s="405" t="str">
        <f>IF($A34="N/A"," ",IF(Pricetype=2,MAX(J34-$H34,0),IF(Pricetype=1,(_xll.xSPRDOPT(J34,$E34,$CI34,0,($CD34+IF(Smile=TRUE,VLOOKUP(MAX(-5,$H34-J34),Volsmile,2),0)),$CG34,$CH34,($A34-DateToday)+15,1,0)),J34-$H34)))</f>
        <v xml:space="preserve"> </v>
      </c>
      <c r="T34" s="406" t="str">
        <f t="shared" si="9"/>
        <v xml:space="preserve"> </v>
      </c>
      <c r="U34" s="405" t="str">
        <f>IF($A34="N/A"," ",IF(Pricetype=2,MAX(L34-$H34,0),IF(L34&lt;&gt;0,IF(Pricetype=1,(_xll.xSPRDOPT(L34,$E34,$CI34,0,($CD34+IF(Smile=TRUE,VLOOKUP(MAX(-5,$H34-L34),Volsmile,2),0)),$CG34,$CH34,($A34-DateToday)+15,1,0)),L34-$H34),0)))</f>
        <v xml:space="preserve"> </v>
      </c>
      <c r="V34" s="405" t="str">
        <f>IF($A34="N/A"," ",IF(Pricetype=2,MAX(M34-$H34,0),IF(M34&lt;&gt;0,IF(Pricetype=1,(_xll.xSPRDOPT(M34,$E34,$CI34,0,($CD34+IF(Smile=TRUE,VLOOKUP(MAX(-5,$H34-M34),Volsmile,2),0)),$CG34,$CH34,($A34-DateToday)+15,1,0)),M34-$H34),0)))</f>
        <v xml:space="preserve"> </v>
      </c>
      <c r="W34" s="406" t="str">
        <f t="shared" si="10"/>
        <v xml:space="preserve"> </v>
      </c>
      <c r="X34" s="405" t="str">
        <f>IF($A34="N/A"," ",IF(Pricetype=2,MAX(O34-$H34,0),IF(O34&lt;&gt;0,IF(Pricetype=1,(_xll.xSPRDOPT(O34,$E34,$CI34,0,($CD34+IF(Smile=TRUE,VLOOKUP(MAX(-5,$H34-O34),Volsmile,2),0)),$CG34,$CH34,($A34-DateToday)+15,1,0)),O34-$H34),0)))</f>
        <v xml:space="preserve"> </v>
      </c>
      <c r="Y34" s="405" t="str">
        <f>IF($A34="N/A"," ",IF(Pricetype=2,MAX(P34-$H34,0),IF(P34&lt;&gt;0,IF(Pricetype=1,(_xll.xSPRDOPT(P34,$E34,$CI34,0,($CD34+IF(Smile=TRUE,VLOOKUP(MAX(-5,$H34-P34),Volsmile,2),0)),$CG34,$CH34,($A34-DateToday)+15,1,0)),P34-$H34),0)))</f>
        <v xml:space="preserve"> </v>
      </c>
      <c r="Z34" s="406" t="str">
        <f t="shared" si="11"/>
        <v xml:space="preserve"> </v>
      </c>
      <c r="AA34" s="254" t="str">
        <f>IF($A34="N/A"," ",IF(VLOOKUP(MONTH(A34),ManualTable,2)=1,(IF(0&lt;&gt;R34,IF(Pricetype=1,(_xll.xSPRDOPT(I34,$E34,$CI34,0,($CD34+IF(Smile=TRUE,VLOOKUP(MAX(-5,$H34-I34),Volsmile,2),0)),$CG34,$CH34,($A34-DateToday)+15,1,1))*(8*$HD34),8*$HD34),0)),0))</f>
        <v xml:space="preserve"> </v>
      </c>
      <c r="AB34" s="254" t="str">
        <f>IF($A34="N/A"," ",IF(VLOOKUP(MONTH(A34),ManualTable,3)=1,(IF(S34&lt;&gt;0,IF(Pricetype=1,(_xll.xSPRDOPT(J34,$E34,$CI34,0,($CD34+IF(Smile=TRUE,VLOOKUP(MAX(-5,$H34-J34),Volsmile,2),0)),$CG34,$CH34,($A34-DateToday)+15,1,1))*(8*$HD34),8*$HD34),0)),0))</f>
        <v xml:space="preserve"> </v>
      </c>
      <c r="AC34" s="254" t="str">
        <f t="shared" si="66"/>
        <v xml:space="preserve"> </v>
      </c>
      <c r="AD34" s="254" t="str">
        <f>IF($A34="N/A"," ",IF(VLOOKUP(MONTH(A34),ManualTable,5)=1,(IF(U34&lt;&gt;0,IF(Pricetype=1,(_xll.xSPRDOPT(L34,$E34,$CI34,0,($CD34+IF(Smile=TRUE,VLOOKUP(MAX(-5,$H34-L34),Volsmile,2),0)),$CG34,$CH34,($A34-DateToday)+15,1,1))*(8*$HE34),8*$HE34),0)),0))</f>
        <v xml:space="preserve"> </v>
      </c>
      <c r="AE34" s="254" t="str">
        <f>IF($A34="N/A"," ",IF(VLOOKUP(MONTH(A34),ManualTable,6)=1,(IF(V34&lt;&gt;0,IF(Pricetype=1,(_xll.xSPRDOPT(M34,$E34,$CI34,0,($CD34+IF(Smile=TRUE,VLOOKUP(MAX(-5,$H34-M34),Volsmile,2),0)),$CG34,$CH34,($A34-DateToday)+15,1,1))*(8*$HE34),8*$HE34),0)),0))</f>
        <v xml:space="preserve"> </v>
      </c>
      <c r="AF34" s="254" t="str">
        <f t="shared" si="67"/>
        <v xml:space="preserve"> </v>
      </c>
      <c r="AG34" s="254" t="str">
        <f>IF($A34="N/A"," ",IF(VLOOKUP(MONTH(A34),ManualTable,8)=1,(IF(X34&lt;&gt;0,IF(Pricetype=1,(_xll.xSPRDOPT(O34,$E34,$CI34,0,($CD34+IF(Smile=TRUE,VLOOKUP(MAX(-5,$H34-O34),Volsmile,2),0)),$CG34,$CH34,($A34-DateToday)+15,1,1))*(8*$HF34),8*$HF34),0)),0))</f>
        <v xml:space="preserve"> </v>
      </c>
      <c r="AH34" s="254" t="str">
        <f>IF($A34="N/A"," ",IF(VLOOKUP(MONTH(A34),ManualTable,9)=1,(IF(Y34&lt;&gt;0,IF(Pricetype=1,(_xll.xSPRDOPT(P34,$E34,$CI34,0,($CD34+IF(Smile=TRUE,VLOOKUP(MAX(-5,$H34-P34),Volsmile,2),0)),$CG34,$CH34,($A34-DateToday)+15,1,1))*(8*$HF34),8*$HF34),0)),0))</f>
        <v xml:space="preserve"> </v>
      </c>
      <c r="AI34" s="254" t="str">
        <f t="shared" si="68"/>
        <v xml:space="preserve"> </v>
      </c>
      <c r="AJ34" s="227" t="str">
        <f t="shared" si="132"/>
        <v xml:space="preserve"> </v>
      </c>
      <c r="AK34" s="228" t="str">
        <f t="shared" si="123"/>
        <v xml:space="preserve"> </v>
      </c>
      <c r="AL34" s="228" t="str">
        <f t="shared" si="123"/>
        <v xml:space="preserve"> </v>
      </c>
      <c r="AM34" s="228" t="str">
        <f t="shared" si="133"/>
        <v xml:space="preserve"> </v>
      </c>
      <c r="AN34" s="228" t="str">
        <f t="shared" si="134"/>
        <v xml:space="preserve"> </v>
      </c>
      <c r="AO34" s="228" t="str">
        <f t="shared" si="134"/>
        <v xml:space="preserve"> </v>
      </c>
      <c r="AP34" s="228" t="str">
        <f t="shared" si="135"/>
        <v xml:space="preserve"> </v>
      </c>
      <c r="AQ34" s="228" t="str">
        <f t="shared" si="136"/>
        <v xml:space="preserve"> </v>
      </c>
      <c r="AR34" s="229" t="str">
        <f t="shared" si="137"/>
        <v xml:space="preserve"> </v>
      </c>
      <c r="AS34" s="262" t="str">
        <f t="shared" si="102"/>
        <v xml:space="preserve"> </v>
      </c>
      <c r="AT34" s="263" t="str">
        <f t="shared" si="103"/>
        <v xml:space="preserve"> </v>
      </c>
      <c r="AU34" s="263" t="str">
        <f t="shared" si="103"/>
        <v xml:space="preserve"> </v>
      </c>
      <c r="AV34" s="263" t="str">
        <f t="shared" si="104"/>
        <v xml:space="preserve"> </v>
      </c>
      <c r="AW34" s="263" t="str">
        <f t="shared" si="105"/>
        <v xml:space="preserve"> </v>
      </c>
      <c r="AX34" s="263" t="str">
        <f t="shared" si="105"/>
        <v xml:space="preserve"> </v>
      </c>
      <c r="AY34" s="263" t="str">
        <f t="shared" si="106"/>
        <v xml:space="preserve"> </v>
      </c>
      <c r="AZ34" s="263" t="str">
        <f t="shared" si="107"/>
        <v xml:space="preserve"> </v>
      </c>
      <c r="BA34" s="263" t="str">
        <f t="shared" si="108"/>
        <v xml:space="preserve"> </v>
      </c>
      <c r="BB34" s="229"/>
      <c r="BC34" s="266" t="str">
        <f t="shared" si="125"/>
        <v xml:space="preserve"> </v>
      </c>
      <c r="BD34" s="269" t="str">
        <f t="shared" si="126"/>
        <v xml:space="preserve"> </v>
      </c>
      <c r="BE34" s="269" t="str">
        <f t="shared" si="126"/>
        <v xml:space="preserve"> </v>
      </c>
      <c r="BF34" s="269" t="str">
        <f t="shared" si="127"/>
        <v xml:space="preserve"> </v>
      </c>
      <c r="BG34" s="269" t="str">
        <f t="shared" si="128"/>
        <v xml:space="preserve"> </v>
      </c>
      <c r="BH34" s="269" t="str">
        <f t="shared" si="128"/>
        <v xml:space="preserve"> </v>
      </c>
      <c r="BI34" s="269" t="str">
        <f t="shared" si="129"/>
        <v xml:space="preserve"> </v>
      </c>
      <c r="BJ34" s="269" t="str">
        <f t="shared" si="130"/>
        <v xml:space="preserve"> </v>
      </c>
      <c r="BK34" s="269" t="str">
        <f t="shared" si="131"/>
        <v xml:space="preserve"> </v>
      </c>
      <c r="BL34" s="229"/>
      <c r="BM34" s="220" t="str">
        <f>IF($A34="N/A"," ",(IF(MONTH(A34)&gt;=4,IF(MONTH(A34)&lt;=10,Inputs!$F$13-Inputs!$G$13,Inputs!$F$14-Inputs!$G$14),Inputs!$F$14-Inputs!$G$14))*$CK34*Availability)</f>
        <v xml:space="preserve"> </v>
      </c>
      <c r="BN34" s="221" t="str">
        <f t="shared" si="79"/>
        <v xml:space="preserve"> </v>
      </c>
      <c r="BO34" s="221" t="str">
        <f t="shared" si="80"/>
        <v xml:space="preserve"> </v>
      </c>
      <c r="BP34" s="221" t="str">
        <f t="shared" si="81"/>
        <v xml:space="preserve"> </v>
      </c>
      <c r="BQ34" s="221" t="str">
        <f t="shared" si="82"/>
        <v xml:space="preserve"> </v>
      </c>
      <c r="BR34" s="221" t="str">
        <f t="shared" si="83"/>
        <v xml:space="preserve"> </v>
      </c>
      <c r="BS34" s="221" t="str">
        <f t="shared" si="84"/>
        <v xml:space="preserve"> </v>
      </c>
      <c r="BT34" s="221" t="str">
        <f t="shared" si="85"/>
        <v xml:space="preserve"> </v>
      </c>
      <c r="BU34" s="221" t="str">
        <f t="shared" si="86"/>
        <v xml:space="preserve"> </v>
      </c>
      <c r="BV34" s="221" t="str">
        <f t="shared" si="87"/>
        <v xml:space="preserve"> </v>
      </c>
      <c r="BW34" s="221" t="str">
        <f t="shared" si="88"/>
        <v xml:space="preserve"> </v>
      </c>
      <c r="BX34" s="421" t="str">
        <f t="shared" si="89"/>
        <v xml:space="preserve"> </v>
      </c>
      <c r="BY34" s="417" t="str">
        <f t="shared" si="90"/>
        <v xml:space="preserve"> </v>
      </c>
      <c r="BZ34" s="417" t="str">
        <f t="shared" si="91"/>
        <v xml:space="preserve"> </v>
      </c>
      <c r="CA34" s="422" t="str">
        <f t="shared" si="92"/>
        <v xml:space="preserve"> </v>
      </c>
      <c r="CB34" s="347" t="str">
        <f t="shared" si="25"/>
        <v xml:space="preserve"> </v>
      </c>
      <c r="CC34" s="347" t="str">
        <f t="shared" si="93"/>
        <v xml:space="preserve"> </v>
      </c>
      <c r="CD34" s="348" t="str">
        <f t="shared" si="26"/>
        <v xml:space="preserve"> </v>
      </c>
      <c r="CE34" s="347" t="str">
        <f t="shared" si="27"/>
        <v xml:space="preserve"> </v>
      </c>
      <c r="CF34" s="347" t="str">
        <f t="shared" si="28"/>
        <v xml:space="preserve"> </v>
      </c>
      <c r="CG34" s="348" t="str">
        <f t="shared" si="29"/>
        <v xml:space="preserve"> </v>
      </c>
      <c r="CH34" s="347" t="str">
        <f t="shared" si="94"/>
        <v xml:space="preserve"> </v>
      </c>
      <c r="CI34" s="349" t="str">
        <f>IF($A34="N/A"," ",F34+G34+(D34*('Pricing Inputs'!T67)))</f>
        <v xml:space="preserve"> </v>
      </c>
      <c r="CJ34" s="347" t="str">
        <f>IF($A34="N/A"," ",IF(PV=1,0,'Pricing Inputs'!U67))</f>
        <v xml:space="preserve"> </v>
      </c>
      <c r="CK34" s="350" t="str">
        <f t="shared" si="30"/>
        <v xml:space="preserve"> </v>
      </c>
      <c r="CL34" s="365" t="str">
        <f t="shared" si="31"/>
        <v xml:space="preserve"> </v>
      </c>
      <c r="CM34" s="380" t="str">
        <f t="shared" si="95"/>
        <v xml:space="preserve"> </v>
      </c>
      <c r="CN34" s="378" t="str">
        <f t="shared" si="32"/>
        <v xml:space="preserve"> </v>
      </c>
      <c r="CO34" s="378" t="str">
        <f t="shared" si="33"/>
        <v xml:space="preserve"> </v>
      </c>
      <c r="CP34" s="378" t="str">
        <f t="shared" si="34"/>
        <v xml:space="preserve"> </v>
      </c>
      <c r="CQ34" s="378" t="str">
        <f t="shared" si="35"/>
        <v xml:space="preserve"> </v>
      </c>
      <c r="CR34" s="378" t="str">
        <f t="shared" si="36"/>
        <v xml:space="preserve"> </v>
      </c>
      <c r="CS34" s="378" t="str">
        <f t="shared" si="37"/>
        <v xml:space="preserve"> </v>
      </c>
      <c r="CT34" s="378" t="str">
        <f t="shared" si="38"/>
        <v xml:space="preserve"> </v>
      </c>
      <c r="CU34" s="378" t="str">
        <f t="shared" si="39"/>
        <v xml:space="preserve"> </v>
      </c>
      <c r="CV34" s="378" t="str">
        <f t="shared" si="40"/>
        <v xml:space="preserve"> </v>
      </c>
      <c r="CW34" s="254" t="str">
        <f t="shared" si="41"/>
        <v xml:space="preserve"> </v>
      </c>
      <c r="CX34" s="254" t="str">
        <f t="shared" si="42"/>
        <v xml:space="preserve"> </v>
      </c>
      <c r="CY34" s="254" t="str">
        <f t="shared" si="43"/>
        <v xml:space="preserve"> </v>
      </c>
      <c r="CZ34" s="254" t="str">
        <f t="shared" si="44"/>
        <v xml:space="preserve"> </v>
      </c>
      <c r="DA34" s="254" t="str">
        <f t="shared" si="45"/>
        <v xml:space="preserve"> </v>
      </c>
      <c r="DB34" s="254" t="str">
        <f t="shared" si="46"/>
        <v xml:space="preserve"> </v>
      </c>
      <c r="DC34" s="254" t="str">
        <f t="shared" si="47"/>
        <v xml:space="preserve"> </v>
      </c>
      <c r="DD34" s="254" t="str">
        <f t="shared" si="48"/>
        <v xml:space="preserve"> </v>
      </c>
      <c r="DE34" s="254" t="str">
        <f t="shared" si="49"/>
        <v xml:space="preserve"> </v>
      </c>
      <c r="DF34" s="374" t="str">
        <f>IF($A34="N/A"," ",IF(CC=2,(IF(MONTH(A34)&gt;=4,IF(MONTH(A34)&lt;=10,Inputs!$G$13,Inputs!$G$14),Inputs!$G$14))*$CK34,0))</f>
        <v xml:space="preserve"> </v>
      </c>
      <c r="DG34" s="373" t="str">
        <f t="shared" si="50"/>
        <v xml:space="preserve"> </v>
      </c>
      <c r="DH34" s="373" t="str">
        <f t="shared" si="51"/>
        <v xml:space="preserve"> </v>
      </c>
      <c r="DI34" s="373" t="str">
        <f t="shared" si="52"/>
        <v xml:space="preserve"> </v>
      </c>
      <c r="DJ34" s="373" t="str">
        <f t="shared" si="53"/>
        <v xml:space="preserve"> </v>
      </c>
      <c r="DK34" s="373" t="str">
        <f t="shared" si="54"/>
        <v xml:space="preserve"> </v>
      </c>
      <c r="DL34" s="373" t="str">
        <f t="shared" si="55"/>
        <v xml:space="preserve"> </v>
      </c>
      <c r="DM34" s="373" t="str">
        <f t="shared" si="56"/>
        <v xml:space="preserve"> </v>
      </c>
      <c r="DN34" s="373" t="str">
        <f t="shared" si="57"/>
        <v xml:space="preserve"> </v>
      </c>
      <c r="DO34" s="373" t="str">
        <f t="shared" si="58"/>
        <v xml:space="preserve"> </v>
      </c>
      <c r="DP34" s="375" t="str">
        <f t="shared" si="59"/>
        <v xml:space="preserve"> </v>
      </c>
      <c r="DQ34" t="str">
        <f t="shared" si="96"/>
        <v xml:space="preserve"> </v>
      </c>
      <c r="HD34" t="str">
        <f t="shared" si="97"/>
        <v xml:space="preserve"> </v>
      </c>
      <c r="HE34" t="str">
        <f t="shared" si="98"/>
        <v xml:space="preserve"> </v>
      </c>
      <c r="HF34" t="str">
        <f t="shared" si="99"/>
        <v xml:space="preserve"> </v>
      </c>
    </row>
    <row r="35" spans="1:214">
      <c r="A35" s="415" t="str">
        <f>IF(A34="N/A","N/A",IF(EDATE(A34,1)&gt;Inputs!$K$3,"N/A",EDATE(A34,1)))</f>
        <v>N/A</v>
      </c>
      <c r="B35" s="410" t="str">
        <f t="shared" si="60"/>
        <v xml:space="preserve"> </v>
      </c>
      <c r="C35" s="411" t="str">
        <f t="shared" si="61"/>
        <v xml:space="preserve"> </v>
      </c>
      <c r="D35" s="412" t="str">
        <f t="shared" si="62"/>
        <v xml:space="preserve"> </v>
      </c>
      <c r="E35" s="413" t="str">
        <f>IF($A35="N/A"," ",(C35-'Pricing Inputs'!T68)*D35)</f>
        <v xml:space="preserve"> </v>
      </c>
      <c r="F35" s="414" t="str">
        <f t="shared" si="116"/>
        <v xml:space="preserve"> </v>
      </c>
      <c r="G35" s="414" t="str">
        <f t="shared" si="64"/>
        <v xml:space="preserve"> </v>
      </c>
      <c r="H35" s="416" t="str">
        <f t="shared" si="65"/>
        <v xml:space="preserve"> </v>
      </c>
      <c r="I35" s="213" t="str">
        <f t="shared" si="0"/>
        <v xml:space="preserve"> </v>
      </c>
      <c r="J35" s="213" t="str">
        <f t="shared" si="1"/>
        <v xml:space="preserve"> </v>
      </c>
      <c r="K35" s="213" t="str">
        <f t="shared" si="2"/>
        <v xml:space="preserve"> </v>
      </c>
      <c r="L35" s="213" t="str">
        <f t="shared" si="3"/>
        <v xml:space="preserve"> </v>
      </c>
      <c r="M35" s="213" t="str">
        <f t="shared" si="4"/>
        <v xml:space="preserve"> </v>
      </c>
      <c r="N35" s="213" t="str">
        <f t="shared" si="5"/>
        <v xml:space="preserve"> </v>
      </c>
      <c r="O35" s="213" t="str">
        <f t="shared" si="6"/>
        <v xml:space="preserve"> </v>
      </c>
      <c r="P35" s="213" t="str">
        <f t="shared" si="7"/>
        <v xml:space="preserve"> </v>
      </c>
      <c r="Q35" s="213" t="str">
        <f t="shared" si="8"/>
        <v xml:space="preserve"> </v>
      </c>
      <c r="R35" s="405" t="str">
        <f>IF($A35="N/A"," ",IF(Pricetype=2,MAX(I35-$H35,0),IF(Pricetype=1,(_xll.xSPRDOPT(I35,$E35,$CI35,0,($CD35+IF(Smile=TRUE,VLOOKUP(MAX(-5,$H35-I35),Volsmile,2),0)),$CG35,$CH35,($A35-DateToday)+15,1,0)),I35-$H35)))</f>
        <v xml:space="preserve"> </v>
      </c>
      <c r="S35" s="405" t="str">
        <f>IF($A35="N/A"," ",IF(Pricetype=2,MAX(J35-$H35,0),IF(Pricetype=1,(_xll.xSPRDOPT(J35,$E35,$CI35,0,($CD35+IF(Smile=TRUE,VLOOKUP(MAX(-5,$H35-J35),Volsmile,2),0)),$CG35,$CH35,($A35-DateToday)+15,1,0)),J35-$H35)))</f>
        <v xml:space="preserve"> </v>
      </c>
      <c r="T35" s="406" t="str">
        <f t="shared" si="9"/>
        <v xml:space="preserve"> </v>
      </c>
      <c r="U35" s="405" t="str">
        <f>IF($A35="N/A"," ",IF(Pricetype=2,MAX(L35-$H35,0),IF(L35&lt;&gt;0,IF(Pricetype=1,(_xll.xSPRDOPT(L35,$E35,$CI35,0,($CD35+IF(Smile=TRUE,VLOOKUP(MAX(-5,$H35-L35),Volsmile,2),0)),$CG35,$CH35,($A35-DateToday)+15,1,0)),L35-$H35),0)))</f>
        <v xml:space="preserve"> </v>
      </c>
      <c r="V35" s="405" t="str">
        <f>IF($A35="N/A"," ",IF(Pricetype=2,MAX(M35-$H35,0),IF(M35&lt;&gt;0,IF(Pricetype=1,(_xll.xSPRDOPT(M35,$E35,$CI35,0,($CD35+IF(Smile=TRUE,VLOOKUP(MAX(-5,$H35-M35),Volsmile,2),0)),$CG35,$CH35,($A35-DateToday)+15,1,0)),M35-$H35),0)))</f>
        <v xml:space="preserve"> </v>
      </c>
      <c r="W35" s="406" t="str">
        <f t="shared" si="10"/>
        <v xml:space="preserve"> </v>
      </c>
      <c r="X35" s="405" t="str">
        <f>IF($A35="N/A"," ",IF(Pricetype=2,MAX(O35-$H35,0),IF(O35&lt;&gt;0,IF(Pricetype=1,(_xll.xSPRDOPT(O35,$E35,$CI35,0,($CD35+IF(Smile=TRUE,VLOOKUP(MAX(-5,$H35-O35),Volsmile,2),0)),$CG35,$CH35,($A35-DateToday)+15,1,0)),O35-$H35),0)))</f>
        <v xml:space="preserve"> </v>
      </c>
      <c r="Y35" s="405" t="str">
        <f>IF($A35="N/A"," ",IF(Pricetype=2,MAX(P35-$H35,0),IF(P35&lt;&gt;0,IF(Pricetype=1,(_xll.xSPRDOPT(P35,$E35,$CI35,0,($CD35+IF(Smile=TRUE,VLOOKUP(MAX(-5,$H35-P35),Volsmile,2),0)),$CG35,$CH35,($A35-DateToday)+15,1,0)),P35-$H35),0)))</f>
        <v xml:space="preserve"> </v>
      </c>
      <c r="Z35" s="406" t="str">
        <f t="shared" si="11"/>
        <v xml:space="preserve"> </v>
      </c>
      <c r="AA35" s="254" t="str">
        <f>IF($A35="N/A"," ",IF(VLOOKUP(MONTH(A35),ManualTable,2)=1,(IF(0&lt;&gt;R35,IF(Pricetype=1,(_xll.xSPRDOPT(I35,$E35,$CI35,0,($CD35+IF(Smile=TRUE,VLOOKUP(MAX(-5,$H35-I35),Volsmile,2),0)),$CG35,$CH35,($A35-DateToday)+15,1,1))*(8*$HD35),8*$HD35),0)),0))</f>
        <v xml:space="preserve"> </v>
      </c>
      <c r="AB35" s="254" t="str">
        <f>IF($A35="N/A"," ",IF(VLOOKUP(MONTH(A35),ManualTable,3)=1,(IF(S35&lt;&gt;0,IF(Pricetype=1,(_xll.xSPRDOPT(J35,$E35,$CI35,0,($CD35+IF(Smile=TRUE,VLOOKUP(MAX(-5,$H35-J35),Volsmile,2),0)),$CG35,$CH35,($A35-DateToday)+15,1,1))*(8*$HD35),8*$HD35),0)),0))</f>
        <v xml:space="preserve"> </v>
      </c>
      <c r="AC35" s="254" t="str">
        <f t="shared" si="66"/>
        <v xml:space="preserve"> </v>
      </c>
      <c r="AD35" s="254" t="str">
        <f>IF($A35="N/A"," ",IF(VLOOKUP(MONTH(A35),ManualTable,5)=1,(IF(U35&lt;&gt;0,IF(Pricetype=1,(_xll.xSPRDOPT(L35,$E35,$CI35,0,($CD35+IF(Smile=TRUE,VLOOKUP(MAX(-5,$H35-L35),Volsmile,2),0)),$CG35,$CH35,($A35-DateToday)+15,1,1))*(8*$HE35),8*$HE35),0)),0))</f>
        <v xml:space="preserve"> </v>
      </c>
      <c r="AE35" s="254" t="str">
        <f>IF($A35="N/A"," ",IF(VLOOKUP(MONTH(A35),ManualTable,6)=1,(IF(V35&lt;&gt;0,IF(Pricetype=1,(_xll.xSPRDOPT(M35,$E35,$CI35,0,($CD35+IF(Smile=TRUE,VLOOKUP(MAX(-5,$H35-M35),Volsmile,2),0)),$CG35,$CH35,($A35-DateToday)+15,1,1))*(8*$HE35),8*$HE35),0)),0))</f>
        <v xml:space="preserve"> </v>
      </c>
      <c r="AF35" s="254" t="str">
        <f t="shared" si="67"/>
        <v xml:space="preserve"> </v>
      </c>
      <c r="AG35" s="254" t="str">
        <f>IF($A35="N/A"," ",IF(VLOOKUP(MONTH(A35),ManualTable,8)=1,(IF(X35&lt;&gt;0,IF(Pricetype=1,(_xll.xSPRDOPT(O35,$E35,$CI35,0,($CD35+IF(Smile=TRUE,VLOOKUP(MAX(-5,$H35-O35),Volsmile,2),0)),$CG35,$CH35,($A35-DateToday)+15,1,1))*(8*$HF35),8*$HF35),0)),0))</f>
        <v xml:space="preserve"> </v>
      </c>
      <c r="AH35" s="254" t="str">
        <f>IF($A35="N/A"," ",IF(VLOOKUP(MONTH(A35),ManualTable,9)=1,(IF(Y35&lt;&gt;0,IF(Pricetype=1,(_xll.xSPRDOPT(P35,$E35,$CI35,0,($CD35+IF(Smile=TRUE,VLOOKUP(MAX(-5,$H35-P35),Volsmile,2),0)),$CG35,$CH35,($A35-DateToday)+15,1,1))*(8*$HF35),8*$HF35),0)),0))</f>
        <v xml:space="preserve"> </v>
      </c>
      <c r="AI35" s="254" t="str">
        <f t="shared" si="68"/>
        <v xml:space="preserve"> </v>
      </c>
      <c r="AJ35" s="227" t="str">
        <f t="shared" si="132"/>
        <v xml:space="preserve"> </v>
      </c>
      <c r="AK35" s="228" t="str">
        <f t="shared" si="123"/>
        <v xml:space="preserve"> </v>
      </c>
      <c r="AL35" s="228" t="str">
        <f t="shared" si="123"/>
        <v xml:space="preserve"> </v>
      </c>
      <c r="AM35" s="228" t="str">
        <f t="shared" si="133"/>
        <v xml:space="preserve"> </v>
      </c>
      <c r="AN35" s="228" t="str">
        <f t="shared" si="134"/>
        <v xml:space="preserve"> </v>
      </c>
      <c r="AO35" s="228" t="str">
        <f t="shared" si="134"/>
        <v xml:space="preserve"> </v>
      </c>
      <c r="AP35" s="228" t="str">
        <f t="shared" si="135"/>
        <v xml:space="preserve"> </v>
      </c>
      <c r="AQ35" s="228" t="str">
        <f t="shared" si="136"/>
        <v xml:space="preserve"> </v>
      </c>
      <c r="AR35" s="229" t="str">
        <f t="shared" si="137"/>
        <v xml:space="preserve"> </v>
      </c>
      <c r="AS35" s="262" t="str">
        <f t="shared" si="102"/>
        <v xml:space="preserve"> </v>
      </c>
      <c r="AT35" s="263" t="str">
        <f t="shared" si="103"/>
        <v xml:space="preserve"> </v>
      </c>
      <c r="AU35" s="263" t="str">
        <f t="shared" si="103"/>
        <v xml:space="preserve"> </v>
      </c>
      <c r="AV35" s="263" t="str">
        <f t="shared" si="104"/>
        <v xml:space="preserve"> </v>
      </c>
      <c r="AW35" s="263" t="str">
        <f t="shared" si="105"/>
        <v xml:space="preserve"> </v>
      </c>
      <c r="AX35" s="263" t="str">
        <f t="shared" si="105"/>
        <v xml:space="preserve"> </v>
      </c>
      <c r="AY35" s="263" t="str">
        <f t="shared" si="106"/>
        <v xml:space="preserve"> </v>
      </c>
      <c r="AZ35" s="263" t="str">
        <f t="shared" si="107"/>
        <v xml:space="preserve"> </v>
      </c>
      <c r="BA35" s="263" t="str">
        <f t="shared" si="108"/>
        <v xml:space="preserve"> </v>
      </c>
      <c r="BB35" s="229"/>
      <c r="BC35" s="266" t="str">
        <f t="shared" si="125"/>
        <v xml:space="preserve"> </v>
      </c>
      <c r="BD35" s="269" t="str">
        <f t="shared" si="126"/>
        <v xml:space="preserve"> </v>
      </c>
      <c r="BE35" s="269" t="str">
        <f t="shared" si="126"/>
        <v xml:space="preserve"> </v>
      </c>
      <c r="BF35" s="269" t="str">
        <f t="shared" si="127"/>
        <v xml:space="preserve"> </v>
      </c>
      <c r="BG35" s="269" t="str">
        <f t="shared" si="128"/>
        <v xml:space="preserve"> </v>
      </c>
      <c r="BH35" s="269" t="str">
        <f t="shared" si="128"/>
        <v xml:space="preserve"> </v>
      </c>
      <c r="BI35" s="269" t="str">
        <f t="shared" si="129"/>
        <v xml:space="preserve"> </v>
      </c>
      <c r="BJ35" s="269" t="str">
        <f t="shared" si="130"/>
        <v xml:space="preserve"> </v>
      </c>
      <c r="BK35" s="269" t="str">
        <f t="shared" si="131"/>
        <v xml:space="preserve"> </v>
      </c>
      <c r="BL35" s="229"/>
      <c r="BM35" s="220" t="str">
        <f>IF($A35="N/A"," ",(IF(MONTH(A35)&gt;=4,IF(MONTH(A35)&lt;=10,Inputs!$F$13-Inputs!$G$13,Inputs!$F$14-Inputs!$G$14),Inputs!$F$14-Inputs!$G$14))*$CK35*Availability)</f>
        <v xml:space="preserve"> </v>
      </c>
      <c r="BN35" s="221" t="str">
        <f t="shared" si="79"/>
        <v xml:space="preserve"> </v>
      </c>
      <c r="BO35" s="221" t="str">
        <f t="shared" si="80"/>
        <v xml:space="preserve"> </v>
      </c>
      <c r="BP35" s="221" t="str">
        <f t="shared" si="81"/>
        <v xml:space="preserve"> </v>
      </c>
      <c r="BQ35" s="221" t="str">
        <f t="shared" si="82"/>
        <v xml:space="preserve"> </v>
      </c>
      <c r="BR35" s="221" t="str">
        <f t="shared" si="83"/>
        <v xml:space="preserve"> </v>
      </c>
      <c r="BS35" s="221" t="str">
        <f t="shared" si="84"/>
        <v xml:space="preserve"> </v>
      </c>
      <c r="BT35" s="221" t="str">
        <f t="shared" si="85"/>
        <v xml:space="preserve"> </v>
      </c>
      <c r="BU35" s="221" t="str">
        <f t="shared" si="86"/>
        <v xml:space="preserve"> </v>
      </c>
      <c r="BV35" s="221" t="str">
        <f t="shared" si="87"/>
        <v xml:space="preserve"> </v>
      </c>
      <c r="BW35" s="221" t="str">
        <f t="shared" si="88"/>
        <v xml:space="preserve"> </v>
      </c>
      <c r="BX35" s="421" t="str">
        <f t="shared" si="89"/>
        <v xml:space="preserve"> </v>
      </c>
      <c r="BY35" s="417" t="str">
        <f t="shared" si="90"/>
        <v xml:space="preserve"> </v>
      </c>
      <c r="BZ35" s="417" t="str">
        <f t="shared" si="91"/>
        <v xml:space="preserve"> </v>
      </c>
      <c r="CA35" s="422" t="str">
        <f t="shared" si="92"/>
        <v xml:space="preserve"> </v>
      </c>
      <c r="CB35" s="347" t="str">
        <f t="shared" si="25"/>
        <v xml:space="preserve"> </v>
      </c>
      <c r="CC35" s="347" t="str">
        <f t="shared" si="93"/>
        <v xml:space="preserve"> </v>
      </c>
      <c r="CD35" s="348" t="str">
        <f t="shared" si="26"/>
        <v xml:space="preserve"> </v>
      </c>
      <c r="CE35" s="347" t="str">
        <f t="shared" si="27"/>
        <v xml:space="preserve"> </v>
      </c>
      <c r="CF35" s="347" t="str">
        <f t="shared" si="28"/>
        <v xml:space="preserve"> </v>
      </c>
      <c r="CG35" s="348" t="str">
        <f t="shared" si="29"/>
        <v xml:space="preserve"> </v>
      </c>
      <c r="CH35" s="347" t="str">
        <f t="shared" si="94"/>
        <v xml:space="preserve"> </v>
      </c>
      <c r="CI35" s="349" t="str">
        <f>IF($A35="N/A"," ",F35+G35+(D35*('Pricing Inputs'!T68)))</f>
        <v xml:space="preserve"> </v>
      </c>
      <c r="CJ35" s="347" t="str">
        <f>IF($A35="N/A"," ",IF(PV=1,0,'Pricing Inputs'!U68))</f>
        <v xml:space="preserve"> </v>
      </c>
      <c r="CK35" s="350" t="str">
        <f t="shared" si="30"/>
        <v xml:space="preserve"> </v>
      </c>
      <c r="CL35" s="365" t="str">
        <f t="shared" si="31"/>
        <v xml:space="preserve"> </v>
      </c>
      <c r="CM35" s="380" t="str">
        <f t="shared" si="95"/>
        <v xml:space="preserve"> </v>
      </c>
      <c r="CN35" s="378" t="str">
        <f t="shared" si="32"/>
        <v xml:space="preserve"> </v>
      </c>
      <c r="CO35" s="378" t="str">
        <f t="shared" si="33"/>
        <v xml:space="preserve"> </v>
      </c>
      <c r="CP35" s="378" t="str">
        <f t="shared" si="34"/>
        <v xml:space="preserve"> </v>
      </c>
      <c r="CQ35" s="378" t="str">
        <f t="shared" si="35"/>
        <v xml:space="preserve"> </v>
      </c>
      <c r="CR35" s="378" t="str">
        <f t="shared" si="36"/>
        <v xml:space="preserve"> </v>
      </c>
      <c r="CS35" s="378" t="str">
        <f t="shared" si="37"/>
        <v xml:space="preserve"> </v>
      </c>
      <c r="CT35" s="378" t="str">
        <f t="shared" si="38"/>
        <v xml:space="preserve"> </v>
      </c>
      <c r="CU35" s="378" t="str">
        <f t="shared" si="39"/>
        <v xml:space="preserve"> </v>
      </c>
      <c r="CV35" s="378" t="str">
        <f t="shared" si="40"/>
        <v xml:space="preserve"> </v>
      </c>
      <c r="CW35" s="254" t="str">
        <f t="shared" si="41"/>
        <v xml:space="preserve"> </v>
      </c>
      <c r="CX35" s="254" t="str">
        <f t="shared" si="42"/>
        <v xml:space="preserve"> </v>
      </c>
      <c r="CY35" s="254" t="str">
        <f t="shared" si="43"/>
        <v xml:space="preserve"> </v>
      </c>
      <c r="CZ35" s="254" t="str">
        <f t="shared" si="44"/>
        <v xml:space="preserve"> </v>
      </c>
      <c r="DA35" s="254" t="str">
        <f t="shared" si="45"/>
        <v xml:space="preserve"> </v>
      </c>
      <c r="DB35" s="254" t="str">
        <f t="shared" si="46"/>
        <v xml:space="preserve"> </v>
      </c>
      <c r="DC35" s="254" t="str">
        <f t="shared" si="47"/>
        <v xml:space="preserve"> </v>
      </c>
      <c r="DD35" s="254" t="str">
        <f t="shared" si="48"/>
        <v xml:space="preserve"> </v>
      </c>
      <c r="DE35" s="254" t="str">
        <f t="shared" si="49"/>
        <v xml:space="preserve"> </v>
      </c>
      <c r="DF35" s="374" t="str">
        <f>IF($A35="N/A"," ",IF(CC=2,(IF(MONTH(A35)&gt;=4,IF(MONTH(A35)&lt;=10,Inputs!$G$13,Inputs!$G$14),Inputs!$G$14))*$CK35,0))</f>
        <v xml:space="preserve"> </v>
      </c>
      <c r="DG35" s="373" t="str">
        <f t="shared" si="50"/>
        <v xml:space="preserve"> </v>
      </c>
      <c r="DH35" s="373" t="str">
        <f t="shared" si="51"/>
        <v xml:space="preserve"> </v>
      </c>
      <c r="DI35" s="373" t="str">
        <f t="shared" si="52"/>
        <v xml:space="preserve"> </v>
      </c>
      <c r="DJ35" s="373" t="str">
        <f t="shared" si="53"/>
        <v xml:space="preserve"> </v>
      </c>
      <c r="DK35" s="373" t="str">
        <f t="shared" si="54"/>
        <v xml:space="preserve"> </v>
      </c>
      <c r="DL35" s="373" t="str">
        <f t="shared" si="55"/>
        <v xml:space="preserve"> </v>
      </c>
      <c r="DM35" s="373" t="str">
        <f t="shared" si="56"/>
        <v xml:space="preserve"> </v>
      </c>
      <c r="DN35" s="373" t="str">
        <f t="shared" si="57"/>
        <v xml:space="preserve"> </v>
      </c>
      <c r="DO35" s="373" t="str">
        <f t="shared" si="58"/>
        <v xml:space="preserve"> </v>
      </c>
      <c r="DP35" s="375" t="str">
        <f t="shared" si="59"/>
        <v xml:space="preserve"> </v>
      </c>
      <c r="DQ35" t="str">
        <f t="shared" si="96"/>
        <v xml:space="preserve"> </v>
      </c>
      <c r="HD35" t="str">
        <f t="shared" si="97"/>
        <v xml:space="preserve"> </v>
      </c>
      <c r="HE35" t="str">
        <f t="shared" si="98"/>
        <v xml:space="preserve"> </v>
      </c>
      <c r="HF35" t="str">
        <f t="shared" si="99"/>
        <v xml:space="preserve"> </v>
      </c>
    </row>
    <row r="36" spans="1:214">
      <c r="A36" s="415" t="str">
        <f>IF(A35="N/A","N/A",IF(EDATE(A35,1)&gt;Inputs!$K$3,"N/A",EDATE(A35,1)))</f>
        <v>N/A</v>
      </c>
      <c r="B36" s="410" t="str">
        <f t="shared" si="60"/>
        <v xml:space="preserve"> </v>
      </c>
      <c r="C36" s="411" t="str">
        <f t="shared" si="61"/>
        <v xml:space="preserve"> </v>
      </c>
      <c r="D36" s="412" t="str">
        <f t="shared" si="62"/>
        <v xml:space="preserve"> </v>
      </c>
      <c r="E36" s="413" t="str">
        <f>IF($A36="N/A"," ",(C36-'Pricing Inputs'!T69)*D36)</f>
        <v xml:space="preserve"> </v>
      </c>
      <c r="F36" s="414" t="str">
        <f t="shared" si="116"/>
        <v xml:space="preserve"> </v>
      </c>
      <c r="G36" s="414" t="str">
        <f t="shared" si="64"/>
        <v xml:space="preserve"> </v>
      </c>
      <c r="H36" s="416" t="str">
        <f t="shared" si="65"/>
        <v xml:space="preserve"> </v>
      </c>
      <c r="I36" s="213" t="str">
        <f t="shared" si="0"/>
        <v xml:space="preserve"> </v>
      </c>
      <c r="J36" s="213" t="str">
        <f t="shared" si="1"/>
        <v xml:space="preserve"> </v>
      </c>
      <c r="K36" s="213" t="str">
        <f t="shared" si="2"/>
        <v xml:space="preserve"> </v>
      </c>
      <c r="L36" s="213" t="str">
        <f t="shared" si="3"/>
        <v xml:space="preserve"> </v>
      </c>
      <c r="M36" s="213" t="str">
        <f t="shared" si="4"/>
        <v xml:space="preserve"> </v>
      </c>
      <c r="N36" s="213" t="str">
        <f t="shared" si="5"/>
        <v xml:space="preserve"> </v>
      </c>
      <c r="O36" s="213" t="str">
        <f t="shared" si="6"/>
        <v xml:space="preserve"> </v>
      </c>
      <c r="P36" s="213" t="str">
        <f t="shared" si="7"/>
        <v xml:space="preserve"> </v>
      </c>
      <c r="Q36" s="213" t="str">
        <f t="shared" si="8"/>
        <v xml:space="preserve"> </v>
      </c>
      <c r="R36" s="405" t="str">
        <f>IF($A36="N/A"," ",IF(Pricetype=2,MAX(I36-$H36,0),IF(Pricetype=1,(_xll.xSPRDOPT(I36,$E36,$CI36,0,($CD36+IF(Smile=TRUE,VLOOKUP(MAX(-5,$H36-I36),Volsmile,2),0)),$CG36,$CH36,($A36-DateToday)+15,1,0)),I36-$H36)))</f>
        <v xml:space="preserve"> </v>
      </c>
      <c r="S36" s="405" t="str">
        <f>IF($A36="N/A"," ",IF(Pricetype=2,MAX(J36-$H36,0),IF(Pricetype=1,(_xll.xSPRDOPT(J36,$E36,$CI36,0,($CD36+IF(Smile=TRUE,VLOOKUP(MAX(-5,$H36-J36),Volsmile,2),0)),$CG36,$CH36,($A36-DateToday)+15,1,0)),J36-$H36)))</f>
        <v xml:space="preserve"> </v>
      </c>
      <c r="T36" s="406" t="str">
        <f t="shared" si="9"/>
        <v xml:space="preserve"> </v>
      </c>
      <c r="U36" s="405" t="str">
        <f>IF($A36="N/A"," ",IF(Pricetype=2,MAX(L36-$H36,0),IF(L36&lt;&gt;0,IF(Pricetype=1,(_xll.xSPRDOPT(L36,$E36,$CI36,0,($CD36+IF(Smile=TRUE,VLOOKUP(MAX(-5,$H36-L36),Volsmile,2),0)),$CG36,$CH36,($A36-DateToday)+15,1,0)),L36-$H36),0)))</f>
        <v xml:space="preserve"> </v>
      </c>
      <c r="V36" s="405" t="str">
        <f>IF($A36="N/A"," ",IF(Pricetype=2,MAX(M36-$H36,0),IF(M36&lt;&gt;0,IF(Pricetype=1,(_xll.xSPRDOPT(M36,$E36,$CI36,0,($CD36+IF(Smile=TRUE,VLOOKUP(MAX(-5,$H36-M36),Volsmile,2),0)),$CG36,$CH36,($A36-DateToday)+15,1,0)),M36-$H36),0)))</f>
        <v xml:space="preserve"> </v>
      </c>
      <c r="W36" s="406" t="str">
        <f t="shared" si="10"/>
        <v xml:space="preserve"> </v>
      </c>
      <c r="X36" s="405" t="str">
        <f>IF($A36="N/A"," ",IF(Pricetype=2,MAX(O36-$H36,0),IF(O36&lt;&gt;0,IF(Pricetype=1,(_xll.xSPRDOPT(O36,$E36,$CI36,0,($CD36+IF(Smile=TRUE,VLOOKUP(MAX(-5,$H36-O36),Volsmile,2),0)),$CG36,$CH36,($A36-DateToday)+15,1,0)),O36-$H36),0)))</f>
        <v xml:space="preserve"> </v>
      </c>
      <c r="Y36" s="405" t="str">
        <f>IF($A36="N/A"," ",IF(Pricetype=2,MAX(P36-$H36,0),IF(P36&lt;&gt;0,IF(Pricetype=1,(_xll.xSPRDOPT(P36,$E36,$CI36,0,($CD36+IF(Smile=TRUE,VLOOKUP(MAX(-5,$H36-P36),Volsmile,2),0)),$CG36,$CH36,($A36-DateToday)+15,1,0)),P36-$H36),0)))</f>
        <v xml:space="preserve"> </v>
      </c>
      <c r="Z36" s="406" t="str">
        <f t="shared" si="11"/>
        <v xml:space="preserve"> </v>
      </c>
      <c r="AA36" s="254" t="str">
        <f>IF($A36="N/A"," ",IF(VLOOKUP(MONTH(A36),ManualTable,2)=1,(IF(0&lt;&gt;R36,IF(Pricetype=1,(_xll.xSPRDOPT(I36,$E36,$CI36,0,($CD36+IF(Smile=TRUE,VLOOKUP(MAX(-5,$H36-I36),Volsmile,2),0)),$CG36,$CH36,($A36-DateToday)+15,1,1))*(8*$HD36),8*$HD36),0)),0))</f>
        <v xml:space="preserve"> </v>
      </c>
      <c r="AB36" s="254" t="str">
        <f>IF($A36="N/A"," ",IF(VLOOKUP(MONTH(A36),ManualTable,3)=1,(IF(S36&lt;&gt;0,IF(Pricetype=1,(_xll.xSPRDOPT(J36,$E36,$CI36,0,($CD36+IF(Smile=TRUE,VLOOKUP(MAX(-5,$H36-J36),Volsmile,2),0)),$CG36,$CH36,($A36-DateToday)+15,1,1))*(8*$HD36),8*$HD36),0)),0))</f>
        <v xml:space="preserve"> </v>
      </c>
      <c r="AC36" s="254" t="str">
        <f t="shared" si="66"/>
        <v xml:space="preserve"> </v>
      </c>
      <c r="AD36" s="254" t="str">
        <f>IF($A36="N/A"," ",IF(VLOOKUP(MONTH(A36),ManualTable,5)=1,(IF(U36&lt;&gt;0,IF(Pricetype=1,(_xll.xSPRDOPT(L36,$E36,$CI36,0,($CD36+IF(Smile=TRUE,VLOOKUP(MAX(-5,$H36-L36),Volsmile,2),0)),$CG36,$CH36,($A36-DateToday)+15,1,1))*(8*$HE36),8*$HE36),0)),0))</f>
        <v xml:space="preserve"> </v>
      </c>
      <c r="AE36" s="254" t="str">
        <f>IF($A36="N/A"," ",IF(VLOOKUP(MONTH(A36),ManualTable,6)=1,(IF(V36&lt;&gt;0,IF(Pricetype=1,(_xll.xSPRDOPT(M36,$E36,$CI36,0,($CD36+IF(Smile=TRUE,VLOOKUP(MAX(-5,$H36-M36),Volsmile,2),0)),$CG36,$CH36,($A36-DateToday)+15,1,1))*(8*$HE36),8*$HE36),0)),0))</f>
        <v xml:space="preserve"> </v>
      </c>
      <c r="AF36" s="254" t="str">
        <f t="shared" si="67"/>
        <v xml:space="preserve"> </v>
      </c>
      <c r="AG36" s="254" t="str">
        <f>IF($A36="N/A"," ",IF(VLOOKUP(MONTH(A36),ManualTable,8)=1,(IF(X36&lt;&gt;0,IF(Pricetype=1,(_xll.xSPRDOPT(O36,$E36,$CI36,0,($CD36+IF(Smile=TRUE,VLOOKUP(MAX(-5,$H36-O36),Volsmile,2),0)),$CG36,$CH36,($A36-DateToday)+15,1,1))*(8*$HF36),8*$HF36),0)),0))</f>
        <v xml:space="preserve"> </v>
      </c>
      <c r="AH36" s="254" t="str">
        <f>IF($A36="N/A"," ",IF(VLOOKUP(MONTH(A36),ManualTable,9)=1,(IF(Y36&lt;&gt;0,IF(Pricetype=1,(_xll.xSPRDOPT(P36,$E36,$CI36,0,($CD36+IF(Smile=TRUE,VLOOKUP(MAX(-5,$H36-P36),Volsmile,2),0)),$CG36,$CH36,($A36-DateToday)+15,1,1))*(8*$HF36),8*$HF36),0)),0))</f>
        <v xml:space="preserve"> </v>
      </c>
      <c r="AI36" s="254" t="str">
        <f t="shared" si="68"/>
        <v xml:space="preserve"> </v>
      </c>
      <c r="AJ36" s="227" t="str">
        <f t="shared" si="132"/>
        <v xml:space="preserve"> </v>
      </c>
      <c r="AK36" s="228" t="str">
        <f t="shared" si="123"/>
        <v xml:space="preserve"> </v>
      </c>
      <c r="AL36" s="228" t="str">
        <f t="shared" si="123"/>
        <v xml:space="preserve"> </v>
      </c>
      <c r="AM36" s="228" t="str">
        <f t="shared" si="133"/>
        <v xml:space="preserve"> </v>
      </c>
      <c r="AN36" s="228" t="str">
        <f t="shared" si="134"/>
        <v xml:space="preserve"> </v>
      </c>
      <c r="AO36" s="228" t="str">
        <f t="shared" si="134"/>
        <v xml:space="preserve"> </v>
      </c>
      <c r="AP36" s="228" t="str">
        <f t="shared" si="135"/>
        <v xml:space="preserve"> </v>
      </c>
      <c r="AQ36" s="228" t="str">
        <f t="shared" si="136"/>
        <v xml:space="preserve"> </v>
      </c>
      <c r="AR36" s="229" t="str">
        <f t="shared" si="137"/>
        <v xml:space="preserve"> </v>
      </c>
      <c r="AS36" s="262" t="str">
        <f t="shared" si="102"/>
        <v xml:space="preserve"> </v>
      </c>
      <c r="AT36" s="263" t="str">
        <f t="shared" si="103"/>
        <v xml:space="preserve"> </v>
      </c>
      <c r="AU36" s="263" t="str">
        <f t="shared" si="103"/>
        <v xml:space="preserve"> </v>
      </c>
      <c r="AV36" s="263" t="str">
        <f t="shared" si="104"/>
        <v xml:space="preserve"> </v>
      </c>
      <c r="AW36" s="263" t="str">
        <f t="shared" si="105"/>
        <v xml:space="preserve"> </v>
      </c>
      <c r="AX36" s="263" t="str">
        <f t="shared" si="105"/>
        <v xml:space="preserve"> </v>
      </c>
      <c r="AY36" s="263" t="str">
        <f t="shared" si="106"/>
        <v xml:space="preserve"> </v>
      </c>
      <c r="AZ36" s="263" t="str">
        <f t="shared" si="107"/>
        <v xml:space="preserve"> </v>
      </c>
      <c r="BA36" s="263" t="str">
        <f t="shared" si="108"/>
        <v xml:space="preserve"> </v>
      </c>
      <c r="BB36" s="229"/>
      <c r="BC36" s="266" t="str">
        <f t="shared" si="125"/>
        <v xml:space="preserve"> </v>
      </c>
      <c r="BD36" s="269" t="str">
        <f t="shared" si="126"/>
        <v xml:space="preserve"> </v>
      </c>
      <c r="BE36" s="269" t="str">
        <f t="shared" si="126"/>
        <v xml:space="preserve"> </v>
      </c>
      <c r="BF36" s="269" t="str">
        <f t="shared" si="127"/>
        <v xml:space="preserve"> </v>
      </c>
      <c r="BG36" s="269" t="str">
        <f t="shared" si="128"/>
        <v xml:space="preserve"> </v>
      </c>
      <c r="BH36" s="269" t="str">
        <f t="shared" si="128"/>
        <v xml:space="preserve"> </v>
      </c>
      <c r="BI36" s="269" t="str">
        <f t="shared" si="129"/>
        <v xml:space="preserve"> </v>
      </c>
      <c r="BJ36" s="269" t="str">
        <f t="shared" si="130"/>
        <v xml:space="preserve"> </v>
      </c>
      <c r="BK36" s="269" t="str">
        <f t="shared" si="131"/>
        <v xml:space="preserve"> </v>
      </c>
      <c r="BL36" s="229"/>
      <c r="BM36" s="220" t="str">
        <f>IF($A36="N/A"," ",(IF(MONTH(A36)&gt;=4,IF(MONTH(A36)&lt;=10,Inputs!$F$13-Inputs!$G$13,Inputs!$F$14-Inputs!$G$14),Inputs!$F$14-Inputs!$G$14))*$CK36*Availability)</f>
        <v xml:space="preserve"> </v>
      </c>
      <c r="BN36" s="221" t="str">
        <f t="shared" si="79"/>
        <v xml:space="preserve"> </v>
      </c>
      <c r="BO36" s="221" t="str">
        <f t="shared" si="80"/>
        <v xml:space="preserve"> </v>
      </c>
      <c r="BP36" s="221" t="str">
        <f t="shared" si="81"/>
        <v xml:space="preserve"> </v>
      </c>
      <c r="BQ36" s="221" t="str">
        <f t="shared" si="82"/>
        <v xml:space="preserve"> </v>
      </c>
      <c r="BR36" s="221" t="str">
        <f t="shared" si="83"/>
        <v xml:space="preserve"> </v>
      </c>
      <c r="BS36" s="221" t="str">
        <f t="shared" si="84"/>
        <v xml:space="preserve"> </v>
      </c>
      <c r="BT36" s="221" t="str">
        <f t="shared" si="85"/>
        <v xml:space="preserve"> </v>
      </c>
      <c r="BU36" s="221" t="str">
        <f t="shared" si="86"/>
        <v xml:space="preserve"> </v>
      </c>
      <c r="BV36" s="221" t="str">
        <f t="shared" si="87"/>
        <v xml:space="preserve"> </v>
      </c>
      <c r="BW36" s="221" t="str">
        <f t="shared" si="88"/>
        <v xml:space="preserve"> </v>
      </c>
      <c r="BX36" s="421" t="str">
        <f t="shared" si="89"/>
        <v xml:space="preserve"> </v>
      </c>
      <c r="BY36" s="417" t="str">
        <f t="shared" si="90"/>
        <v xml:space="preserve"> </v>
      </c>
      <c r="BZ36" s="417" t="str">
        <f t="shared" si="91"/>
        <v xml:space="preserve"> </v>
      </c>
      <c r="CA36" s="422" t="str">
        <f t="shared" si="92"/>
        <v xml:space="preserve"> </v>
      </c>
      <c r="CB36" s="347" t="str">
        <f t="shared" si="25"/>
        <v xml:space="preserve"> </v>
      </c>
      <c r="CC36" s="347" t="str">
        <f t="shared" si="93"/>
        <v xml:space="preserve"> </v>
      </c>
      <c r="CD36" s="348" t="str">
        <f t="shared" si="26"/>
        <v xml:space="preserve"> </v>
      </c>
      <c r="CE36" s="347" t="str">
        <f t="shared" si="27"/>
        <v xml:space="preserve"> </v>
      </c>
      <c r="CF36" s="347" t="str">
        <f t="shared" si="28"/>
        <v xml:space="preserve"> </v>
      </c>
      <c r="CG36" s="348" t="str">
        <f t="shared" si="29"/>
        <v xml:space="preserve"> </v>
      </c>
      <c r="CH36" s="347" t="str">
        <f t="shared" si="94"/>
        <v xml:space="preserve"> </v>
      </c>
      <c r="CI36" s="349" t="str">
        <f>IF($A36="N/A"," ",F36+G36+(D36*('Pricing Inputs'!T69)))</f>
        <v xml:space="preserve"> </v>
      </c>
      <c r="CJ36" s="347" t="str">
        <f>IF($A36="N/A"," ",IF(PV=1,0,'Pricing Inputs'!U69))</f>
        <v xml:space="preserve"> </v>
      </c>
      <c r="CK36" s="350" t="str">
        <f t="shared" si="30"/>
        <v xml:space="preserve"> </v>
      </c>
      <c r="CL36" s="365" t="str">
        <f t="shared" si="31"/>
        <v xml:space="preserve"> </v>
      </c>
      <c r="CM36" s="380" t="str">
        <f t="shared" si="95"/>
        <v xml:space="preserve"> </v>
      </c>
      <c r="CN36" s="378" t="str">
        <f t="shared" si="32"/>
        <v xml:space="preserve"> </v>
      </c>
      <c r="CO36" s="378" t="str">
        <f t="shared" si="33"/>
        <v xml:space="preserve"> </v>
      </c>
      <c r="CP36" s="378" t="str">
        <f t="shared" si="34"/>
        <v xml:space="preserve"> </v>
      </c>
      <c r="CQ36" s="378" t="str">
        <f t="shared" si="35"/>
        <v xml:space="preserve"> </v>
      </c>
      <c r="CR36" s="378" t="str">
        <f t="shared" si="36"/>
        <v xml:space="preserve"> </v>
      </c>
      <c r="CS36" s="378" t="str">
        <f t="shared" si="37"/>
        <v xml:space="preserve"> </v>
      </c>
      <c r="CT36" s="378" t="str">
        <f t="shared" si="38"/>
        <v xml:space="preserve"> </v>
      </c>
      <c r="CU36" s="378" t="str">
        <f t="shared" si="39"/>
        <v xml:space="preserve"> </v>
      </c>
      <c r="CV36" s="378" t="str">
        <f t="shared" si="40"/>
        <v xml:space="preserve"> </v>
      </c>
      <c r="CW36" s="254" t="str">
        <f t="shared" si="41"/>
        <v xml:space="preserve"> </v>
      </c>
      <c r="CX36" s="254" t="str">
        <f t="shared" si="42"/>
        <v xml:space="preserve"> </v>
      </c>
      <c r="CY36" s="254" t="str">
        <f t="shared" si="43"/>
        <v xml:space="preserve"> </v>
      </c>
      <c r="CZ36" s="254" t="str">
        <f t="shared" si="44"/>
        <v xml:space="preserve"> </v>
      </c>
      <c r="DA36" s="254" t="str">
        <f t="shared" si="45"/>
        <v xml:space="preserve"> </v>
      </c>
      <c r="DB36" s="254" t="str">
        <f t="shared" si="46"/>
        <v xml:space="preserve"> </v>
      </c>
      <c r="DC36" s="254" t="str">
        <f t="shared" si="47"/>
        <v xml:space="preserve"> </v>
      </c>
      <c r="DD36" s="254" t="str">
        <f t="shared" si="48"/>
        <v xml:space="preserve"> </v>
      </c>
      <c r="DE36" s="254" t="str">
        <f t="shared" si="49"/>
        <v xml:space="preserve"> </v>
      </c>
      <c r="DF36" s="374" t="str">
        <f>IF($A36="N/A"," ",IF(CC=2,(IF(MONTH(A36)&gt;=4,IF(MONTH(A36)&lt;=10,Inputs!$G$13,Inputs!$G$14),Inputs!$G$14))*$CK36,0))</f>
        <v xml:space="preserve"> </v>
      </c>
      <c r="DG36" s="373" t="str">
        <f t="shared" si="50"/>
        <v xml:space="preserve"> </v>
      </c>
      <c r="DH36" s="373" t="str">
        <f t="shared" si="51"/>
        <v xml:space="preserve"> </v>
      </c>
      <c r="DI36" s="373" t="str">
        <f t="shared" si="52"/>
        <v xml:space="preserve"> </v>
      </c>
      <c r="DJ36" s="373" t="str">
        <f t="shared" si="53"/>
        <v xml:space="preserve"> </v>
      </c>
      <c r="DK36" s="373" t="str">
        <f t="shared" si="54"/>
        <v xml:space="preserve"> </v>
      </c>
      <c r="DL36" s="373" t="str">
        <f t="shared" si="55"/>
        <v xml:space="preserve"> </v>
      </c>
      <c r="DM36" s="373" t="str">
        <f t="shared" si="56"/>
        <v xml:space="preserve"> </v>
      </c>
      <c r="DN36" s="373" t="str">
        <f t="shared" si="57"/>
        <v xml:space="preserve"> </v>
      </c>
      <c r="DO36" s="373" t="str">
        <f t="shared" si="58"/>
        <v xml:space="preserve"> </v>
      </c>
      <c r="DP36" s="375" t="str">
        <f t="shared" si="59"/>
        <v xml:space="preserve"> </v>
      </c>
      <c r="DQ36" t="str">
        <f t="shared" si="96"/>
        <v xml:space="preserve"> </v>
      </c>
      <c r="HD36" t="str">
        <f t="shared" si="97"/>
        <v xml:space="preserve"> </v>
      </c>
      <c r="HE36" t="str">
        <f t="shared" si="98"/>
        <v xml:space="preserve"> </v>
      </c>
      <c r="HF36" t="str">
        <f t="shared" si="99"/>
        <v xml:space="preserve"> </v>
      </c>
    </row>
    <row r="37" spans="1:214">
      <c r="A37" s="415" t="str">
        <f>IF(A36="N/A","N/A",IF(EDATE(A36,1)&gt;Inputs!$K$3,"N/A",EDATE(A36,1)))</f>
        <v>N/A</v>
      </c>
      <c r="B37" s="410" t="str">
        <f t="shared" si="60"/>
        <v xml:space="preserve"> </v>
      </c>
      <c r="C37" s="411" t="str">
        <f t="shared" si="61"/>
        <v xml:space="preserve"> </v>
      </c>
      <c r="D37" s="412" t="str">
        <f t="shared" si="62"/>
        <v xml:space="preserve"> </v>
      </c>
      <c r="E37" s="413" t="str">
        <f>IF($A37="N/A"," ",(C37-'Pricing Inputs'!T70)*D37)</f>
        <v xml:space="preserve"> </v>
      </c>
      <c r="F37" s="414" t="str">
        <f t="shared" si="116"/>
        <v xml:space="preserve"> </v>
      </c>
      <c r="G37" s="414" t="str">
        <f t="shared" si="64"/>
        <v xml:space="preserve"> </v>
      </c>
      <c r="H37" s="416" t="str">
        <f t="shared" si="65"/>
        <v xml:space="preserve"> </v>
      </c>
      <c r="I37" s="213" t="str">
        <f t="shared" si="0"/>
        <v xml:space="preserve"> </v>
      </c>
      <c r="J37" s="213" t="str">
        <f t="shared" si="1"/>
        <v xml:space="preserve"> </v>
      </c>
      <c r="K37" s="213" t="str">
        <f t="shared" si="2"/>
        <v xml:space="preserve"> </v>
      </c>
      <c r="L37" s="213" t="str">
        <f t="shared" si="3"/>
        <v xml:space="preserve"> </v>
      </c>
      <c r="M37" s="213" t="str">
        <f t="shared" si="4"/>
        <v xml:space="preserve"> </v>
      </c>
      <c r="N37" s="213" t="str">
        <f t="shared" si="5"/>
        <v xml:space="preserve"> </v>
      </c>
      <c r="O37" s="213" t="str">
        <f t="shared" si="6"/>
        <v xml:space="preserve"> </v>
      </c>
      <c r="P37" s="213" t="str">
        <f t="shared" si="7"/>
        <v xml:space="preserve"> </v>
      </c>
      <c r="Q37" s="213" t="str">
        <f t="shared" si="8"/>
        <v xml:space="preserve"> </v>
      </c>
      <c r="R37" s="405" t="str">
        <f>IF($A37="N/A"," ",IF(Pricetype=2,MAX(I37-$H37,0),IF(Pricetype=1,(_xll.xSPRDOPT(I37,$E37,$CI37,0,($CD37+IF(Smile=TRUE,VLOOKUP(MAX(-5,$H37-I37),Volsmile,2),0)),$CG37,$CH37,($A37-DateToday)+15,1,0)),I37-$H37)))</f>
        <v xml:space="preserve"> </v>
      </c>
      <c r="S37" s="405" t="str">
        <f>IF($A37="N/A"," ",IF(Pricetype=2,MAX(J37-$H37,0),IF(Pricetype=1,(_xll.xSPRDOPT(J37,$E37,$CI37,0,($CD37+IF(Smile=TRUE,VLOOKUP(MAX(-5,$H37-J37),Volsmile,2),0)),$CG37,$CH37,($A37-DateToday)+15,1,0)),J37-$H37)))</f>
        <v xml:space="preserve"> </v>
      </c>
      <c r="T37" s="406" t="str">
        <f t="shared" si="9"/>
        <v xml:space="preserve"> </v>
      </c>
      <c r="U37" s="405" t="str">
        <f>IF($A37="N/A"," ",IF(Pricetype=2,MAX(L37-$H37,0),IF(L37&lt;&gt;0,IF(Pricetype=1,(_xll.xSPRDOPT(L37,$E37,$CI37,0,($CD37+IF(Smile=TRUE,VLOOKUP(MAX(-5,$H37-L37),Volsmile,2),0)),$CG37,$CH37,($A37-DateToday)+15,1,0)),L37-$H37),0)))</f>
        <v xml:space="preserve"> </v>
      </c>
      <c r="V37" s="405" t="str">
        <f>IF($A37="N/A"," ",IF(Pricetype=2,MAX(M37-$H37,0),IF(M37&lt;&gt;0,IF(Pricetype=1,(_xll.xSPRDOPT(M37,$E37,$CI37,0,($CD37+IF(Smile=TRUE,VLOOKUP(MAX(-5,$H37-M37),Volsmile,2),0)),$CG37,$CH37,($A37-DateToday)+15,1,0)),M37-$H37),0)))</f>
        <v xml:space="preserve"> </v>
      </c>
      <c r="W37" s="406" t="str">
        <f t="shared" si="10"/>
        <v xml:space="preserve"> </v>
      </c>
      <c r="X37" s="405" t="str">
        <f>IF($A37="N/A"," ",IF(Pricetype=2,MAX(O37-$H37,0),IF(O37&lt;&gt;0,IF(Pricetype=1,(_xll.xSPRDOPT(O37,$E37,$CI37,0,($CD37+IF(Smile=TRUE,VLOOKUP(MAX(-5,$H37-O37),Volsmile,2),0)),$CG37,$CH37,($A37-DateToday)+15,1,0)),O37-$H37),0)))</f>
        <v xml:space="preserve"> </v>
      </c>
      <c r="Y37" s="405" t="str">
        <f>IF($A37="N/A"," ",IF(Pricetype=2,MAX(P37-$H37,0),IF(P37&lt;&gt;0,IF(Pricetype=1,(_xll.xSPRDOPT(P37,$E37,$CI37,0,($CD37+IF(Smile=TRUE,VLOOKUP(MAX(-5,$H37-P37),Volsmile,2),0)),$CG37,$CH37,($A37-DateToday)+15,1,0)),P37-$H37),0)))</f>
        <v xml:space="preserve"> </v>
      </c>
      <c r="Z37" s="406" t="str">
        <f t="shared" si="11"/>
        <v xml:space="preserve"> </v>
      </c>
      <c r="AA37" s="254" t="str">
        <f>IF($A37="N/A"," ",IF(VLOOKUP(MONTH(A37),ManualTable,2)=1,(IF(0&lt;&gt;R37,IF(Pricetype=1,(_xll.xSPRDOPT(I37,$E37,$CI37,0,($CD37+IF(Smile=TRUE,VLOOKUP(MAX(-5,$H37-I37),Volsmile,2),0)),$CG37,$CH37,($A37-DateToday)+15,1,1))*(8*$HD37),8*$HD37),0)),0))</f>
        <v xml:space="preserve"> </v>
      </c>
      <c r="AB37" s="254" t="str">
        <f>IF($A37="N/A"," ",IF(VLOOKUP(MONTH(A37),ManualTable,3)=1,(IF(S37&lt;&gt;0,IF(Pricetype=1,(_xll.xSPRDOPT(J37,$E37,$CI37,0,($CD37+IF(Smile=TRUE,VLOOKUP(MAX(-5,$H37-J37),Volsmile,2),0)),$CG37,$CH37,($A37-DateToday)+15,1,1))*(8*$HD37),8*$HD37),0)),0))</f>
        <v xml:space="preserve"> </v>
      </c>
      <c r="AC37" s="254" t="str">
        <f t="shared" si="66"/>
        <v xml:space="preserve"> </v>
      </c>
      <c r="AD37" s="254" t="str">
        <f>IF($A37="N/A"," ",IF(VLOOKUP(MONTH(A37),ManualTable,5)=1,(IF(U37&lt;&gt;0,IF(Pricetype=1,(_xll.xSPRDOPT(L37,$E37,$CI37,0,($CD37+IF(Smile=TRUE,VLOOKUP(MAX(-5,$H37-L37),Volsmile,2),0)),$CG37,$CH37,($A37-DateToday)+15,1,1))*(8*$HE37),8*$HE37),0)),0))</f>
        <v xml:space="preserve"> </v>
      </c>
      <c r="AE37" s="254" t="str">
        <f>IF($A37="N/A"," ",IF(VLOOKUP(MONTH(A37),ManualTable,6)=1,(IF(V37&lt;&gt;0,IF(Pricetype=1,(_xll.xSPRDOPT(M37,$E37,$CI37,0,($CD37+IF(Smile=TRUE,VLOOKUP(MAX(-5,$H37-M37),Volsmile,2),0)),$CG37,$CH37,($A37-DateToday)+15,1,1))*(8*$HE37),8*$HE37),0)),0))</f>
        <v xml:space="preserve"> </v>
      </c>
      <c r="AF37" s="254" t="str">
        <f t="shared" si="67"/>
        <v xml:space="preserve"> </v>
      </c>
      <c r="AG37" s="254" t="str">
        <f>IF($A37="N/A"," ",IF(VLOOKUP(MONTH(A37),ManualTable,8)=1,(IF(X37&lt;&gt;0,IF(Pricetype=1,(_xll.xSPRDOPT(O37,$E37,$CI37,0,($CD37+IF(Smile=TRUE,VLOOKUP(MAX(-5,$H37-O37),Volsmile,2),0)),$CG37,$CH37,($A37-DateToday)+15,1,1))*(8*$HF37),8*$HF37),0)),0))</f>
        <v xml:space="preserve"> </v>
      </c>
      <c r="AH37" s="254" t="str">
        <f>IF($A37="N/A"," ",IF(VLOOKUP(MONTH(A37),ManualTable,9)=1,(IF(Y37&lt;&gt;0,IF(Pricetype=1,(_xll.xSPRDOPT(P37,$E37,$CI37,0,($CD37+IF(Smile=TRUE,VLOOKUP(MAX(-5,$H37-P37),Volsmile,2),0)),$CG37,$CH37,($A37-DateToday)+15,1,1))*(8*$HF37),8*$HF37),0)),0))</f>
        <v xml:space="preserve"> </v>
      </c>
      <c r="AI37" s="254" t="str">
        <f t="shared" si="68"/>
        <v xml:space="preserve"> </v>
      </c>
      <c r="AJ37" s="227" t="str">
        <f t="shared" si="132"/>
        <v xml:space="preserve"> </v>
      </c>
      <c r="AK37" s="228" t="str">
        <f t="shared" si="123"/>
        <v xml:space="preserve"> </v>
      </c>
      <c r="AL37" s="228" t="str">
        <f t="shared" si="123"/>
        <v xml:space="preserve"> </v>
      </c>
      <c r="AM37" s="228" t="str">
        <f t="shared" si="133"/>
        <v xml:space="preserve"> </v>
      </c>
      <c r="AN37" s="228" t="str">
        <f t="shared" si="134"/>
        <v xml:space="preserve"> </v>
      </c>
      <c r="AO37" s="228" t="str">
        <f t="shared" si="134"/>
        <v xml:space="preserve"> </v>
      </c>
      <c r="AP37" s="228" t="str">
        <f t="shared" si="135"/>
        <v xml:space="preserve"> </v>
      </c>
      <c r="AQ37" s="228" t="str">
        <f t="shared" si="136"/>
        <v xml:space="preserve"> </v>
      </c>
      <c r="AR37" s="229" t="str">
        <f t="shared" si="137"/>
        <v xml:space="preserve"> </v>
      </c>
      <c r="AS37" s="262" t="str">
        <f t="shared" si="102"/>
        <v xml:space="preserve"> </v>
      </c>
      <c r="AT37" s="263" t="str">
        <f t="shared" si="103"/>
        <v xml:space="preserve"> </v>
      </c>
      <c r="AU37" s="263" t="str">
        <f t="shared" si="103"/>
        <v xml:space="preserve"> </v>
      </c>
      <c r="AV37" s="263" t="str">
        <f t="shared" si="104"/>
        <v xml:space="preserve"> </v>
      </c>
      <c r="AW37" s="263" t="str">
        <f t="shared" si="105"/>
        <v xml:space="preserve"> </v>
      </c>
      <c r="AX37" s="263" t="str">
        <f t="shared" si="105"/>
        <v xml:space="preserve"> </v>
      </c>
      <c r="AY37" s="263" t="str">
        <f t="shared" si="106"/>
        <v xml:space="preserve"> </v>
      </c>
      <c r="AZ37" s="263" t="str">
        <f t="shared" si="107"/>
        <v xml:space="preserve"> </v>
      </c>
      <c r="BA37" s="263" t="str">
        <f t="shared" si="108"/>
        <v xml:space="preserve"> </v>
      </c>
      <c r="BB37" s="234" t="s">
        <v>1271</v>
      </c>
      <c r="BC37" s="266" t="str">
        <f t="shared" si="125"/>
        <v xml:space="preserve"> </v>
      </c>
      <c r="BD37" s="269" t="str">
        <f t="shared" si="126"/>
        <v xml:space="preserve"> </v>
      </c>
      <c r="BE37" s="269" t="str">
        <f t="shared" si="126"/>
        <v xml:space="preserve"> </v>
      </c>
      <c r="BF37" s="269" t="str">
        <f t="shared" si="127"/>
        <v xml:space="preserve"> </v>
      </c>
      <c r="BG37" s="269" t="str">
        <f t="shared" si="128"/>
        <v xml:space="preserve"> </v>
      </c>
      <c r="BH37" s="269" t="str">
        <f t="shared" si="128"/>
        <v xml:space="preserve"> </v>
      </c>
      <c r="BI37" s="269" t="str">
        <f t="shared" si="129"/>
        <v xml:space="preserve"> </v>
      </c>
      <c r="BJ37" s="269" t="str">
        <f t="shared" si="130"/>
        <v xml:space="preserve"> </v>
      </c>
      <c r="BK37" s="269" t="str">
        <f t="shared" si="131"/>
        <v xml:space="preserve"> </v>
      </c>
      <c r="BL37" s="233" t="s">
        <v>1283</v>
      </c>
      <c r="BM37" s="220" t="str">
        <f>IF($A37="N/A"," ",(IF(MONTH(A37)&gt;=4,IF(MONTH(A37)&lt;=10,Inputs!$F$13-Inputs!$G$13,Inputs!$F$14-Inputs!$G$14),Inputs!$F$14-Inputs!$G$14))*$CK37*Availability)</f>
        <v xml:space="preserve"> </v>
      </c>
      <c r="BN37" s="221" t="str">
        <f t="shared" si="79"/>
        <v xml:space="preserve"> </v>
      </c>
      <c r="BO37" s="221" t="str">
        <f t="shared" si="80"/>
        <v xml:space="preserve"> </v>
      </c>
      <c r="BP37" s="221" t="str">
        <f t="shared" si="81"/>
        <v xml:space="preserve"> </v>
      </c>
      <c r="BQ37" s="221" t="str">
        <f t="shared" si="82"/>
        <v xml:space="preserve"> </v>
      </c>
      <c r="BR37" s="221" t="str">
        <f t="shared" si="83"/>
        <v xml:space="preserve"> </v>
      </c>
      <c r="BS37" s="221" t="str">
        <f t="shared" si="84"/>
        <v xml:space="preserve"> </v>
      </c>
      <c r="BT37" s="221" t="str">
        <f t="shared" si="85"/>
        <v xml:space="preserve"> </v>
      </c>
      <c r="BU37" s="221" t="str">
        <f t="shared" si="86"/>
        <v xml:space="preserve"> </v>
      </c>
      <c r="BV37" s="221" t="str">
        <f t="shared" si="87"/>
        <v xml:space="preserve"> </v>
      </c>
      <c r="BW37" s="221" t="str">
        <f t="shared" si="88"/>
        <v xml:space="preserve"> </v>
      </c>
      <c r="BX37" s="421" t="str">
        <f t="shared" si="89"/>
        <v xml:space="preserve"> </v>
      </c>
      <c r="BY37" s="417" t="str">
        <f t="shared" si="90"/>
        <v xml:space="preserve"> </v>
      </c>
      <c r="BZ37" s="417" t="str">
        <f t="shared" si="91"/>
        <v xml:space="preserve"> </v>
      </c>
      <c r="CA37" s="422" t="str">
        <f t="shared" si="92"/>
        <v xml:space="preserve"> </v>
      </c>
      <c r="CB37" s="347" t="str">
        <f t="shared" si="25"/>
        <v xml:space="preserve"> </v>
      </c>
      <c r="CC37" s="347" t="str">
        <f t="shared" si="93"/>
        <v xml:space="preserve"> </v>
      </c>
      <c r="CD37" s="348" t="str">
        <f t="shared" si="26"/>
        <v xml:space="preserve"> </v>
      </c>
      <c r="CE37" s="347" t="str">
        <f t="shared" si="27"/>
        <v xml:space="preserve"> </v>
      </c>
      <c r="CF37" s="347" t="str">
        <f t="shared" si="28"/>
        <v xml:space="preserve"> </v>
      </c>
      <c r="CG37" s="348" t="str">
        <f t="shared" si="29"/>
        <v xml:space="preserve"> </v>
      </c>
      <c r="CH37" s="347" t="str">
        <f t="shared" si="94"/>
        <v xml:space="preserve"> </v>
      </c>
      <c r="CI37" s="349" t="str">
        <f>IF($A37="N/A"," ",F37+G37+(D37*('Pricing Inputs'!T70)))</f>
        <v xml:space="preserve"> </v>
      </c>
      <c r="CJ37" s="347" t="str">
        <f>IF($A37="N/A"," ",IF(PV=1,0,'Pricing Inputs'!U70))</f>
        <v xml:space="preserve"> </v>
      </c>
      <c r="CK37" s="350" t="str">
        <f t="shared" si="30"/>
        <v xml:space="preserve"> </v>
      </c>
      <c r="CL37" s="365" t="str">
        <f t="shared" si="31"/>
        <v xml:space="preserve"> </v>
      </c>
      <c r="CM37" s="380" t="str">
        <f t="shared" si="95"/>
        <v xml:space="preserve"> </v>
      </c>
      <c r="CN37" s="378" t="str">
        <f t="shared" si="32"/>
        <v xml:space="preserve"> </v>
      </c>
      <c r="CO37" s="378" t="str">
        <f t="shared" si="33"/>
        <v xml:space="preserve"> </v>
      </c>
      <c r="CP37" s="378" t="str">
        <f t="shared" si="34"/>
        <v xml:space="preserve"> </v>
      </c>
      <c r="CQ37" s="378" t="str">
        <f t="shared" si="35"/>
        <v xml:space="preserve"> </v>
      </c>
      <c r="CR37" s="378" t="str">
        <f t="shared" si="36"/>
        <v xml:space="preserve"> </v>
      </c>
      <c r="CS37" s="378" t="str">
        <f t="shared" si="37"/>
        <v xml:space="preserve"> </v>
      </c>
      <c r="CT37" s="378" t="str">
        <f t="shared" si="38"/>
        <v xml:space="preserve"> </v>
      </c>
      <c r="CU37" s="378" t="str">
        <f t="shared" si="39"/>
        <v xml:space="preserve"> </v>
      </c>
      <c r="CV37" s="378" t="str">
        <f t="shared" si="40"/>
        <v xml:space="preserve"> </v>
      </c>
      <c r="CW37" s="254" t="str">
        <f t="shared" si="41"/>
        <v xml:space="preserve"> </v>
      </c>
      <c r="CX37" s="254" t="str">
        <f t="shared" si="42"/>
        <v xml:space="preserve"> </v>
      </c>
      <c r="CY37" s="254" t="str">
        <f t="shared" si="43"/>
        <v xml:space="preserve"> </v>
      </c>
      <c r="CZ37" s="254" t="str">
        <f t="shared" si="44"/>
        <v xml:space="preserve"> </v>
      </c>
      <c r="DA37" s="254" t="str">
        <f t="shared" si="45"/>
        <v xml:space="preserve"> </v>
      </c>
      <c r="DB37" s="254" t="str">
        <f t="shared" si="46"/>
        <v xml:space="preserve"> </v>
      </c>
      <c r="DC37" s="254" t="str">
        <f t="shared" si="47"/>
        <v xml:space="preserve"> </v>
      </c>
      <c r="DD37" s="254" t="str">
        <f t="shared" si="48"/>
        <v xml:space="preserve"> </v>
      </c>
      <c r="DE37" s="254" t="str">
        <f t="shared" si="49"/>
        <v xml:space="preserve"> </v>
      </c>
      <c r="DF37" s="374" t="str">
        <f>IF($A37="N/A"," ",IF(CC=2,(IF(MONTH(A37)&gt;=4,IF(MONTH(A37)&lt;=10,Inputs!$G$13,Inputs!$G$14),Inputs!$G$14))*$CK37,0))</f>
        <v xml:space="preserve"> </v>
      </c>
      <c r="DG37" s="373" t="str">
        <f t="shared" si="50"/>
        <v xml:space="preserve"> </v>
      </c>
      <c r="DH37" s="373" t="str">
        <f t="shared" si="51"/>
        <v xml:space="preserve"> </v>
      </c>
      <c r="DI37" s="373" t="str">
        <f t="shared" si="52"/>
        <v xml:space="preserve"> </v>
      </c>
      <c r="DJ37" s="373" t="str">
        <f t="shared" si="53"/>
        <v xml:space="preserve"> </v>
      </c>
      <c r="DK37" s="373" t="str">
        <f t="shared" si="54"/>
        <v xml:space="preserve"> </v>
      </c>
      <c r="DL37" s="373" t="str">
        <f t="shared" si="55"/>
        <v xml:space="preserve"> </v>
      </c>
      <c r="DM37" s="373" t="str">
        <f t="shared" si="56"/>
        <v xml:space="preserve"> </v>
      </c>
      <c r="DN37" s="373" t="str">
        <f t="shared" si="57"/>
        <v xml:space="preserve"> </v>
      </c>
      <c r="DO37" s="373" t="str">
        <f t="shared" si="58"/>
        <v xml:space="preserve"> </v>
      </c>
      <c r="DP37" s="375" t="str">
        <f t="shared" si="59"/>
        <v xml:space="preserve"> </v>
      </c>
      <c r="DQ37" t="str">
        <f t="shared" si="96"/>
        <v xml:space="preserve"> </v>
      </c>
      <c r="HD37" t="str">
        <f t="shared" si="97"/>
        <v xml:space="preserve"> </v>
      </c>
      <c r="HE37" t="str">
        <f t="shared" si="98"/>
        <v xml:space="preserve"> </v>
      </c>
      <c r="HF37" t="str">
        <f t="shared" si="99"/>
        <v xml:space="preserve"> </v>
      </c>
    </row>
    <row r="38" spans="1:214">
      <c r="A38" s="415" t="str">
        <f>IF(A37="N/A","N/A",IF(EDATE(A37,1)&gt;Inputs!$K$3,"N/A",EDATE(A37,1)))</f>
        <v>N/A</v>
      </c>
      <c r="B38" s="410" t="str">
        <f t="shared" si="60"/>
        <v xml:space="preserve"> </v>
      </c>
      <c r="C38" s="411" t="str">
        <f t="shared" si="61"/>
        <v xml:space="preserve"> </v>
      </c>
      <c r="D38" s="412" t="str">
        <f t="shared" si="62"/>
        <v xml:space="preserve"> </v>
      </c>
      <c r="E38" s="413" t="str">
        <f>IF($A38="N/A"," ",(C38-'Pricing Inputs'!T71)*D38)</f>
        <v xml:space="preserve"> </v>
      </c>
      <c r="F38" s="414" t="str">
        <f t="shared" si="116"/>
        <v xml:space="preserve"> </v>
      </c>
      <c r="G38" s="414" t="str">
        <f t="shared" si="64"/>
        <v xml:space="preserve"> </v>
      </c>
      <c r="H38" s="416" t="str">
        <f t="shared" si="65"/>
        <v xml:space="preserve"> </v>
      </c>
      <c r="I38" s="213" t="str">
        <f t="shared" si="0"/>
        <v xml:space="preserve"> </v>
      </c>
      <c r="J38" s="213" t="str">
        <f t="shared" si="1"/>
        <v xml:space="preserve"> </v>
      </c>
      <c r="K38" s="213" t="str">
        <f t="shared" si="2"/>
        <v xml:space="preserve"> </v>
      </c>
      <c r="L38" s="213" t="str">
        <f t="shared" si="3"/>
        <v xml:space="preserve"> </v>
      </c>
      <c r="M38" s="213" t="str">
        <f t="shared" si="4"/>
        <v xml:space="preserve"> </v>
      </c>
      <c r="N38" s="213" t="str">
        <f t="shared" si="5"/>
        <v xml:space="preserve"> </v>
      </c>
      <c r="O38" s="213" t="str">
        <f t="shared" si="6"/>
        <v xml:space="preserve"> </v>
      </c>
      <c r="P38" s="213" t="str">
        <f t="shared" si="7"/>
        <v xml:space="preserve"> </v>
      </c>
      <c r="Q38" s="213" t="str">
        <f t="shared" si="8"/>
        <v xml:space="preserve"> </v>
      </c>
      <c r="R38" s="405" t="str">
        <f>IF($A38="N/A"," ",IF(Pricetype=2,MAX(I38-$H38,0),IF(Pricetype=1,(_xll.xSPRDOPT(I38,$E38,$CI38,0,($CD38+IF(Smile=TRUE,VLOOKUP(MAX(-5,$H38-I38),Volsmile,2),0)),$CG38,$CH38,($A38-DateToday)+15,1,0)),I38-$H38)))</f>
        <v xml:space="preserve"> </v>
      </c>
      <c r="S38" s="405" t="str">
        <f>IF($A38="N/A"," ",IF(Pricetype=2,MAX(J38-$H38,0),IF(Pricetype=1,(_xll.xSPRDOPT(J38,$E38,$CI38,0,($CD38+IF(Smile=TRUE,VLOOKUP(MAX(-5,$H38-J38),Volsmile,2),0)),$CG38,$CH38,($A38-DateToday)+15,1,0)),J38-$H38)))</f>
        <v xml:space="preserve"> </v>
      </c>
      <c r="T38" s="406" t="str">
        <f t="shared" si="9"/>
        <v xml:space="preserve"> </v>
      </c>
      <c r="U38" s="405" t="str">
        <f>IF($A38="N/A"," ",IF(Pricetype=2,MAX(L38-$H38,0),IF(L38&lt;&gt;0,IF(Pricetype=1,(_xll.xSPRDOPT(L38,$E38,$CI38,0,($CD38+IF(Smile=TRUE,VLOOKUP(MAX(-5,$H38-L38),Volsmile,2),0)),$CG38,$CH38,($A38-DateToday)+15,1,0)),L38-$H38),0)))</f>
        <v xml:space="preserve"> </v>
      </c>
      <c r="V38" s="405" t="str">
        <f>IF($A38="N/A"," ",IF(Pricetype=2,MAX(M38-$H38,0),IF(M38&lt;&gt;0,IF(Pricetype=1,(_xll.xSPRDOPT(M38,$E38,$CI38,0,($CD38+IF(Smile=TRUE,VLOOKUP(MAX(-5,$H38-M38),Volsmile,2),0)),$CG38,$CH38,($A38-DateToday)+15,1,0)),M38-$H38),0)))</f>
        <v xml:space="preserve"> </v>
      </c>
      <c r="W38" s="406" t="str">
        <f t="shared" si="10"/>
        <v xml:space="preserve"> </v>
      </c>
      <c r="X38" s="405" t="str">
        <f>IF($A38="N/A"," ",IF(Pricetype=2,MAX(O38-$H38,0),IF(O38&lt;&gt;0,IF(Pricetype=1,(_xll.xSPRDOPT(O38,$E38,$CI38,0,($CD38+IF(Smile=TRUE,VLOOKUP(MAX(-5,$H38-O38),Volsmile,2),0)),$CG38,$CH38,($A38-DateToday)+15,1,0)),O38-$H38),0)))</f>
        <v xml:space="preserve"> </v>
      </c>
      <c r="Y38" s="405" t="str">
        <f>IF($A38="N/A"," ",IF(Pricetype=2,MAX(P38-$H38,0),IF(P38&lt;&gt;0,IF(Pricetype=1,(_xll.xSPRDOPT(P38,$E38,$CI38,0,($CD38+IF(Smile=TRUE,VLOOKUP(MAX(-5,$H38-P38),Volsmile,2),0)),$CG38,$CH38,($A38-DateToday)+15,1,0)),P38-$H38),0)))</f>
        <v xml:space="preserve"> </v>
      </c>
      <c r="Z38" s="406" t="str">
        <f t="shared" si="11"/>
        <v xml:space="preserve"> </v>
      </c>
      <c r="AA38" s="254" t="str">
        <f>IF($A38="N/A"," ",IF(VLOOKUP(MONTH(A38),ManualTable,2)=1,(IF(0&lt;&gt;R38,IF(Pricetype=1,(_xll.xSPRDOPT(I38,$E38,$CI38,0,($CD38+IF(Smile=TRUE,VLOOKUP(MAX(-5,$H38-I38),Volsmile,2),0)),$CG38,$CH38,($A38-DateToday)+15,1,1))*(8*$HD38),8*$HD38),0)),0))</f>
        <v xml:space="preserve"> </v>
      </c>
      <c r="AB38" s="254" t="str">
        <f>IF($A38="N/A"," ",IF(VLOOKUP(MONTH(A38),ManualTable,3)=1,(IF(S38&lt;&gt;0,IF(Pricetype=1,(_xll.xSPRDOPT(J38,$E38,$CI38,0,($CD38+IF(Smile=TRUE,VLOOKUP(MAX(-5,$H38-J38),Volsmile,2),0)),$CG38,$CH38,($A38-DateToday)+15,1,1))*(8*$HD38),8*$HD38),0)),0))</f>
        <v xml:space="preserve"> </v>
      </c>
      <c r="AC38" s="254" t="str">
        <f t="shared" si="66"/>
        <v xml:space="preserve"> </v>
      </c>
      <c r="AD38" s="254" t="str">
        <f>IF($A38="N/A"," ",IF(VLOOKUP(MONTH(A38),ManualTable,5)=1,(IF(U38&lt;&gt;0,IF(Pricetype=1,(_xll.xSPRDOPT(L38,$E38,$CI38,0,($CD38+IF(Smile=TRUE,VLOOKUP(MAX(-5,$H38-L38),Volsmile,2),0)),$CG38,$CH38,($A38-DateToday)+15,1,1))*(8*$HE38),8*$HE38),0)),0))</f>
        <v xml:space="preserve"> </v>
      </c>
      <c r="AE38" s="254" t="str">
        <f>IF($A38="N/A"," ",IF(VLOOKUP(MONTH(A38),ManualTable,6)=1,(IF(V38&lt;&gt;0,IF(Pricetype=1,(_xll.xSPRDOPT(M38,$E38,$CI38,0,($CD38+IF(Smile=TRUE,VLOOKUP(MAX(-5,$H38-M38),Volsmile,2),0)),$CG38,$CH38,($A38-DateToday)+15,1,1))*(8*$HE38),8*$HE38),0)),0))</f>
        <v xml:space="preserve"> </v>
      </c>
      <c r="AF38" s="254" t="str">
        <f t="shared" si="67"/>
        <v xml:space="preserve"> </v>
      </c>
      <c r="AG38" s="254" t="str">
        <f>IF($A38="N/A"," ",IF(VLOOKUP(MONTH(A38),ManualTable,8)=1,(IF(X38&lt;&gt;0,IF(Pricetype=1,(_xll.xSPRDOPT(O38,$E38,$CI38,0,($CD38+IF(Smile=TRUE,VLOOKUP(MAX(-5,$H38-O38),Volsmile,2),0)),$CG38,$CH38,($A38-DateToday)+15,1,1))*(8*$HF38),8*$HF38),0)),0))</f>
        <v xml:space="preserve"> </v>
      </c>
      <c r="AH38" s="254" t="str">
        <f>IF($A38="N/A"," ",IF(VLOOKUP(MONTH(A38),ManualTable,9)=1,(IF(Y38&lt;&gt;0,IF(Pricetype=1,(_xll.xSPRDOPT(P38,$E38,$CI38,0,($CD38+IF(Smile=TRUE,VLOOKUP(MAX(-5,$H38-P38),Volsmile,2),0)),$CG38,$CH38,($A38-DateToday)+15,1,1))*(8*$HF38),8*$HF38),0)),0))</f>
        <v xml:space="preserve"> </v>
      </c>
      <c r="AI38" s="254" t="str">
        <f t="shared" si="68"/>
        <v xml:space="preserve"> </v>
      </c>
      <c r="AJ38" s="227" t="str">
        <f t="shared" si="132"/>
        <v xml:space="preserve"> </v>
      </c>
      <c r="AK38" s="228" t="str">
        <f t="shared" si="123"/>
        <v xml:space="preserve"> </v>
      </c>
      <c r="AL38" s="228" t="str">
        <f t="shared" si="123"/>
        <v xml:space="preserve"> </v>
      </c>
      <c r="AM38" s="228" t="str">
        <f t="shared" si="133"/>
        <v xml:space="preserve"> </v>
      </c>
      <c r="AN38" s="228" t="str">
        <f t="shared" si="134"/>
        <v xml:space="preserve"> </v>
      </c>
      <c r="AO38" s="228" t="str">
        <f t="shared" si="134"/>
        <v xml:space="preserve"> </v>
      </c>
      <c r="AP38" s="228" t="str">
        <f t="shared" si="135"/>
        <v xml:space="preserve"> </v>
      </c>
      <c r="AQ38" s="228" t="str">
        <f t="shared" si="136"/>
        <v xml:space="preserve"> </v>
      </c>
      <c r="AR38" s="229" t="str">
        <f t="shared" si="137"/>
        <v xml:space="preserve"> </v>
      </c>
      <c r="AS38" s="262" t="str">
        <f t="shared" si="102"/>
        <v xml:space="preserve"> </v>
      </c>
      <c r="AT38" s="263" t="str">
        <f t="shared" si="103"/>
        <v xml:space="preserve"> </v>
      </c>
      <c r="AU38" s="263" t="str">
        <f t="shared" si="103"/>
        <v xml:space="preserve"> </v>
      </c>
      <c r="AV38" s="263" t="str">
        <f t="shared" si="104"/>
        <v xml:space="preserve"> </v>
      </c>
      <c r="AW38" s="263" t="str">
        <f t="shared" si="105"/>
        <v xml:space="preserve"> </v>
      </c>
      <c r="AX38" s="263" t="str">
        <f t="shared" si="105"/>
        <v xml:space="preserve"> </v>
      </c>
      <c r="AY38" s="263" t="str">
        <f t="shared" si="106"/>
        <v xml:space="preserve"> </v>
      </c>
      <c r="AZ38" s="263" t="str">
        <f t="shared" si="107"/>
        <v xml:space="preserve"> </v>
      </c>
      <c r="BA38" s="263" t="str">
        <f t="shared" si="108"/>
        <v xml:space="preserve"> </v>
      </c>
      <c r="BB38" s="229">
        <f>SUM(AS28:BA39)</f>
        <v>0</v>
      </c>
      <c r="BC38" s="266" t="str">
        <f t="shared" si="125"/>
        <v xml:space="preserve"> </v>
      </c>
      <c r="BD38" s="269" t="str">
        <f t="shared" si="126"/>
        <v xml:space="preserve"> </v>
      </c>
      <c r="BE38" s="269" t="str">
        <f t="shared" si="126"/>
        <v xml:space="preserve"> </v>
      </c>
      <c r="BF38" s="269" t="str">
        <f t="shared" si="127"/>
        <v xml:space="preserve"> </v>
      </c>
      <c r="BG38" s="269" t="str">
        <f t="shared" si="128"/>
        <v xml:space="preserve"> </v>
      </c>
      <c r="BH38" s="269" t="str">
        <f t="shared" si="128"/>
        <v xml:space="preserve"> </v>
      </c>
      <c r="BI38" s="269" t="str">
        <f t="shared" si="129"/>
        <v xml:space="preserve"> </v>
      </c>
      <c r="BJ38" s="269" t="str">
        <f t="shared" si="130"/>
        <v xml:space="preserve"> </v>
      </c>
      <c r="BK38" s="269" t="str">
        <f t="shared" si="131"/>
        <v xml:space="preserve"> </v>
      </c>
      <c r="BL38" s="229">
        <f>SUM(BC28:BK39)</f>
        <v>0</v>
      </c>
      <c r="BM38" s="220" t="str">
        <f>IF($A38="N/A"," ",(IF(MONTH(A38)&gt;=4,IF(MONTH(A38)&lt;=10,Inputs!$F$13-Inputs!$G$13,Inputs!$F$14-Inputs!$G$14),Inputs!$F$14-Inputs!$G$14))*$CK38*Availability)</f>
        <v xml:space="preserve"> </v>
      </c>
      <c r="BN38" s="221" t="str">
        <f t="shared" si="79"/>
        <v xml:space="preserve"> </v>
      </c>
      <c r="BO38" s="221" t="str">
        <f t="shared" si="80"/>
        <v xml:space="preserve"> </v>
      </c>
      <c r="BP38" s="221" t="str">
        <f t="shared" si="81"/>
        <v xml:space="preserve"> </v>
      </c>
      <c r="BQ38" s="221" t="str">
        <f t="shared" si="82"/>
        <v xml:space="preserve"> </v>
      </c>
      <c r="BR38" s="221" t="str">
        <f t="shared" si="83"/>
        <v xml:space="preserve"> </v>
      </c>
      <c r="BS38" s="221" t="str">
        <f t="shared" si="84"/>
        <v xml:space="preserve"> </v>
      </c>
      <c r="BT38" s="221" t="str">
        <f t="shared" si="85"/>
        <v xml:space="preserve"> </v>
      </c>
      <c r="BU38" s="221" t="str">
        <f t="shared" si="86"/>
        <v xml:space="preserve"> </v>
      </c>
      <c r="BV38" s="221" t="str">
        <f t="shared" si="87"/>
        <v xml:space="preserve"> </v>
      </c>
      <c r="BW38" s="221" t="str">
        <f t="shared" si="88"/>
        <v xml:space="preserve"> </v>
      </c>
      <c r="BX38" s="421" t="str">
        <f t="shared" si="89"/>
        <v xml:space="preserve"> </v>
      </c>
      <c r="BY38" s="417" t="str">
        <f t="shared" si="90"/>
        <v xml:space="preserve"> </v>
      </c>
      <c r="BZ38" s="417" t="str">
        <f t="shared" si="91"/>
        <v xml:space="preserve"> </v>
      </c>
      <c r="CA38" s="422" t="str">
        <f t="shared" si="92"/>
        <v xml:space="preserve"> </v>
      </c>
      <c r="CB38" s="347" t="str">
        <f t="shared" si="25"/>
        <v xml:space="preserve"> </v>
      </c>
      <c r="CC38" s="347" t="str">
        <f t="shared" si="93"/>
        <v xml:space="preserve"> </v>
      </c>
      <c r="CD38" s="348" t="str">
        <f t="shared" si="26"/>
        <v xml:space="preserve"> </v>
      </c>
      <c r="CE38" s="347" t="str">
        <f t="shared" si="27"/>
        <v xml:space="preserve"> </v>
      </c>
      <c r="CF38" s="347" t="str">
        <f t="shared" si="28"/>
        <v xml:space="preserve"> </v>
      </c>
      <c r="CG38" s="348" t="str">
        <f t="shared" si="29"/>
        <v xml:space="preserve"> </v>
      </c>
      <c r="CH38" s="347" t="str">
        <f t="shared" si="94"/>
        <v xml:space="preserve"> </v>
      </c>
      <c r="CI38" s="349" t="str">
        <f>IF($A38="N/A"," ",F38+G38+(D38*('Pricing Inputs'!T71)))</f>
        <v xml:space="preserve"> </v>
      </c>
      <c r="CJ38" s="347" t="str">
        <f>IF($A38="N/A"," ",IF(PV=1,0,'Pricing Inputs'!U71))</f>
        <v xml:space="preserve"> </v>
      </c>
      <c r="CK38" s="350" t="str">
        <f t="shared" si="30"/>
        <v xml:space="preserve"> </v>
      </c>
      <c r="CL38" s="365" t="str">
        <f t="shared" si="31"/>
        <v xml:space="preserve"> </v>
      </c>
      <c r="CM38" s="380" t="str">
        <f t="shared" si="95"/>
        <v xml:space="preserve"> </v>
      </c>
      <c r="CN38" s="378" t="str">
        <f t="shared" si="32"/>
        <v xml:space="preserve"> </v>
      </c>
      <c r="CO38" s="378" t="str">
        <f t="shared" si="33"/>
        <v xml:space="preserve"> </v>
      </c>
      <c r="CP38" s="378" t="str">
        <f t="shared" si="34"/>
        <v xml:space="preserve"> </v>
      </c>
      <c r="CQ38" s="378" t="str">
        <f t="shared" si="35"/>
        <v xml:space="preserve"> </v>
      </c>
      <c r="CR38" s="378" t="str">
        <f t="shared" si="36"/>
        <v xml:space="preserve"> </v>
      </c>
      <c r="CS38" s="378" t="str">
        <f t="shared" si="37"/>
        <v xml:space="preserve"> </v>
      </c>
      <c r="CT38" s="378" t="str">
        <f t="shared" si="38"/>
        <v xml:space="preserve"> </v>
      </c>
      <c r="CU38" s="378" t="str">
        <f t="shared" si="39"/>
        <v xml:space="preserve"> </v>
      </c>
      <c r="CV38" s="378" t="str">
        <f t="shared" si="40"/>
        <v xml:space="preserve"> </v>
      </c>
      <c r="CW38" s="254" t="str">
        <f t="shared" si="41"/>
        <v xml:space="preserve"> </v>
      </c>
      <c r="CX38" s="254" t="str">
        <f t="shared" si="42"/>
        <v xml:space="preserve"> </v>
      </c>
      <c r="CY38" s="254" t="str">
        <f t="shared" si="43"/>
        <v xml:space="preserve"> </v>
      </c>
      <c r="CZ38" s="254" t="str">
        <f t="shared" si="44"/>
        <v xml:space="preserve"> </v>
      </c>
      <c r="DA38" s="254" t="str">
        <f t="shared" si="45"/>
        <v xml:space="preserve"> </v>
      </c>
      <c r="DB38" s="254" t="str">
        <f t="shared" si="46"/>
        <v xml:space="preserve"> </v>
      </c>
      <c r="DC38" s="254" t="str">
        <f t="shared" si="47"/>
        <v xml:space="preserve"> </v>
      </c>
      <c r="DD38" s="254" t="str">
        <f t="shared" si="48"/>
        <v xml:space="preserve"> </v>
      </c>
      <c r="DE38" s="254" t="str">
        <f t="shared" si="49"/>
        <v xml:space="preserve"> </v>
      </c>
      <c r="DF38" s="374" t="str">
        <f>IF($A38="N/A"," ",IF(CC=2,(IF(MONTH(A38)&gt;=4,IF(MONTH(A38)&lt;=10,Inputs!$G$13,Inputs!$G$14),Inputs!$G$14))*$CK38,0))</f>
        <v xml:space="preserve"> </v>
      </c>
      <c r="DG38" s="373" t="str">
        <f t="shared" si="50"/>
        <v xml:space="preserve"> </v>
      </c>
      <c r="DH38" s="373" t="str">
        <f t="shared" si="51"/>
        <v xml:space="preserve"> </v>
      </c>
      <c r="DI38" s="373" t="str">
        <f t="shared" si="52"/>
        <v xml:space="preserve"> </v>
      </c>
      <c r="DJ38" s="373" t="str">
        <f t="shared" si="53"/>
        <v xml:space="preserve"> </v>
      </c>
      <c r="DK38" s="373" t="str">
        <f t="shared" si="54"/>
        <v xml:space="preserve"> </v>
      </c>
      <c r="DL38" s="373" t="str">
        <f t="shared" si="55"/>
        <v xml:space="preserve"> </v>
      </c>
      <c r="DM38" s="373" t="str">
        <f t="shared" si="56"/>
        <v xml:space="preserve"> </v>
      </c>
      <c r="DN38" s="373" t="str">
        <f t="shared" si="57"/>
        <v xml:space="preserve"> </v>
      </c>
      <c r="DO38" s="373" t="str">
        <f t="shared" si="58"/>
        <v xml:space="preserve"> </v>
      </c>
      <c r="DP38" s="375" t="str">
        <f t="shared" si="59"/>
        <v xml:space="preserve"> </v>
      </c>
      <c r="DQ38" t="str">
        <f t="shared" si="96"/>
        <v xml:space="preserve"> </v>
      </c>
      <c r="HD38" t="str">
        <f t="shared" si="97"/>
        <v xml:space="preserve"> </v>
      </c>
      <c r="HE38" t="str">
        <f t="shared" si="98"/>
        <v xml:space="preserve"> </v>
      </c>
      <c r="HF38" t="str">
        <f t="shared" si="99"/>
        <v xml:space="preserve"> </v>
      </c>
    </row>
    <row r="39" spans="1:214">
      <c r="A39" s="415" t="str">
        <f>IF(A38="N/A","N/A",IF(EDATE(A38,1)&gt;Inputs!$K$3,"N/A",EDATE(A38,1)))</f>
        <v>N/A</v>
      </c>
      <c r="B39" s="410" t="str">
        <f t="shared" si="60"/>
        <v xml:space="preserve"> </v>
      </c>
      <c r="C39" s="411" t="str">
        <f t="shared" si="61"/>
        <v xml:space="preserve"> </v>
      </c>
      <c r="D39" s="412" t="str">
        <f t="shared" si="62"/>
        <v xml:space="preserve"> </v>
      </c>
      <c r="E39" s="413" t="str">
        <f>IF($A39="N/A"," ",(C39-'Pricing Inputs'!T72)*D39)</f>
        <v xml:space="preserve"> </v>
      </c>
      <c r="F39" s="414" t="str">
        <f t="shared" si="116"/>
        <v xml:space="preserve"> </v>
      </c>
      <c r="G39" s="414" t="str">
        <f t="shared" si="64"/>
        <v xml:space="preserve"> </v>
      </c>
      <c r="H39" s="416" t="str">
        <f t="shared" si="65"/>
        <v xml:space="preserve"> </v>
      </c>
      <c r="I39" s="213" t="str">
        <f t="shared" si="0"/>
        <v xml:space="preserve"> </v>
      </c>
      <c r="J39" s="213" t="str">
        <f t="shared" si="1"/>
        <v xml:space="preserve"> </v>
      </c>
      <c r="K39" s="213" t="str">
        <f t="shared" si="2"/>
        <v xml:space="preserve"> </v>
      </c>
      <c r="L39" s="213" t="str">
        <f t="shared" si="3"/>
        <v xml:space="preserve"> </v>
      </c>
      <c r="M39" s="213" t="str">
        <f t="shared" si="4"/>
        <v xml:space="preserve"> </v>
      </c>
      <c r="N39" s="213" t="str">
        <f t="shared" si="5"/>
        <v xml:space="preserve"> </v>
      </c>
      <c r="O39" s="213" t="str">
        <f t="shared" si="6"/>
        <v xml:space="preserve"> </v>
      </c>
      <c r="P39" s="213" t="str">
        <f t="shared" si="7"/>
        <v xml:space="preserve"> </v>
      </c>
      <c r="Q39" s="213" t="str">
        <f t="shared" si="8"/>
        <v xml:space="preserve"> </v>
      </c>
      <c r="R39" s="405" t="str">
        <f>IF($A39="N/A"," ",IF(Pricetype=2,MAX(I39-$H39,0),IF(Pricetype=1,(_xll.xSPRDOPT(I39,$E39,$CI39,0,($CD39+IF(Smile=TRUE,VLOOKUP(MAX(-5,$H39-I39),Volsmile,2),0)),$CG39,$CH39,($A39-DateToday)+15,1,0)),I39-$H39)))</f>
        <v xml:space="preserve"> </v>
      </c>
      <c r="S39" s="405" t="str">
        <f>IF($A39="N/A"," ",IF(Pricetype=2,MAX(J39-$H39,0),IF(Pricetype=1,(_xll.xSPRDOPT(J39,$E39,$CI39,0,($CD39+IF(Smile=TRUE,VLOOKUP(MAX(-5,$H39-J39),Volsmile,2),0)),$CG39,$CH39,($A39-DateToday)+15,1,0)),J39-$H39)))</f>
        <v xml:space="preserve"> </v>
      </c>
      <c r="T39" s="406" t="str">
        <f t="shared" si="9"/>
        <v xml:space="preserve"> </v>
      </c>
      <c r="U39" s="405" t="str">
        <f>IF($A39="N/A"," ",IF(Pricetype=2,MAX(L39-$H39,0),IF(L39&lt;&gt;0,IF(Pricetype=1,(_xll.xSPRDOPT(L39,$E39,$CI39,0,($CD39+IF(Smile=TRUE,VLOOKUP(MAX(-5,$H39-L39),Volsmile,2),0)),$CG39,$CH39,($A39-DateToday)+15,1,0)),L39-$H39),0)))</f>
        <v xml:space="preserve"> </v>
      </c>
      <c r="V39" s="405" t="str">
        <f>IF($A39="N/A"," ",IF(Pricetype=2,MAX(M39-$H39,0),IF(M39&lt;&gt;0,IF(Pricetype=1,(_xll.xSPRDOPT(M39,$E39,$CI39,0,($CD39+IF(Smile=TRUE,VLOOKUP(MAX(-5,$H39-M39),Volsmile,2),0)),$CG39,$CH39,($A39-DateToday)+15,1,0)),M39-$H39),0)))</f>
        <v xml:space="preserve"> </v>
      </c>
      <c r="W39" s="406" t="str">
        <f t="shared" si="10"/>
        <v xml:space="preserve"> </v>
      </c>
      <c r="X39" s="405" t="str">
        <f>IF($A39="N/A"," ",IF(Pricetype=2,MAX(O39-$H39,0),IF(O39&lt;&gt;0,IF(Pricetype=1,(_xll.xSPRDOPT(O39,$E39,$CI39,0,($CD39+IF(Smile=TRUE,VLOOKUP(MAX(-5,$H39-O39),Volsmile,2),0)),$CG39,$CH39,($A39-DateToday)+15,1,0)),O39-$H39),0)))</f>
        <v xml:space="preserve"> </v>
      </c>
      <c r="Y39" s="405" t="str">
        <f>IF($A39="N/A"," ",IF(Pricetype=2,MAX(P39-$H39,0),IF(P39&lt;&gt;0,IF(Pricetype=1,(_xll.xSPRDOPT(P39,$E39,$CI39,0,($CD39+IF(Smile=TRUE,VLOOKUP(MAX(-5,$H39-P39),Volsmile,2),0)),$CG39,$CH39,($A39-DateToday)+15,1,0)),P39-$H39),0)))</f>
        <v xml:space="preserve"> </v>
      </c>
      <c r="Z39" s="406" t="str">
        <f t="shared" si="11"/>
        <v xml:space="preserve"> </v>
      </c>
      <c r="AA39" s="254" t="str">
        <f>IF($A39="N/A"," ",IF(VLOOKUP(MONTH(A39),ManualTable,2)=1,(IF(0&lt;&gt;R39,IF(Pricetype=1,(_xll.xSPRDOPT(I39,$E39,$CI39,0,($CD39+IF(Smile=TRUE,VLOOKUP(MAX(-5,$H39-I39),Volsmile,2),0)),$CG39,$CH39,($A39-DateToday)+15,1,1))*(8*$HD39),8*$HD39),0)),0))</f>
        <v xml:space="preserve"> </v>
      </c>
      <c r="AB39" s="254" t="str">
        <f>IF($A39="N/A"," ",IF(VLOOKUP(MONTH(A39),ManualTable,3)=1,(IF(S39&lt;&gt;0,IF(Pricetype=1,(_xll.xSPRDOPT(J39,$E39,$CI39,0,($CD39+IF(Smile=TRUE,VLOOKUP(MAX(-5,$H39-J39),Volsmile,2),0)),$CG39,$CH39,($A39-DateToday)+15,1,1))*(8*$HD39),8*$HD39),0)),0))</f>
        <v xml:space="preserve"> </v>
      </c>
      <c r="AC39" s="254" t="str">
        <f t="shared" si="66"/>
        <v xml:space="preserve"> </v>
      </c>
      <c r="AD39" s="254" t="str">
        <f>IF($A39="N/A"," ",IF(VLOOKUP(MONTH(A39),ManualTable,5)=1,(IF(U39&lt;&gt;0,IF(Pricetype=1,(_xll.xSPRDOPT(L39,$E39,$CI39,0,($CD39+IF(Smile=TRUE,VLOOKUP(MAX(-5,$H39-L39),Volsmile,2),0)),$CG39,$CH39,($A39-DateToday)+15,1,1))*(8*$HE39),8*$HE39),0)),0))</f>
        <v xml:space="preserve"> </v>
      </c>
      <c r="AE39" s="254" t="str">
        <f>IF($A39="N/A"," ",IF(VLOOKUP(MONTH(A39),ManualTable,6)=1,(IF(V39&lt;&gt;0,IF(Pricetype=1,(_xll.xSPRDOPT(M39,$E39,$CI39,0,($CD39+IF(Smile=TRUE,VLOOKUP(MAX(-5,$H39-M39),Volsmile,2),0)),$CG39,$CH39,($A39-DateToday)+15,1,1))*(8*$HE39),8*$HE39),0)),0))</f>
        <v xml:space="preserve"> </v>
      </c>
      <c r="AF39" s="254" t="str">
        <f t="shared" si="67"/>
        <v xml:space="preserve"> </v>
      </c>
      <c r="AG39" s="254" t="str">
        <f>IF($A39="N/A"," ",IF(VLOOKUP(MONTH(A39),ManualTable,8)=1,(IF(X39&lt;&gt;0,IF(Pricetype=1,(_xll.xSPRDOPT(O39,$E39,$CI39,0,($CD39+IF(Smile=TRUE,VLOOKUP(MAX(-5,$H39-O39),Volsmile,2),0)),$CG39,$CH39,($A39-DateToday)+15,1,1))*(8*$HF39),8*$HF39),0)),0))</f>
        <v xml:space="preserve"> </v>
      </c>
      <c r="AH39" s="254" t="str">
        <f>IF($A39="N/A"," ",IF(VLOOKUP(MONTH(A39),ManualTable,9)=1,(IF(Y39&lt;&gt;0,IF(Pricetype=1,(_xll.xSPRDOPT(P39,$E39,$CI39,0,($CD39+IF(Smile=TRUE,VLOOKUP(MAX(-5,$H39-P39),Volsmile,2),0)),$CG39,$CH39,($A39-DateToday)+15,1,1))*(8*$HF39),8*$HF39),0)),0))</f>
        <v xml:space="preserve"> </v>
      </c>
      <c r="AI39" s="254" t="str">
        <f t="shared" si="68"/>
        <v xml:space="preserve"> </v>
      </c>
      <c r="AJ39" s="230" t="str">
        <f t="shared" si="132"/>
        <v xml:space="preserve"> </v>
      </c>
      <c r="AK39" s="231" t="str">
        <f t="shared" si="123"/>
        <v xml:space="preserve"> </v>
      </c>
      <c r="AL39" s="228" t="str">
        <f t="shared" si="123"/>
        <v xml:space="preserve"> </v>
      </c>
      <c r="AM39" s="231" t="str">
        <f t="shared" si="133"/>
        <v xml:space="preserve"> </v>
      </c>
      <c r="AN39" s="231" t="str">
        <f t="shared" si="134"/>
        <v xml:space="preserve"> </v>
      </c>
      <c r="AO39" s="228" t="str">
        <f t="shared" si="134"/>
        <v xml:space="preserve"> </v>
      </c>
      <c r="AP39" s="231" t="str">
        <f t="shared" si="135"/>
        <v xml:space="preserve"> </v>
      </c>
      <c r="AQ39" s="231" t="str">
        <f t="shared" si="136"/>
        <v xml:space="preserve"> </v>
      </c>
      <c r="AR39" s="232" t="str">
        <f t="shared" si="137"/>
        <v xml:space="preserve"> </v>
      </c>
      <c r="AS39" s="264" t="str">
        <f t="shared" si="102"/>
        <v xml:space="preserve"> </v>
      </c>
      <c r="AT39" s="265" t="str">
        <f t="shared" si="103"/>
        <v xml:space="preserve"> </v>
      </c>
      <c r="AU39" s="265" t="str">
        <f t="shared" si="103"/>
        <v xml:space="preserve"> </v>
      </c>
      <c r="AV39" s="265" t="str">
        <f t="shared" si="104"/>
        <v xml:space="preserve"> </v>
      </c>
      <c r="AW39" s="265" t="str">
        <f t="shared" si="105"/>
        <v xml:space="preserve"> </v>
      </c>
      <c r="AX39" s="265" t="str">
        <f t="shared" si="105"/>
        <v xml:space="preserve"> </v>
      </c>
      <c r="AY39" s="265" t="str">
        <f t="shared" si="106"/>
        <v xml:space="preserve"> </v>
      </c>
      <c r="AZ39" s="265" t="str">
        <f t="shared" si="107"/>
        <v xml:space="preserve"> </v>
      </c>
      <c r="BA39" s="265" t="str">
        <f t="shared" si="108"/>
        <v xml:space="preserve"> </v>
      </c>
      <c r="BB39" s="232">
        <f>IF(($AZ$2-BB38)&gt;=0,$AZ$2-BB38,0)</f>
        <v>980</v>
      </c>
      <c r="BC39" s="270" t="str">
        <f t="shared" si="125"/>
        <v xml:space="preserve"> </v>
      </c>
      <c r="BD39" s="271" t="str">
        <f t="shared" si="126"/>
        <v xml:space="preserve"> </v>
      </c>
      <c r="BE39" s="269" t="str">
        <f t="shared" si="126"/>
        <v xml:space="preserve"> </v>
      </c>
      <c r="BF39" s="271" t="str">
        <f t="shared" si="127"/>
        <v xml:space="preserve"> </v>
      </c>
      <c r="BG39" s="271" t="str">
        <f t="shared" si="128"/>
        <v xml:space="preserve"> </v>
      </c>
      <c r="BH39" s="269" t="str">
        <f t="shared" si="128"/>
        <v xml:space="preserve"> </v>
      </c>
      <c r="BI39" s="271" t="str">
        <f t="shared" si="129"/>
        <v xml:space="preserve"> </v>
      </c>
      <c r="BJ39" s="271" t="str">
        <f t="shared" si="130"/>
        <v xml:space="preserve"> </v>
      </c>
      <c r="BK39" s="271" t="str">
        <f t="shared" si="131"/>
        <v xml:space="preserve"> </v>
      </c>
      <c r="BL39" s="235">
        <f>BB38+BL38</f>
        <v>0</v>
      </c>
      <c r="BM39" s="220" t="str">
        <f>IF($A39="N/A"," ",(IF(MONTH(A39)&gt;=4,IF(MONTH(A39)&lt;=10,Inputs!$F$13-Inputs!$G$13,Inputs!$F$14-Inputs!$G$14),Inputs!$F$14-Inputs!$G$14))*$CK39*Availability)</f>
        <v xml:space="preserve"> </v>
      </c>
      <c r="BN39" s="221" t="str">
        <f t="shared" si="79"/>
        <v xml:space="preserve"> </v>
      </c>
      <c r="BO39" s="221" t="str">
        <f t="shared" si="80"/>
        <v xml:space="preserve"> </v>
      </c>
      <c r="BP39" s="221" t="str">
        <f t="shared" si="81"/>
        <v xml:space="preserve"> </v>
      </c>
      <c r="BQ39" s="221" t="str">
        <f t="shared" si="82"/>
        <v xml:space="preserve"> </v>
      </c>
      <c r="BR39" s="221" t="str">
        <f t="shared" si="83"/>
        <v xml:space="preserve"> </v>
      </c>
      <c r="BS39" s="221" t="str">
        <f t="shared" si="84"/>
        <v xml:space="preserve"> </v>
      </c>
      <c r="BT39" s="221" t="str">
        <f t="shared" si="85"/>
        <v xml:space="preserve"> </v>
      </c>
      <c r="BU39" s="221" t="str">
        <f t="shared" si="86"/>
        <v xml:space="preserve"> </v>
      </c>
      <c r="BV39" s="221" t="str">
        <f t="shared" si="87"/>
        <v xml:space="preserve"> </v>
      </c>
      <c r="BW39" s="221" t="str">
        <f t="shared" si="88"/>
        <v xml:space="preserve"> </v>
      </c>
      <c r="BX39" s="421" t="str">
        <f t="shared" si="89"/>
        <v xml:space="preserve"> </v>
      </c>
      <c r="BY39" s="417" t="str">
        <f t="shared" si="90"/>
        <v xml:space="preserve"> </v>
      </c>
      <c r="BZ39" s="417" t="str">
        <f t="shared" si="91"/>
        <v xml:space="preserve"> </v>
      </c>
      <c r="CA39" s="422" t="str">
        <f t="shared" si="92"/>
        <v xml:space="preserve"> </v>
      </c>
      <c r="CB39" s="347" t="str">
        <f t="shared" si="25"/>
        <v xml:space="preserve"> </v>
      </c>
      <c r="CC39" s="347" t="str">
        <f t="shared" si="93"/>
        <v xml:space="preserve"> </v>
      </c>
      <c r="CD39" s="348" t="str">
        <f t="shared" si="26"/>
        <v xml:space="preserve"> </v>
      </c>
      <c r="CE39" s="347" t="str">
        <f t="shared" si="27"/>
        <v xml:space="preserve"> </v>
      </c>
      <c r="CF39" s="347" t="str">
        <f t="shared" si="28"/>
        <v xml:space="preserve"> </v>
      </c>
      <c r="CG39" s="348" t="str">
        <f t="shared" si="29"/>
        <v xml:space="preserve"> </v>
      </c>
      <c r="CH39" s="347" t="str">
        <f t="shared" si="94"/>
        <v xml:space="preserve"> </v>
      </c>
      <c r="CI39" s="349" t="str">
        <f>IF($A39="N/A"," ",F39+G39+(D39*('Pricing Inputs'!T72)))</f>
        <v xml:space="preserve"> </v>
      </c>
      <c r="CJ39" s="347" t="str">
        <f>IF($A39="N/A"," ",IF(PV=1,0,'Pricing Inputs'!U72))</f>
        <v xml:space="preserve"> </v>
      </c>
      <c r="CK39" s="350" t="str">
        <f t="shared" si="30"/>
        <v xml:space="preserve"> </v>
      </c>
      <c r="CL39" s="365" t="str">
        <f t="shared" si="31"/>
        <v xml:space="preserve"> </v>
      </c>
      <c r="CM39" s="380" t="str">
        <f t="shared" si="95"/>
        <v xml:space="preserve"> </v>
      </c>
      <c r="CN39" s="378" t="str">
        <f t="shared" si="32"/>
        <v xml:space="preserve"> </v>
      </c>
      <c r="CO39" s="378" t="str">
        <f t="shared" si="33"/>
        <v xml:space="preserve"> </v>
      </c>
      <c r="CP39" s="378" t="str">
        <f t="shared" si="34"/>
        <v xml:space="preserve"> </v>
      </c>
      <c r="CQ39" s="378" t="str">
        <f t="shared" si="35"/>
        <v xml:space="preserve"> </v>
      </c>
      <c r="CR39" s="378" t="str">
        <f t="shared" si="36"/>
        <v xml:space="preserve"> </v>
      </c>
      <c r="CS39" s="378" t="str">
        <f t="shared" si="37"/>
        <v xml:space="preserve"> </v>
      </c>
      <c r="CT39" s="378" t="str">
        <f t="shared" si="38"/>
        <v xml:space="preserve"> </v>
      </c>
      <c r="CU39" s="378" t="str">
        <f t="shared" si="39"/>
        <v xml:space="preserve"> </v>
      </c>
      <c r="CV39" s="378" t="str">
        <f t="shared" si="40"/>
        <v xml:space="preserve"> </v>
      </c>
      <c r="CW39" s="254" t="str">
        <f t="shared" si="41"/>
        <v xml:space="preserve"> </v>
      </c>
      <c r="CX39" s="254" t="str">
        <f t="shared" si="42"/>
        <v xml:space="preserve"> </v>
      </c>
      <c r="CY39" s="254" t="str">
        <f t="shared" si="43"/>
        <v xml:space="preserve"> </v>
      </c>
      <c r="CZ39" s="254" t="str">
        <f t="shared" si="44"/>
        <v xml:space="preserve"> </v>
      </c>
      <c r="DA39" s="254" t="str">
        <f t="shared" si="45"/>
        <v xml:space="preserve"> </v>
      </c>
      <c r="DB39" s="254" t="str">
        <f t="shared" si="46"/>
        <v xml:space="preserve"> </v>
      </c>
      <c r="DC39" s="254" t="str">
        <f t="shared" si="47"/>
        <v xml:space="preserve"> </v>
      </c>
      <c r="DD39" s="254" t="str">
        <f t="shared" si="48"/>
        <v xml:space="preserve"> </v>
      </c>
      <c r="DE39" s="254" t="str">
        <f t="shared" si="49"/>
        <v xml:space="preserve"> </v>
      </c>
      <c r="DF39" s="374" t="str">
        <f>IF($A39="N/A"," ",IF(CC=2,(IF(MONTH(A39)&gt;=4,IF(MONTH(A39)&lt;=10,Inputs!$G$13,Inputs!$G$14),Inputs!$G$14))*$CK39,0))</f>
        <v xml:space="preserve"> </v>
      </c>
      <c r="DG39" s="373" t="str">
        <f t="shared" si="50"/>
        <v xml:space="preserve"> </v>
      </c>
      <c r="DH39" s="373" t="str">
        <f t="shared" si="51"/>
        <v xml:space="preserve"> </v>
      </c>
      <c r="DI39" s="373" t="str">
        <f t="shared" si="52"/>
        <v xml:space="preserve"> </v>
      </c>
      <c r="DJ39" s="373" t="str">
        <f t="shared" si="53"/>
        <v xml:space="preserve"> </v>
      </c>
      <c r="DK39" s="373" t="str">
        <f t="shared" si="54"/>
        <v xml:space="preserve"> </v>
      </c>
      <c r="DL39" s="373" t="str">
        <f t="shared" si="55"/>
        <v xml:space="preserve"> </v>
      </c>
      <c r="DM39" s="373" t="str">
        <f t="shared" si="56"/>
        <v xml:space="preserve"> </v>
      </c>
      <c r="DN39" s="373" t="str">
        <f t="shared" si="57"/>
        <v xml:space="preserve"> </v>
      </c>
      <c r="DO39" s="373" t="str">
        <f t="shared" si="58"/>
        <v xml:space="preserve"> </v>
      </c>
      <c r="DP39" s="375" t="str">
        <f t="shared" si="59"/>
        <v xml:space="preserve"> </v>
      </c>
      <c r="DQ39" t="str">
        <f t="shared" si="96"/>
        <v xml:space="preserve"> </v>
      </c>
      <c r="HD39" t="str">
        <f t="shared" si="97"/>
        <v xml:space="preserve"> </v>
      </c>
      <c r="HE39" t="str">
        <f t="shared" si="98"/>
        <v xml:space="preserve"> </v>
      </c>
      <c r="HF39" t="str">
        <f t="shared" si="99"/>
        <v xml:space="preserve"> </v>
      </c>
    </row>
    <row r="40" spans="1:214">
      <c r="A40" s="415" t="str">
        <f>IF(A39="N/A","N/A",IF(EDATE(A39,1)&gt;Inputs!$K$3,"N/A",EDATE(A39,1)))</f>
        <v>N/A</v>
      </c>
      <c r="B40" s="410" t="str">
        <f t="shared" si="60"/>
        <v xml:space="preserve"> </v>
      </c>
      <c r="C40" s="411" t="str">
        <f t="shared" si="61"/>
        <v xml:space="preserve"> </v>
      </c>
      <c r="D40" s="412" t="str">
        <f t="shared" si="62"/>
        <v xml:space="preserve"> </v>
      </c>
      <c r="E40" s="413" t="str">
        <f>IF($A40="N/A"," ",(C40-'Pricing Inputs'!T73)*D40)</f>
        <v xml:space="preserve"> </v>
      </c>
      <c r="F40" s="414" t="str">
        <f t="shared" si="116"/>
        <v xml:space="preserve"> </v>
      </c>
      <c r="G40" s="414" t="str">
        <f t="shared" si="64"/>
        <v xml:space="preserve"> </v>
      </c>
      <c r="H40" s="416" t="str">
        <f t="shared" si="65"/>
        <v xml:space="preserve"> </v>
      </c>
      <c r="I40" s="213" t="str">
        <f t="shared" si="0"/>
        <v xml:space="preserve"> </v>
      </c>
      <c r="J40" s="213" t="str">
        <f t="shared" si="1"/>
        <v xml:space="preserve"> </v>
      </c>
      <c r="K40" s="213" t="str">
        <f t="shared" si="2"/>
        <v xml:space="preserve"> </v>
      </c>
      <c r="L40" s="213" t="str">
        <f t="shared" si="3"/>
        <v xml:space="preserve"> </v>
      </c>
      <c r="M40" s="213" t="str">
        <f t="shared" si="4"/>
        <v xml:space="preserve"> </v>
      </c>
      <c r="N40" s="213" t="str">
        <f t="shared" si="5"/>
        <v xml:space="preserve"> </v>
      </c>
      <c r="O40" s="213" t="str">
        <f t="shared" si="6"/>
        <v xml:space="preserve"> </v>
      </c>
      <c r="P40" s="213" t="str">
        <f t="shared" si="7"/>
        <v xml:space="preserve"> </v>
      </c>
      <c r="Q40" s="213" t="str">
        <f t="shared" si="8"/>
        <v xml:space="preserve"> </v>
      </c>
      <c r="R40" s="405" t="str">
        <f>IF($A40="N/A"," ",IF(Pricetype=2,MAX(I40-$H40,0),IF(Pricetype=1,(_xll.xSPRDOPT(I40,$E40,$CI40,0,($CD40+IF(Smile=TRUE,VLOOKUP(MAX(-5,$H40-I40),Volsmile,2),0)),$CG40,$CH40,($A40-DateToday)+15,1,0)),I40-$H40)))</f>
        <v xml:space="preserve"> </v>
      </c>
      <c r="S40" s="405" t="str">
        <f>IF($A40="N/A"," ",IF(Pricetype=2,MAX(J40-$H40,0),IF(Pricetype=1,(_xll.xSPRDOPT(J40,$E40,$CI40,0,($CD40+IF(Smile=TRUE,VLOOKUP(MAX(-5,$H40-J40),Volsmile,2),0)),$CG40,$CH40,($A40-DateToday)+15,1,0)),J40-$H40)))</f>
        <v xml:space="preserve"> </v>
      </c>
      <c r="T40" s="406" t="str">
        <f t="shared" si="9"/>
        <v xml:space="preserve"> </v>
      </c>
      <c r="U40" s="405" t="str">
        <f>IF($A40="N/A"," ",IF(Pricetype=2,MAX(L40-$H40,0),IF(L40&lt;&gt;0,IF(Pricetype=1,(_xll.xSPRDOPT(L40,$E40,$CI40,0,($CD40+IF(Smile=TRUE,VLOOKUP(MAX(-5,$H40-L40),Volsmile,2),0)),$CG40,$CH40,($A40-DateToday)+15,1,0)),L40-$H40),0)))</f>
        <v xml:space="preserve"> </v>
      </c>
      <c r="V40" s="405" t="str">
        <f>IF($A40="N/A"," ",IF(Pricetype=2,MAX(M40-$H40,0),IF(M40&lt;&gt;0,IF(Pricetype=1,(_xll.xSPRDOPT(M40,$E40,$CI40,0,($CD40+IF(Smile=TRUE,VLOOKUP(MAX(-5,$H40-M40),Volsmile,2),0)),$CG40,$CH40,($A40-DateToday)+15,1,0)),M40-$H40),0)))</f>
        <v xml:space="preserve"> </v>
      </c>
      <c r="W40" s="406" t="str">
        <f t="shared" si="10"/>
        <v xml:space="preserve"> </v>
      </c>
      <c r="X40" s="405" t="str">
        <f>IF($A40="N/A"," ",IF(Pricetype=2,MAX(O40-$H40,0),IF(O40&lt;&gt;0,IF(Pricetype=1,(_xll.xSPRDOPT(O40,$E40,$CI40,0,($CD40+IF(Smile=TRUE,VLOOKUP(MAX(-5,$H40-O40),Volsmile,2),0)),$CG40,$CH40,($A40-DateToday)+15,1,0)),O40-$H40),0)))</f>
        <v xml:space="preserve"> </v>
      </c>
      <c r="Y40" s="405" t="str">
        <f>IF($A40="N/A"," ",IF(Pricetype=2,MAX(P40-$H40,0),IF(P40&lt;&gt;0,IF(Pricetype=1,(_xll.xSPRDOPT(P40,$E40,$CI40,0,($CD40+IF(Smile=TRUE,VLOOKUP(MAX(-5,$H40-P40),Volsmile,2),0)),$CG40,$CH40,($A40-DateToday)+15,1,0)),P40-$H40),0)))</f>
        <v xml:space="preserve"> </v>
      </c>
      <c r="Z40" s="406" t="str">
        <f t="shared" si="11"/>
        <v xml:space="preserve"> </v>
      </c>
      <c r="AA40" s="254" t="str">
        <f>IF($A40="N/A"," ",IF(VLOOKUP(MONTH(A40),ManualTable,2)=1,(IF(0&lt;&gt;R40,IF(Pricetype=1,(_xll.xSPRDOPT(I40,$E40,$CI40,0,($CD40+IF(Smile=TRUE,VLOOKUP(MAX(-5,$H40-I40),Volsmile,2),0)),$CG40,$CH40,($A40-DateToday)+15,1,1))*(8*$HD40),8*$HD40),0)),0))</f>
        <v xml:space="preserve"> </v>
      </c>
      <c r="AB40" s="254" t="str">
        <f>IF($A40="N/A"," ",IF(VLOOKUP(MONTH(A40),ManualTable,3)=1,(IF(S40&lt;&gt;0,IF(Pricetype=1,(_xll.xSPRDOPT(J40,$E40,$CI40,0,($CD40+IF(Smile=TRUE,VLOOKUP(MAX(-5,$H40-J40),Volsmile,2),0)),$CG40,$CH40,($A40-DateToday)+15,1,1))*(8*$HD40),8*$HD40),0)),0))</f>
        <v xml:space="preserve"> </v>
      </c>
      <c r="AC40" s="254" t="str">
        <f t="shared" si="66"/>
        <v xml:space="preserve"> </v>
      </c>
      <c r="AD40" s="254" t="str">
        <f>IF($A40="N/A"," ",IF(VLOOKUP(MONTH(A40),ManualTable,5)=1,(IF(U40&lt;&gt;0,IF(Pricetype=1,(_xll.xSPRDOPT(L40,$E40,$CI40,0,($CD40+IF(Smile=TRUE,VLOOKUP(MAX(-5,$H40-L40),Volsmile,2),0)),$CG40,$CH40,($A40-DateToday)+15,1,1))*(8*$HE40),8*$HE40),0)),0))</f>
        <v xml:space="preserve"> </v>
      </c>
      <c r="AE40" s="254" t="str">
        <f>IF($A40="N/A"," ",IF(VLOOKUP(MONTH(A40),ManualTable,6)=1,(IF(V40&lt;&gt;0,IF(Pricetype=1,(_xll.xSPRDOPT(M40,$E40,$CI40,0,($CD40+IF(Smile=TRUE,VLOOKUP(MAX(-5,$H40-M40),Volsmile,2),0)),$CG40,$CH40,($A40-DateToday)+15,1,1))*(8*$HE40),8*$HE40),0)),0))</f>
        <v xml:space="preserve"> </v>
      </c>
      <c r="AF40" s="254" t="str">
        <f t="shared" si="67"/>
        <v xml:space="preserve"> </v>
      </c>
      <c r="AG40" s="254" t="str">
        <f>IF($A40="N/A"," ",IF(VLOOKUP(MONTH(A40),ManualTable,8)=1,(IF(X40&lt;&gt;0,IF(Pricetype=1,(_xll.xSPRDOPT(O40,$E40,$CI40,0,($CD40+IF(Smile=TRUE,VLOOKUP(MAX(-5,$H40-O40),Volsmile,2),0)),$CG40,$CH40,($A40-DateToday)+15,1,1))*(8*$HF40),8*$HF40),0)),0))</f>
        <v xml:space="preserve"> </v>
      </c>
      <c r="AH40" s="254" t="str">
        <f>IF($A40="N/A"," ",IF(VLOOKUP(MONTH(A40),ManualTable,9)=1,(IF(Y40&lt;&gt;0,IF(Pricetype=1,(_xll.xSPRDOPT(P40,$E40,$CI40,0,($CD40+IF(Smile=TRUE,VLOOKUP(MAX(-5,$H40-P40),Volsmile,2),0)),$CG40,$CH40,($A40-DateToday)+15,1,1))*(8*$HF40),8*$HF40),0)),0))</f>
        <v xml:space="preserve"> </v>
      </c>
      <c r="AI40" s="254" t="str">
        <f t="shared" si="68"/>
        <v xml:space="preserve"> </v>
      </c>
      <c r="AJ40" s="224" t="str">
        <f t="shared" ref="AJ40:AR40" si="138">IF($A40="N/A"," ",RANK(R40,$R$40:$Z$51))</f>
        <v xml:space="preserve"> </v>
      </c>
      <c r="AK40" s="225" t="str">
        <f t="shared" si="138"/>
        <v xml:space="preserve"> </v>
      </c>
      <c r="AL40" s="225" t="str">
        <f t="shared" si="138"/>
        <v xml:space="preserve"> </v>
      </c>
      <c r="AM40" s="225" t="str">
        <f t="shared" si="138"/>
        <v xml:space="preserve"> </v>
      </c>
      <c r="AN40" s="225" t="str">
        <f t="shared" si="138"/>
        <v xml:space="preserve"> </v>
      </c>
      <c r="AO40" s="225" t="str">
        <f t="shared" si="138"/>
        <v xml:space="preserve"> </v>
      </c>
      <c r="AP40" s="225" t="str">
        <f t="shared" si="138"/>
        <v xml:space="preserve"> </v>
      </c>
      <c r="AQ40" s="225" t="str">
        <f t="shared" si="138"/>
        <v xml:space="preserve"> </v>
      </c>
      <c r="AR40" s="226" t="str">
        <f t="shared" si="138"/>
        <v xml:space="preserve"> </v>
      </c>
      <c r="AS40" s="260" t="str">
        <f t="shared" si="102"/>
        <v xml:space="preserve"> </v>
      </c>
      <c r="AT40" s="261" t="str">
        <f t="shared" si="103"/>
        <v xml:space="preserve"> </v>
      </c>
      <c r="AU40" s="263" t="str">
        <f t="shared" si="103"/>
        <v xml:space="preserve"> </v>
      </c>
      <c r="AV40" s="261" t="str">
        <f t="shared" si="104"/>
        <v xml:space="preserve"> </v>
      </c>
      <c r="AW40" s="261" t="str">
        <f t="shared" si="105"/>
        <v xml:space="preserve"> </v>
      </c>
      <c r="AX40" s="263" t="str">
        <f t="shared" si="105"/>
        <v xml:space="preserve"> </v>
      </c>
      <c r="AY40" s="261" t="str">
        <f t="shared" si="106"/>
        <v xml:space="preserve"> </v>
      </c>
      <c r="AZ40" s="261" t="str">
        <f t="shared" si="107"/>
        <v xml:space="preserve"> </v>
      </c>
      <c r="BA40" s="261" t="str">
        <f t="shared" si="108"/>
        <v xml:space="preserve"> </v>
      </c>
      <c r="BB40" s="226"/>
      <c r="BC40" s="272" t="str">
        <f t="shared" ref="BC40:BC51" si="139">IF($A40="N/A"," ",IF(AND(AJ40=$AR$2+1,AS40=0),MIN($BB$51,AA40),0))</f>
        <v xml:space="preserve"> </v>
      </c>
      <c r="BD40" s="267" t="str">
        <f t="shared" ref="BD40:BE51" si="140">IF($A40="N/A"," ",IF(AND(AK40=$AR$2+1,AT40=0),MIN($BB$51,AB40),0))</f>
        <v xml:space="preserve"> </v>
      </c>
      <c r="BE40" s="267" t="str">
        <f t="shared" si="140"/>
        <v xml:space="preserve"> </v>
      </c>
      <c r="BF40" s="267" t="str">
        <f t="shared" ref="BF40:BF51" si="141">IF($A40="N/A"," ",IF(AND(AM40=$AR$2+1,AV40=0),MIN($BB$51,AD40),0))</f>
        <v xml:space="preserve"> </v>
      </c>
      <c r="BG40" s="267" t="str">
        <f t="shared" ref="BG40:BH51" si="142">IF($A40="N/A"," ",IF(AND(AN40=$AR$2+1,AW40=0),MIN($BB$51,AE40),0))</f>
        <v xml:space="preserve"> </v>
      </c>
      <c r="BH40" s="267" t="str">
        <f t="shared" si="142"/>
        <v xml:space="preserve"> </v>
      </c>
      <c r="BI40" s="267" t="str">
        <f t="shared" ref="BI40:BI51" si="143">IF($A40="N/A"," ",IF(AND(AP40=$AR$2+1,AY40=0),MIN($BB$51,AG40),0))</f>
        <v xml:space="preserve"> </v>
      </c>
      <c r="BJ40" s="267" t="str">
        <f t="shared" ref="BJ40:BJ51" si="144">IF($A40="N/A"," ",IF(AND(AQ40=$AR$2+1,AZ40=0),MIN($BB$51,AH40),0))</f>
        <v xml:space="preserve"> </v>
      </c>
      <c r="BK40" s="267" t="str">
        <f t="shared" ref="BK40:BK51" si="145">IF($A40="N/A"," ",IF(AND(AR40=$AR$2+1,BA40=0),MIN($BB$51,AI40),0))</f>
        <v xml:space="preserve"> </v>
      </c>
      <c r="BL40" s="226"/>
      <c r="BM40" s="220" t="str">
        <f>IF($A40="N/A"," ",(IF(MONTH(A40)&gt;=4,IF(MONTH(A40)&lt;=10,Inputs!$F$13-Inputs!$G$13,Inputs!$F$14-Inputs!$G$14),Inputs!$F$14-Inputs!$G$14))*$CK40*Availability)</f>
        <v xml:space="preserve"> </v>
      </c>
      <c r="BN40" s="221" t="str">
        <f t="shared" si="79"/>
        <v xml:space="preserve"> </v>
      </c>
      <c r="BO40" s="221" t="str">
        <f t="shared" si="80"/>
        <v xml:space="preserve"> </v>
      </c>
      <c r="BP40" s="221" t="str">
        <f t="shared" si="81"/>
        <v xml:space="preserve"> </v>
      </c>
      <c r="BQ40" s="221" t="str">
        <f t="shared" si="82"/>
        <v xml:space="preserve"> </v>
      </c>
      <c r="BR40" s="221" t="str">
        <f t="shared" si="83"/>
        <v xml:space="preserve"> </v>
      </c>
      <c r="BS40" s="221" t="str">
        <f t="shared" si="84"/>
        <v xml:space="preserve"> </v>
      </c>
      <c r="BT40" s="221" t="str">
        <f t="shared" si="85"/>
        <v xml:space="preserve"> </v>
      </c>
      <c r="BU40" s="221" t="str">
        <f t="shared" si="86"/>
        <v xml:space="preserve"> </v>
      </c>
      <c r="BV40" s="221" t="str">
        <f t="shared" si="87"/>
        <v xml:space="preserve"> </v>
      </c>
      <c r="BW40" s="221" t="str">
        <f t="shared" si="88"/>
        <v xml:space="preserve"> </v>
      </c>
      <c r="BX40" s="421" t="str">
        <f t="shared" si="89"/>
        <v xml:space="preserve"> </v>
      </c>
      <c r="BY40" s="417" t="str">
        <f t="shared" si="90"/>
        <v xml:space="preserve"> </v>
      </c>
      <c r="BZ40" s="417" t="str">
        <f t="shared" si="91"/>
        <v xml:space="preserve"> </v>
      </c>
      <c r="CA40" s="422" t="str">
        <f t="shared" si="92"/>
        <v xml:space="preserve"> </v>
      </c>
      <c r="CB40" s="347" t="str">
        <f t="shared" si="25"/>
        <v xml:space="preserve"> </v>
      </c>
      <c r="CC40" s="347" t="str">
        <f t="shared" si="93"/>
        <v xml:space="preserve"> </v>
      </c>
      <c r="CD40" s="348" t="str">
        <f t="shared" si="26"/>
        <v xml:space="preserve"> </v>
      </c>
      <c r="CE40" s="347" t="str">
        <f t="shared" si="27"/>
        <v xml:space="preserve"> </v>
      </c>
      <c r="CF40" s="347" t="str">
        <f t="shared" si="28"/>
        <v xml:space="preserve"> </v>
      </c>
      <c r="CG40" s="348" t="str">
        <f t="shared" si="29"/>
        <v xml:space="preserve"> </v>
      </c>
      <c r="CH40" s="347" t="str">
        <f t="shared" si="94"/>
        <v xml:space="preserve"> </v>
      </c>
      <c r="CI40" s="349" t="str">
        <f>IF($A40="N/A"," ",F40+G40+(D40*('Pricing Inputs'!T73)))</f>
        <v xml:space="preserve"> </v>
      </c>
      <c r="CJ40" s="347" t="str">
        <f>IF($A40="N/A"," ",IF(PV=1,0,'Pricing Inputs'!U73))</f>
        <v xml:space="preserve"> </v>
      </c>
      <c r="CK40" s="350" t="str">
        <f t="shared" si="30"/>
        <v xml:space="preserve"> </v>
      </c>
      <c r="CL40" s="365" t="str">
        <f t="shared" si="31"/>
        <v xml:space="preserve"> </v>
      </c>
      <c r="CM40" s="380" t="str">
        <f t="shared" si="95"/>
        <v xml:space="preserve"> </v>
      </c>
      <c r="CN40" s="378" t="str">
        <f t="shared" si="32"/>
        <v xml:space="preserve"> </v>
      </c>
      <c r="CO40" s="378" t="str">
        <f t="shared" si="33"/>
        <v xml:space="preserve"> </v>
      </c>
      <c r="CP40" s="378" t="str">
        <f t="shared" si="34"/>
        <v xml:space="preserve"> </v>
      </c>
      <c r="CQ40" s="378" t="str">
        <f t="shared" si="35"/>
        <v xml:space="preserve"> </v>
      </c>
      <c r="CR40" s="378" t="str">
        <f t="shared" si="36"/>
        <v xml:space="preserve"> </v>
      </c>
      <c r="CS40" s="378" t="str">
        <f t="shared" si="37"/>
        <v xml:space="preserve"> </v>
      </c>
      <c r="CT40" s="378" t="str">
        <f t="shared" si="38"/>
        <v xml:space="preserve"> </v>
      </c>
      <c r="CU40" s="378" t="str">
        <f t="shared" si="39"/>
        <v xml:space="preserve"> </v>
      </c>
      <c r="CV40" s="378" t="str">
        <f t="shared" si="40"/>
        <v xml:space="preserve"> </v>
      </c>
      <c r="CW40" s="254" t="str">
        <f t="shared" si="41"/>
        <v xml:space="preserve"> </v>
      </c>
      <c r="CX40" s="254" t="str">
        <f t="shared" si="42"/>
        <v xml:space="preserve"> </v>
      </c>
      <c r="CY40" s="254" t="str">
        <f t="shared" si="43"/>
        <v xml:space="preserve"> </v>
      </c>
      <c r="CZ40" s="254" t="str">
        <f t="shared" si="44"/>
        <v xml:space="preserve"> </v>
      </c>
      <c r="DA40" s="254" t="str">
        <f t="shared" si="45"/>
        <v xml:space="preserve"> </v>
      </c>
      <c r="DB40" s="254" t="str">
        <f t="shared" si="46"/>
        <v xml:space="preserve"> </v>
      </c>
      <c r="DC40" s="254" t="str">
        <f t="shared" si="47"/>
        <v xml:space="preserve"> </v>
      </c>
      <c r="DD40" s="254" t="str">
        <f t="shared" si="48"/>
        <v xml:space="preserve"> </v>
      </c>
      <c r="DE40" s="254" t="str">
        <f t="shared" si="49"/>
        <v xml:space="preserve"> </v>
      </c>
      <c r="DF40" s="374" t="str">
        <f>IF($A40="N/A"," ",IF(CC=2,(IF(MONTH(A40)&gt;=4,IF(MONTH(A40)&lt;=10,Inputs!$G$13,Inputs!$G$14),Inputs!$G$14))*$CK40,0))</f>
        <v xml:space="preserve"> </v>
      </c>
      <c r="DG40" s="373" t="str">
        <f t="shared" si="50"/>
        <v xml:space="preserve"> </v>
      </c>
      <c r="DH40" s="373" t="str">
        <f t="shared" si="51"/>
        <v xml:space="preserve"> </v>
      </c>
      <c r="DI40" s="373" t="str">
        <f t="shared" si="52"/>
        <v xml:space="preserve"> </v>
      </c>
      <c r="DJ40" s="373" t="str">
        <f t="shared" si="53"/>
        <v xml:space="preserve"> </v>
      </c>
      <c r="DK40" s="373" t="str">
        <f t="shared" si="54"/>
        <v xml:space="preserve"> </v>
      </c>
      <c r="DL40" s="373" t="str">
        <f t="shared" si="55"/>
        <v xml:space="preserve"> </v>
      </c>
      <c r="DM40" s="373" t="str">
        <f t="shared" si="56"/>
        <v xml:space="preserve"> </v>
      </c>
      <c r="DN40" s="373" t="str">
        <f t="shared" si="57"/>
        <v xml:space="preserve"> </v>
      </c>
      <c r="DO40" s="373" t="str">
        <f t="shared" si="58"/>
        <v xml:space="preserve"> </v>
      </c>
      <c r="DP40" s="375" t="str">
        <f t="shared" si="59"/>
        <v xml:space="preserve"> </v>
      </c>
      <c r="DQ40" t="str">
        <f t="shared" si="96"/>
        <v xml:space="preserve"> </v>
      </c>
      <c r="HD40" t="str">
        <f t="shared" si="97"/>
        <v xml:space="preserve"> </v>
      </c>
      <c r="HE40" t="str">
        <f t="shared" si="98"/>
        <v xml:space="preserve"> </v>
      </c>
      <c r="HF40" t="str">
        <f t="shared" si="99"/>
        <v xml:space="preserve"> </v>
      </c>
    </row>
    <row r="41" spans="1:214">
      <c r="A41" s="415" t="str">
        <f>IF(A40="N/A","N/A",IF(EDATE(A40,1)&gt;Inputs!$K$3,"N/A",EDATE(A40,1)))</f>
        <v>N/A</v>
      </c>
      <c r="B41" s="410" t="str">
        <f t="shared" si="60"/>
        <v xml:space="preserve"> </v>
      </c>
      <c r="C41" s="411" t="str">
        <f t="shared" si="61"/>
        <v xml:space="preserve"> </v>
      </c>
      <c r="D41" s="412" t="str">
        <f t="shared" si="62"/>
        <v xml:space="preserve"> </v>
      </c>
      <c r="E41" s="413" t="str">
        <f>IF($A41="N/A"," ",(C41-'Pricing Inputs'!T74)*D41)</f>
        <v xml:space="preserve"> </v>
      </c>
      <c r="F41" s="414" t="str">
        <f t="shared" si="116"/>
        <v xml:space="preserve"> </v>
      </c>
      <c r="G41" s="414" t="str">
        <f t="shared" si="64"/>
        <v xml:space="preserve"> </v>
      </c>
      <c r="H41" s="416" t="str">
        <f t="shared" si="65"/>
        <v xml:space="preserve"> </v>
      </c>
      <c r="I41" s="213" t="str">
        <f t="shared" si="0"/>
        <v xml:space="preserve"> </v>
      </c>
      <c r="J41" s="213" t="str">
        <f t="shared" si="1"/>
        <v xml:space="preserve"> </v>
      </c>
      <c r="K41" s="213" t="str">
        <f t="shared" si="2"/>
        <v xml:space="preserve"> </v>
      </c>
      <c r="L41" s="213" t="str">
        <f t="shared" si="3"/>
        <v xml:space="preserve"> </v>
      </c>
      <c r="M41" s="213" t="str">
        <f t="shared" si="4"/>
        <v xml:space="preserve"> </v>
      </c>
      <c r="N41" s="213" t="str">
        <f t="shared" si="5"/>
        <v xml:space="preserve"> </v>
      </c>
      <c r="O41" s="213" t="str">
        <f t="shared" si="6"/>
        <v xml:space="preserve"> </v>
      </c>
      <c r="P41" s="213" t="str">
        <f t="shared" si="7"/>
        <v xml:space="preserve"> </v>
      </c>
      <c r="Q41" s="213" t="str">
        <f t="shared" si="8"/>
        <v xml:space="preserve"> </v>
      </c>
      <c r="R41" s="405" t="str">
        <f>IF($A41="N/A"," ",IF(Pricetype=2,MAX(I41-$H41,0),IF(Pricetype=1,(_xll.xSPRDOPT(I41,$E41,$CI41,0,($CD41+IF(Smile=TRUE,VLOOKUP(MAX(-5,$H41-I41),Volsmile,2),0)),$CG41,$CH41,($A41-DateToday)+15,1,0)),I41-$H41)))</f>
        <v xml:space="preserve"> </v>
      </c>
      <c r="S41" s="405" t="str">
        <f>IF($A41="N/A"," ",IF(Pricetype=2,MAX(J41-$H41,0),IF(Pricetype=1,(_xll.xSPRDOPT(J41,$E41,$CI41,0,($CD41+IF(Smile=TRUE,VLOOKUP(MAX(-5,$H41-J41),Volsmile,2),0)),$CG41,$CH41,($A41-DateToday)+15,1,0)),J41-$H41)))</f>
        <v xml:space="preserve"> </v>
      </c>
      <c r="T41" s="406" t="str">
        <f t="shared" si="9"/>
        <v xml:space="preserve"> </v>
      </c>
      <c r="U41" s="405" t="str">
        <f>IF($A41="N/A"," ",IF(Pricetype=2,MAX(L41-$H41,0),IF(L41&lt;&gt;0,IF(Pricetype=1,(_xll.xSPRDOPT(L41,$E41,$CI41,0,($CD41+IF(Smile=TRUE,VLOOKUP(MAX(-5,$H41-L41),Volsmile,2),0)),$CG41,$CH41,($A41-DateToday)+15,1,0)),L41-$H41),0)))</f>
        <v xml:space="preserve"> </v>
      </c>
      <c r="V41" s="405" t="str">
        <f>IF($A41="N/A"," ",IF(Pricetype=2,MAX(M41-$H41,0),IF(M41&lt;&gt;0,IF(Pricetype=1,(_xll.xSPRDOPT(M41,$E41,$CI41,0,($CD41+IF(Smile=TRUE,VLOOKUP(MAX(-5,$H41-M41),Volsmile,2),0)),$CG41,$CH41,($A41-DateToday)+15,1,0)),M41-$H41),0)))</f>
        <v xml:space="preserve"> </v>
      </c>
      <c r="W41" s="406" t="str">
        <f t="shared" si="10"/>
        <v xml:space="preserve"> </v>
      </c>
      <c r="X41" s="405" t="str">
        <f>IF($A41="N/A"," ",IF(Pricetype=2,MAX(O41-$H41,0),IF(O41&lt;&gt;0,IF(Pricetype=1,(_xll.xSPRDOPT(O41,$E41,$CI41,0,($CD41+IF(Smile=TRUE,VLOOKUP(MAX(-5,$H41-O41),Volsmile,2),0)),$CG41,$CH41,($A41-DateToday)+15,1,0)),O41-$H41),0)))</f>
        <v xml:space="preserve"> </v>
      </c>
      <c r="Y41" s="405" t="str">
        <f>IF($A41="N/A"," ",IF(Pricetype=2,MAX(P41-$H41,0),IF(P41&lt;&gt;0,IF(Pricetype=1,(_xll.xSPRDOPT(P41,$E41,$CI41,0,($CD41+IF(Smile=TRUE,VLOOKUP(MAX(-5,$H41-P41),Volsmile,2),0)),$CG41,$CH41,($A41-DateToday)+15,1,0)),P41-$H41),0)))</f>
        <v xml:space="preserve"> </v>
      </c>
      <c r="Z41" s="406" t="str">
        <f t="shared" si="11"/>
        <v xml:space="preserve"> </v>
      </c>
      <c r="AA41" s="254" t="str">
        <f>IF($A41="N/A"," ",IF(VLOOKUP(MONTH(A41),ManualTable,2)=1,(IF(0&lt;&gt;R41,IF(Pricetype=1,(_xll.xSPRDOPT(I41,$E41,$CI41,0,($CD41+IF(Smile=TRUE,VLOOKUP(MAX(-5,$H41-I41),Volsmile,2),0)),$CG41,$CH41,($A41-DateToday)+15,1,1))*(8*$HD41),8*$HD41),0)),0))</f>
        <v xml:space="preserve"> </v>
      </c>
      <c r="AB41" s="254" t="str">
        <f>IF($A41="N/A"," ",IF(VLOOKUP(MONTH(A41),ManualTable,3)=1,(IF(S41&lt;&gt;0,IF(Pricetype=1,(_xll.xSPRDOPT(J41,$E41,$CI41,0,($CD41+IF(Smile=TRUE,VLOOKUP(MAX(-5,$H41-J41),Volsmile,2),0)),$CG41,$CH41,($A41-DateToday)+15,1,1))*(8*$HD41),8*$HD41),0)),0))</f>
        <v xml:space="preserve"> </v>
      </c>
      <c r="AC41" s="254" t="str">
        <f t="shared" si="66"/>
        <v xml:space="preserve"> </v>
      </c>
      <c r="AD41" s="254" t="str">
        <f>IF($A41="N/A"," ",IF(VLOOKUP(MONTH(A41),ManualTable,5)=1,(IF(U41&lt;&gt;0,IF(Pricetype=1,(_xll.xSPRDOPT(L41,$E41,$CI41,0,($CD41+IF(Smile=TRUE,VLOOKUP(MAX(-5,$H41-L41),Volsmile,2),0)),$CG41,$CH41,($A41-DateToday)+15,1,1))*(8*$HE41),8*$HE41),0)),0))</f>
        <v xml:space="preserve"> </v>
      </c>
      <c r="AE41" s="254" t="str">
        <f>IF($A41="N/A"," ",IF(VLOOKUP(MONTH(A41),ManualTable,6)=1,(IF(V41&lt;&gt;0,IF(Pricetype=1,(_xll.xSPRDOPT(M41,$E41,$CI41,0,($CD41+IF(Smile=TRUE,VLOOKUP(MAX(-5,$H41-M41),Volsmile,2),0)),$CG41,$CH41,($A41-DateToday)+15,1,1))*(8*$HE41),8*$HE41),0)),0))</f>
        <v xml:space="preserve"> </v>
      </c>
      <c r="AF41" s="254" t="str">
        <f t="shared" si="67"/>
        <v xml:space="preserve"> </v>
      </c>
      <c r="AG41" s="254" t="str">
        <f>IF($A41="N/A"," ",IF(VLOOKUP(MONTH(A41),ManualTable,8)=1,(IF(X41&lt;&gt;0,IF(Pricetype=1,(_xll.xSPRDOPT(O41,$E41,$CI41,0,($CD41+IF(Smile=TRUE,VLOOKUP(MAX(-5,$H41-O41),Volsmile,2),0)),$CG41,$CH41,($A41-DateToday)+15,1,1))*(8*$HF41),8*$HF41),0)),0))</f>
        <v xml:space="preserve"> </v>
      </c>
      <c r="AH41" s="254" t="str">
        <f>IF($A41="N/A"," ",IF(VLOOKUP(MONTH(A41),ManualTable,9)=1,(IF(Y41&lt;&gt;0,IF(Pricetype=1,(_xll.xSPRDOPT(P41,$E41,$CI41,0,($CD41+IF(Smile=TRUE,VLOOKUP(MAX(-5,$H41-P41),Volsmile,2),0)),$CG41,$CH41,($A41-DateToday)+15,1,1))*(8*$HF41),8*$HF41),0)),0))</f>
        <v xml:space="preserve"> </v>
      </c>
      <c r="AI41" s="254" t="str">
        <f t="shared" si="68"/>
        <v xml:space="preserve"> </v>
      </c>
      <c r="AJ41" s="227" t="str">
        <f t="shared" ref="AJ41:AJ51" si="146">IF($A41="N/A"," ",RANK(R41,$R$40:$Z$51))</f>
        <v xml:space="preserve"> </v>
      </c>
      <c r="AK41" s="228" t="str">
        <f t="shared" ref="AK41:AL51" si="147">IF($A41="N/A"," ",RANK(S41,$R$40:$Z$51))</f>
        <v xml:space="preserve"> </v>
      </c>
      <c r="AL41" s="228" t="str">
        <f t="shared" si="147"/>
        <v xml:space="preserve"> </v>
      </c>
      <c r="AM41" s="228" t="str">
        <f t="shared" ref="AM41:AM51" si="148">IF($A41="N/A"," ",RANK(U41,$R$40:$Z$51))</f>
        <v xml:space="preserve"> </v>
      </c>
      <c r="AN41" s="228" t="str">
        <f t="shared" ref="AN41:AO51" si="149">IF($A41="N/A"," ",RANK(V41,$R$40:$Z$51))</f>
        <v xml:space="preserve"> </v>
      </c>
      <c r="AO41" s="228" t="str">
        <f t="shared" si="149"/>
        <v xml:space="preserve"> </v>
      </c>
      <c r="AP41" s="228" t="str">
        <f t="shared" ref="AP41:AP51" si="150">IF($A41="N/A"," ",RANK(X41,$R$40:$Z$51))</f>
        <v xml:space="preserve"> </v>
      </c>
      <c r="AQ41" s="228" t="str">
        <f t="shared" ref="AQ41:AQ51" si="151">IF($A41="N/A"," ",RANK(Y41,$R$40:$Z$51))</f>
        <v xml:space="preserve"> </v>
      </c>
      <c r="AR41" s="229" t="str">
        <f t="shared" ref="AR41:AR51" si="152">IF($A41="N/A"," ",RANK(Z41,$R$40:$Z$51))</f>
        <v xml:space="preserve"> </v>
      </c>
      <c r="AS41" s="262" t="str">
        <f t="shared" si="102"/>
        <v xml:space="preserve"> </v>
      </c>
      <c r="AT41" s="263" t="str">
        <f t="shared" si="103"/>
        <v xml:space="preserve"> </v>
      </c>
      <c r="AU41" s="263" t="str">
        <f t="shared" si="103"/>
        <v xml:space="preserve"> </v>
      </c>
      <c r="AV41" s="263" t="str">
        <f t="shared" si="104"/>
        <v xml:space="preserve"> </v>
      </c>
      <c r="AW41" s="263" t="str">
        <f t="shared" si="105"/>
        <v xml:space="preserve"> </v>
      </c>
      <c r="AX41" s="263" t="str">
        <f t="shared" si="105"/>
        <v xml:space="preserve"> </v>
      </c>
      <c r="AY41" s="263" t="str">
        <f t="shared" si="106"/>
        <v xml:space="preserve"> </v>
      </c>
      <c r="AZ41" s="263" t="str">
        <f t="shared" si="107"/>
        <v xml:space="preserve"> </v>
      </c>
      <c r="BA41" s="263" t="str">
        <f t="shared" si="108"/>
        <v xml:space="preserve"> </v>
      </c>
      <c r="BB41" s="229"/>
      <c r="BC41" s="266" t="str">
        <f t="shared" si="139"/>
        <v xml:space="preserve"> </v>
      </c>
      <c r="BD41" s="269" t="str">
        <f t="shared" si="140"/>
        <v xml:space="preserve"> </v>
      </c>
      <c r="BE41" s="269" t="str">
        <f t="shared" si="140"/>
        <v xml:space="preserve"> </v>
      </c>
      <c r="BF41" s="269" t="str">
        <f t="shared" si="141"/>
        <v xml:space="preserve"> </v>
      </c>
      <c r="BG41" s="269" t="str">
        <f t="shared" si="142"/>
        <v xml:space="preserve"> </v>
      </c>
      <c r="BH41" s="269" t="str">
        <f t="shared" si="142"/>
        <v xml:space="preserve"> </v>
      </c>
      <c r="BI41" s="269" t="str">
        <f t="shared" si="143"/>
        <v xml:space="preserve"> </v>
      </c>
      <c r="BJ41" s="269" t="str">
        <f t="shared" si="144"/>
        <v xml:space="preserve"> </v>
      </c>
      <c r="BK41" s="269" t="str">
        <f t="shared" si="145"/>
        <v xml:space="preserve"> </v>
      </c>
      <c r="BL41" s="229"/>
      <c r="BM41" s="220" t="str">
        <f>IF($A41="N/A"," ",(IF(MONTH(A41)&gt;=4,IF(MONTH(A41)&lt;=10,Inputs!$F$13-Inputs!$G$13,Inputs!$F$14-Inputs!$G$14),Inputs!$F$14-Inputs!$G$14))*$CK41*Availability)</f>
        <v xml:space="preserve"> </v>
      </c>
      <c r="BN41" s="221" t="str">
        <f t="shared" si="79"/>
        <v xml:space="preserve"> </v>
      </c>
      <c r="BO41" s="221" t="str">
        <f t="shared" si="80"/>
        <v xml:space="preserve"> </v>
      </c>
      <c r="BP41" s="221" t="str">
        <f t="shared" si="81"/>
        <v xml:space="preserve"> </v>
      </c>
      <c r="BQ41" s="221" t="str">
        <f t="shared" si="82"/>
        <v xml:space="preserve"> </v>
      </c>
      <c r="BR41" s="221" t="str">
        <f t="shared" si="83"/>
        <v xml:space="preserve"> </v>
      </c>
      <c r="BS41" s="221" t="str">
        <f t="shared" si="84"/>
        <v xml:space="preserve"> </v>
      </c>
      <c r="BT41" s="221" t="str">
        <f t="shared" si="85"/>
        <v xml:space="preserve"> </v>
      </c>
      <c r="BU41" s="221" t="str">
        <f t="shared" si="86"/>
        <v xml:space="preserve"> </v>
      </c>
      <c r="BV41" s="221" t="str">
        <f t="shared" si="87"/>
        <v xml:space="preserve"> </v>
      </c>
      <c r="BW41" s="221" t="str">
        <f t="shared" si="88"/>
        <v xml:space="preserve"> </v>
      </c>
      <c r="BX41" s="421" t="str">
        <f t="shared" si="89"/>
        <v xml:space="preserve"> </v>
      </c>
      <c r="BY41" s="417" t="str">
        <f t="shared" si="90"/>
        <v xml:space="preserve"> </v>
      </c>
      <c r="BZ41" s="417" t="str">
        <f t="shared" si="91"/>
        <v xml:space="preserve"> </v>
      </c>
      <c r="CA41" s="422" t="str">
        <f t="shared" si="92"/>
        <v xml:space="preserve"> </v>
      </c>
      <c r="CB41" s="347" t="str">
        <f t="shared" si="25"/>
        <v xml:space="preserve"> </v>
      </c>
      <c r="CC41" s="347" t="str">
        <f t="shared" si="93"/>
        <v xml:space="preserve"> </v>
      </c>
      <c r="CD41" s="348" t="str">
        <f t="shared" si="26"/>
        <v xml:space="preserve"> </v>
      </c>
      <c r="CE41" s="347" t="str">
        <f t="shared" si="27"/>
        <v xml:space="preserve"> </v>
      </c>
      <c r="CF41" s="347" t="str">
        <f t="shared" si="28"/>
        <v xml:space="preserve"> </v>
      </c>
      <c r="CG41" s="348" t="str">
        <f t="shared" si="29"/>
        <v xml:space="preserve"> </v>
      </c>
      <c r="CH41" s="347" t="str">
        <f t="shared" si="94"/>
        <v xml:space="preserve"> </v>
      </c>
      <c r="CI41" s="349" t="str">
        <f>IF($A41="N/A"," ",F41+G41+(D41*('Pricing Inputs'!T74)))</f>
        <v xml:space="preserve"> </v>
      </c>
      <c r="CJ41" s="347" t="str">
        <f>IF($A41="N/A"," ",IF(PV=1,0,'Pricing Inputs'!U74))</f>
        <v xml:space="preserve"> </v>
      </c>
      <c r="CK41" s="350" t="str">
        <f t="shared" si="30"/>
        <v xml:space="preserve"> </v>
      </c>
      <c r="CL41" s="365" t="str">
        <f t="shared" si="31"/>
        <v xml:space="preserve"> </v>
      </c>
      <c r="CM41" s="380" t="str">
        <f t="shared" si="95"/>
        <v xml:space="preserve"> </v>
      </c>
      <c r="CN41" s="378" t="str">
        <f t="shared" si="32"/>
        <v xml:space="preserve"> </v>
      </c>
      <c r="CO41" s="378" t="str">
        <f t="shared" si="33"/>
        <v xml:space="preserve"> </v>
      </c>
      <c r="CP41" s="378" t="str">
        <f t="shared" si="34"/>
        <v xml:space="preserve"> </v>
      </c>
      <c r="CQ41" s="378" t="str">
        <f t="shared" si="35"/>
        <v xml:space="preserve"> </v>
      </c>
      <c r="CR41" s="378" t="str">
        <f t="shared" si="36"/>
        <v xml:space="preserve"> </v>
      </c>
      <c r="CS41" s="378" t="str">
        <f t="shared" si="37"/>
        <v xml:space="preserve"> </v>
      </c>
      <c r="CT41" s="378" t="str">
        <f t="shared" si="38"/>
        <v xml:space="preserve"> </v>
      </c>
      <c r="CU41" s="378" t="str">
        <f t="shared" si="39"/>
        <v xml:space="preserve"> </v>
      </c>
      <c r="CV41" s="378" t="str">
        <f t="shared" si="40"/>
        <v xml:space="preserve"> </v>
      </c>
      <c r="CW41" s="254" t="str">
        <f t="shared" si="41"/>
        <v xml:space="preserve"> </v>
      </c>
      <c r="CX41" s="254" t="str">
        <f t="shared" si="42"/>
        <v xml:space="preserve"> </v>
      </c>
      <c r="CY41" s="254" t="str">
        <f t="shared" si="43"/>
        <v xml:space="preserve"> </v>
      </c>
      <c r="CZ41" s="254" t="str">
        <f t="shared" si="44"/>
        <v xml:space="preserve"> </v>
      </c>
      <c r="DA41" s="254" t="str">
        <f t="shared" si="45"/>
        <v xml:space="preserve"> </v>
      </c>
      <c r="DB41" s="254" t="str">
        <f t="shared" si="46"/>
        <v xml:space="preserve"> </v>
      </c>
      <c r="DC41" s="254" t="str">
        <f t="shared" si="47"/>
        <v xml:space="preserve"> </v>
      </c>
      <c r="DD41" s="254" t="str">
        <f t="shared" si="48"/>
        <v xml:space="preserve"> </v>
      </c>
      <c r="DE41" s="254" t="str">
        <f t="shared" si="49"/>
        <v xml:space="preserve"> </v>
      </c>
      <c r="DF41" s="374" t="str">
        <f>IF($A41="N/A"," ",IF(CC=2,(IF(MONTH(A41)&gt;=4,IF(MONTH(A41)&lt;=10,Inputs!$G$13,Inputs!$G$14),Inputs!$G$14))*$CK41,0))</f>
        <v xml:space="preserve"> </v>
      </c>
      <c r="DG41" s="373" t="str">
        <f t="shared" si="50"/>
        <v xml:space="preserve"> </v>
      </c>
      <c r="DH41" s="373" t="str">
        <f t="shared" si="51"/>
        <v xml:space="preserve"> </v>
      </c>
      <c r="DI41" s="373" t="str">
        <f t="shared" si="52"/>
        <v xml:space="preserve"> </v>
      </c>
      <c r="DJ41" s="373" t="str">
        <f t="shared" si="53"/>
        <v xml:space="preserve"> </v>
      </c>
      <c r="DK41" s="373" t="str">
        <f t="shared" si="54"/>
        <v xml:space="preserve"> </v>
      </c>
      <c r="DL41" s="373" t="str">
        <f t="shared" si="55"/>
        <v xml:space="preserve"> </v>
      </c>
      <c r="DM41" s="373" t="str">
        <f t="shared" si="56"/>
        <v xml:space="preserve"> </v>
      </c>
      <c r="DN41" s="373" t="str">
        <f t="shared" si="57"/>
        <v xml:space="preserve"> </v>
      </c>
      <c r="DO41" s="373" t="str">
        <f t="shared" si="58"/>
        <v xml:space="preserve"> </v>
      </c>
      <c r="DP41" s="375" t="str">
        <f t="shared" si="59"/>
        <v xml:space="preserve"> </v>
      </c>
      <c r="DQ41" t="str">
        <f t="shared" si="96"/>
        <v xml:space="preserve"> </v>
      </c>
      <c r="HD41" t="str">
        <f t="shared" si="97"/>
        <v xml:space="preserve"> </v>
      </c>
      <c r="HE41" t="str">
        <f t="shared" si="98"/>
        <v xml:space="preserve"> </v>
      </c>
      <c r="HF41" t="str">
        <f t="shared" si="99"/>
        <v xml:space="preserve"> </v>
      </c>
    </row>
    <row r="42" spans="1:214">
      <c r="A42" s="415" t="str">
        <f>IF(A41="N/A","N/A",IF(EDATE(A41,1)&gt;Inputs!$K$3,"N/A",EDATE(A41,1)))</f>
        <v>N/A</v>
      </c>
      <c r="B42" s="410" t="str">
        <f t="shared" si="60"/>
        <v xml:space="preserve"> </v>
      </c>
      <c r="C42" s="411" t="str">
        <f t="shared" si="61"/>
        <v xml:space="preserve"> </v>
      </c>
      <c r="D42" s="412" t="str">
        <f t="shared" si="62"/>
        <v xml:space="preserve"> </v>
      </c>
      <c r="E42" s="413" t="str">
        <f>IF($A42="N/A"," ",(C42-'Pricing Inputs'!T75)*D42)</f>
        <v xml:space="preserve"> </v>
      </c>
      <c r="F42" s="414" t="str">
        <f t="shared" si="116"/>
        <v xml:space="preserve"> </v>
      </c>
      <c r="G42" s="414" t="str">
        <f t="shared" si="64"/>
        <v xml:space="preserve"> </v>
      </c>
      <c r="H42" s="416" t="str">
        <f t="shared" si="65"/>
        <v xml:space="preserve"> </v>
      </c>
      <c r="I42" s="213" t="str">
        <f t="shared" si="0"/>
        <v xml:space="preserve"> </v>
      </c>
      <c r="J42" s="213" t="str">
        <f t="shared" si="1"/>
        <v xml:space="preserve"> </v>
      </c>
      <c r="K42" s="213" t="str">
        <f t="shared" si="2"/>
        <v xml:space="preserve"> </v>
      </c>
      <c r="L42" s="213" t="str">
        <f t="shared" si="3"/>
        <v xml:space="preserve"> </v>
      </c>
      <c r="M42" s="213" t="str">
        <f t="shared" si="4"/>
        <v xml:space="preserve"> </v>
      </c>
      <c r="N42" s="213" t="str">
        <f t="shared" si="5"/>
        <v xml:space="preserve"> </v>
      </c>
      <c r="O42" s="213" t="str">
        <f t="shared" si="6"/>
        <v xml:space="preserve"> </v>
      </c>
      <c r="P42" s="213" t="str">
        <f t="shared" si="7"/>
        <v xml:space="preserve"> </v>
      </c>
      <c r="Q42" s="213" t="str">
        <f t="shared" si="8"/>
        <v xml:space="preserve"> </v>
      </c>
      <c r="R42" s="405" t="str">
        <f>IF($A42="N/A"," ",IF(Pricetype=2,MAX(I42-$H42,0),IF(Pricetype=1,(_xll.xSPRDOPT(I42,$E42,$CI42,0,($CD42+IF(Smile=TRUE,VLOOKUP(MAX(-5,$H42-I42),Volsmile,2),0)),$CG42,$CH42,($A42-DateToday)+15,1,0)),I42-$H42)))</f>
        <v xml:space="preserve"> </v>
      </c>
      <c r="S42" s="405" t="str">
        <f>IF($A42="N/A"," ",IF(Pricetype=2,MAX(J42-$H42,0),IF(Pricetype=1,(_xll.xSPRDOPT(J42,$E42,$CI42,0,($CD42+IF(Smile=TRUE,VLOOKUP(MAX(-5,$H42-J42),Volsmile,2),0)),$CG42,$CH42,($A42-DateToday)+15,1,0)),J42-$H42)))</f>
        <v xml:space="preserve"> </v>
      </c>
      <c r="T42" s="406" t="str">
        <f t="shared" si="9"/>
        <v xml:space="preserve"> </v>
      </c>
      <c r="U42" s="405" t="str">
        <f>IF($A42="N/A"," ",IF(Pricetype=2,MAX(L42-$H42,0),IF(L42&lt;&gt;0,IF(Pricetype=1,(_xll.xSPRDOPT(L42,$E42,$CI42,0,($CD42+IF(Smile=TRUE,VLOOKUP(MAX(-5,$H42-L42),Volsmile,2),0)),$CG42,$CH42,($A42-DateToday)+15,1,0)),L42-$H42),0)))</f>
        <v xml:space="preserve"> </v>
      </c>
      <c r="V42" s="405" t="str">
        <f>IF($A42="N/A"," ",IF(Pricetype=2,MAX(M42-$H42,0),IF(M42&lt;&gt;0,IF(Pricetype=1,(_xll.xSPRDOPT(M42,$E42,$CI42,0,($CD42+IF(Smile=TRUE,VLOOKUP(MAX(-5,$H42-M42),Volsmile,2),0)),$CG42,$CH42,($A42-DateToday)+15,1,0)),M42-$H42),0)))</f>
        <v xml:space="preserve"> </v>
      </c>
      <c r="W42" s="406" t="str">
        <f t="shared" si="10"/>
        <v xml:space="preserve"> </v>
      </c>
      <c r="X42" s="405" t="str">
        <f>IF($A42="N/A"," ",IF(Pricetype=2,MAX(O42-$H42,0),IF(O42&lt;&gt;0,IF(Pricetype=1,(_xll.xSPRDOPT(O42,$E42,$CI42,0,($CD42+IF(Smile=TRUE,VLOOKUP(MAX(-5,$H42-O42),Volsmile,2),0)),$CG42,$CH42,($A42-DateToday)+15,1,0)),O42-$H42),0)))</f>
        <v xml:space="preserve"> </v>
      </c>
      <c r="Y42" s="405" t="str">
        <f>IF($A42="N/A"," ",IF(Pricetype=2,MAX(P42-$H42,0),IF(P42&lt;&gt;0,IF(Pricetype=1,(_xll.xSPRDOPT(P42,$E42,$CI42,0,($CD42+IF(Smile=TRUE,VLOOKUP(MAX(-5,$H42-P42),Volsmile,2),0)),$CG42,$CH42,($A42-DateToday)+15,1,0)),P42-$H42),0)))</f>
        <v xml:space="preserve"> </v>
      </c>
      <c r="Z42" s="406" t="str">
        <f t="shared" si="11"/>
        <v xml:space="preserve"> </v>
      </c>
      <c r="AA42" s="254" t="str">
        <f>IF($A42="N/A"," ",IF(VLOOKUP(MONTH(A42),ManualTable,2)=1,(IF(0&lt;&gt;R42,IF(Pricetype=1,(_xll.xSPRDOPT(I42,$E42,$CI42,0,($CD42+IF(Smile=TRUE,VLOOKUP(MAX(-5,$H42-I42),Volsmile,2),0)),$CG42,$CH42,($A42-DateToday)+15,1,1))*(8*$HD42),8*$HD42),0)),0))</f>
        <v xml:space="preserve"> </v>
      </c>
      <c r="AB42" s="254" t="str">
        <f>IF($A42="N/A"," ",IF(VLOOKUP(MONTH(A42),ManualTable,3)=1,(IF(S42&lt;&gt;0,IF(Pricetype=1,(_xll.xSPRDOPT(J42,$E42,$CI42,0,($CD42+IF(Smile=TRUE,VLOOKUP(MAX(-5,$H42-J42),Volsmile,2),0)),$CG42,$CH42,($A42-DateToday)+15,1,1))*(8*$HD42),8*$HD42),0)),0))</f>
        <v xml:space="preserve"> </v>
      </c>
      <c r="AC42" s="254" t="str">
        <f t="shared" si="66"/>
        <v xml:space="preserve"> </v>
      </c>
      <c r="AD42" s="254" t="str">
        <f>IF($A42="N/A"," ",IF(VLOOKUP(MONTH(A42),ManualTable,5)=1,(IF(U42&lt;&gt;0,IF(Pricetype=1,(_xll.xSPRDOPT(L42,$E42,$CI42,0,($CD42+IF(Smile=TRUE,VLOOKUP(MAX(-5,$H42-L42),Volsmile,2),0)),$CG42,$CH42,($A42-DateToday)+15,1,1))*(8*$HE42),8*$HE42),0)),0))</f>
        <v xml:space="preserve"> </v>
      </c>
      <c r="AE42" s="254" t="str">
        <f>IF($A42="N/A"," ",IF(VLOOKUP(MONTH(A42),ManualTable,6)=1,(IF(V42&lt;&gt;0,IF(Pricetype=1,(_xll.xSPRDOPT(M42,$E42,$CI42,0,($CD42+IF(Smile=TRUE,VLOOKUP(MAX(-5,$H42-M42),Volsmile,2),0)),$CG42,$CH42,($A42-DateToday)+15,1,1))*(8*$HE42),8*$HE42),0)),0))</f>
        <v xml:space="preserve"> </v>
      </c>
      <c r="AF42" s="254" t="str">
        <f t="shared" si="67"/>
        <v xml:space="preserve"> </v>
      </c>
      <c r="AG42" s="254" t="str">
        <f>IF($A42="N/A"," ",IF(VLOOKUP(MONTH(A42),ManualTable,8)=1,(IF(X42&lt;&gt;0,IF(Pricetype=1,(_xll.xSPRDOPT(O42,$E42,$CI42,0,($CD42+IF(Smile=TRUE,VLOOKUP(MAX(-5,$H42-O42),Volsmile,2),0)),$CG42,$CH42,($A42-DateToday)+15,1,1))*(8*$HF42),8*$HF42),0)),0))</f>
        <v xml:space="preserve"> </v>
      </c>
      <c r="AH42" s="254" t="str">
        <f>IF($A42="N/A"," ",IF(VLOOKUP(MONTH(A42),ManualTable,9)=1,(IF(Y42&lt;&gt;0,IF(Pricetype=1,(_xll.xSPRDOPT(P42,$E42,$CI42,0,($CD42+IF(Smile=TRUE,VLOOKUP(MAX(-5,$H42-P42),Volsmile,2),0)),$CG42,$CH42,($A42-DateToday)+15,1,1))*(8*$HF42),8*$HF42),0)),0))</f>
        <v xml:space="preserve"> </v>
      </c>
      <c r="AI42" s="254" t="str">
        <f t="shared" si="68"/>
        <v xml:space="preserve"> </v>
      </c>
      <c r="AJ42" s="227" t="str">
        <f t="shared" si="146"/>
        <v xml:space="preserve"> </v>
      </c>
      <c r="AK42" s="228" t="str">
        <f t="shared" si="147"/>
        <v xml:space="preserve"> </v>
      </c>
      <c r="AL42" s="228" t="str">
        <f t="shared" si="147"/>
        <v xml:space="preserve"> </v>
      </c>
      <c r="AM42" s="228" t="str">
        <f t="shared" si="148"/>
        <v xml:space="preserve"> </v>
      </c>
      <c r="AN42" s="228" t="str">
        <f t="shared" si="149"/>
        <v xml:space="preserve"> </v>
      </c>
      <c r="AO42" s="228" t="str">
        <f t="shared" si="149"/>
        <v xml:space="preserve"> </v>
      </c>
      <c r="AP42" s="228" t="str">
        <f t="shared" si="150"/>
        <v xml:space="preserve"> </v>
      </c>
      <c r="AQ42" s="228" t="str">
        <f t="shared" si="151"/>
        <v xml:space="preserve"> </v>
      </c>
      <c r="AR42" s="229" t="str">
        <f t="shared" si="152"/>
        <v xml:space="preserve"> </v>
      </c>
      <c r="AS42" s="262" t="str">
        <f t="shared" si="102"/>
        <v xml:space="preserve"> </v>
      </c>
      <c r="AT42" s="263" t="str">
        <f t="shared" si="103"/>
        <v xml:space="preserve"> </v>
      </c>
      <c r="AU42" s="263" t="str">
        <f t="shared" si="103"/>
        <v xml:space="preserve"> </v>
      </c>
      <c r="AV42" s="263" t="str">
        <f t="shared" si="104"/>
        <v xml:space="preserve"> </v>
      </c>
      <c r="AW42" s="263" t="str">
        <f t="shared" si="105"/>
        <v xml:space="preserve"> </v>
      </c>
      <c r="AX42" s="263" t="str">
        <f t="shared" si="105"/>
        <v xml:space="preserve"> </v>
      </c>
      <c r="AY42" s="263" t="str">
        <f t="shared" si="106"/>
        <v xml:space="preserve"> </v>
      </c>
      <c r="AZ42" s="263" t="str">
        <f t="shared" si="107"/>
        <v xml:space="preserve"> </v>
      </c>
      <c r="BA42" s="263" t="str">
        <f t="shared" si="108"/>
        <v xml:space="preserve"> </v>
      </c>
      <c r="BB42" s="229"/>
      <c r="BC42" s="266" t="str">
        <f t="shared" si="139"/>
        <v xml:space="preserve"> </v>
      </c>
      <c r="BD42" s="269" t="str">
        <f t="shared" si="140"/>
        <v xml:space="preserve"> </v>
      </c>
      <c r="BE42" s="269" t="str">
        <f t="shared" si="140"/>
        <v xml:space="preserve"> </v>
      </c>
      <c r="BF42" s="269" t="str">
        <f t="shared" si="141"/>
        <v xml:space="preserve"> </v>
      </c>
      <c r="BG42" s="269" t="str">
        <f t="shared" si="142"/>
        <v xml:space="preserve"> </v>
      </c>
      <c r="BH42" s="269" t="str">
        <f t="shared" si="142"/>
        <v xml:space="preserve"> </v>
      </c>
      <c r="BI42" s="269" t="str">
        <f t="shared" si="143"/>
        <v xml:space="preserve"> </v>
      </c>
      <c r="BJ42" s="269" t="str">
        <f t="shared" si="144"/>
        <v xml:space="preserve"> </v>
      </c>
      <c r="BK42" s="269" t="str">
        <f t="shared" si="145"/>
        <v xml:space="preserve"> </v>
      </c>
      <c r="BL42" s="229"/>
      <c r="BM42" s="220" t="str">
        <f>IF($A42="N/A"," ",(IF(MONTH(A42)&gt;=4,IF(MONTH(A42)&lt;=10,Inputs!$F$13-Inputs!$G$13,Inputs!$F$14-Inputs!$G$14),Inputs!$F$14-Inputs!$G$14))*$CK42*Availability)</f>
        <v xml:space="preserve"> </v>
      </c>
      <c r="BN42" s="221" t="str">
        <f t="shared" si="79"/>
        <v xml:space="preserve"> </v>
      </c>
      <c r="BO42" s="221" t="str">
        <f t="shared" si="80"/>
        <v xml:space="preserve"> </v>
      </c>
      <c r="BP42" s="221" t="str">
        <f t="shared" si="81"/>
        <v xml:space="preserve"> </v>
      </c>
      <c r="BQ42" s="221" t="str">
        <f t="shared" si="82"/>
        <v xml:space="preserve"> </v>
      </c>
      <c r="BR42" s="221" t="str">
        <f t="shared" si="83"/>
        <v xml:space="preserve"> </v>
      </c>
      <c r="BS42" s="221" t="str">
        <f t="shared" si="84"/>
        <v xml:space="preserve"> </v>
      </c>
      <c r="BT42" s="221" t="str">
        <f t="shared" si="85"/>
        <v xml:space="preserve"> </v>
      </c>
      <c r="BU42" s="221" t="str">
        <f t="shared" si="86"/>
        <v xml:space="preserve"> </v>
      </c>
      <c r="BV42" s="221" t="str">
        <f t="shared" si="87"/>
        <v xml:space="preserve"> </v>
      </c>
      <c r="BW42" s="221" t="str">
        <f t="shared" si="88"/>
        <v xml:space="preserve"> </v>
      </c>
      <c r="BX42" s="421" t="str">
        <f t="shared" si="89"/>
        <v xml:space="preserve"> </v>
      </c>
      <c r="BY42" s="417" t="str">
        <f t="shared" si="90"/>
        <v xml:space="preserve"> </v>
      </c>
      <c r="BZ42" s="417" t="str">
        <f t="shared" si="91"/>
        <v xml:space="preserve"> </v>
      </c>
      <c r="CA42" s="422" t="str">
        <f t="shared" si="92"/>
        <v xml:space="preserve"> </v>
      </c>
      <c r="CB42" s="347" t="str">
        <f t="shared" si="25"/>
        <v xml:space="preserve"> </v>
      </c>
      <c r="CC42" s="347" t="str">
        <f t="shared" si="93"/>
        <v xml:space="preserve"> </v>
      </c>
      <c r="CD42" s="348" t="str">
        <f t="shared" si="26"/>
        <v xml:space="preserve"> </v>
      </c>
      <c r="CE42" s="347" t="str">
        <f t="shared" si="27"/>
        <v xml:space="preserve"> </v>
      </c>
      <c r="CF42" s="347" t="str">
        <f t="shared" si="28"/>
        <v xml:space="preserve"> </v>
      </c>
      <c r="CG42" s="348" t="str">
        <f t="shared" si="29"/>
        <v xml:space="preserve"> </v>
      </c>
      <c r="CH42" s="347" t="str">
        <f t="shared" si="94"/>
        <v xml:space="preserve"> </v>
      </c>
      <c r="CI42" s="349" t="str">
        <f>IF($A42="N/A"," ",F42+G42+(D42*('Pricing Inputs'!T75)))</f>
        <v xml:space="preserve"> </v>
      </c>
      <c r="CJ42" s="347" t="str">
        <f>IF($A42="N/A"," ",IF(PV=1,0,'Pricing Inputs'!U75))</f>
        <v xml:space="preserve"> </v>
      </c>
      <c r="CK42" s="350" t="str">
        <f t="shared" si="30"/>
        <v xml:space="preserve"> </v>
      </c>
      <c r="CL42" s="365" t="str">
        <f t="shared" si="31"/>
        <v xml:space="preserve"> </v>
      </c>
      <c r="CM42" s="380" t="str">
        <f t="shared" si="95"/>
        <v xml:space="preserve"> </v>
      </c>
      <c r="CN42" s="378" t="str">
        <f t="shared" si="32"/>
        <v xml:space="preserve"> </v>
      </c>
      <c r="CO42" s="378" t="str">
        <f t="shared" si="33"/>
        <v xml:space="preserve"> </v>
      </c>
      <c r="CP42" s="378" t="str">
        <f t="shared" si="34"/>
        <v xml:space="preserve"> </v>
      </c>
      <c r="CQ42" s="378" t="str">
        <f t="shared" si="35"/>
        <v xml:space="preserve"> </v>
      </c>
      <c r="CR42" s="378" t="str">
        <f t="shared" si="36"/>
        <v xml:space="preserve"> </v>
      </c>
      <c r="CS42" s="378" t="str">
        <f t="shared" si="37"/>
        <v xml:space="preserve"> </v>
      </c>
      <c r="CT42" s="378" t="str">
        <f t="shared" si="38"/>
        <v xml:space="preserve"> </v>
      </c>
      <c r="CU42" s="378" t="str">
        <f t="shared" si="39"/>
        <v xml:space="preserve"> </v>
      </c>
      <c r="CV42" s="378" t="str">
        <f t="shared" si="40"/>
        <v xml:space="preserve"> </v>
      </c>
      <c r="CW42" s="254" t="str">
        <f t="shared" si="41"/>
        <v xml:space="preserve"> </v>
      </c>
      <c r="CX42" s="254" t="str">
        <f t="shared" si="42"/>
        <v xml:space="preserve"> </v>
      </c>
      <c r="CY42" s="254" t="str">
        <f t="shared" si="43"/>
        <v xml:space="preserve"> </v>
      </c>
      <c r="CZ42" s="254" t="str">
        <f t="shared" si="44"/>
        <v xml:space="preserve"> </v>
      </c>
      <c r="DA42" s="254" t="str">
        <f t="shared" si="45"/>
        <v xml:space="preserve"> </v>
      </c>
      <c r="DB42" s="254" t="str">
        <f t="shared" si="46"/>
        <v xml:space="preserve"> </v>
      </c>
      <c r="DC42" s="254" t="str">
        <f t="shared" si="47"/>
        <v xml:space="preserve"> </v>
      </c>
      <c r="DD42" s="254" t="str">
        <f t="shared" si="48"/>
        <v xml:space="preserve"> </v>
      </c>
      <c r="DE42" s="254" t="str">
        <f t="shared" si="49"/>
        <v xml:space="preserve"> </v>
      </c>
      <c r="DF42" s="374" t="str">
        <f>IF($A42="N/A"," ",IF(CC=2,(IF(MONTH(A42)&gt;=4,IF(MONTH(A42)&lt;=10,Inputs!$G$13,Inputs!$G$14),Inputs!$G$14))*$CK42,0))</f>
        <v xml:space="preserve"> </v>
      </c>
      <c r="DG42" s="373" t="str">
        <f t="shared" si="50"/>
        <v xml:space="preserve"> </v>
      </c>
      <c r="DH42" s="373" t="str">
        <f t="shared" si="51"/>
        <v xml:space="preserve"> </v>
      </c>
      <c r="DI42" s="373" t="str">
        <f t="shared" si="52"/>
        <v xml:space="preserve"> </v>
      </c>
      <c r="DJ42" s="373" t="str">
        <f t="shared" si="53"/>
        <v xml:space="preserve"> </v>
      </c>
      <c r="DK42" s="373" t="str">
        <f t="shared" si="54"/>
        <v xml:space="preserve"> </v>
      </c>
      <c r="DL42" s="373" t="str">
        <f t="shared" si="55"/>
        <v xml:space="preserve"> </v>
      </c>
      <c r="DM42" s="373" t="str">
        <f t="shared" si="56"/>
        <v xml:space="preserve"> </v>
      </c>
      <c r="DN42" s="373" t="str">
        <f t="shared" si="57"/>
        <v xml:space="preserve"> </v>
      </c>
      <c r="DO42" s="373" t="str">
        <f t="shared" si="58"/>
        <v xml:space="preserve"> </v>
      </c>
      <c r="DP42" s="375" t="str">
        <f t="shared" si="59"/>
        <v xml:space="preserve"> </v>
      </c>
      <c r="DQ42" t="str">
        <f t="shared" si="96"/>
        <v xml:space="preserve"> </v>
      </c>
      <c r="HD42" t="str">
        <f t="shared" si="97"/>
        <v xml:space="preserve"> </v>
      </c>
      <c r="HE42" t="str">
        <f t="shared" si="98"/>
        <v xml:space="preserve"> </v>
      </c>
      <c r="HF42" t="str">
        <f t="shared" si="99"/>
        <v xml:space="preserve"> </v>
      </c>
    </row>
    <row r="43" spans="1:214">
      <c r="A43" s="415" t="str">
        <f>IF(A42="N/A","N/A",IF(EDATE(A42,1)&gt;Inputs!$K$3,"N/A",EDATE(A42,1)))</f>
        <v>N/A</v>
      </c>
      <c r="B43" s="410" t="str">
        <f t="shared" si="60"/>
        <v xml:space="preserve"> </v>
      </c>
      <c r="C43" s="411" t="str">
        <f t="shared" si="61"/>
        <v xml:space="preserve"> </v>
      </c>
      <c r="D43" s="412" t="str">
        <f t="shared" si="62"/>
        <v xml:space="preserve"> </v>
      </c>
      <c r="E43" s="413" t="str">
        <f>IF($A43="N/A"," ",(C43-'Pricing Inputs'!T76)*D43)</f>
        <v xml:space="preserve"> </v>
      </c>
      <c r="F43" s="414" t="str">
        <f t="shared" si="116"/>
        <v xml:space="preserve"> </v>
      </c>
      <c r="G43" s="414" t="str">
        <f t="shared" si="64"/>
        <v xml:space="preserve"> </v>
      </c>
      <c r="H43" s="416" t="str">
        <f t="shared" si="65"/>
        <v xml:space="preserve"> </v>
      </c>
      <c r="I43" s="213" t="str">
        <f t="shared" si="0"/>
        <v xml:space="preserve"> </v>
      </c>
      <c r="J43" s="213" t="str">
        <f t="shared" si="1"/>
        <v xml:space="preserve"> </v>
      </c>
      <c r="K43" s="213" t="str">
        <f t="shared" si="2"/>
        <v xml:space="preserve"> </v>
      </c>
      <c r="L43" s="213" t="str">
        <f t="shared" si="3"/>
        <v xml:space="preserve"> </v>
      </c>
      <c r="M43" s="213" t="str">
        <f t="shared" si="4"/>
        <v xml:space="preserve"> </v>
      </c>
      <c r="N43" s="213" t="str">
        <f t="shared" si="5"/>
        <v xml:space="preserve"> </v>
      </c>
      <c r="O43" s="213" t="str">
        <f t="shared" si="6"/>
        <v xml:space="preserve"> </v>
      </c>
      <c r="P43" s="213" t="str">
        <f t="shared" si="7"/>
        <v xml:space="preserve"> </v>
      </c>
      <c r="Q43" s="213" t="str">
        <f t="shared" si="8"/>
        <v xml:space="preserve"> </v>
      </c>
      <c r="R43" s="405" t="str">
        <f>IF($A43="N/A"," ",IF(Pricetype=2,MAX(I43-$H43,0),IF(Pricetype=1,(_xll.xSPRDOPT(I43,$E43,$CI43,0,($CD43+IF(Smile=TRUE,VLOOKUP(MAX(-5,$H43-I43),Volsmile,2),0)),$CG43,$CH43,($A43-DateToday)+15,1,0)),I43-$H43)))</f>
        <v xml:space="preserve"> </v>
      </c>
      <c r="S43" s="405" t="str">
        <f>IF($A43="N/A"," ",IF(Pricetype=2,MAX(J43-$H43,0),IF(Pricetype=1,(_xll.xSPRDOPT(J43,$E43,$CI43,0,($CD43+IF(Smile=TRUE,VLOOKUP(MAX(-5,$H43-J43),Volsmile,2),0)),$CG43,$CH43,($A43-DateToday)+15,1,0)),J43-$H43)))</f>
        <v xml:space="preserve"> </v>
      </c>
      <c r="T43" s="406" t="str">
        <f t="shared" si="9"/>
        <v xml:space="preserve"> </v>
      </c>
      <c r="U43" s="405" t="str">
        <f>IF($A43="N/A"," ",IF(Pricetype=2,MAX(L43-$H43,0),IF(L43&lt;&gt;0,IF(Pricetype=1,(_xll.xSPRDOPT(L43,$E43,$CI43,0,($CD43+IF(Smile=TRUE,VLOOKUP(MAX(-5,$H43-L43),Volsmile,2),0)),$CG43,$CH43,($A43-DateToday)+15,1,0)),L43-$H43),0)))</f>
        <v xml:space="preserve"> </v>
      </c>
      <c r="V43" s="405" t="str">
        <f>IF($A43="N/A"," ",IF(Pricetype=2,MAX(M43-$H43,0),IF(M43&lt;&gt;0,IF(Pricetype=1,(_xll.xSPRDOPT(M43,$E43,$CI43,0,($CD43+IF(Smile=TRUE,VLOOKUP(MAX(-5,$H43-M43),Volsmile,2),0)),$CG43,$CH43,($A43-DateToday)+15,1,0)),M43-$H43),0)))</f>
        <v xml:space="preserve"> </v>
      </c>
      <c r="W43" s="406" t="str">
        <f t="shared" si="10"/>
        <v xml:space="preserve"> </v>
      </c>
      <c r="X43" s="405" t="str">
        <f>IF($A43="N/A"," ",IF(Pricetype=2,MAX(O43-$H43,0),IF(O43&lt;&gt;0,IF(Pricetype=1,(_xll.xSPRDOPT(O43,$E43,$CI43,0,($CD43+IF(Smile=TRUE,VLOOKUP(MAX(-5,$H43-O43),Volsmile,2),0)),$CG43,$CH43,($A43-DateToday)+15,1,0)),O43-$H43),0)))</f>
        <v xml:space="preserve"> </v>
      </c>
      <c r="Y43" s="405" t="str">
        <f>IF($A43="N/A"," ",IF(Pricetype=2,MAX(P43-$H43,0),IF(P43&lt;&gt;0,IF(Pricetype=1,(_xll.xSPRDOPT(P43,$E43,$CI43,0,($CD43+IF(Smile=TRUE,VLOOKUP(MAX(-5,$H43-P43),Volsmile,2),0)),$CG43,$CH43,($A43-DateToday)+15,1,0)),P43-$H43),0)))</f>
        <v xml:space="preserve"> </v>
      </c>
      <c r="Z43" s="406" t="str">
        <f t="shared" si="11"/>
        <v xml:space="preserve"> </v>
      </c>
      <c r="AA43" s="254" t="str">
        <f>IF($A43="N/A"," ",IF(VLOOKUP(MONTH(A43),ManualTable,2)=1,(IF(0&lt;&gt;R43,IF(Pricetype=1,(_xll.xSPRDOPT(I43,$E43,$CI43,0,($CD43+IF(Smile=TRUE,VLOOKUP(MAX(-5,$H43-I43),Volsmile,2),0)),$CG43,$CH43,($A43-DateToday)+15,1,1))*(8*$HD43),8*$HD43),0)),0))</f>
        <v xml:space="preserve"> </v>
      </c>
      <c r="AB43" s="254" t="str">
        <f>IF($A43="N/A"," ",IF(VLOOKUP(MONTH(A43),ManualTable,3)=1,(IF(S43&lt;&gt;0,IF(Pricetype=1,(_xll.xSPRDOPT(J43,$E43,$CI43,0,($CD43+IF(Smile=TRUE,VLOOKUP(MAX(-5,$H43-J43),Volsmile,2),0)),$CG43,$CH43,($A43-DateToday)+15,1,1))*(8*$HD43),8*$HD43),0)),0))</f>
        <v xml:space="preserve"> </v>
      </c>
      <c r="AC43" s="254" t="str">
        <f t="shared" si="66"/>
        <v xml:space="preserve"> </v>
      </c>
      <c r="AD43" s="254" t="str">
        <f>IF($A43="N/A"," ",IF(VLOOKUP(MONTH(A43),ManualTable,5)=1,(IF(U43&lt;&gt;0,IF(Pricetype=1,(_xll.xSPRDOPT(L43,$E43,$CI43,0,($CD43+IF(Smile=TRUE,VLOOKUP(MAX(-5,$H43-L43),Volsmile,2),0)),$CG43,$CH43,($A43-DateToday)+15,1,1))*(8*$HE43),8*$HE43),0)),0))</f>
        <v xml:space="preserve"> </v>
      </c>
      <c r="AE43" s="254" t="str">
        <f>IF($A43="N/A"," ",IF(VLOOKUP(MONTH(A43),ManualTable,6)=1,(IF(V43&lt;&gt;0,IF(Pricetype=1,(_xll.xSPRDOPT(M43,$E43,$CI43,0,($CD43+IF(Smile=TRUE,VLOOKUP(MAX(-5,$H43-M43),Volsmile,2),0)),$CG43,$CH43,($A43-DateToday)+15,1,1))*(8*$HE43),8*$HE43),0)),0))</f>
        <v xml:space="preserve"> </v>
      </c>
      <c r="AF43" s="254" t="str">
        <f t="shared" si="67"/>
        <v xml:space="preserve"> </v>
      </c>
      <c r="AG43" s="254" t="str">
        <f>IF($A43="N/A"," ",IF(VLOOKUP(MONTH(A43),ManualTable,8)=1,(IF(X43&lt;&gt;0,IF(Pricetype=1,(_xll.xSPRDOPT(O43,$E43,$CI43,0,($CD43+IF(Smile=TRUE,VLOOKUP(MAX(-5,$H43-O43),Volsmile,2),0)),$CG43,$CH43,($A43-DateToday)+15,1,1))*(8*$HF43),8*$HF43),0)),0))</f>
        <v xml:space="preserve"> </v>
      </c>
      <c r="AH43" s="254" t="str">
        <f>IF($A43="N/A"," ",IF(VLOOKUP(MONTH(A43),ManualTable,9)=1,(IF(Y43&lt;&gt;0,IF(Pricetype=1,(_xll.xSPRDOPT(P43,$E43,$CI43,0,($CD43+IF(Smile=TRUE,VLOOKUP(MAX(-5,$H43-P43),Volsmile,2),0)),$CG43,$CH43,($A43-DateToday)+15,1,1))*(8*$HF43),8*$HF43),0)),0))</f>
        <v xml:space="preserve"> </v>
      </c>
      <c r="AI43" s="254" t="str">
        <f t="shared" si="68"/>
        <v xml:space="preserve"> </v>
      </c>
      <c r="AJ43" s="227" t="str">
        <f t="shared" si="146"/>
        <v xml:space="preserve"> </v>
      </c>
      <c r="AK43" s="228" t="str">
        <f t="shared" si="147"/>
        <v xml:space="preserve"> </v>
      </c>
      <c r="AL43" s="228" t="str">
        <f t="shared" si="147"/>
        <v xml:space="preserve"> </v>
      </c>
      <c r="AM43" s="228" t="str">
        <f t="shared" si="148"/>
        <v xml:space="preserve"> </v>
      </c>
      <c r="AN43" s="228" t="str">
        <f t="shared" si="149"/>
        <v xml:space="preserve"> </v>
      </c>
      <c r="AO43" s="228" t="str">
        <f t="shared" si="149"/>
        <v xml:space="preserve"> </v>
      </c>
      <c r="AP43" s="228" t="str">
        <f t="shared" si="150"/>
        <v xml:space="preserve"> </v>
      </c>
      <c r="AQ43" s="228" t="str">
        <f t="shared" si="151"/>
        <v xml:space="preserve"> </v>
      </c>
      <c r="AR43" s="229" t="str">
        <f t="shared" si="152"/>
        <v xml:space="preserve"> </v>
      </c>
      <c r="AS43" s="262" t="str">
        <f t="shared" si="102"/>
        <v xml:space="preserve"> </v>
      </c>
      <c r="AT43" s="263" t="str">
        <f t="shared" si="103"/>
        <v xml:space="preserve"> </v>
      </c>
      <c r="AU43" s="263" t="str">
        <f t="shared" si="103"/>
        <v xml:space="preserve"> </v>
      </c>
      <c r="AV43" s="263" t="str">
        <f t="shared" si="104"/>
        <v xml:space="preserve"> </v>
      </c>
      <c r="AW43" s="263" t="str">
        <f t="shared" si="105"/>
        <v xml:space="preserve"> </v>
      </c>
      <c r="AX43" s="263" t="str">
        <f t="shared" si="105"/>
        <v xml:space="preserve"> </v>
      </c>
      <c r="AY43" s="263" t="str">
        <f t="shared" si="106"/>
        <v xml:space="preserve"> </v>
      </c>
      <c r="AZ43" s="263" t="str">
        <f t="shared" si="107"/>
        <v xml:space="preserve"> </v>
      </c>
      <c r="BA43" s="263" t="str">
        <f t="shared" si="108"/>
        <v xml:space="preserve"> </v>
      </c>
      <c r="BB43" s="229"/>
      <c r="BC43" s="266" t="str">
        <f t="shared" si="139"/>
        <v xml:space="preserve"> </v>
      </c>
      <c r="BD43" s="269" t="str">
        <f t="shared" si="140"/>
        <v xml:space="preserve"> </v>
      </c>
      <c r="BE43" s="269" t="str">
        <f t="shared" si="140"/>
        <v xml:space="preserve"> </v>
      </c>
      <c r="BF43" s="269" t="str">
        <f t="shared" si="141"/>
        <v xml:space="preserve"> </v>
      </c>
      <c r="BG43" s="269" t="str">
        <f t="shared" si="142"/>
        <v xml:space="preserve"> </v>
      </c>
      <c r="BH43" s="269" t="str">
        <f t="shared" si="142"/>
        <v xml:space="preserve"> </v>
      </c>
      <c r="BI43" s="269" t="str">
        <f t="shared" si="143"/>
        <v xml:space="preserve"> </v>
      </c>
      <c r="BJ43" s="269" t="str">
        <f t="shared" si="144"/>
        <v xml:space="preserve"> </v>
      </c>
      <c r="BK43" s="269" t="str">
        <f t="shared" si="145"/>
        <v xml:space="preserve"> </v>
      </c>
      <c r="BL43" s="229"/>
      <c r="BM43" s="220" t="str">
        <f>IF($A43="N/A"," ",(IF(MONTH(A43)&gt;=4,IF(MONTH(A43)&lt;=10,Inputs!$F$13-Inputs!$G$13,Inputs!$F$14-Inputs!$G$14),Inputs!$F$14-Inputs!$G$14))*$CK43*Availability)</f>
        <v xml:space="preserve"> </v>
      </c>
      <c r="BN43" s="221" t="str">
        <f t="shared" si="79"/>
        <v xml:space="preserve"> </v>
      </c>
      <c r="BO43" s="221" t="str">
        <f t="shared" si="80"/>
        <v xml:space="preserve"> </v>
      </c>
      <c r="BP43" s="221" t="str">
        <f t="shared" si="81"/>
        <v xml:space="preserve"> </v>
      </c>
      <c r="BQ43" s="221" t="str">
        <f t="shared" si="82"/>
        <v xml:space="preserve"> </v>
      </c>
      <c r="BR43" s="221" t="str">
        <f t="shared" si="83"/>
        <v xml:space="preserve"> </v>
      </c>
      <c r="BS43" s="221" t="str">
        <f t="shared" si="84"/>
        <v xml:space="preserve"> </v>
      </c>
      <c r="BT43" s="221" t="str">
        <f t="shared" si="85"/>
        <v xml:space="preserve"> </v>
      </c>
      <c r="BU43" s="221" t="str">
        <f t="shared" si="86"/>
        <v xml:space="preserve"> </v>
      </c>
      <c r="BV43" s="221" t="str">
        <f t="shared" si="87"/>
        <v xml:space="preserve"> </v>
      </c>
      <c r="BW43" s="221" t="str">
        <f t="shared" si="88"/>
        <v xml:space="preserve"> </v>
      </c>
      <c r="BX43" s="421" t="str">
        <f t="shared" si="89"/>
        <v xml:space="preserve"> </v>
      </c>
      <c r="BY43" s="417" t="str">
        <f t="shared" si="90"/>
        <v xml:space="preserve"> </v>
      </c>
      <c r="BZ43" s="417" t="str">
        <f t="shared" si="91"/>
        <v xml:space="preserve"> </v>
      </c>
      <c r="CA43" s="422" t="str">
        <f t="shared" si="92"/>
        <v xml:space="preserve"> </v>
      </c>
      <c r="CB43" s="347" t="str">
        <f t="shared" si="25"/>
        <v xml:space="preserve"> </v>
      </c>
      <c r="CC43" s="347" t="str">
        <f t="shared" si="93"/>
        <v xml:space="preserve"> </v>
      </c>
      <c r="CD43" s="348" t="str">
        <f t="shared" si="26"/>
        <v xml:space="preserve"> </v>
      </c>
      <c r="CE43" s="347" t="str">
        <f t="shared" si="27"/>
        <v xml:space="preserve"> </v>
      </c>
      <c r="CF43" s="347" t="str">
        <f t="shared" si="28"/>
        <v xml:space="preserve"> </v>
      </c>
      <c r="CG43" s="348" t="str">
        <f t="shared" si="29"/>
        <v xml:space="preserve"> </v>
      </c>
      <c r="CH43" s="347" t="str">
        <f t="shared" si="94"/>
        <v xml:space="preserve"> </v>
      </c>
      <c r="CI43" s="349" t="str">
        <f>IF($A43="N/A"," ",F43+G43+(D43*('Pricing Inputs'!T76)))</f>
        <v xml:space="preserve"> </v>
      </c>
      <c r="CJ43" s="347" t="str">
        <f>IF($A43="N/A"," ",IF(PV=1,0,'Pricing Inputs'!U76))</f>
        <v xml:space="preserve"> </v>
      </c>
      <c r="CK43" s="350" t="str">
        <f t="shared" si="30"/>
        <v xml:space="preserve"> </v>
      </c>
      <c r="CL43" s="365" t="str">
        <f t="shared" si="31"/>
        <v xml:space="preserve"> </v>
      </c>
      <c r="CM43" s="380" t="str">
        <f t="shared" si="95"/>
        <v xml:space="preserve"> </v>
      </c>
      <c r="CN43" s="378" t="str">
        <f t="shared" si="32"/>
        <v xml:space="preserve"> </v>
      </c>
      <c r="CO43" s="378" t="str">
        <f t="shared" si="33"/>
        <v xml:space="preserve"> </v>
      </c>
      <c r="CP43" s="378" t="str">
        <f t="shared" si="34"/>
        <v xml:space="preserve"> </v>
      </c>
      <c r="CQ43" s="378" t="str">
        <f t="shared" si="35"/>
        <v xml:space="preserve"> </v>
      </c>
      <c r="CR43" s="378" t="str">
        <f t="shared" si="36"/>
        <v xml:space="preserve"> </v>
      </c>
      <c r="CS43" s="378" t="str">
        <f t="shared" si="37"/>
        <v xml:space="preserve"> </v>
      </c>
      <c r="CT43" s="378" t="str">
        <f t="shared" si="38"/>
        <v xml:space="preserve"> </v>
      </c>
      <c r="CU43" s="378" t="str">
        <f t="shared" si="39"/>
        <v xml:space="preserve"> </v>
      </c>
      <c r="CV43" s="378" t="str">
        <f t="shared" si="40"/>
        <v xml:space="preserve"> </v>
      </c>
      <c r="CW43" s="254" t="str">
        <f t="shared" si="41"/>
        <v xml:space="preserve"> </v>
      </c>
      <c r="CX43" s="254" t="str">
        <f t="shared" si="42"/>
        <v xml:space="preserve"> </v>
      </c>
      <c r="CY43" s="254" t="str">
        <f t="shared" si="43"/>
        <v xml:space="preserve"> </v>
      </c>
      <c r="CZ43" s="254" t="str">
        <f t="shared" si="44"/>
        <v xml:space="preserve"> </v>
      </c>
      <c r="DA43" s="254" t="str">
        <f t="shared" si="45"/>
        <v xml:space="preserve"> </v>
      </c>
      <c r="DB43" s="254" t="str">
        <f t="shared" si="46"/>
        <v xml:space="preserve"> </v>
      </c>
      <c r="DC43" s="254" t="str">
        <f t="shared" si="47"/>
        <v xml:space="preserve"> </v>
      </c>
      <c r="DD43" s="254" t="str">
        <f t="shared" si="48"/>
        <v xml:space="preserve"> </v>
      </c>
      <c r="DE43" s="254" t="str">
        <f t="shared" si="49"/>
        <v xml:space="preserve"> </v>
      </c>
      <c r="DF43" s="374" t="str">
        <f>IF($A43="N/A"," ",IF(CC=2,(IF(MONTH(A43)&gt;=4,IF(MONTH(A43)&lt;=10,Inputs!$G$13,Inputs!$G$14),Inputs!$G$14))*$CK43,0))</f>
        <v xml:space="preserve"> </v>
      </c>
      <c r="DG43" s="373" t="str">
        <f t="shared" si="50"/>
        <v xml:space="preserve"> </v>
      </c>
      <c r="DH43" s="373" t="str">
        <f t="shared" si="51"/>
        <v xml:space="preserve"> </v>
      </c>
      <c r="DI43" s="373" t="str">
        <f t="shared" si="52"/>
        <v xml:space="preserve"> </v>
      </c>
      <c r="DJ43" s="373" t="str">
        <f t="shared" si="53"/>
        <v xml:space="preserve"> </v>
      </c>
      <c r="DK43" s="373" t="str">
        <f t="shared" si="54"/>
        <v xml:space="preserve"> </v>
      </c>
      <c r="DL43" s="373" t="str">
        <f t="shared" si="55"/>
        <v xml:space="preserve"> </v>
      </c>
      <c r="DM43" s="373" t="str">
        <f t="shared" si="56"/>
        <v xml:space="preserve"> </v>
      </c>
      <c r="DN43" s="373" t="str">
        <f t="shared" si="57"/>
        <v xml:space="preserve"> </v>
      </c>
      <c r="DO43" s="373" t="str">
        <f t="shared" si="58"/>
        <v xml:space="preserve"> </v>
      </c>
      <c r="DP43" s="375" t="str">
        <f t="shared" si="59"/>
        <v xml:space="preserve"> </v>
      </c>
      <c r="DQ43" t="str">
        <f t="shared" si="96"/>
        <v xml:space="preserve"> </v>
      </c>
      <c r="HD43" t="str">
        <f t="shared" si="97"/>
        <v xml:space="preserve"> </v>
      </c>
      <c r="HE43" t="str">
        <f t="shared" si="98"/>
        <v xml:space="preserve"> </v>
      </c>
      <c r="HF43" t="str">
        <f t="shared" si="99"/>
        <v xml:space="preserve"> </v>
      </c>
    </row>
    <row r="44" spans="1:214">
      <c r="A44" s="415" t="str">
        <f>IF(A43="N/A","N/A",IF(EDATE(A43,1)&gt;Inputs!$K$3,"N/A",EDATE(A43,1)))</f>
        <v>N/A</v>
      </c>
      <c r="B44" s="410" t="str">
        <f t="shared" si="60"/>
        <v xml:space="preserve"> </v>
      </c>
      <c r="C44" s="411" t="str">
        <f t="shared" si="61"/>
        <v xml:space="preserve"> </v>
      </c>
      <c r="D44" s="412" t="str">
        <f t="shared" si="62"/>
        <v xml:space="preserve"> </v>
      </c>
      <c r="E44" s="413" t="str">
        <f>IF($A44="N/A"," ",(C44-'Pricing Inputs'!T77)*D44)</f>
        <v xml:space="preserve"> </v>
      </c>
      <c r="F44" s="414" t="str">
        <f t="shared" si="116"/>
        <v xml:space="preserve"> </v>
      </c>
      <c r="G44" s="414" t="str">
        <f t="shared" si="64"/>
        <v xml:space="preserve"> </v>
      </c>
      <c r="H44" s="416" t="str">
        <f t="shared" si="65"/>
        <v xml:space="preserve"> </v>
      </c>
      <c r="I44" s="213" t="str">
        <f t="shared" si="0"/>
        <v xml:space="preserve"> </v>
      </c>
      <c r="J44" s="213" t="str">
        <f t="shared" si="1"/>
        <v xml:space="preserve"> </v>
      </c>
      <c r="K44" s="213" t="str">
        <f t="shared" si="2"/>
        <v xml:space="preserve"> </v>
      </c>
      <c r="L44" s="213" t="str">
        <f t="shared" si="3"/>
        <v xml:space="preserve"> </v>
      </c>
      <c r="M44" s="213" t="str">
        <f t="shared" si="4"/>
        <v xml:space="preserve"> </v>
      </c>
      <c r="N44" s="213" t="str">
        <f t="shared" si="5"/>
        <v xml:space="preserve"> </v>
      </c>
      <c r="O44" s="213" t="str">
        <f t="shared" si="6"/>
        <v xml:space="preserve"> </v>
      </c>
      <c r="P44" s="213" t="str">
        <f t="shared" si="7"/>
        <v xml:space="preserve"> </v>
      </c>
      <c r="Q44" s="213" t="str">
        <f t="shared" si="8"/>
        <v xml:space="preserve"> </v>
      </c>
      <c r="R44" s="405" t="str">
        <f>IF($A44="N/A"," ",IF(Pricetype=2,MAX(I44-$H44,0),IF(Pricetype=1,(_xll.xSPRDOPT(I44,$E44,$CI44,0,($CD44+IF(Smile=TRUE,VLOOKUP(MAX(-5,$H44-I44),Volsmile,2),0)),$CG44,$CH44,($A44-DateToday)+15,1,0)),I44-$H44)))</f>
        <v xml:space="preserve"> </v>
      </c>
      <c r="S44" s="405" t="str">
        <f>IF($A44="N/A"," ",IF(Pricetype=2,MAX(J44-$H44,0),IF(Pricetype=1,(_xll.xSPRDOPT(J44,$E44,$CI44,0,($CD44+IF(Smile=TRUE,VLOOKUP(MAX(-5,$H44-J44),Volsmile,2),0)),$CG44,$CH44,($A44-DateToday)+15,1,0)),J44-$H44)))</f>
        <v xml:space="preserve"> </v>
      </c>
      <c r="T44" s="406" t="str">
        <f t="shared" si="9"/>
        <v xml:space="preserve"> </v>
      </c>
      <c r="U44" s="405" t="str">
        <f>IF($A44="N/A"," ",IF(Pricetype=2,MAX(L44-$H44,0),IF(L44&lt;&gt;0,IF(Pricetype=1,(_xll.xSPRDOPT(L44,$E44,$CI44,0,($CD44+IF(Smile=TRUE,VLOOKUP(MAX(-5,$H44-L44),Volsmile,2),0)),$CG44,$CH44,($A44-DateToday)+15,1,0)),L44-$H44),0)))</f>
        <v xml:space="preserve"> </v>
      </c>
      <c r="V44" s="405" t="str">
        <f>IF($A44="N/A"," ",IF(Pricetype=2,MAX(M44-$H44,0),IF(M44&lt;&gt;0,IF(Pricetype=1,(_xll.xSPRDOPT(M44,$E44,$CI44,0,($CD44+IF(Smile=TRUE,VLOOKUP(MAX(-5,$H44-M44),Volsmile,2),0)),$CG44,$CH44,($A44-DateToday)+15,1,0)),M44-$H44),0)))</f>
        <v xml:space="preserve"> </v>
      </c>
      <c r="W44" s="406" t="str">
        <f t="shared" si="10"/>
        <v xml:space="preserve"> </v>
      </c>
      <c r="X44" s="405" t="str">
        <f>IF($A44="N/A"," ",IF(Pricetype=2,MAX(O44-$H44,0),IF(O44&lt;&gt;0,IF(Pricetype=1,(_xll.xSPRDOPT(O44,$E44,$CI44,0,($CD44+IF(Smile=TRUE,VLOOKUP(MAX(-5,$H44-O44),Volsmile,2),0)),$CG44,$CH44,($A44-DateToday)+15,1,0)),O44-$H44),0)))</f>
        <v xml:space="preserve"> </v>
      </c>
      <c r="Y44" s="405" t="str">
        <f>IF($A44="N/A"," ",IF(Pricetype=2,MAX(P44-$H44,0),IF(P44&lt;&gt;0,IF(Pricetype=1,(_xll.xSPRDOPT(P44,$E44,$CI44,0,($CD44+IF(Smile=TRUE,VLOOKUP(MAX(-5,$H44-P44),Volsmile,2),0)),$CG44,$CH44,($A44-DateToday)+15,1,0)),P44-$H44),0)))</f>
        <v xml:space="preserve"> </v>
      </c>
      <c r="Z44" s="406" t="str">
        <f t="shared" si="11"/>
        <v xml:space="preserve"> </v>
      </c>
      <c r="AA44" s="254" t="str">
        <f>IF($A44="N/A"," ",IF(VLOOKUP(MONTH(A44),ManualTable,2)=1,(IF(0&lt;&gt;R44,IF(Pricetype=1,(_xll.xSPRDOPT(I44,$E44,$CI44,0,($CD44+IF(Smile=TRUE,VLOOKUP(MAX(-5,$H44-I44),Volsmile,2),0)),$CG44,$CH44,($A44-DateToday)+15,1,1))*(8*$HD44),8*$HD44),0)),0))</f>
        <v xml:space="preserve"> </v>
      </c>
      <c r="AB44" s="254" t="str">
        <f>IF($A44="N/A"," ",IF(VLOOKUP(MONTH(A44),ManualTable,3)=1,(IF(S44&lt;&gt;0,IF(Pricetype=1,(_xll.xSPRDOPT(J44,$E44,$CI44,0,($CD44+IF(Smile=TRUE,VLOOKUP(MAX(-5,$H44-J44),Volsmile,2),0)),$CG44,$CH44,($A44-DateToday)+15,1,1))*(8*$HD44),8*$HD44),0)),0))</f>
        <v xml:space="preserve"> </v>
      </c>
      <c r="AC44" s="254" t="str">
        <f t="shared" si="66"/>
        <v xml:space="preserve"> </v>
      </c>
      <c r="AD44" s="254" t="str">
        <f>IF($A44="N/A"," ",IF(VLOOKUP(MONTH(A44),ManualTable,5)=1,(IF(U44&lt;&gt;0,IF(Pricetype=1,(_xll.xSPRDOPT(L44,$E44,$CI44,0,($CD44+IF(Smile=TRUE,VLOOKUP(MAX(-5,$H44-L44),Volsmile,2),0)),$CG44,$CH44,($A44-DateToday)+15,1,1))*(8*$HE44),8*$HE44),0)),0))</f>
        <v xml:space="preserve"> </v>
      </c>
      <c r="AE44" s="254" t="str">
        <f>IF($A44="N/A"," ",IF(VLOOKUP(MONTH(A44),ManualTable,6)=1,(IF(V44&lt;&gt;0,IF(Pricetype=1,(_xll.xSPRDOPT(M44,$E44,$CI44,0,($CD44+IF(Smile=TRUE,VLOOKUP(MAX(-5,$H44-M44),Volsmile,2),0)),$CG44,$CH44,($A44-DateToday)+15,1,1))*(8*$HE44),8*$HE44),0)),0))</f>
        <v xml:space="preserve"> </v>
      </c>
      <c r="AF44" s="254" t="str">
        <f t="shared" si="67"/>
        <v xml:space="preserve"> </v>
      </c>
      <c r="AG44" s="254" t="str">
        <f>IF($A44="N/A"," ",IF(VLOOKUP(MONTH(A44),ManualTable,8)=1,(IF(X44&lt;&gt;0,IF(Pricetype=1,(_xll.xSPRDOPT(O44,$E44,$CI44,0,($CD44+IF(Smile=TRUE,VLOOKUP(MAX(-5,$H44-O44),Volsmile,2),0)),$CG44,$CH44,($A44-DateToday)+15,1,1))*(8*$HF44),8*$HF44),0)),0))</f>
        <v xml:space="preserve"> </v>
      </c>
      <c r="AH44" s="254" t="str">
        <f>IF($A44="N/A"," ",IF(VLOOKUP(MONTH(A44),ManualTable,9)=1,(IF(Y44&lt;&gt;0,IF(Pricetype=1,(_xll.xSPRDOPT(P44,$E44,$CI44,0,($CD44+IF(Smile=TRUE,VLOOKUP(MAX(-5,$H44-P44),Volsmile,2),0)),$CG44,$CH44,($A44-DateToday)+15,1,1))*(8*$HF44),8*$HF44),0)),0))</f>
        <v xml:space="preserve"> </v>
      </c>
      <c r="AI44" s="254" t="str">
        <f t="shared" si="68"/>
        <v xml:space="preserve"> </v>
      </c>
      <c r="AJ44" s="227" t="str">
        <f t="shared" si="146"/>
        <v xml:space="preserve"> </v>
      </c>
      <c r="AK44" s="228" t="str">
        <f t="shared" si="147"/>
        <v xml:space="preserve"> </v>
      </c>
      <c r="AL44" s="228" t="str">
        <f t="shared" si="147"/>
        <v xml:space="preserve"> </v>
      </c>
      <c r="AM44" s="228" t="str">
        <f t="shared" si="148"/>
        <v xml:space="preserve"> </v>
      </c>
      <c r="AN44" s="228" t="str">
        <f t="shared" si="149"/>
        <v xml:space="preserve"> </v>
      </c>
      <c r="AO44" s="228" t="str">
        <f t="shared" si="149"/>
        <v xml:space="preserve"> </v>
      </c>
      <c r="AP44" s="228" t="str">
        <f t="shared" si="150"/>
        <v xml:space="preserve"> </v>
      </c>
      <c r="AQ44" s="228" t="str">
        <f t="shared" si="151"/>
        <v xml:space="preserve"> </v>
      </c>
      <c r="AR44" s="229" t="str">
        <f t="shared" si="152"/>
        <v xml:space="preserve"> </v>
      </c>
      <c r="AS44" s="262" t="str">
        <f t="shared" si="102"/>
        <v xml:space="preserve"> </v>
      </c>
      <c r="AT44" s="263" t="str">
        <f t="shared" si="103"/>
        <v xml:space="preserve"> </v>
      </c>
      <c r="AU44" s="263" t="str">
        <f t="shared" si="103"/>
        <v xml:space="preserve"> </v>
      </c>
      <c r="AV44" s="263" t="str">
        <f t="shared" si="104"/>
        <v xml:space="preserve"> </v>
      </c>
      <c r="AW44" s="263" t="str">
        <f t="shared" si="105"/>
        <v xml:space="preserve"> </v>
      </c>
      <c r="AX44" s="263" t="str">
        <f t="shared" si="105"/>
        <v xml:space="preserve"> </v>
      </c>
      <c r="AY44" s="263" t="str">
        <f t="shared" si="106"/>
        <v xml:space="preserve"> </v>
      </c>
      <c r="AZ44" s="263" t="str">
        <f t="shared" si="107"/>
        <v xml:space="preserve"> </v>
      </c>
      <c r="BA44" s="263" t="str">
        <f t="shared" si="108"/>
        <v xml:space="preserve"> </v>
      </c>
      <c r="BB44" s="229"/>
      <c r="BC44" s="266" t="str">
        <f t="shared" si="139"/>
        <v xml:space="preserve"> </v>
      </c>
      <c r="BD44" s="269" t="str">
        <f t="shared" si="140"/>
        <v xml:space="preserve"> </v>
      </c>
      <c r="BE44" s="269" t="str">
        <f t="shared" si="140"/>
        <v xml:space="preserve"> </v>
      </c>
      <c r="BF44" s="269" t="str">
        <f t="shared" si="141"/>
        <v xml:space="preserve"> </v>
      </c>
      <c r="BG44" s="269" t="str">
        <f t="shared" si="142"/>
        <v xml:space="preserve"> </v>
      </c>
      <c r="BH44" s="269" t="str">
        <f t="shared" si="142"/>
        <v xml:space="preserve"> </v>
      </c>
      <c r="BI44" s="269" t="str">
        <f t="shared" si="143"/>
        <v xml:space="preserve"> </v>
      </c>
      <c r="BJ44" s="269" t="str">
        <f t="shared" si="144"/>
        <v xml:space="preserve"> </v>
      </c>
      <c r="BK44" s="269" t="str">
        <f t="shared" si="145"/>
        <v xml:space="preserve"> </v>
      </c>
      <c r="BL44" s="229"/>
      <c r="BM44" s="220" t="str">
        <f>IF($A44="N/A"," ",(IF(MONTH(A44)&gt;=4,IF(MONTH(A44)&lt;=10,Inputs!$F$13-Inputs!$G$13,Inputs!$F$14-Inputs!$G$14),Inputs!$F$14-Inputs!$G$14))*$CK44*Availability)</f>
        <v xml:space="preserve"> </v>
      </c>
      <c r="BN44" s="221" t="str">
        <f t="shared" si="79"/>
        <v xml:space="preserve"> </v>
      </c>
      <c r="BO44" s="221" t="str">
        <f t="shared" si="80"/>
        <v xml:space="preserve"> </v>
      </c>
      <c r="BP44" s="221" t="str">
        <f t="shared" si="81"/>
        <v xml:space="preserve"> </v>
      </c>
      <c r="BQ44" s="221" t="str">
        <f t="shared" si="82"/>
        <v xml:space="preserve"> </v>
      </c>
      <c r="BR44" s="221" t="str">
        <f t="shared" si="83"/>
        <v xml:space="preserve"> </v>
      </c>
      <c r="BS44" s="221" t="str">
        <f t="shared" si="84"/>
        <v xml:space="preserve"> </v>
      </c>
      <c r="BT44" s="221" t="str">
        <f t="shared" si="85"/>
        <v xml:space="preserve"> </v>
      </c>
      <c r="BU44" s="221" t="str">
        <f t="shared" si="86"/>
        <v xml:space="preserve"> </v>
      </c>
      <c r="BV44" s="221" t="str">
        <f t="shared" si="87"/>
        <v xml:space="preserve"> </v>
      </c>
      <c r="BW44" s="221" t="str">
        <f t="shared" si="88"/>
        <v xml:space="preserve"> </v>
      </c>
      <c r="BX44" s="421" t="str">
        <f t="shared" si="89"/>
        <v xml:space="preserve"> </v>
      </c>
      <c r="BY44" s="417" t="str">
        <f t="shared" si="90"/>
        <v xml:space="preserve"> </v>
      </c>
      <c r="BZ44" s="417" t="str">
        <f t="shared" si="91"/>
        <v xml:space="preserve"> </v>
      </c>
      <c r="CA44" s="422" t="str">
        <f t="shared" si="92"/>
        <v xml:space="preserve"> </v>
      </c>
      <c r="CB44" s="347" t="str">
        <f t="shared" si="25"/>
        <v xml:space="preserve"> </v>
      </c>
      <c r="CC44" s="347" t="str">
        <f t="shared" si="93"/>
        <v xml:space="preserve"> </v>
      </c>
      <c r="CD44" s="348" t="str">
        <f t="shared" si="26"/>
        <v xml:space="preserve"> </v>
      </c>
      <c r="CE44" s="347" t="str">
        <f t="shared" si="27"/>
        <v xml:space="preserve"> </v>
      </c>
      <c r="CF44" s="347" t="str">
        <f t="shared" si="28"/>
        <v xml:space="preserve"> </v>
      </c>
      <c r="CG44" s="348" t="str">
        <f t="shared" si="29"/>
        <v xml:space="preserve"> </v>
      </c>
      <c r="CH44" s="347" t="str">
        <f t="shared" si="94"/>
        <v xml:space="preserve"> </v>
      </c>
      <c r="CI44" s="349" t="str">
        <f>IF($A44="N/A"," ",F44+G44+(D44*('Pricing Inputs'!T77)))</f>
        <v xml:space="preserve"> </v>
      </c>
      <c r="CJ44" s="347" t="str">
        <f>IF($A44="N/A"," ",IF(PV=1,0,'Pricing Inputs'!U77))</f>
        <v xml:space="preserve"> </v>
      </c>
      <c r="CK44" s="350" t="str">
        <f t="shared" si="30"/>
        <v xml:space="preserve"> </v>
      </c>
      <c r="CL44" s="365" t="str">
        <f t="shared" si="31"/>
        <v xml:space="preserve"> </v>
      </c>
      <c r="CM44" s="380" t="str">
        <f t="shared" si="95"/>
        <v xml:space="preserve"> </v>
      </c>
      <c r="CN44" s="378" t="str">
        <f t="shared" si="32"/>
        <v xml:space="preserve"> </v>
      </c>
      <c r="CO44" s="378" t="str">
        <f t="shared" si="33"/>
        <v xml:space="preserve"> </v>
      </c>
      <c r="CP44" s="378" t="str">
        <f t="shared" si="34"/>
        <v xml:space="preserve"> </v>
      </c>
      <c r="CQ44" s="378" t="str">
        <f t="shared" si="35"/>
        <v xml:space="preserve"> </v>
      </c>
      <c r="CR44" s="378" t="str">
        <f t="shared" si="36"/>
        <v xml:space="preserve"> </v>
      </c>
      <c r="CS44" s="378" t="str">
        <f t="shared" si="37"/>
        <v xml:space="preserve"> </v>
      </c>
      <c r="CT44" s="378" t="str">
        <f t="shared" si="38"/>
        <v xml:space="preserve"> </v>
      </c>
      <c r="CU44" s="378" t="str">
        <f t="shared" si="39"/>
        <v xml:space="preserve"> </v>
      </c>
      <c r="CV44" s="378" t="str">
        <f t="shared" si="40"/>
        <v xml:space="preserve"> </v>
      </c>
      <c r="CW44" s="254" t="str">
        <f t="shared" si="41"/>
        <v xml:space="preserve"> </v>
      </c>
      <c r="CX44" s="254" t="str">
        <f t="shared" si="42"/>
        <v xml:space="preserve"> </v>
      </c>
      <c r="CY44" s="254" t="str">
        <f t="shared" si="43"/>
        <v xml:space="preserve"> </v>
      </c>
      <c r="CZ44" s="254" t="str">
        <f t="shared" si="44"/>
        <v xml:space="preserve"> </v>
      </c>
      <c r="DA44" s="254" t="str">
        <f t="shared" si="45"/>
        <v xml:space="preserve"> </v>
      </c>
      <c r="DB44" s="254" t="str">
        <f t="shared" si="46"/>
        <v xml:space="preserve"> </v>
      </c>
      <c r="DC44" s="254" t="str">
        <f t="shared" si="47"/>
        <v xml:space="preserve"> </v>
      </c>
      <c r="DD44" s="254" t="str">
        <f t="shared" si="48"/>
        <v xml:space="preserve"> </v>
      </c>
      <c r="DE44" s="254" t="str">
        <f t="shared" si="49"/>
        <v xml:space="preserve"> </v>
      </c>
      <c r="DF44" s="374" t="str">
        <f>IF($A44="N/A"," ",IF(CC=2,(IF(MONTH(A44)&gt;=4,IF(MONTH(A44)&lt;=10,Inputs!$G$13,Inputs!$G$14),Inputs!$G$14))*$CK44,0))</f>
        <v xml:space="preserve"> </v>
      </c>
      <c r="DG44" s="373" t="str">
        <f t="shared" si="50"/>
        <v xml:space="preserve"> </v>
      </c>
      <c r="DH44" s="373" t="str">
        <f t="shared" si="51"/>
        <v xml:space="preserve"> </v>
      </c>
      <c r="DI44" s="373" t="str">
        <f t="shared" si="52"/>
        <v xml:space="preserve"> </v>
      </c>
      <c r="DJ44" s="373" t="str">
        <f t="shared" si="53"/>
        <v xml:space="preserve"> </v>
      </c>
      <c r="DK44" s="373" t="str">
        <f t="shared" si="54"/>
        <v xml:space="preserve"> </v>
      </c>
      <c r="DL44" s="373" t="str">
        <f t="shared" si="55"/>
        <v xml:space="preserve"> </v>
      </c>
      <c r="DM44" s="373" t="str">
        <f t="shared" si="56"/>
        <v xml:space="preserve"> </v>
      </c>
      <c r="DN44" s="373" t="str">
        <f t="shared" si="57"/>
        <v xml:space="preserve"> </v>
      </c>
      <c r="DO44" s="373" t="str">
        <f t="shared" si="58"/>
        <v xml:space="preserve"> </v>
      </c>
      <c r="DP44" s="375" t="str">
        <f t="shared" si="59"/>
        <v xml:space="preserve"> </v>
      </c>
      <c r="DQ44" t="str">
        <f t="shared" si="96"/>
        <v xml:space="preserve"> </v>
      </c>
      <c r="HD44" t="str">
        <f t="shared" si="97"/>
        <v xml:space="preserve"> </v>
      </c>
      <c r="HE44" t="str">
        <f t="shared" si="98"/>
        <v xml:space="preserve"> </v>
      </c>
      <c r="HF44" t="str">
        <f t="shared" si="99"/>
        <v xml:space="preserve"> </v>
      </c>
    </row>
    <row r="45" spans="1:214">
      <c r="A45" s="415" t="str">
        <f>IF(A44="N/A","N/A",IF(EDATE(A44,1)&gt;Inputs!$K$3,"N/A",EDATE(A44,1)))</f>
        <v>N/A</v>
      </c>
      <c r="B45" s="410" t="str">
        <f t="shared" si="60"/>
        <v xml:space="preserve"> </v>
      </c>
      <c r="C45" s="411" t="str">
        <f t="shared" si="61"/>
        <v xml:space="preserve"> </v>
      </c>
      <c r="D45" s="412" t="str">
        <f t="shared" si="62"/>
        <v xml:space="preserve"> </v>
      </c>
      <c r="E45" s="413" t="str">
        <f>IF($A45="N/A"," ",(C45-'Pricing Inputs'!T78)*D45)</f>
        <v xml:space="preserve"> </v>
      </c>
      <c r="F45" s="414" t="str">
        <f t="shared" si="116"/>
        <v xml:space="preserve"> </v>
      </c>
      <c r="G45" s="414" t="str">
        <f t="shared" si="64"/>
        <v xml:space="preserve"> </v>
      </c>
      <c r="H45" s="416" t="str">
        <f t="shared" si="65"/>
        <v xml:space="preserve"> </v>
      </c>
      <c r="I45" s="213" t="str">
        <f t="shared" si="0"/>
        <v xml:space="preserve"> </v>
      </c>
      <c r="J45" s="213" t="str">
        <f t="shared" si="1"/>
        <v xml:space="preserve"> </v>
      </c>
      <c r="K45" s="213" t="str">
        <f t="shared" si="2"/>
        <v xml:space="preserve"> </v>
      </c>
      <c r="L45" s="213" t="str">
        <f t="shared" si="3"/>
        <v xml:space="preserve"> </v>
      </c>
      <c r="M45" s="213" t="str">
        <f t="shared" si="4"/>
        <v xml:space="preserve"> </v>
      </c>
      <c r="N45" s="213" t="str">
        <f t="shared" si="5"/>
        <v xml:space="preserve"> </v>
      </c>
      <c r="O45" s="213" t="str">
        <f t="shared" si="6"/>
        <v xml:space="preserve"> </v>
      </c>
      <c r="P45" s="213" t="str">
        <f t="shared" si="7"/>
        <v xml:space="preserve"> </v>
      </c>
      <c r="Q45" s="213" t="str">
        <f t="shared" si="8"/>
        <v xml:space="preserve"> </v>
      </c>
      <c r="R45" s="405" t="str">
        <f>IF($A45="N/A"," ",IF(Pricetype=2,MAX(I45-$H45,0),IF(Pricetype=1,(_xll.xSPRDOPT(I45,$E45,$CI45,0,($CD45+IF(Smile=TRUE,VLOOKUP(MAX(-5,$H45-I45),Volsmile,2),0)),$CG45,$CH45,($A45-DateToday)+15,1,0)),I45-$H45)))</f>
        <v xml:space="preserve"> </v>
      </c>
      <c r="S45" s="405" t="str">
        <f>IF($A45="N/A"," ",IF(Pricetype=2,MAX(J45-$H45,0),IF(Pricetype=1,(_xll.xSPRDOPT(J45,$E45,$CI45,0,($CD45+IF(Smile=TRUE,VLOOKUP(MAX(-5,$H45-J45),Volsmile,2),0)),$CG45,$CH45,($A45-DateToday)+15,1,0)),J45-$H45)))</f>
        <v xml:space="preserve"> </v>
      </c>
      <c r="T45" s="406" t="str">
        <f t="shared" si="9"/>
        <v xml:space="preserve"> </v>
      </c>
      <c r="U45" s="405" t="str">
        <f>IF($A45="N/A"," ",IF(Pricetype=2,MAX(L45-$H45,0),IF(L45&lt;&gt;0,IF(Pricetype=1,(_xll.xSPRDOPT(L45,$E45,$CI45,0,($CD45+IF(Smile=TRUE,VLOOKUP(MAX(-5,$H45-L45),Volsmile,2),0)),$CG45,$CH45,($A45-DateToday)+15,1,0)),L45-$H45),0)))</f>
        <v xml:space="preserve"> </v>
      </c>
      <c r="V45" s="405" t="str">
        <f>IF($A45="N/A"," ",IF(Pricetype=2,MAX(M45-$H45,0),IF(M45&lt;&gt;0,IF(Pricetype=1,(_xll.xSPRDOPT(M45,$E45,$CI45,0,($CD45+IF(Smile=TRUE,VLOOKUP(MAX(-5,$H45-M45),Volsmile,2),0)),$CG45,$CH45,($A45-DateToday)+15,1,0)),M45-$H45),0)))</f>
        <v xml:space="preserve"> </v>
      </c>
      <c r="W45" s="406" t="str">
        <f t="shared" si="10"/>
        <v xml:space="preserve"> </v>
      </c>
      <c r="X45" s="405" t="str">
        <f>IF($A45="N/A"," ",IF(Pricetype=2,MAX(O45-$H45,0),IF(O45&lt;&gt;0,IF(Pricetype=1,(_xll.xSPRDOPT(O45,$E45,$CI45,0,($CD45+IF(Smile=TRUE,VLOOKUP(MAX(-5,$H45-O45),Volsmile,2),0)),$CG45,$CH45,($A45-DateToday)+15,1,0)),O45-$H45),0)))</f>
        <v xml:space="preserve"> </v>
      </c>
      <c r="Y45" s="405" t="str">
        <f>IF($A45="N/A"," ",IF(Pricetype=2,MAX(P45-$H45,0),IF(P45&lt;&gt;0,IF(Pricetype=1,(_xll.xSPRDOPT(P45,$E45,$CI45,0,($CD45+IF(Smile=TRUE,VLOOKUP(MAX(-5,$H45-P45),Volsmile,2),0)),$CG45,$CH45,($A45-DateToday)+15,1,0)),P45-$H45),0)))</f>
        <v xml:space="preserve"> </v>
      </c>
      <c r="Z45" s="406" t="str">
        <f t="shared" si="11"/>
        <v xml:space="preserve"> </v>
      </c>
      <c r="AA45" s="254" t="str">
        <f>IF($A45="N/A"," ",IF(VLOOKUP(MONTH(A45),ManualTable,2)=1,(IF(0&lt;&gt;R45,IF(Pricetype=1,(_xll.xSPRDOPT(I45,$E45,$CI45,0,($CD45+IF(Smile=TRUE,VLOOKUP(MAX(-5,$H45-I45),Volsmile,2),0)),$CG45,$CH45,($A45-DateToday)+15,1,1))*(8*$HD45),8*$HD45),0)),0))</f>
        <v xml:space="preserve"> </v>
      </c>
      <c r="AB45" s="254" t="str">
        <f>IF($A45="N/A"," ",IF(VLOOKUP(MONTH(A45),ManualTable,3)=1,(IF(S45&lt;&gt;0,IF(Pricetype=1,(_xll.xSPRDOPT(J45,$E45,$CI45,0,($CD45+IF(Smile=TRUE,VLOOKUP(MAX(-5,$H45-J45),Volsmile,2),0)),$CG45,$CH45,($A45-DateToday)+15,1,1))*(8*$HD45),8*$HD45),0)),0))</f>
        <v xml:space="preserve"> </v>
      </c>
      <c r="AC45" s="254" t="str">
        <f t="shared" si="66"/>
        <v xml:space="preserve"> </v>
      </c>
      <c r="AD45" s="254" t="str">
        <f>IF($A45="N/A"," ",IF(VLOOKUP(MONTH(A45),ManualTable,5)=1,(IF(U45&lt;&gt;0,IF(Pricetype=1,(_xll.xSPRDOPT(L45,$E45,$CI45,0,($CD45+IF(Smile=TRUE,VLOOKUP(MAX(-5,$H45-L45),Volsmile,2),0)),$CG45,$CH45,($A45-DateToday)+15,1,1))*(8*$HE45),8*$HE45),0)),0))</f>
        <v xml:space="preserve"> </v>
      </c>
      <c r="AE45" s="254" t="str">
        <f>IF($A45="N/A"," ",IF(VLOOKUP(MONTH(A45),ManualTable,6)=1,(IF(V45&lt;&gt;0,IF(Pricetype=1,(_xll.xSPRDOPT(M45,$E45,$CI45,0,($CD45+IF(Smile=TRUE,VLOOKUP(MAX(-5,$H45-M45),Volsmile,2),0)),$CG45,$CH45,($A45-DateToday)+15,1,1))*(8*$HE45),8*$HE45),0)),0))</f>
        <v xml:space="preserve"> </v>
      </c>
      <c r="AF45" s="254" t="str">
        <f t="shared" si="67"/>
        <v xml:space="preserve"> </v>
      </c>
      <c r="AG45" s="254" t="str">
        <f>IF($A45="N/A"," ",IF(VLOOKUP(MONTH(A45),ManualTable,8)=1,(IF(X45&lt;&gt;0,IF(Pricetype=1,(_xll.xSPRDOPT(O45,$E45,$CI45,0,($CD45+IF(Smile=TRUE,VLOOKUP(MAX(-5,$H45-O45),Volsmile,2),0)),$CG45,$CH45,($A45-DateToday)+15,1,1))*(8*$HF45),8*$HF45),0)),0))</f>
        <v xml:space="preserve"> </v>
      </c>
      <c r="AH45" s="254" t="str">
        <f>IF($A45="N/A"," ",IF(VLOOKUP(MONTH(A45),ManualTable,9)=1,(IF(Y45&lt;&gt;0,IF(Pricetype=1,(_xll.xSPRDOPT(P45,$E45,$CI45,0,($CD45+IF(Smile=TRUE,VLOOKUP(MAX(-5,$H45-P45),Volsmile,2),0)),$CG45,$CH45,($A45-DateToday)+15,1,1))*(8*$HF45),8*$HF45),0)),0))</f>
        <v xml:space="preserve"> </v>
      </c>
      <c r="AI45" s="254" t="str">
        <f t="shared" si="68"/>
        <v xml:space="preserve"> </v>
      </c>
      <c r="AJ45" s="227" t="str">
        <f t="shared" si="146"/>
        <v xml:space="preserve"> </v>
      </c>
      <c r="AK45" s="228" t="str">
        <f t="shared" si="147"/>
        <v xml:space="preserve"> </v>
      </c>
      <c r="AL45" s="228" t="str">
        <f t="shared" si="147"/>
        <v xml:space="preserve"> </v>
      </c>
      <c r="AM45" s="228" t="str">
        <f t="shared" si="148"/>
        <v xml:space="preserve"> </v>
      </c>
      <c r="AN45" s="228" t="str">
        <f t="shared" si="149"/>
        <v xml:space="preserve"> </v>
      </c>
      <c r="AO45" s="228" t="str">
        <f t="shared" si="149"/>
        <v xml:space="preserve"> </v>
      </c>
      <c r="AP45" s="228" t="str">
        <f t="shared" si="150"/>
        <v xml:space="preserve"> </v>
      </c>
      <c r="AQ45" s="228" t="str">
        <f t="shared" si="151"/>
        <v xml:space="preserve"> </v>
      </c>
      <c r="AR45" s="229" t="str">
        <f t="shared" si="152"/>
        <v xml:space="preserve"> </v>
      </c>
      <c r="AS45" s="262" t="str">
        <f t="shared" si="102"/>
        <v xml:space="preserve"> </v>
      </c>
      <c r="AT45" s="263" t="str">
        <f t="shared" si="103"/>
        <v xml:space="preserve"> </v>
      </c>
      <c r="AU45" s="263" t="str">
        <f t="shared" si="103"/>
        <v xml:space="preserve"> </v>
      </c>
      <c r="AV45" s="263" t="str">
        <f t="shared" si="104"/>
        <v xml:space="preserve"> </v>
      </c>
      <c r="AW45" s="263" t="str">
        <f t="shared" si="105"/>
        <v xml:space="preserve"> </v>
      </c>
      <c r="AX45" s="263" t="str">
        <f t="shared" si="105"/>
        <v xml:space="preserve"> </v>
      </c>
      <c r="AY45" s="263" t="str">
        <f t="shared" si="106"/>
        <v xml:space="preserve"> </v>
      </c>
      <c r="AZ45" s="263" t="str">
        <f t="shared" si="107"/>
        <v xml:space="preserve"> </v>
      </c>
      <c r="BA45" s="263" t="str">
        <f t="shared" si="108"/>
        <v xml:space="preserve"> </v>
      </c>
      <c r="BB45" s="229"/>
      <c r="BC45" s="266" t="str">
        <f t="shared" si="139"/>
        <v xml:space="preserve"> </v>
      </c>
      <c r="BD45" s="269" t="str">
        <f t="shared" si="140"/>
        <v xml:space="preserve"> </v>
      </c>
      <c r="BE45" s="269" t="str">
        <f t="shared" si="140"/>
        <v xml:space="preserve"> </v>
      </c>
      <c r="BF45" s="269" t="str">
        <f t="shared" si="141"/>
        <v xml:space="preserve"> </v>
      </c>
      <c r="BG45" s="269" t="str">
        <f t="shared" si="142"/>
        <v xml:space="preserve"> </v>
      </c>
      <c r="BH45" s="269" t="str">
        <f t="shared" si="142"/>
        <v xml:space="preserve"> </v>
      </c>
      <c r="BI45" s="269" t="str">
        <f t="shared" si="143"/>
        <v xml:space="preserve"> </v>
      </c>
      <c r="BJ45" s="269" t="str">
        <f t="shared" si="144"/>
        <v xml:space="preserve"> </v>
      </c>
      <c r="BK45" s="269" t="str">
        <f t="shared" si="145"/>
        <v xml:space="preserve"> </v>
      </c>
      <c r="BL45" s="229"/>
      <c r="BM45" s="220" t="str">
        <f>IF($A45="N/A"," ",(IF(MONTH(A45)&gt;=4,IF(MONTH(A45)&lt;=10,Inputs!$F$13-Inputs!$G$13,Inputs!$F$14-Inputs!$G$14),Inputs!$F$14-Inputs!$G$14))*$CK45*Availability)</f>
        <v xml:space="preserve"> </v>
      </c>
      <c r="BN45" s="221" t="str">
        <f t="shared" si="79"/>
        <v xml:space="preserve"> </v>
      </c>
      <c r="BO45" s="221" t="str">
        <f t="shared" si="80"/>
        <v xml:space="preserve"> </v>
      </c>
      <c r="BP45" s="221" t="str">
        <f t="shared" si="81"/>
        <v xml:space="preserve"> </v>
      </c>
      <c r="BQ45" s="221" t="str">
        <f t="shared" si="82"/>
        <v xml:space="preserve"> </v>
      </c>
      <c r="BR45" s="221" t="str">
        <f t="shared" si="83"/>
        <v xml:space="preserve"> </v>
      </c>
      <c r="BS45" s="221" t="str">
        <f t="shared" si="84"/>
        <v xml:space="preserve"> </v>
      </c>
      <c r="BT45" s="221" t="str">
        <f t="shared" si="85"/>
        <v xml:space="preserve"> </v>
      </c>
      <c r="BU45" s="221" t="str">
        <f t="shared" si="86"/>
        <v xml:space="preserve"> </v>
      </c>
      <c r="BV45" s="221" t="str">
        <f t="shared" si="87"/>
        <v xml:space="preserve"> </v>
      </c>
      <c r="BW45" s="221" t="str">
        <f t="shared" si="88"/>
        <v xml:space="preserve"> </v>
      </c>
      <c r="BX45" s="421" t="str">
        <f t="shared" si="89"/>
        <v xml:space="preserve"> </v>
      </c>
      <c r="BY45" s="417" t="str">
        <f t="shared" si="90"/>
        <v xml:space="preserve"> </v>
      </c>
      <c r="BZ45" s="417" t="str">
        <f t="shared" si="91"/>
        <v xml:space="preserve"> </v>
      </c>
      <c r="CA45" s="422" t="str">
        <f t="shared" si="92"/>
        <v xml:space="preserve"> </v>
      </c>
      <c r="CB45" s="347" t="str">
        <f t="shared" si="25"/>
        <v xml:space="preserve"> </v>
      </c>
      <c r="CC45" s="347" t="str">
        <f t="shared" si="93"/>
        <v xml:space="preserve"> </v>
      </c>
      <c r="CD45" s="348" t="str">
        <f t="shared" si="26"/>
        <v xml:space="preserve"> </v>
      </c>
      <c r="CE45" s="347" t="str">
        <f t="shared" si="27"/>
        <v xml:space="preserve"> </v>
      </c>
      <c r="CF45" s="347" t="str">
        <f t="shared" si="28"/>
        <v xml:space="preserve"> </v>
      </c>
      <c r="CG45" s="348" t="str">
        <f t="shared" si="29"/>
        <v xml:space="preserve"> </v>
      </c>
      <c r="CH45" s="347" t="str">
        <f t="shared" si="94"/>
        <v xml:space="preserve"> </v>
      </c>
      <c r="CI45" s="349" t="str">
        <f>IF($A45="N/A"," ",F45+G45+(D45*('Pricing Inputs'!T78)))</f>
        <v xml:space="preserve"> </v>
      </c>
      <c r="CJ45" s="347" t="str">
        <f>IF($A45="N/A"," ",IF(PV=1,0,'Pricing Inputs'!U78))</f>
        <v xml:space="preserve"> </v>
      </c>
      <c r="CK45" s="350" t="str">
        <f t="shared" si="30"/>
        <v xml:space="preserve"> </v>
      </c>
      <c r="CL45" s="365" t="str">
        <f t="shared" si="31"/>
        <v xml:space="preserve"> </v>
      </c>
      <c r="CM45" s="380" t="str">
        <f t="shared" si="95"/>
        <v xml:space="preserve"> </v>
      </c>
      <c r="CN45" s="378" t="str">
        <f t="shared" si="32"/>
        <v xml:space="preserve"> </v>
      </c>
      <c r="CO45" s="378" t="str">
        <f t="shared" si="33"/>
        <v xml:space="preserve"> </v>
      </c>
      <c r="CP45" s="378" t="str">
        <f t="shared" si="34"/>
        <v xml:space="preserve"> </v>
      </c>
      <c r="CQ45" s="378" t="str">
        <f t="shared" si="35"/>
        <v xml:space="preserve"> </v>
      </c>
      <c r="CR45" s="378" t="str">
        <f t="shared" si="36"/>
        <v xml:space="preserve"> </v>
      </c>
      <c r="CS45" s="378" t="str">
        <f t="shared" si="37"/>
        <v xml:space="preserve"> </v>
      </c>
      <c r="CT45" s="378" t="str">
        <f t="shared" si="38"/>
        <v xml:space="preserve"> </v>
      </c>
      <c r="CU45" s="378" t="str">
        <f t="shared" si="39"/>
        <v xml:space="preserve"> </v>
      </c>
      <c r="CV45" s="378" t="str">
        <f t="shared" si="40"/>
        <v xml:space="preserve"> </v>
      </c>
      <c r="CW45" s="254" t="str">
        <f t="shared" si="41"/>
        <v xml:space="preserve"> </v>
      </c>
      <c r="CX45" s="254" t="str">
        <f t="shared" si="42"/>
        <v xml:space="preserve"> </v>
      </c>
      <c r="CY45" s="254" t="str">
        <f t="shared" si="43"/>
        <v xml:space="preserve"> </v>
      </c>
      <c r="CZ45" s="254" t="str">
        <f t="shared" si="44"/>
        <v xml:space="preserve"> </v>
      </c>
      <c r="DA45" s="254" t="str">
        <f t="shared" si="45"/>
        <v xml:space="preserve"> </v>
      </c>
      <c r="DB45" s="254" t="str">
        <f t="shared" si="46"/>
        <v xml:space="preserve"> </v>
      </c>
      <c r="DC45" s="254" t="str">
        <f t="shared" si="47"/>
        <v xml:space="preserve"> </v>
      </c>
      <c r="DD45" s="254" t="str">
        <f t="shared" si="48"/>
        <v xml:space="preserve"> </v>
      </c>
      <c r="DE45" s="254" t="str">
        <f t="shared" si="49"/>
        <v xml:space="preserve"> </v>
      </c>
      <c r="DF45" s="374" t="str">
        <f>IF($A45="N/A"," ",IF(CC=2,(IF(MONTH(A45)&gt;=4,IF(MONTH(A45)&lt;=10,Inputs!$G$13,Inputs!$G$14),Inputs!$G$14))*$CK45,0))</f>
        <v xml:space="preserve"> </v>
      </c>
      <c r="DG45" s="373" t="str">
        <f t="shared" si="50"/>
        <v xml:space="preserve"> </v>
      </c>
      <c r="DH45" s="373" t="str">
        <f t="shared" si="51"/>
        <v xml:space="preserve"> </v>
      </c>
      <c r="DI45" s="373" t="str">
        <f t="shared" si="52"/>
        <v xml:space="preserve"> </v>
      </c>
      <c r="DJ45" s="373" t="str">
        <f t="shared" si="53"/>
        <v xml:space="preserve"> </v>
      </c>
      <c r="DK45" s="373" t="str">
        <f t="shared" si="54"/>
        <v xml:space="preserve"> </v>
      </c>
      <c r="DL45" s="373" t="str">
        <f t="shared" si="55"/>
        <v xml:space="preserve"> </v>
      </c>
      <c r="DM45" s="373" t="str">
        <f t="shared" si="56"/>
        <v xml:space="preserve"> </v>
      </c>
      <c r="DN45" s="373" t="str">
        <f t="shared" si="57"/>
        <v xml:space="preserve"> </v>
      </c>
      <c r="DO45" s="373" t="str">
        <f t="shared" si="58"/>
        <v xml:space="preserve"> </v>
      </c>
      <c r="DP45" s="375" t="str">
        <f t="shared" si="59"/>
        <v xml:space="preserve"> </v>
      </c>
      <c r="DQ45" t="str">
        <f t="shared" si="96"/>
        <v xml:space="preserve"> </v>
      </c>
      <c r="HD45" t="str">
        <f t="shared" si="97"/>
        <v xml:space="preserve"> </v>
      </c>
      <c r="HE45" t="str">
        <f t="shared" si="98"/>
        <v xml:space="preserve"> </v>
      </c>
      <c r="HF45" t="str">
        <f t="shared" si="99"/>
        <v xml:space="preserve"> </v>
      </c>
    </row>
    <row r="46" spans="1:214">
      <c r="A46" s="415" t="str">
        <f>IF(A45="N/A","N/A",IF(EDATE(A45,1)&gt;Inputs!$K$3,"N/A",EDATE(A45,1)))</f>
        <v>N/A</v>
      </c>
      <c r="B46" s="410" t="str">
        <f t="shared" si="60"/>
        <v xml:space="preserve"> </v>
      </c>
      <c r="C46" s="411" t="str">
        <f t="shared" si="61"/>
        <v xml:space="preserve"> </v>
      </c>
      <c r="D46" s="412" t="str">
        <f t="shared" si="62"/>
        <v xml:space="preserve"> </v>
      </c>
      <c r="E46" s="413" t="str">
        <f>IF($A46="N/A"," ",(C46-'Pricing Inputs'!T79)*D46)</f>
        <v xml:space="preserve"> </v>
      </c>
      <c r="F46" s="414" t="str">
        <f t="shared" si="116"/>
        <v xml:space="preserve"> </v>
      </c>
      <c r="G46" s="414" t="str">
        <f t="shared" si="64"/>
        <v xml:space="preserve"> </v>
      </c>
      <c r="H46" s="416" t="str">
        <f t="shared" si="65"/>
        <v xml:space="preserve"> </v>
      </c>
      <c r="I46" s="213" t="str">
        <f t="shared" si="0"/>
        <v xml:space="preserve"> </v>
      </c>
      <c r="J46" s="213" t="str">
        <f t="shared" si="1"/>
        <v xml:space="preserve"> </v>
      </c>
      <c r="K46" s="213" t="str">
        <f t="shared" si="2"/>
        <v xml:space="preserve"> </v>
      </c>
      <c r="L46" s="213" t="str">
        <f t="shared" si="3"/>
        <v xml:space="preserve"> </v>
      </c>
      <c r="M46" s="213" t="str">
        <f t="shared" si="4"/>
        <v xml:space="preserve"> </v>
      </c>
      <c r="N46" s="213" t="str">
        <f t="shared" si="5"/>
        <v xml:space="preserve"> </v>
      </c>
      <c r="O46" s="213" t="str">
        <f t="shared" si="6"/>
        <v xml:space="preserve"> </v>
      </c>
      <c r="P46" s="213" t="str">
        <f t="shared" si="7"/>
        <v xml:space="preserve"> </v>
      </c>
      <c r="Q46" s="213" t="str">
        <f t="shared" si="8"/>
        <v xml:space="preserve"> </v>
      </c>
      <c r="R46" s="405" t="str">
        <f>IF($A46="N/A"," ",IF(Pricetype=2,MAX(I46-$H46,0),IF(Pricetype=1,(_xll.xSPRDOPT(I46,$E46,$CI46,0,($CD46+IF(Smile=TRUE,VLOOKUP(MAX(-5,$H46-I46),Volsmile,2),0)),$CG46,$CH46,($A46-DateToday)+15,1,0)),I46-$H46)))</f>
        <v xml:space="preserve"> </v>
      </c>
      <c r="S46" s="405" t="str">
        <f>IF($A46="N/A"," ",IF(Pricetype=2,MAX(J46-$H46,0),IF(Pricetype=1,(_xll.xSPRDOPT(J46,$E46,$CI46,0,($CD46+IF(Smile=TRUE,VLOOKUP(MAX(-5,$H46-J46),Volsmile,2),0)),$CG46,$CH46,($A46-DateToday)+15,1,0)),J46-$H46)))</f>
        <v xml:space="preserve"> </v>
      </c>
      <c r="T46" s="406" t="str">
        <f t="shared" si="9"/>
        <v xml:space="preserve"> </v>
      </c>
      <c r="U46" s="405" t="str">
        <f>IF($A46="N/A"," ",IF(Pricetype=2,MAX(L46-$H46,0),IF(L46&lt;&gt;0,IF(Pricetype=1,(_xll.xSPRDOPT(L46,$E46,$CI46,0,($CD46+IF(Smile=TRUE,VLOOKUP(MAX(-5,$H46-L46),Volsmile,2),0)),$CG46,$CH46,($A46-DateToday)+15,1,0)),L46-$H46),0)))</f>
        <v xml:space="preserve"> </v>
      </c>
      <c r="V46" s="405" t="str">
        <f>IF($A46="N/A"," ",IF(Pricetype=2,MAX(M46-$H46,0),IF(M46&lt;&gt;0,IF(Pricetype=1,(_xll.xSPRDOPT(M46,$E46,$CI46,0,($CD46+IF(Smile=TRUE,VLOOKUP(MAX(-5,$H46-M46),Volsmile,2),0)),$CG46,$CH46,($A46-DateToday)+15,1,0)),M46-$H46),0)))</f>
        <v xml:space="preserve"> </v>
      </c>
      <c r="W46" s="406" t="str">
        <f t="shared" si="10"/>
        <v xml:space="preserve"> </v>
      </c>
      <c r="X46" s="405" t="str">
        <f>IF($A46="N/A"," ",IF(Pricetype=2,MAX(O46-$H46,0),IF(O46&lt;&gt;0,IF(Pricetype=1,(_xll.xSPRDOPT(O46,$E46,$CI46,0,($CD46+IF(Smile=TRUE,VLOOKUP(MAX(-5,$H46-O46),Volsmile,2),0)),$CG46,$CH46,($A46-DateToday)+15,1,0)),O46-$H46),0)))</f>
        <v xml:space="preserve"> </v>
      </c>
      <c r="Y46" s="405" t="str">
        <f>IF($A46="N/A"," ",IF(Pricetype=2,MAX(P46-$H46,0),IF(P46&lt;&gt;0,IF(Pricetype=1,(_xll.xSPRDOPT(P46,$E46,$CI46,0,($CD46+IF(Smile=TRUE,VLOOKUP(MAX(-5,$H46-P46),Volsmile,2),0)),$CG46,$CH46,($A46-DateToday)+15,1,0)),P46-$H46),0)))</f>
        <v xml:space="preserve"> </v>
      </c>
      <c r="Z46" s="406" t="str">
        <f t="shared" si="11"/>
        <v xml:space="preserve"> </v>
      </c>
      <c r="AA46" s="254" t="str">
        <f>IF($A46="N/A"," ",IF(VLOOKUP(MONTH(A46),ManualTable,2)=1,(IF(0&lt;&gt;R46,IF(Pricetype=1,(_xll.xSPRDOPT(I46,$E46,$CI46,0,($CD46+IF(Smile=TRUE,VLOOKUP(MAX(-5,$H46-I46),Volsmile,2),0)),$CG46,$CH46,($A46-DateToday)+15,1,1))*(8*$HD46),8*$HD46),0)),0))</f>
        <v xml:space="preserve"> </v>
      </c>
      <c r="AB46" s="254" t="str">
        <f>IF($A46="N/A"," ",IF(VLOOKUP(MONTH(A46),ManualTable,3)=1,(IF(S46&lt;&gt;0,IF(Pricetype=1,(_xll.xSPRDOPT(J46,$E46,$CI46,0,($CD46+IF(Smile=TRUE,VLOOKUP(MAX(-5,$H46-J46),Volsmile,2),0)),$CG46,$CH46,($A46-DateToday)+15,1,1))*(8*$HD46),8*$HD46),0)),0))</f>
        <v xml:space="preserve"> </v>
      </c>
      <c r="AC46" s="254" t="str">
        <f t="shared" si="66"/>
        <v xml:space="preserve"> </v>
      </c>
      <c r="AD46" s="254" t="str">
        <f>IF($A46="N/A"," ",IF(VLOOKUP(MONTH(A46),ManualTable,5)=1,(IF(U46&lt;&gt;0,IF(Pricetype=1,(_xll.xSPRDOPT(L46,$E46,$CI46,0,($CD46+IF(Smile=TRUE,VLOOKUP(MAX(-5,$H46-L46),Volsmile,2),0)),$CG46,$CH46,($A46-DateToday)+15,1,1))*(8*$HE46),8*$HE46),0)),0))</f>
        <v xml:space="preserve"> </v>
      </c>
      <c r="AE46" s="254" t="str">
        <f>IF($A46="N/A"," ",IF(VLOOKUP(MONTH(A46),ManualTable,6)=1,(IF(V46&lt;&gt;0,IF(Pricetype=1,(_xll.xSPRDOPT(M46,$E46,$CI46,0,($CD46+IF(Smile=TRUE,VLOOKUP(MAX(-5,$H46-M46),Volsmile,2),0)),$CG46,$CH46,($A46-DateToday)+15,1,1))*(8*$HE46),8*$HE46),0)),0))</f>
        <v xml:space="preserve"> </v>
      </c>
      <c r="AF46" s="254" t="str">
        <f t="shared" si="67"/>
        <v xml:space="preserve"> </v>
      </c>
      <c r="AG46" s="254" t="str">
        <f>IF($A46="N/A"," ",IF(VLOOKUP(MONTH(A46),ManualTable,8)=1,(IF(X46&lt;&gt;0,IF(Pricetype=1,(_xll.xSPRDOPT(O46,$E46,$CI46,0,($CD46+IF(Smile=TRUE,VLOOKUP(MAX(-5,$H46-O46),Volsmile,2),0)),$CG46,$CH46,($A46-DateToday)+15,1,1))*(8*$HF46),8*$HF46),0)),0))</f>
        <v xml:space="preserve"> </v>
      </c>
      <c r="AH46" s="254" t="str">
        <f>IF($A46="N/A"," ",IF(VLOOKUP(MONTH(A46),ManualTable,9)=1,(IF(Y46&lt;&gt;0,IF(Pricetype=1,(_xll.xSPRDOPT(P46,$E46,$CI46,0,($CD46+IF(Smile=TRUE,VLOOKUP(MAX(-5,$H46-P46),Volsmile,2),0)),$CG46,$CH46,($A46-DateToday)+15,1,1))*(8*$HF46),8*$HF46),0)),0))</f>
        <v xml:space="preserve"> </v>
      </c>
      <c r="AI46" s="254" t="str">
        <f t="shared" si="68"/>
        <v xml:space="preserve"> </v>
      </c>
      <c r="AJ46" s="227" t="str">
        <f t="shared" si="146"/>
        <v xml:space="preserve"> </v>
      </c>
      <c r="AK46" s="228" t="str">
        <f t="shared" si="147"/>
        <v xml:space="preserve"> </v>
      </c>
      <c r="AL46" s="228" t="str">
        <f t="shared" si="147"/>
        <v xml:space="preserve"> </v>
      </c>
      <c r="AM46" s="228" t="str">
        <f t="shared" si="148"/>
        <v xml:space="preserve"> </v>
      </c>
      <c r="AN46" s="228" t="str">
        <f t="shared" si="149"/>
        <v xml:space="preserve"> </v>
      </c>
      <c r="AO46" s="228" t="str">
        <f t="shared" si="149"/>
        <v xml:space="preserve"> </v>
      </c>
      <c r="AP46" s="228" t="str">
        <f t="shared" si="150"/>
        <v xml:space="preserve"> </v>
      </c>
      <c r="AQ46" s="228" t="str">
        <f t="shared" si="151"/>
        <v xml:space="preserve"> </v>
      </c>
      <c r="AR46" s="229" t="str">
        <f t="shared" si="152"/>
        <v xml:space="preserve"> </v>
      </c>
      <c r="AS46" s="262" t="str">
        <f t="shared" si="102"/>
        <v xml:space="preserve"> </v>
      </c>
      <c r="AT46" s="263" t="str">
        <f t="shared" si="103"/>
        <v xml:space="preserve"> </v>
      </c>
      <c r="AU46" s="263" t="str">
        <f t="shared" si="103"/>
        <v xml:space="preserve"> </v>
      </c>
      <c r="AV46" s="263" t="str">
        <f t="shared" si="104"/>
        <v xml:space="preserve"> </v>
      </c>
      <c r="AW46" s="263" t="str">
        <f t="shared" si="105"/>
        <v xml:space="preserve"> </v>
      </c>
      <c r="AX46" s="263" t="str">
        <f t="shared" si="105"/>
        <v xml:space="preserve"> </v>
      </c>
      <c r="AY46" s="263" t="str">
        <f t="shared" si="106"/>
        <v xml:space="preserve"> </v>
      </c>
      <c r="AZ46" s="263" t="str">
        <f t="shared" si="107"/>
        <v xml:space="preserve"> </v>
      </c>
      <c r="BA46" s="263" t="str">
        <f t="shared" si="108"/>
        <v xml:space="preserve"> </v>
      </c>
      <c r="BB46" s="229"/>
      <c r="BC46" s="266" t="str">
        <f t="shared" si="139"/>
        <v xml:space="preserve"> </v>
      </c>
      <c r="BD46" s="269" t="str">
        <f t="shared" si="140"/>
        <v xml:space="preserve"> </v>
      </c>
      <c r="BE46" s="269" t="str">
        <f t="shared" si="140"/>
        <v xml:space="preserve"> </v>
      </c>
      <c r="BF46" s="269" t="str">
        <f t="shared" si="141"/>
        <v xml:space="preserve"> </v>
      </c>
      <c r="BG46" s="269" t="str">
        <f t="shared" si="142"/>
        <v xml:space="preserve"> </v>
      </c>
      <c r="BH46" s="269" t="str">
        <f t="shared" si="142"/>
        <v xml:space="preserve"> </v>
      </c>
      <c r="BI46" s="269" t="str">
        <f t="shared" si="143"/>
        <v xml:space="preserve"> </v>
      </c>
      <c r="BJ46" s="269" t="str">
        <f t="shared" si="144"/>
        <v xml:space="preserve"> </v>
      </c>
      <c r="BK46" s="269" t="str">
        <f t="shared" si="145"/>
        <v xml:space="preserve"> </v>
      </c>
      <c r="BL46" s="229"/>
      <c r="BM46" s="220" t="str">
        <f>IF($A46="N/A"," ",(IF(MONTH(A46)&gt;=4,IF(MONTH(A46)&lt;=10,Inputs!$F$13-Inputs!$G$13,Inputs!$F$14-Inputs!$G$14),Inputs!$F$14-Inputs!$G$14))*$CK46*Availability)</f>
        <v xml:space="preserve"> </v>
      </c>
      <c r="BN46" s="221" t="str">
        <f t="shared" si="79"/>
        <v xml:space="preserve"> </v>
      </c>
      <c r="BO46" s="221" t="str">
        <f t="shared" si="80"/>
        <v xml:space="preserve"> </v>
      </c>
      <c r="BP46" s="221" t="str">
        <f t="shared" si="81"/>
        <v xml:space="preserve"> </v>
      </c>
      <c r="BQ46" s="221" t="str">
        <f t="shared" si="82"/>
        <v xml:space="preserve"> </v>
      </c>
      <c r="BR46" s="221" t="str">
        <f t="shared" si="83"/>
        <v xml:space="preserve"> </v>
      </c>
      <c r="BS46" s="221" t="str">
        <f t="shared" si="84"/>
        <v xml:space="preserve"> </v>
      </c>
      <c r="BT46" s="221" t="str">
        <f t="shared" si="85"/>
        <v xml:space="preserve"> </v>
      </c>
      <c r="BU46" s="221" t="str">
        <f t="shared" si="86"/>
        <v xml:space="preserve"> </v>
      </c>
      <c r="BV46" s="221" t="str">
        <f t="shared" si="87"/>
        <v xml:space="preserve"> </v>
      </c>
      <c r="BW46" s="221" t="str">
        <f t="shared" si="88"/>
        <v xml:space="preserve"> </v>
      </c>
      <c r="BX46" s="421" t="str">
        <f t="shared" si="89"/>
        <v xml:space="preserve"> </v>
      </c>
      <c r="BY46" s="417" t="str">
        <f t="shared" si="90"/>
        <v xml:space="preserve"> </v>
      </c>
      <c r="BZ46" s="417" t="str">
        <f t="shared" si="91"/>
        <v xml:space="preserve"> </v>
      </c>
      <c r="CA46" s="422" t="str">
        <f t="shared" si="92"/>
        <v xml:space="preserve"> </v>
      </c>
      <c r="CB46" s="347" t="str">
        <f t="shared" si="25"/>
        <v xml:space="preserve"> </v>
      </c>
      <c r="CC46" s="347" t="str">
        <f t="shared" si="93"/>
        <v xml:space="preserve"> </v>
      </c>
      <c r="CD46" s="348" t="str">
        <f t="shared" si="26"/>
        <v xml:space="preserve"> </v>
      </c>
      <c r="CE46" s="347" t="str">
        <f t="shared" si="27"/>
        <v xml:space="preserve"> </v>
      </c>
      <c r="CF46" s="347" t="str">
        <f t="shared" si="28"/>
        <v xml:space="preserve"> </v>
      </c>
      <c r="CG46" s="348" t="str">
        <f t="shared" si="29"/>
        <v xml:space="preserve"> </v>
      </c>
      <c r="CH46" s="347" t="str">
        <f t="shared" si="94"/>
        <v xml:space="preserve"> </v>
      </c>
      <c r="CI46" s="349" t="str">
        <f>IF($A46="N/A"," ",F46+G46+(D46*('Pricing Inputs'!T79)))</f>
        <v xml:space="preserve"> </v>
      </c>
      <c r="CJ46" s="347" t="str">
        <f>IF($A46="N/A"," ",IF(PV=1,0,'Pricing Inputs'!U79))</f>
        <v xml:space="preserve"> </v>
      </c>
      <c r="CK46" s="350" t="str">
        <f t="shared" si="30"/>
        <v xml:space="preserve"> </v>
      </c>
      <c r="CL46" s="365" t="str">
        <f t="shared" si="31"/>
        <v xml:space="preserve"> </v>
      </c>
      <c r="CM46" s="380" t="str">
        <f t="shared" si="95"/>
        <v xml:space="preserve"> </v>
      </c>
      <c r="CN46" s="378" t="str">
        <f t="shared" si="32"/>
        <v xml:space="preserve"> </v>
      </c>
      <c r="CO46" s="378" t="str">
        <f t="shared" si="33"/>
        <v xml:space="preserve"> </v>
      </c>
      <c r="CP46" s="378" t="str">
        <f t="shared" si="34"/>
        <v xml:space="preserve"> </v>
      </c>
      <c r="CQ46" s="378" t="str">
        <f t="shared" si="35"/>
        <v xml:space="preserve"> </v>
      </c>
      <c r="CR46" s="378" t="str">
        <f t="shared" si="36"/>
        <v xml:space="preserve"> </v>
      </c>
      <c r="CS46" s="378" t="str">
        <f t="shared" si="37"/>
        <v xml:space="preserve"> </v>
      </c>
      <c r="CT46" s="378" t="str">
        <f t="shared" si="38"/>
        <v xml:space="preserve"> </v>
      </c>
      <c r="CU46" s="378" t="str">
        <f t="shared" si="39"/>
        <v xml:space="preserve"> </v>
      </c>
      <c r="CV46" s="378" t="str">
        <f t="shared" si="40"/>
        <v xml:space="preserve"> </v>
      </c>
      <c r="CW46" s="254" t="str">
        <f t="shared" si="41"/>
        <v xml:space="preserve"> </v>
      </c>
      <c r="CX46" s="254" t="str">
        <f t="shared" si="42"/>
        <v xml:space="preserve"> </v>
      </c>
      <c r="CY46" s="254" t="str">
        <f t="shared" si="43"/>
        <v xml:space="preserve"> </v>
      </c>
      <c r="CZ46" s="254" t="str">
        <f t="shared" si="44"/>
        <v xml:space="preserve"> </v>
      </c>
      <c r="DA46" s="254" t="str">
        <f t="shared" si="45"/>
        <v xml:space="preserve"> </v>
      </c>
      <c r="DB46" s="254" t="str">
        <f t="shared" si="46"/>
        <v xml:space="preserve"> </v>
      </c>
      <c r="DC46" s="254" t="str">
        <f t="shared" si="47"/>
        <v xml:space="preserve"> </v>
      </c>
      <c r="DD46" s="254" t="str">
        <f t="shared" si="48"/>
        <v xml:space="preserve"> </v>
      </c>
      <c r="DE46" s="254" t="str">
        <f t="shared" si="49"/>
        <v xml:space="preserve"> </v>
      </c>
      <c r="DF46" s="374" t="str">
        <f>IF($A46="N/A"," ",IF(CC=2,(IF(MONTH(A46)&gt;=4,IF(MONTH(A46)&lt;=10,Inputs!$G$13,Inputs!$G$14),Inputs!$G$14))*$CK46,0))</f>
        <v xml:space="preserve"> </v>
      </c>
      <c r="DG46" s="373" t="str">
        <f t="shared" si="50"/>
        <v xml:space="preserve"> </v>
      </c>
      <c r="DH46" s="373" t="str">
        <f t="shared" si="51"/>
        <v xml:space="preserve"> </v>
      </c>
      <c r="DI46" s="373" t="str">
        <f t="shared" si="52"/>
        <v xml:space="preserve"> </v>
      </c>
      <c r="DJ46" s="373" t="str">
        <f t="shared" si="53"/>
        <v xml:space="preserve"> </v>
      </c>
      <c r="DK46" s="373" t="str">
        <f t="shared" si="54"/>
        <v xml:space="preserve"> </v>
      </c>
      <c r="DL46" s="373" t="str">
        <f t="shared" si="55"/>
        <v xml:space="preserve"> </v>
      </c>
      <c r="DM46" s="373" t="str">
        <f t="shared" si="56"/>
        <v xml:space="preserve"> </v>
      </c>
      <c r="DN46" s="373" t="str">
        <f t="shared" si="57"/>
        <v xml:space="preserve"> </v>
      </c>
      <c r="DO46" s="373" t="str">
        <f t="shared" si="58"/>
        <v xml:space="preserve"> </v>
      </c>
      <c r="DP46" s="375" t="str">
        <f t="shared" si="59"/>
        <v xml:space="preserve"> </v>
      </c>
      <c r="DQ46" t="str">
        <f t="shared" si="96"/>
        <v xml:space="preserve"> </v>
      </c>
      <c r="HD46" t="str">
        <f t="shared" si="97"/>
        <v xml:space="preserve"> </v>
      </c>
      <c r="HE46" t="str">
        <f t="shared" si="98"/>
        <v xml:space="preserve"> </v>
      </c>
      <c r="HF46" t="str">
        <f t="shared" si="99"/>
        <v xml:space="preserve"> </v>
      </c>
    </row>
    <row r="47" spans="1:214">
      <c r="A47" s="415" t="str">
        <f>IF(A46="N/A","N/A",IF(EDATE(A46,1)&gt;Inputs!$K$3,"N/A",EDATE(A46,1)))</f>
        <v>N/A</v>
      </c>
      <c r="B47" s="410" t="str">
        <f t="shared" si="60"/>
        <v xml:space="preserve"> </v>
      </c>
      <c r="C47" s="411" t="str">
        <f t="shared" si="61"/>
        <v xml:space="preserve"> </v>
      </c>
      <c r="D47" s="412" t="str">
        <f t="shared" si="62"/>
        <v xml:space="preserve"> </v>
      </c>
      <c r="E47" s="413" t="str">
        <f>IF($A47="N/A"," ",(C47-'Pricing Inputs'!T80)*D47)</f>
        <v xml:space="preserve"> </v>
      </c>
      <c r="F47" s="414" t="str">
        <f t="shared" si="116"/>
        <v xml:space="preserve"> </v>
      </c>
      <c r="G47" s="414" t="str">
        <f t="shared" si="64"/>
        <v xml:space="preserve"> </v>
      </c>
      <c r="H47" s="416" t="str">
        <f t="shared" si="65"/>
        <v xml:space="preserve"> </v>
      </c>
      <c r="I47" s="213" t="str">
        <f t="shared" si="0"/>
        <v xml:space="preserve"> </v>
      </c>
      <c r="J47" s="213" t="str">
        <f t="shared" si="1"/>
        <v xml:space="preserve"> </v>
      </c>
      <c r="K47" s="213" t="str">
        <f t="shared" si="2"/>
        <v xml:space="preserve"> </v>
      </c>
      <c r="L47" s="213" t="str">
        <f t="shared" si="3"/>
        <v xml:space="preserve"> </v>
      </c>
      <c r="M47" s="213" t="str">
        <f t="shared" si="4"/>
        <v xml:space="preserve"> </v>
      </c>
      <c r="N47" s="213" t="str">
        <f t="shared" si="5"/>
        <v xml:space="preserve"> </v>
      </c>
      <c r="O47" s="213" t="str">
        <f t="shared" si="6"/>
        <v xml:space="preserve"> </v>
      </c>
      <c r="P47" s="213" t="str">
        <f t="shared" si="7"/>
        <v xml:space="preserve"> </v>
      </c>
      <c r="Q47" s="213" t="str">
        <f t="shared" si="8"/>
        <v xml:space="preserve"> </v>
      </c>
      <c r="R47" s="405" t="str">
        <f>IF($A47="N/A"," ",IF(Pricetype=2,MAX(I47-$H47,0),IF(Pricetype=1,(_xll.xSPRDOPT(I47,$E47,$CI47,0,($CD47+IF(Smile=TRUE,VLOOKUP(MAX(-5,$H47-I47),Volsmile,2),0)),$CG47,$CH47,($A47-DateToday)+15,1,0)),I47-$H47)))</f>
        <v xml:space="preserve"> </v>
      </c>
      <c r="S47" s="405" t="str">
        <f>IF($A47="N/A"," ",IF(Pricetype=2,MAX(J47-$H47,0),IF(Pricetype=1,(_xll.xSPRDOPT(J47,$E47,$CI47,0,($CD47+IF(Smile=TRUE,VLOOKUP(MAX(-5,$H47-J47),Volsmile,2),0)),$CG47,$CH47,($A47-DateToday)+15,1,0)),J47-$H47)))</f>
        <v xml:space="preserve"> </v>
      </c>
      <c r="T47" s="406" t="str">
        <f t="shared" si="9"/>
        <v xml:space="preserve"> </v>
      </c>
      <c r="U47" s="405" t="str">
        <f>IF($A47="N/A"," ",IF(Pricetype=2,MAX(L47-$H47,0),IF(L47&lt;&gt;0,IF(Pricetype=1,(_xll.xSPRDOPT(L47,$E47,$CI47,0,($CD47+IF(Smile=TRUE,VLOOKUP(MAX(-5,$H47-L47),Volsmile,2),0)),$CG47,$CH47,($A47-DateToday)+15,1,0)),L47-$H47),0)))</f>
        <v xml:space="preserve"> </v>
      </c>
      <c r="V47" s="405" t="str">
        <f>IF($A47="N/A"," ",IF(Pricetype=2,MAX(M47-$H47,0),IF(M47&lt;&gt;0,IF(Pricetype=1,(_xll.xSPRDOPT(M47,$E47,$CI47,0,($CD47+IF(Smile=TRUE,VLOOKUP(MAX(-5,$H47-M47),Volsmile,2),0)),$CG47,$CH47,($A47-DateToday)+15,1,0)),M47-$H47),0)))</f>
        <v xml:space="preserve"> </v>
      </c>
      <c r="W47" s="406" t="str">
        <f t="shared" si="10"/>
        <v xml:space="preserve"> </v>
      </c>
      <c r="X47" s="405" t="str">
        <f>IF($A47="N/A"," ",IF(Pricetype=2,MAX(O47-$H47,0),IF(O47&lt;&gt;0,IF(Pricetype=1,(_xll.xSPRDOPT(O47,$E47,$CI47,0,($CD47+IF(Smile=TRUE,VLOOKUP(MAX(-5,$H47-O47),Volsmile,2),0)),$CG47,$CH47,($A47-DateToday)+15,1,0)),O47-$H47),0)))</f>
        <v xml:space="preserve"> </v>
      </c>
      <c r="Y47" s="405" t="str">
        <f>IF($A47="N/A"," ",IF(Pricetype=2,MAX(P47-$H47,0),IF(P47&lt;&gt;0,IF(Pricetype=1,(_xll.xSPRDOPT(P47,$E47,$CI47,0,($CD47+IF(Smile=TRUE,VLOOKUP(MAX(-5,$H47-P47),Volsmile,2),0)),$CG47,$CH47,($A47-DateToday)+15,1,0)),P47-$H47),0)))</f>
        <v xml:space="preserve"> </v>
      </c>
      <c r="Z47" s="406" t="str">
        <f t="shared" si="11"/>
        <v xml:space="preserve"> </v>
      </c>
      <c r="AA47" s="254" t="str">
        <f>IF($A47="N/A"," ",IF(VLOOKUP(MONTH(A47),ManualTable,2)=1,(IF(0&lt;&gt;R47,IF(Pricetype=1,(_xll.xSPRDOPT(I47,$E47,$CI47,0,($CD47+IF(Smile=TRUE,VLOOKUP(MAX(-5,$H47-I47),Volsmile,2),0)),$CG47,$CH47,($A47-DateToday)+15,1,1))*(8*$HD47),8*$HD47),0)),0))</f>
        <v xml:space="preserve"> </v>
      </c>
      <c r="AB47" s="254" t="str">
        <f>IF($A47="N/A"," ",IF(VLOOKUP(MONTH(A47),ManualTable,3)=1,(IF(S47&lt;&gt;0,IF(Pricetype=1,(_xll.xSPRDOPT(J47,$E47,$CI47,0,($CD47+IF(Smile=TRUE,VLOOKUP(MAX(-5,$H47-J47),Volsmile,2),0)),$CG47,$CH47,($A47-DateToday)+15,1,1))*(8*$HD47),8*$HD47),0)),0))</f>
        <v xml:space="preserve"> </v>
      </c>
      <c r="AC47" s="254" t="str">
        <f t="shared" si="66"/>
        <v xml:space="preserve"> </v>
      </c>
      <c r="AD47" s="254" t="str">
        <f>IF($A47="N/A"," ",IF(VLOOKUP(MONTH(A47),ManualTable,5)=1,(IF(U47&lt;&gt;0,IF(Pricetype=1,(_xll.xSPRDOPT(L47,$E47,$CI47,0,($CD47+IF(Smile=TRUE,VLOOKUP(MAX(-5,$H47-L47),Volsmile,2),0)),$CG47,$CH47,($A47-DateToday)+15,1,1))*(8*$HE47),8*$HE47),0)),0))</f>
        <v xml:space="preserve"> </v>
      </c>
      <c r="AE47" s="254" t="str">
        <f>IF($A47="N/A"," ",IF(VLOOKUP(MONTH(A47),ManualTable,6)=1,(IF(V47&lt;&gt;0,IF(Pricetype=1,(_xll.xSPRDOPT(M47,$E47,$CI47,0,($CD47+IF(Smile=TRUE,VLOOKUP(MAX(-5,$H47-M47),Volsmile,2),0)),$CG47,$CH47,($A47-DateToday)+15,1,1))*(8*$HE47),8*$HE47),0)),0))</f>
        <v xml:space="preserve"> </v>
      </c>
      <c r="AF47" s="254" t="str">
        <f t="shared" si="67"/>
        <v xml:space="preserve"> </v>
      </c>
      <c r="AG47" s="254" t="str">
        <f>IF($A47="N/A"," ",IF(VLOOKUP(MONTH(A47),ManualTable,8)=1,(IF(X47&lt;&gt;0,IF(Pricetype=1,(_xll.xSPRDOPT(O47,$E47,$CI47,0,($CD47+IF(Smile=TRUE,VLOOKUP(MAX(-5,$H47-O47),Volsmile,2),0)),$CG47,$CH47,($A47-DateToday)+15,1,1))*(8*$HF47),8*$HF47),0)),0))</f>
        <v xml:space="preserve"> </v>
      </c>
      <c r="AH47" s="254" t="str">
        <f>IF($A47="N/A"," ",IF(VLOOKUP(MONTH(A47),ManualTable,9)=1,(IF(Y47&lt;&gt;0,IF(Pricetype=1,(_xll.xSPRDOPT(P47,$E47,$CI47,0,($CD47+IF(Smile=TRUE,VLOOKUP(MAX(-5,$H47-P47),Volsmile,2),0)),$CG47,$CH47,($A47-DateToday)+15,1,1))*(8*$HF47),8*$HF47),0)),0))</f>
        <v xml:space="preserve"> </v>
      </c>
      <c r="AI47" s="254" t="str">
        <f t="shared" si="68"/>
        <v xml:space="preserve"> </v>
      </c>
      <c r="AJ47" s="227" t="str">
        <f t="shared" si="146"/>
        <v xml:space="preserve"> </v>
      </c>
      <c r="AK47" s="228" t="str">
        <f t="shared" si="147"/>
        <v xml:space="preserve"> </v>
      </c>
      <c r="AL47" s="228" t="str">
        <f t="shared" si="147"/>
        <v xml:space="preserve"> </v>
      </c>
      <c r="AM47" s="228" t="str">
        <f t="shared" si="148"/>
        <v xml:space="preserve"> </v>
      </c>
      <c r="AN47" s="228" t="str">
        <f t="shared" si="149"/>
        <v xml:space="preserve"> </v>
      </c>
      <c r="AO47" s="228" t="str">
        <f t="shared" si="149"/>
        <v xml:space="preserve"> </v>
      </c>
      <c r="AP47" s="228" t="str">
        <f t="shared" si="150"/>
        <v xml:space="preserve"> </v>
      </c>
      <c r="AQ47" s="228" t="str">
        <f t="shared" si="151"/>
        <v xml:space="preserve"> </v>
      </c>
      <c r="AR47" s="229" t="str">
        <f t="shared" si="152"/>
        <v xml:space="preserve"> </v>
      </c>
      <c r="AS47" s="262" t="str">
        <f t="shared" si="102"/>
        <v xml:space="preserve"> </v>
      </c>
      <c r="AT47" s="263" t="str">
        <f t="shared" si="103"/>
        <v xml:space="preserve"> </v>
      </c>
      <c r="AU47" s="263" t="str">
        <f t="shared" si="103"/>
        <v xml:space="preserve"> </v>
      </c>
      <c r="AV47" s="263" t="str">
        <f t="shared" si="104"/>
        <v xml:space="preserve"> </v>
      </c>
      <c r="AW47" s="263" t="str">
        <f t="shared" si="105"/>
        <v xml:space="preserve"> </v>
      </c>
      <c r="AX47" s="263" t="str">
        <f t="shared" si="105"/>
        <v xml:space="preserve"> </v>
      </c>
      <c r="AY47" s="263" t="str">
        <f t="shared" si="106"/>
        <v xml:space="preserve"> </v>
      </c>
      <c r="AZ47" s="263" t="str">
        <f t="shared" si="107"/>
        <v xml:space="preserve"> </v>
      </c>
      <c r="BA47" s="263" t="str">
        <f t="shared" si="108"/>
        <v xml:space="preserve"> </v>
      </c>
      <c r="BB47" s="229"/>
      <c r="BC47" s="266" t="str">
        <f t="shared" si="139"/>
        <v xml:space="preserve"> </v>
      </c>
      <c r="BD47" s="269" t="str">
        <f t="shared" si="140"/>
        <v xml:space="preserve"> </v>
      </c>
      <c r="BE47" s="269" t="str">
        <f t="shared" si="140"/>
        <v xml:space="preserve"> </v>
      </c>
      <c r="BF47" s="269" t="str">
        <f t="shared" si="141"/>
        <v xml:space="preserve"> </v>
      </c>
      <c r="BG47" s="269" t="str">
        <f t="shared" si="142"/>
        <v xml:space="preserve"> </v>
      </c>
      <c r="BH47" s="269" t="str">
        <f t="shared" si="142"/>
        <v xml:space="preserve"> </v>
      </c>
      <c r="BI47" s="269" t="str">
        <f t="shared" si="143"/>
        <v xml:space="preserve"> </v>
      </c>
      <c r="BJ47" s="269" t="str">
        <f t="shared" si="144"/>
        <v xml:space="preserve"> </v>
      </c>
      <c r="BK47" s="269" t="str">
        <f t="shared" si="145"/>
        <v xml:space="preserve"> </v>
      </c>
      <c r="BL47" s="229"/>
      <c r="BM47" s="220" t="str">
        <f>IF($A47="N/A"," ",(IF(MONTH(A47)&gt;=4,IF(MONTH(A47)&lt;=10,Inputs!$F$13-Inputs!$G$13,Inputs!$F$14-Inputs!$G$14),Inputs!$F$14-Inputs!$G$14))*$CK47*Availability)</f>
        <v xml:space="preserve"> </v>
      </c>
      <c r="BN47" s="221" t="str">
        <f t="shared" si="79"/>
        <v xml:space="preserve"> </v>
      </c>
      <c r="BO47" s="221" t="str">
        <f t="shared" si="80"/>
        <v xml:space="preserve"> </v>
      </c>
      <c r="BP47" s="221" t="str">
        <f t="shared" si="81"/>
        <v xml:space="preserve"> </v>
      </c>
      <c r="BQ47" s="221" t="str">
        <f t="shared" si="82"/>
        <v xml:space="preserve"> </v>
      </c>
      <c r="BR47" s="221" t="str">
        <f t="shared" si="83"/>
        <v xml:space="preserve"> </v>
      </c>
      <c r="BS47" s="221" t="str">
        <f t="shared" si="84"/>
        <v xml:space="preserve"> </v>
      </c>
      <c r="BT47" s="221" t="str">
        <f t="shared" si="85"/>
        <v xml:space="preserve"> </v>
      </c>
      <c r="BU47" s="221" t="str">
        <f t="shared" si="86"/>
        <v xml:space="preserve"> </v>
      </c>
      <c r="BV47" s="221" t="str">
        <f t="shared" si="87"/>
        <v xml:space="preserve"> </v>
      </c>
      <c r="BW47" s="221" t="str">
        <f t="shared" si="88"/>
        <v xml:space="preserve"> </v>
      </c>
      <c r="BX47" s="421" t="str">
        <f t="shared" si="89"/>
        <v xml:space="preserve"> </v>
      </c>
      <c r="BY47" s="417" t="str">
        <f t="shared" si="90"/>
        <v xml:space="preserve"> </v>
      </c>
      <c r="BZ47" s="417" t="str">
        <f t="shared" si="91"/>
        <v xml:space="preserve"> </v>
      </c>
      <c r="CA47" s="422" t="str">
        <f t="shared" si="92"/>
        <v xml:space="preserve"> </v>
      </c>
      <c r="CB47" s="347" t="str">
        <f t="shared" si="25"/>
        <v xml:space="preserve"> </v>
      </c>
      <c r="CC47" s="347" t="str">
        <f t="shared" si="93"/>
        <v xml:space="preserve"> </v>
      </c>
      <c r="CD47" s="348" t="str">
        <f t="shared" si="26"/>
        <v xml:space="preserve"> </v>
      </c>
      <c r="CE47" s="347" t="str">
        <f t="shared" si="27"/>
        <v xml:space="preserve"> </v>
      </c>
      <c r="CF47" s="347" t="str">
        <f t="shared" si="28"/>
        <v xml:space="preserve"> </v>
      </c>
      <c r="CG47" s="348" t="str">
        <f t="shared" si="29"/>
        <v xml:space="preserve"> </v>
      </c>
      <c r="CH47" s="347" t="str">
        <f t="shared" si="94"/>
        <v xml:space="preserve"> </v>
      </c>
      <c r="CI47" s="349" t="str">
        <f>IF($A47="N/A"," ",F47+G47+(D47*('Pricing Inputs'!T80)))</f>
        <v xml:space="preserve"> </v>
      </c>
      <c r="CJ47" s="347" t="str">
        <f>IF($A47="N/A"," ",IF(PV=1,0,'Pricing Inputs'!U80))</f>
        <v xml:space="preserve"> </v>
      </c>
      <c r="CK47" s="350" t="str">
        <f t="shared" si="30"/>
        <v xml:space="preserve"> </v>
      </c>
      <c r="CL47" s="365" t="str">
        <f t="shared" si="31"/>
        <v xml:space="preserve"> </v>
      </c>
      <c r="CM47" s="380" t="str">
        <f t="shared" si="95"/>
        <v xml:space="preserve"> </v>
      </c>
      <c r="CN47" s="378" t="str">
        <f t="shared" si="32"/>
        <v xml:space="preserve"> </v>
      </c>
      <c r="CO47" s="378" t="str">
        <f t="shared" si="33"/>
        <v xml:space="preserve"> </v>
      </c>
      <c r="CP47" s="378" t="str">
        <f t="shared" si="34"/>
        <v xml:space="preserve"> </v>
      </c>
      <c r="CQ47" s="378" t="str">
        <f t="shared" si="35"/>
        <v xml:space="preserve"> </v>
      </c>
      <c r="CR47" s="378" t="str">
        <f t="shared" si="36"/>
        <v xml:space="preserve"> </v>
      </c>
      <c r="CS47" s="378" t="str">
        <f t="shared" si="37"/>
        <v xml:space="preserve"> </v>
      </c>
      <c r="CT47" s="378" t="str">
        <f t="shared" si="38"/>
        <v xml:space="preserve"> </v>
      </c>
      <c r="CU47" s="378" t="str">
        <f t="shared" si="39"/>
        <v xml:space="preserve"> </v>
      </c>
      <c r="CV47" s="378" t="str">
        <f t="shared" si="40"/>
        <v xml:space="preserve"> </v>
      </c>
      <c r="CW47" s="254" t="str">
        <f t="shared" si="41"/>
        <v xml:space="preserve"> </v>
      </c>
      <c r="CX47" s="254" t="str">
        <f t="shared" si="42"/>
        <v xml:space="preserve"> </v>
      </c>
      <c r="CY47" s="254" t="str">
        <f t="shared" si="43"/>
        <v xml:space="preserve"> </v>
      </c>
      <c r="CZ47" s="254" t="str">
        <f t="shared" si="44"/>
        <v xml:space="preserve"> </v>
      </c>
      <c r="DA47" s="254" t="str">
        <f t="shared" si="45"/>
        <v xml:space="preserve"> </v>
      </c>
      <c r="DB47" s="254" t="str">
        <f t="shared" si="46"/>
        <v xml:space="preserve"> </v>
      </c>
      <c r="DC47" s="254" t="str">
        <f t="shared" si="47"/>
        <v xml:space="preserve"> </v>
      </c>
      <c r="DD47" s="254" t="str">
        <f t="shared" si="48"/>
        <v xml:space="preserve"> </v>
      </c>
      <c r="DE47" s="254" t="str">
        <f t="shared" si="49"/>
        <v xml:space="preserve"> </v>
      </c>
      <c r="DF47" s="374" t="str">
        <f>IF($A47="N/A"," ",IF(CC=2,(IF(MONTH(A47)&gt;=4,IF(MONTH(A47)&lt;=10,Inputs!$G$13,Inputs!$G$14),Inputs!$G$14))*$CK47,0))</f>
        <v xml:space="preserve"> </v>
      </c>
      <c r="DG47" s="373" t="str">
        <f t="shared" si="50"/>
        <v xml:space="preserve"> </v>
      </c>
      <c r="DH47" s="373" t="str">
        <f t="shared" si="51"/>
        <v xml:space="preserve"> </v>
      </c>
      <c r="DI47" s="373" t="str">
        <f t="shared" si="52"/>
        <v xml:space="preserve"> </v>
      </c>
      <c r="DJ47" s="373" t="str">
        <f t="shared" si="53"/>
        <v xml:space="preserve"> </v>
      </c>
      <c r="DK47" s="373" t="str">
        <f t="shared" si="54"/>
        <v xml:space="preserve"> </v>
      </c>
      <c r="DL47" s="373" t="str">
        <f t="shared" si="55"/>
        <v xml:space="preserve"> </v>
      </c>
      <c r="DM47" s="373" t="str">
        <f t="shared" si="56"/>
        <v xml:space="preserve"> </v>
      </c>
      <c r="DN47" s="373" t="str">
        <f t="shared" si="57"/>
        <v xml:space="preserve"> </v>
      </c>
      <c r="DO47" s="373" t="str">
        <f t="shared" si="58"/>
        <v xml:space="preserve"> </v>
      </c>
      <c r="DP47" s="375" t="str">
        <f t="shared" si="59"/>
        <v xml:space="preserve"> </v>
      </c>
      <c r="DQ47" t="str">
        <f t="shared" si="96"/>
        <v xml:space="preserve"> </v>
      </c>
      <c r="HD47" t="str">
        <f t="shared" si="97"/>
        <v xml:space="preserve"> </v>
      </c>
      <c r="HE47" t="str">
        <f t="shared" si="98"/>
        <v xml:space="preserve"> </v>
      </c>
      <c r="HF47" t="str">
        <f t="shared" si="99"/>
        <v xml:space="preserve"> </v>
      </c>
    </row>
    <row r="48" spans="1:214">
      <c r="A48" s="415" t="str">
        <f>IF(A47="N/A","N/A",IF(EDATE(A47,1)&gt;Inputs!$K$3,"N/A",EDATE(A47,1)))</f>
        <v>N/A</v>
      </c>
      <c r="B48" s="410" t="str">
        <f t="shared" si="60"/>
        <v xml:space="preserve"> </v>
      </c>
      <c r="C48" s="411" t="str">
        <f t="shared" si="61"/>
        <v xml:space="preserve"> </v>
      </c>
      <c r="D48" s="412" t="str">
        <f t="shared" si="62"/>
        <v xml:space="preserve"> </v>
      </c>
      <c r="E48" s="413" t="str">
        <f>IF($A48="N/A"," ",(C48-'Pricing Inputs'!T81)*D48)</f>
        <v xml:space="preserve"> </v>
      </c>
      <c r="F48" s="414" t="str">
        <f t="shared" si="116"/>
        <v xml:space="preserve"> </v>
      </c>
      <c r="G48" s="414" t="str">
        <f t="shared" si="64"/>
        <v xml:space="preserve"> </v>
      </c>
      <c r="H48" s="416" t="str">
        <f t="shared" si="65"/>
        <v xml:space="preserve"> </v>
      </c>
      <c r="I48" s="213" t="str">
        <f t="shared" si="0"/>
        <v xml:space="preserve"> </v>
      </c>
      <c r="J48" s="213" t="str">
        <f t="shared" si="1"/>
        <v xml:space="preserve"> </v>
      </c>
      <c r="K48" s="213" t="str">
        <f t="shared" si="2"/>
        <v xml:space="preserve"> </v>
      </c>
      <c r="L48" s="213" t="str">
        <f t="shared" si="3"/>
        <v xml:space="preserve"> </v>
      </c>
      <c r="M48" s="213" t="str">
        <f t="shared" si="4"/>
        <v xml:space="preserve"> </v>
      </c>
      <c r="N48" s="213" t="str">
        <f t="shared" si="5"/>
        <v xml:space="preserve"> </v>
      </c>
      <c r="O48" s="213" t="str">
        <f t="shared" si="6"/>
        <v xml:space="preserve"> </v>
      </c>
      <c r="P48" s="213" t="str">
        <f t="shared" si="7"/>
        <v xml:space="preserve"> </v>
      </c>
      <c r="Q48" s="213" t="str">
        <f t="shared" si="8"/>
        <v xml:space="preserve"> </v>
      </c>
      <c r="R48" s="405" t="str">
        <f>IF($A48="N/A"," ",IF(Pricetype=2,MAX(I48-$H48,0),IF(Pricetype=1,(_xll.xSPRDOPT(I48,$E48,$CI48,0,($CD48+IF(Smile=TRUE,VLOOKUP(MAX(-5,$H48-I48),Volsmile,2),0)),$CG48,$CH48,($A48-DateToday)+15,1,0)),I48-$H48)))</f>
        <v xml:space="preserve"> </v>
      </c>
      <c r="S48" s="405" t="str">
        <f>IF($A48="N/A"," ",IF(Pricetype=2,MAX(J48-$H48,0),IF(Pricetype=1,(_xll.xSPRDOPT(J48,$E48,$CI48,0,($CD48+IF(Smile=TRUE,VLOOKUP(MAX(-5,$H48-J48),Volsmile,2),0)),$CG48,$CH48,($A48-DateToday)+15,1,0)),J48-$H48)))</f>
        <v xml:space="preserve"> </v>
      </c>
      <c r="T48" s="406" t="str">
        <f t="shared" si="9"/>
        <v xml:space="preserve"> </v>
      </c>
      <c r="U48" s="405" t="str">
        <f>IF($A48="N/A"," ",IF(Pricetype=2,MAX(L48-$H48,0),IF(L48&lt;&gt;0,IF(Pricetype=1,(_xll.xSPRDOPT(L48,$E48,$CI48,0,($CD48+IF(Smile=TRUE,VLOOKUP(MAX(-5,$H48-L48),Volsmile,2),0)),$CG48,$CH48,($A48-DateToday)+15,1,0)),L48-$H48),0)))</f>
        <v xml:space="preserve"> </v>
      </c>
      <c r="V48" s="405" t="str">
        <f>IF($A48="N/A"," ",IF(Pricetype=2,MAX(M48-$H48,0),IF(M48&lt;&gt;0,IF(Pricetype=1,(_xll.xSPRDOPT(M48,$E48,$CI48,0,($CD48+IF(Smile=TRUE,VLOOKUP(MAX(-5,$H48-M48),Volsmile,2),0)),$CG48,$CH48,($A48-DateToday)+15,1,0)),M48-$H48),0)))</f>
        <v xml:space="preserve"> </v>
      </c>
      <c r="W48" s="406" t="str">
        <f t="shared" si="10"/>
        <v xml:space="preserve"> </v>
      </c>
      <c r="X48" s="405" t="str">
        <f>IF($A48="N/A"," ",IF(Pricetype=2,MAX(O48-$H48,0),IF(O48&lt;&gt;0,IF(Pricetype=1,(_xll.xSPRDOPT(O48,$E48,$CI48,0,($CD48+IF(Smile=TRUE,VLOOKUP(MAX(-5,$H48-O48),Volsmile,2),0)),$CG48,$CH48,($A48-DateToday)+15,1,0)),O48-$H48),0)))</f>
        <v xml:space="preserve"> </v>
      </c>
      <c r="Y48" s="405" t="str">
        <f>IF($A48="N/A"," ",IF(Pricetype=2,MAX(P48-$H48,0),IF(P48&lt;&gt;0,IF(Pricetype=1,(_xll.xSPRDOPT(P48,$E48,$CI48,0,($CD48+IF(Smile=TRUE,VLOOKUP(MAX(-5,$H48-P48),Volsmile,2),0)),$CG48,$CH48,($A48-DateToday)+15,1,0)),P48-$H48),0)))</f>
        <v xml:space="preserve"> </v>
      </c>
      <c r="Z48" s="406" t="str">
        <f t="shared" si="11"/>
        <v xml:space="preserve"> </v>
      </c>
      <c r="AA48" s="254" t="str">
        <f>IF($A48="N/A"," ",IF(VLOOKUP(MONTH(A48),ManualTable,2)=1,(IF(0&lt;&gt;R48,IF(Pricetype=1,(_xll.xSPRDOPT(I48,$E48,$CI48,0,($CD48+IF(Smile=TRUE,VLOOKUP(MAX(-5,$H48-I48),Volsmile,2),0)),$CG48,$CH48,($A48-DateToday)+15,1,1))*(8*$HD48),8*$HD48),0)),0))</f>
        <v xml:space="preserve"> </v>
      </c>
      <c r="AB48" s="254" t="str">
        <f>IF($A48="N/A"," ",IF(VLOOKUP(MONTH(A48),ManualTable,3)=1,(IF(S48&lt;&gt;0,IF(Pricetype=1,(_xll.xSPRDOPT(J48,$E48,$CI48,0,($CD48+IF(Smile=TRUE,VLOOKUP(MAX(-5,$H48-J48),Volsmile,2),0)),$CG48,$CH48,($A48-DateToday)+15,1,1))*(8*$HD48),8*$HD48),0)),0))</f>
        <v xml:space="preserve"> </v>
      </c>
      <c r="AC48" s="254" t="str">
        <f t="shared" si="66"/>
        <v xml:space="preserve"> </v>
      </c>
      <c r="AD48" s="254" t="str">
        <f>IF($A48="N/A"," ",IF(VLOOKUP(MONTH(A48),ManualTable,5)=1,(IF(U48&lt;&gt;0,IF(Pricetype=1,(_xll.xSPRDOPT(L48,$E48,$CI48,0,($CD48+IF(Smile=TRUE,VLOOKUP(MAX(-5,$H48-L48),Volsmile,2),0)),$CG48,$CH48,($A48-DateToday)+15,1,1))*(8*$HE48),8*$HE48),0)),0))</f>
        <v xml:space="preserve"> </v>
      </c>
      <c r="AE48" s="254" t="str">
        <f>IF($A48="N/A"," ",IF(VLOOKUP(MONTH(A48),ManualTable,6)=1,(IF(V48&lt;&gt;0,IF(Pricetype=1,(_xll.xSPRDOPT(M48,$E48,$CI48,0,($CD48+IF(Smile=TRUE,VLOOKUP(MAX(-5,$H48-M48),Volsmile,2),0)),$CG48,$CH48,($A48-DateToday)+15,1,1))*(8*$HE48),8*$HE48),0)),0))</f>
        <v xml:space="preserve"> </v>
      </c>
      <c r="AF48" s="254" t="str">
        <f t="shared" si="67"/>
        <v xml:space="preserve"> </v>
      </c>
      <c r="AG48" s="254" t="str">
        <f>IF($A48="N/A"," ",IF(VLOOKUP(MONTH(A48),ManualTable,8)=1,(IF(X48&lt;&gt;0,IF(Pricetype=1,(_xll.xSPRDOPT(O48,$E48,$CI48,0,($CD48+IF(Smile=TRUE,VLOOKUP(MAX(-5,$H48-O48),Volsmile,2),0)),$CG48,$CH48,($A48-DateToday)+15,1,1))*(8*$HF48),8*$HF48),0)),0))</f>
        <v xml:space="preserve"> </v>
      </c>
      <c r="AH48" s="254" t="str">
        <f>IF($A48="N/A"," ",IF(VLOOKUP(MONTH(A48),ManualTable,9)=1,(IF(Y48&lt;&gt;0,IF(Pricetype=1,(_xll.xSPRDOPT(P48,$E48,$CI48,0,($CD48+IF(Smile=TRUE,VLOOKUP(MAX(-5,$H48-P48),Volsmile,2),0)),$CG48,$CH48,($A48-DateToday)+15,1,1))*(8*$HF48),8*$HF48),0)),0))</f>
        <v xml:space="preserve"> </v>
      </c>
      <c r="AI48" s="254" t="str">
        <f t="shared" si="68"/>
        <v xml:space="preserve"> </v>
      </c>
      <c r="AJ48" s="227" t="str">
        <f t="shared" si="146"/>
        <v xml:space="preserve"> </v>
      </c>
      <c r="AK48" s="228" t="str">
        <f t="shared" si="147"/>
        <v xml:space="preserve"> </v>
      </c>
      <c r="AL48" s="228" t="str">
        <f t="shared" si="147"/>
        <v xml:space="preserve"> </v>
      </c>
      <c r="AM48" s="228" t="str">
        <f t="shared" si="148"/>
        <v xml:space="preserve"> </v>
      </c>
      <c r="AN48" s="228" t="str">
        <f t="shared" si="149"/>
        <v xml:space="preserve"> </v>
      </c>
      <c r="AO48" s="228" t="str">
        <f t="shared" si="149"/>
        <v xml:space="preserve"> </v>
      </c>
      <c r="AP48" s="228" t="str">
        <f t="shared" si="150"/>
        <v xml:space="preserve"> </v>
      </c>
      <c r="AQ48" s="228" t="str">
        <f t="shared" si="151"/>
        <v xml:space="preserve"> </v>
      </c>
      <c r="AR48" s="229" t="str">
        <f t="shared" si="152"/>
        <v xml:space="preserve"> </v>
      </c>
      <c r="AS48" s="262" t="str">
        <f t="shared" si="102"/>
        <v xml:space="preserve"> </v>
      </c>
      <c r="AT48" s="263" t="str">
        <f t="shared" si="103"/>
        <v xml:space="preserve"> </v>
      </c>
      <c r="AU48" s="263" t="str">
        <f t="shared" si="103"/>
        <v xml:space="preserve"> </v>
      </c>
      <c r="AV48" s="263" t="str">
        <f t="shared" si="104"/>
        <v xml:space="preserve"> </v>
      </c>
      <c r="AW48" s="263" t="str">
        <f t="shared" si="105"/>
        <v xml:space="preserve"> </v>
      </c>
      <c r="AX48" s="263" t="str">
        <f t="shared" si="105"/>
        <v xml:space="preserve"> </v>
      </c>
      <c r="AY48" s="263" t="str">
        <f t="shared" si="106"/>
        <v xml:space="preserve"> </v>
      </c>
      <c r="AZ48" s="263" t="str">
        <f t="shared" si="107"/>
        <v xml:space="preserve"> </v>
      </c>
      <c r="BA48" s="263" t="str">
        <f t="shared" si="108"/>
        <v xml:space="preserve"> </v>
      </c>
      <c r="BB48" s="229"/>
      <c r="BC48" s="266" t="str">
        <f t="shared" si="139"/>
        <v xml:space="preserve"> </v>
      </c>
      <c r="BD48" s="269" t="str">
        <f t="shared" si="140"/>
        <v xml:space="preserve"> </v>
      </c>
      <c r="BE48" s="269" t="str">
        <f t="shared" si="140"/>
        <v xml:space="preserve"> </v>
      </c>
      <c r="BF48" s="269" t="str">
        <f t="shared" si="141"/>
        <v xml:space="preserve"> </v>
      </c>
      <c r="BG48" s="269" t="str">
        <f t="shared" si="142"/>
        <v xml:space="preserve"> </v>
      </c>
      <c r="BH48" s="269" t="str">
        <f t="shared" si="142"/>
        <v xml:space="preserve"> </v>
      </c>
      <c r="BI48" s="269" t="str">
        <f t="shared" si="143"/>
        <v xml:space="preserve"> </v>
      </c>
      <c r="BJ48" s="269" t="str">
        <f t="shared" si="144"/>
        <v xml:space="preserve"> </v>
      </c>
      <c r="BK48" s="269" t="str">
        <f t="shared" si="145"/>
        <v xml:space="preserve"> </v>
      </c>
      <c r="BL48" s="229"/>
      <c r="BM48" s="220" t="str">
        <f>IF($A48="N/A"," ",(IF(MONTH(A48)&gt;=4,IF(MONTH(A48)&lt;=10,Inputs!$F$13-Inputs!$G$13,Inputs!$F$14-Inputs!$G$14),Inputs!$F$14-Inputs!$G$14))*$CK48*Availability)</f>
        <v xml:space="preserve"> </v>
      </c>
      <c r="BN48" s="221" t="str">
        <f t="shared" si="79"/>
        <v xml:space="preserve"> </v>
      </c>
      <c r="BO48" s="221" t="str">
        <f t="shared" si="80"/>
        <v xml:space="preserve"> </v>
      </c>
      <c r="BP48" s="221" t="str">
        <f t="shared" si="81"/>
        <v xml:space="preserve"> </v>
      </c>
      <c r="BQ48" s="221" t="str">
        <f t="shared" si="82"/>
        <v xml:space="preserve"> </v>
      </c>
      <c r="BR48" s="221" t="str">
        <f t="shared" si="83"/>
        <v xml:space="preserve"> </v>
      </c>
      <c r="BS48" s="221" t="str">
        <f t="shared" si="84"/>
        <v xml:space="preserve"> </v>
      </c>
      <c r="BT48" s="221" t="str">
        <f t="shared" si="85"/>
        <v xml:space="preserve"> </v>
      </c>
      <c r="BU48" s="221" t="str">
        <f t="shared" si="86"/>
        <v xml:space="preserve"> </v>
      </c>
      <c r="BV48" s="221" t="str">
        <f t="shared" si="87"/>
        <v xml:space="preserve"> </v>
      </c>
      <c r="BW48" s="221" t="str">
        <f t="shared" si="88"/>
        <v xml:space="preserve"> </v>
      </c>
      <c r="BX48" s="421" t="str">
        <f t="shared" si="89"/>
        <v xml:space="preserve"> </v>
      </c>
      <c r="BY48" s="417" t="str">
        <f t="shared" si="90"/>
        <v xml:space="preserve"> </v>
      </c>
      <c r="BZ48" s="417" t="str">
        <f t="shared" si="91"/>
        <v xml:space="preserve"> </v>
      </c>
      <c r="CA48" s="422" t="str">
        <f t="shared" si="92"/>
        <v xml:space="preserve"> </v>
      </c>
      <c r="CB48" s="347" t="str">
        <f t="shared" si="25"/>
        <v xml:space="preserve"> </v>
      </c>
      <c r="CC48" s="347" t="str">
        <f t="shared" si="93"/>
        <v xml:space="preserve"> </v>
      </c>
      <c r="CD48" s="348" t="str">
        <f t="shared" si="26"/>
        <v xml:space="preserve"> </v>
      </c>
      <c r="CE48" s="347" t="str">
        <f t="shared" si="27"/>
        <v xml:space="preserve"> </v>
      </c>
      <c r="CF48" s="347" t="str">
        <f t="shared" si="28"/>
        <v xml:space="preserve"> </v>
      </c>
      <c r="CG48" s="348" t="str">
        <f t="shared" si="29"/>
        <v xml:space="preserve"> </v>
      </c>
      <c r="CH48" s="347" t="str">
        <f t="shared" si="94"/>
        <v xml:space="preserve"> </v>
      </c>
      <c r="CI48" s="349" t="str">
        <f>IF($A48="N/A"," ",F48+G48+(D48*('Pricing Inputs'!T81)))</f>
        <v xml:space="preserve"> </v>
      </c>
      <c r="CJ48" s="347" t="str">
        <f>IF($A48="N/A"," ",IF(PV=1,0,'Pricing Inputs'!U81))</f>
        <v xml:space="preserve"> </v>
      </c>
      <c r="CK48" s="350" t="str">
        <f t="shared" si="30"/>
        <v xml:space="preserve"> </v>
      </c>
      <c r="CL48" s="365" t="str">
        <f t="shared" si="31"/>
        <v xml:space="preserve"> </v>
      </c>
      <c r="CM48" s="380" t="str">
        <f t="shared" si="95"/>
        <v xml:space="preserve"> </v>
      </c>
      <c r="CN48" s="378" t="str">
        <f t="shared" si="32"/>
        <v xml:space="preserve"> </v>
      </c>
      <c r="CO48" s="378" t="str">
        <f t="shared" si="33"/>
        <v xml:space="preserve"> </v>
      </c>
      <c r="CP48" s="378" t="str">
        <f t="shared" si="34"/>
        <v xml:space="preserve"> </v>
      </c>
      <c r="CQ48" s="378" t="str">
        <f t="shared" si="35"/>
        <v xml:space="preserve"> </v>
      </c>
      <c r="CR48" s="378" t="str">
        <f t="shared" si="36"/>
        <v xml:space="preserve"> </v>
      </c>
      <c r="CS48" s="378" t="str">
        <f t="shared" si="37"/>
        <v xml:space="preserve"> </v>
      </c>
      <c r="CT48" s="378" t="str">
        <f t="shared" si="38"/>
        <v xml:space="preserve"> </v>
      </c>
      <c r="CU48" s="378" t="str">
        <f t="shared" si="39"/>
        <v xml:space="preserve"> </v>
      </c>
      <c r="CV48" s="378" t="str">
        <f t="shared" si="40"/>
        <v xml:space="preserve"> </v>
      </c>
      <c r="CW48" s="254" t="str">
        <f t="shared" si="41"/>
        <v xml:space="preserve"> </v>
      </c>
      <c r="CX48" s="254" t="str">
        <f t="shared" si="42"/>
        <v xml:space="preserve"> </v>
      </c>
      <c r="CY48" s="254" t="str">
        <f t="shared" si="43"/>
        <v xml:space="preserve"> </v>
      </c>
      <c r="CZ48" s="254" t="str">
        <f t="shared" si="44"/>
        <v xml:space="preserve"> </v>
      </c>
      <c r="DA48" s="254" t="str">
        <f t="shared" si="45"/>
        <v xml:space="preserve"> </v>
      </c>
      <c r="DB48" s="254" t="str">
        <f t="shared" si="46"/>
        <v xml:space="preserve"> </v>
      </c>
      <c r="DC48" s="254" t="str">
        <f t="shared" si="47"/>
        <v xml:space="preserve"> </v>
      </c>
      <c r="DD48" s="254" t="str">
        <f t="shared" si="48"/>
        <v xml:space="preserve"> </v>
      </c>
      <c r="DE48" s="254" t="str">
        <f t="shared" si="49"/>
        <v xml:space="preserve"> </v>
      </c>
      <c r="DF48" s="374" t="str">
        <f>IF($A48="N/A"," ",IF(CC=2,(IF(MONTH(A48)&gt;=4,IF(MONTH(A48)&lt;=10,Inputs!$G$13,Inputs!$G$14),Inputs!$G$14))*$CK48,0))</f>
        <v xml:space="preserve"> </v>
      </c>
      <c r="DG48" s="373" t="str">
        <f t="shared" si="50"/>
        <v xml:space="preserve"> </v>
      </c>
      <c r="DH48" s="373" t="str">
        <f t="shared" si="51"/>
        <v xml:space="preserve"> </v>
      </c>
      <c r="DI48" s="373" t="str">
        <f t="shared" si="52"/>
        <v xml:space="preserve"> </v>
      </c>
      <c r="DJ48" s="373" t="str">
        <f t="shared" si="53"/>
        <v xml:space="preserve"> </v>
      </c>
      <c r="DK48" s="373" t="str">
        <f t="shared" si="54"/>
        <v xml:space="preserve"> </v>
      </c>
      <c r="DL48" s="373" t="str">
        <f t="shared" si="55"/>
        <v xml:space="preserve"> </v>
      </c>
      <c r="DM48" s="373" t="str">
        <f t="shared" si="56"/>
        <v xml:space="preserve"> </v>
      </c>
      <c r="DN48" s="373" t="str">
        <f t="shared" si="57"/>
        <v xml:space="preserve"> </v>
      </c>
      <c r="DO48" s="373" t="str">
        <f t="shared" si="58"/>
        <v xml:space="preserve"> </v>
      </c>
      <c r="DP48" s="375" t="str">
        <f t="shared" si="59"/>
        <v xml:space="preserve"> </v>
      </c>
      <c r="DQ48" t="str">
        <f t="shared" si="96"/>
        <v xml:space="preserve"> </v>
      </c>
      <c r="HD48" t="str">
        <f t="shared" si="97"/>
        <v xml:space="preserve"> </v>
      </c>
      <c r="HE48" t="str">
        <f t="shared" si="98"/>
        <v xml:space="preserve"> </v>
      </c>
      <c r="HF48" t="str">
        <f t="shared" si="99"/>
        <v xml:space="preserve"> </v>
      </c>
    </row>
    <row r="49" spans="1:214">
      <c r="A49" s="415" t="str">
        <f>IF(A48="N/A","N/A",IF(EDATE(A48,1)&gt;Inputs!$K$3,"N/A",EDATE(A48,1)))</f>
        <v>N/A</v>
      </c>
      <c r="B49" s="410" t="str">
        <f t="shared" si="60"/>
        <v xml:space="preserve"> </v>
      </c>
      <c r="C49" s="411" t="str">
        <f t="shared" si="61"/>
        <v xml:space="preserve"> </v>
      </c>
      <c r="D49" s="412" t="str">
        <f t="shared" si="62"/>
        <v xml:space="preserve"> </v>
      </c>
      <c r="E49" s="413" t="str">
        <f>IF($A49="N/A"," ",(C49-'Pricing Inputs'!T82)*D49)</f>
        <v xml:space="preserve"> </v>
      </c>
      <c r="F49" s="414" t="str">
        <f t="shared" si="116"/>
        <v xml:space="preserve"> </v>
      </c>
      <c r="G49" s="414" t="str">
        <f t="shared" si="64"/>
        <v xml:space="preserve"> </v>
      </c>
      <c r="H49" s="416" t="str">
        <f t="shared" si="65"/>
        <v xml:space="preserve"> </v>
      </c>
      <c r="I49" s="213" t="str">
        <f t="shared" si="0"/>
        <v xml:space="preserve"> </v>
      </c>
      <c r="J49" s="213" t="str">
        <f t="shared" si="1"/>
        <v xml:space="preserve"> </v>
      </c>
      <c r="K49" s="213" t="str">
        <f t="shared" si="2"/>
        <v xml:space="preserve"> </v>
      </c>
      <c r="L49" s="213" t="str">
        <f t="shared" si="3"/>
        <v xml:space="preserve"> </v>
      </c>
      <c r="M49" s="213" t="str">
        <f t="shared" si="4"/>
        <v xml:space="preserve"> </v>
      </c>
      <c r="N49" s="213" t="str">
        <f t="shared" si="5"/>
        <v xml:space="preserve"> </v>
      </c>
      <c r="O49" s="213" t="str">
        <f t="shared" si="6"/>
        <v xml:space="preserve"> </v>
      </c>
      <c r="P49" s="213" t="str">
        <f t="shared" si="7"/>
        <v xml:space="preserve"> </v>
      </c>
      <c r="Q49" s="213" t="str">
        <f t="shared" si="8"/>
        <v xml:space="preserve"> </v>
      </c>
      <c r="R49" s="405" t="str">
        <f>IF($A49="N/A"," ",IF(Pricetype=2,MAX(I49-$H49,0),IF(Pricetype=1,(_xll.xSPRDOPT(I49,$E49,$CI49,0,($CD49+IF(Smile=TRUE,VLOOKUP(MAX(-5,$H49-I49),Volsmile,2),0)),$CG49,$CH49,($A49-DateToday)+15,1,0)),I49-$H49)))</f>
        <v xml:space="preserve"> </v>
      </c>
      <c r="S49" s="405" t="str">
        <f>IF($A49="N/A"," ",IF(Pricetype=2,MAX(J49-$H49,0),IF(Pricetype=1,(_xll.xSPRDOPT(J49,$E49,$CI49,0,($CD49+IF(Smile=TRUE,VLOOKUP(MAX(-5,$H49-J49),Volsmile,2),0)),$CG49,$CH49,($A49-DateToday)+15,1,0)),J49-$H49)))</f>
        <v xml:space="preserve"> </v>
      </c>
      <c r="T49" s="406" t="str">
        <f t="shared" si="9"/>
        <v xml:space="preserve"> </v>
      </c>
      <c r="U49" s="405" t="str">
        <f>IF($A49="N/A"," ",IF(Pricetype=2,MAX(L49-$H49,0),IF(L49&lt;&gt;0,IF(Pricetype=1,(_xll.xSPRDOPT(L49,$E49,$CI49,0,($CD49+IF(Smile=TRUE,VLOOKUP(MAX(-5,$H49-L49),Volsmile,2),0)),$CG49,$CH49,($A49-DateToday)+15,1,0)),L49-$H49),0)))</f>
        <v xml:space="preserve"> </v>
      </c>
      <c r="V49" s="405" t="str">
        <f>IF($A49="N/A"," ",IF(Pricetype=2,MAX(M49-$H49,0),IF(M49&lt;&gt;0,IF(Pricetype=1,(_xll.xSPRDOPT(M49,$E49,$CI49,0,($CD49+IF(Smile=TRUE,VLOOKUP(MAX(-5,$H49-M49),Volsmile,2),0)),$CG49,$CH49,($A49-DateToday)+15,1,0)),M49-$H49),0)))</f>
        <v xml:space="preserve"> </v>
      </c>
      <c r="W49" s="406" t="str">
        <f t="shared" si="10"/>
        <v xml:space="preserve"> </v>
      </c>
      <c r="X49" s="405" t="str">
        <f>IF($A49="N/A"," ",IF(Pricetype=2,MAX(O49-$H49,0),IF(O49&lt;&gt;0,IF(Pricetype=1,(_xll.xSPRDOPT(O49,$E49,$CI49,0,($CD49+IF(Smile=TRUE,VLOOKUP(MAX(-5,$H49-O49),Volsmile,2),0)),$CG49,$CH49,($A49-DateToday)+15,1,0)),O49-$H49),0)))</f>
        <v xml:space="preserve"> </v>
      </c>
      <c r="Y49" s="405" t="str">
        <f>IF($A49="N/A"," ",IF(Pricetype=2,MAX(P49-$H49,0),IF(P49&lt;&gt;0,IF(Pricetype=1,(_xll.xSPRDOPT(P49,$E49,$CI49,0,($CD49+IF(Smile=TRUE,VLOOKUP(MAX(-5,$H49-P49),Volsmile,2),0)),$CG49,$CH49,($A49-DateToday)+15,1,0)),P49-$H49),0)))</f>
        <v xml:space="preserve"> </v>
      </c>
      <c r="Z49" s="406" t="str">
        <f t="shared" si="11"/>
        <v xml:space="preserve"> </v>
      </c>
      <c r="AA49" s="254" t="str">
        <f>IF($A49="N/A"," ",IF(VLOOKUP(MONTH(A49),ManualTable,2)=1,(IF(0&lt;&gt;R49,IF(Pricetype=1,(_xll.xSPRDOPT(I49,$E49,$CI49,0,($CD49+IF(Smile=TRUE,VLOOKUP(MAX(-5,$H49-I49),Volsmile,2),0)),$CG49,$CH49,($A49-DateToday)+15,1,1))*(8*$HD49),8*$HD49),0)),0))</f>
        <v xml:space="preserve"> </v>
      </c>
      <c r="AB49" s="254" t="str">
        <f>IF($A49="N/A"," ",IF(VLOOKUP(MONTH(A49),ManualTable,3)=1,(IF(S49&lt;&gt;0,IF(Pricetype=1,(_xll.xSPRDOPT(J49,$E49,$CI49,0,($CD49+IF(Smile=TRUE,VLOOKUP(MAX(-5,$H49-J49),Volsmile,2),0)),$CG49,$CH49,($A49-DateToday)+15,1,1))*(8*$HD49),8*$HD49),0)),0))</f>
        <v xml:space="preserve"> </v>
      </c>
      <c r="AC49" s="254" t="str">
        <f t="shared" si="66"/>
        <v xml:space="preserve"> </v>
      </c>
      <c r="AD49" s="254" t="str">
        <f>IF($A49="N/A"," ",IF(VLOOKUP(MONTH(A49),ManualTable,5)=1,(IF(U49&lt;&gt;0,IF(Pricetype=1,(_xll.xSPRDOPT(L49,$E49,$CI49,0,($CD49+IF(Smile=TRUE,VLOOKUP(MAX(-5,$H49-L49),Volsmile,2),0)),$CG49,$CH49,($A49-DateToday)+15,1,1))*(8*$HE49),8*$HE49),0)),0))</f>
        <v xml:space="preserve"> </v>
      </c>
      <c r="AE49" s="254" t="str">
        <f>IF($A49="N/A"," ",IF(VLOOKUP(MONTH(A49),ManualTable,6)=1,(IF(V49&lt;&gt;0,IF(Pricetype=1,(_xll.xSPRDOPT(M49,$E49,$CI49,0,($CD49+IF(Smile=TRUE,VLOOKUP(MAX(-5,$H49-M49),Volsmile,2),0)),$CG49,$CH49,($A49-DateToday)+15,1,1))*(8*$HE49),8*$HE49),0)),0))</f>
        <v xml:space="preserve"> </v>
      </c>
      <c r="AF49" s="254" t="str">
        <f t="shared" si="67"/>
        <v xml:space="preserve"> </v>
      </c>
      <c r="AG49" s="254" t="str">
        <f>IF($A49="N/A"," ",IF(VLOOKUP(MONTH(A49),ManualTable,8)=1,(IF(X49&lt;&gt;0,IF(Pricetype=1,(_xll.xSPRDOPT(O49,$E49,$CI49,0,($CD49+IF(Smile=TRUE,VLOOKUP(MAX(-5,$H49-O49),Volsmile,2),0)),$CG49,$CH49,($A49-DateToday)+15,1,1))*(8*$HF49),8*$HF49),0)),0))</f>
        <v xml:space="preserve"> </v>
      </c>
      <c r="AH49" s="254" t="str">
        <f>IF($A49="N/A"," ",IF(VLOOKUP(MONTH(A49),ManualTable,9)=1,(IF(Y49&lt;&gt;0,IF(Pricetype=1,(_xll.xSPRDOPT(P49,$E49,$CI49,0,($CD49+IF(Smile=TRUE,VLOOKUP(MAX(-5,$H49-P49),Volsmile,2),0)),$CG49,$CH49,($A49-DateToday)+15,1,1))*(8*$HF49),8*$HF49),0)),0))</f>
        <v xml:space="preserve"> </v>
      </c>
      <c r="AI49" s="254" t="str">
        <f t="shared" si="68"/>
        <v xml:space="preserve"> </v>
      </c>
      <c r="AJ49" s="227" t="str">
        <f t="shared" si="146"/>
        <v xml:space="preserve"> </v>
      </c>
      <c r="AK49" s="228" t="str">
        <f t="shared" si="147"/>
        <v xml:space="preserve"> </v>
      </c>
      <c r="AL49" s="228" t="str">
        <f t="shared" si="147"/>
        <v xml:space="preserve"> </v>
      </c>
      <c r="AM49" s="228" t="str">
        <f t="shared" si="148"/>
        <v xml:space="preserve"> </v>
      </c>
      <c r="AN49" s="228" t="str">
        <f t="shared" si="149"/>
        <v xml:space="preserve"> </v>
      </c>
      <c r="AO49" s="228" t="str">
        <f t="shared" si="149"/>
        <v xml:space="preserve"> </v>
      </c>
      <c r="AP49" s="228" t="str">
        <f t="shared" si="150"/>
        <v xml:space="preserve"> </v>
      </c>
      <c r="AQ49" s="228" t="str">
        <f t="shared" si="151"/>
        <v xml:space="preserve"> </v>
      </c>
      <c r="AR49" s="229" t="str">
        <f t="shared" si="152"/>
        <v xml:space="preserve"> </v>
      </c>
      <c r="AS49" s="262" t="str">
        <f t="shared" si="102"/>
        <v xml:space="preserve"> </v>
      </c>
      <c r="AT49" s="263" t="str">
        <f t="shared" si="103"/>
        <v xml:space="preserve"> </v>
      </c>
      <c r="AU49" s="263" t="str">
        <f t="shared" si="103"/>
        <v xml:space="preserve"> </v>
      </c>
      <c r="AV49" s="263" t="str">
        <f t="shared" si="104"/>
        <v xml:space="preserve"> </v>
      </c>
      <c r="AW49" s="263" t="str">
        <f t="shared" si="105"/>
        <v xml:space="preserve"> </v>
      </c>
      <c r="AX49" s="263" t="str">
        <f t="shared" si="105"/>
        <v xml:space="preserve"> </v>
      </c>
      <c r="AY49" s="263" t="str">
        <f t="shared" si="106"/>
        <v xml:space="preserve"> </v>
      </c>
      <c r="AZ49" s="263" t="str">
        <f t="shared" si="107"/>
        <v xml:space="preserve"> </v>
      </c>
      <c r="BA49" s="263" t="str">
        <f t="shared" si="108"/>
        <v xml:space="preserve"> </v>
      </c>
      <c r="BB49" s="234" t="s">
        <v>1271</v>
      </c>
      <c r="BC49" s="266" t="str">
        <f t="shared" si="139"/>
        <v xml:space="preserve"> </v>
      </c>
      <c r="BD49" s="269" t="str">
        <f t="shared" si="140"/>
        <v xml:space="preserve"> </v>
      </c>
      <c r="BE49" s="269" t="str">
        <f t="shared" si="140"/>
        <v xml:space="preserve"> </v>
      </c>
      <c r="BF49" s="269" t="str">
        <f t="shared" si="141"/>
        <v xml:space="preserve"> </v>
      </c>
      <c r="BG49" s="269" t="str">
        <f t="shared" si="142"/>
        <v xml:space="preserve"> </v>
      </c>
      <c r="BH49" s="269" t="str">
        <f t="shared" si="142"/>
        <v xml:space="preserve"> </v>
      </c>
      <c r="BI49" s="269" t="str">
        <f t="shared" si="143"/>
        <v xml:space="preserve"> </v>
      </c>
      <c r="BJ49" s="269" t="str">
        <f t="shared" si="144"/>
        <v xml:space="preserve"> </v>
      </c>
      <c r="BK49" s="269" t="str">
        <f t="shared" si="145"/>
        <v xml:space="preserve"> </v>
      </c>
      <c r="BL49" s="233" t="s">
        <v>1283</v>
      </c>
      <c r="BM49" s="220" t="str">
        <f>IF($A49="N/A"," ",(IF(MONTH(A49)&gt;=4,IF(MONTH(A49)&lt;=10,Inputs!$F$13-Inputs!$G$13,Inputs!$F$14-Inputs!$G$14),Inputs!$F$14-Inputs!$G$14))*$CK49*Availability)</f>
        <v xml:space="preserve"> </v>
      </c>
      <c r="BN49" s="221" t="str">
        <f t="shared" si="79"/>
        <v xml:space="preserve"> </v>
      </c>
      <c r="BO49" s="221" t="str">
        <f t="shared" si="80"/>
        <v xml:space="preserve"> </v>
      </c>
      <c r="BP49" s="221" t="str">
        <f t="shared" si="81"/>
        <v xml:space="preserve"> </v>
      </c>
      <c r="BQ49" s="221" t="str">
        <f t="shared" si="82"/>
        <v xml:space="preserve"> </v>
      </c>
      <c r="BR49" s="221" t="str">
        <f t="shared" si="83"/>
        <v xml:space="preserve"> </v>
      </c>
      <c r="BS49" s="221" t="str">
        <f t="shared" si="84"/>
        <v xml:space="preserve"> </v>
      </c>
      <c r="BT49" s="221" t="str">
        <f t="shared" si="85"/>
        <v xml:space="preserve"> </v>
      </c>
      <c r="BU49" s="221" t="str">
        <f t="shared" si="86"/>
        <v xml:space="preserve"> </v>
      </c>
      <c r="BV49" s="221" t="str">
        <f t="shared" si="87"/>
        <v xml:space="preserve"> </v>
      </c>
      <c r="BW49" s="221" t="str">
        <f t="shared" si="88"/>
        <v xml:space="preserve"> </v>
      </c>
      <c r="BX49" s="421" t="str">
        <f t="shared" si="89"/>
        <v xml:space="preserve"> </v>
      </c>
      <c r="BY49" s="417" t="str">
        <f t="shared" si="90"/>
        <v xml:space="preserve"> </v>
      </c>
      <c r="BZ49" s="417" t="str">
        <f t="shared" si="91"/>
        <v xml:space="preserve"> </v>
      </c>
      <c r="CA49" s="422" t="str">
        <f t="shared" si="92"/>
        <v xml:space="preserve"> </v>
      </c>
      <c r="CB49" s="347" t="str">
        <f t="shared" si="25"/>
        <v xml:space="preserve"> </v>
      </c>
      <c r="CC49" s="347" t="str">
        <f t="shared" si="93"/>
        <v xml:space="preserve"> </v>
      </c>
      <c r="CD49" s="348" t="str">
        <f t="shared" si="26"/>
        <v xml:space="preserve"> </v>
      </c>
      <c r="CE49" s="347" t="str">
        <f t="shared" si="27"/>
        <v xml:space="preserve"> </v>
      </c>
      <c r="CF49" s="347" t="str">
        <f t="shared" si="28"/>
        <v xml:space="preserve"> </v>
      </c>
      <c r="CG49" s="348" t="str">
        <f t="shared" si="29"/>
        <v xml:space="preserve"> </v>
      </c>
      <c r="CH49" s="347" t="str">
        <f t="shared" si="94"/>
        <v xml:space="preserve"> </v>
      </c>
      <c r="CI49" s="349" t="str">
        <f>IF($A49="N/A"," ",F49+G49+(D49*('Pricing Inputs'!T82)))</f>
        <v xml:space="preserve"> </v>
      </c>
      <c r="CJ49" s="347" t="str">
        <f>IF($A49="N/A"," ",IF(PV=1,0,'Pricing Inputs'!U82))</f>
        <v xml:space="preserve"> </v>
      </c>
      <c r="CK49" s="350" t="str">
        <f t="shared" si="30"/>
        <v xml:space="preserve"> </v>
      </c>
      <c r="CL49" s="365" t="str">
        <f t="shared" si="31"/>
        <v xml:space="preserve"> </v>
      </c>
      <c r="CM49" s="380" t="str">
        <f t="shared" si="95"/>
        <v xml:space="preserve"> </v>
      </c>
      <c r="CN49" s="378" t="str">
        <f t="shared" si="32"/>
        <v xml:space="preserve"> </v>
      </c>
      <c r="CO49" s="378" t="str">
        <f t="shared" si="33"/>
        <v xml:space="preserve"> </v>
      </c>
      <c r="CP49" s="378" t="str">
        <f t="shared" si="34"/>
        <v xml:space="preserve"> </v>
      </c>
      <c r="CQ49" s="378" t="str">
        <f t="shared" si="35"/>
        <v xml:space="preserve"> </v>
      </c>
      <c r="CR49" s="378" t="str">
        <f t="shared" si="36"/>
        <v xml:space="preserve"> </v>
      </c>
      <c r="CS49" s="378" t="str">
        <f t="shared" si="37"/>
        <v xml:space="preserve"> </v>
      </c>
      <c r="CT49" s="378" t="str">
        <f t="shared" si="38"/>
        <v xml:space="preserve"> </v>
      </c>
      <c r="CU49" s="378" t="str">
        <f t="shared" si="39"/>
        <v xml:space="preserve"> </v>
      </c>
      <c r="CV49" s="378" t="str">
        <f t="shared" si="40"/>
        <v xml:space="preserve"> </v>
      </c>
      <c r="CW49" s="254" t="str">
        <f t="shared" si="41"/>
        <v xml:space="preserve"> </v>
      </c>
      <c r="CX49" s="254" t="str">
        <f t="shared" si="42"/>
        <v xml:space="preserve"> </v>
      </c>
      <c r="CY49" s="254" t="str">
        <f t="shared" si="43"/>
        <v xml:space="preserve"> </v>
      </c>
      <c r="CZ49" s="254" t="str">
        <f t="shared" si="44"/>
        <v xml:space="preserve"> </v>
      </c>
      <c r="DA49" s="254" t="str">
        <f t="shared" si="45"/>
        <v xml:space="preserve"> </v>
      </c>
      <c r="DB49" s="254" t="str">
        <f t="shared" si="46"/>
        <v xml:space="preserve"> </v>
      </c>
      <c r="DC49" s="254" t="str">
        <f t="shared" si="47"/>
        <v xml:space="preserve"> </v>
      </c>
      <c r="DD49" s="254" t="str">
        <f t="shared" si="48"/>
        <v xml:space="preserve"> </v>
      </c>
      <c r="DE49" s="254" t="str">
        <f t="shared" si="49"/>
        <v xml:space="preserve"> </v>
      </c>
      <c r="DF49" s="374" t="str">
        <f>IF($A49="N/A"," ",IF(CC=2,(IF(MONTH(A49)&gt;=4,IF(MONTH(A49)&lt;=10,Inputs!$G$13,Inputs!$G$14),Inputs!$G$14))*$CK49,0))</f>
        <v xml:space="preserve"> </v>
      </c>
      <c r="DG49" s="373" t="str">
        <f t="shared" si="50"/>
        <v xml:space="preserve"> </v>
      </c>
      <c r="DH49" s="373" t="str">
        <f t="shared" si="51"/>
        <v xml:space="preserve"> </v>
      </c>
      <c r="DI49" s="373" t="str">
        <f t="shared" si="52"/>
        <v xml:space="preserve"> </v>
      </c>
      <c r="DJ49" s="373" t="str">
        <f t="shared" si="53"/>
        <v xml:space="preserve"> </v>
      </c>
      <c r="DK49" s="373" t="str">
        <f t="shared" si="54"/>
        <v xml:space="preserve"> </v>
      </c>
      <c r="DL49" s="373" t="str">
        <f t="shared" si="55"/>
        <v xml:space="preserve"> </v>
      </c>
      <c r="DM49" s="373" t="str">
        <f t="shared" si="56"/>
        <v xml:space="preserve"> </v>
      </c>
      <c r="DN49" s="373" t="str">
        <f t="shared" si="57"/>
        <v xml:space="preserve"> </v>
      </c>
      <c r="DO49" s="373" t="str">
        <f t="shared" si="58"/>
        <v xml:space="preserve"> </v>
      </c>
      <c r="DP49" s="375" t="str">
        <f t="shared" si="59"/>
        <v xml:space="preserve"> </v>
      </c>
      <c r="DQ49" t="str">
        <f t="shared" si="96"/>
        <v xml:space="preserve"> </v>
      </c>
      <c r="HD49" t="str">
        <f t="shared" si="97"/>
        <v xml:space="preserve"> </v>
      </c>
      <c r="HE49" t="str">
        <f t="shared" si="98"/>
        <v xml:space="preserve"> </v>
      </c>
      <c r="HF49" t="str">
        <f t="shared" si="99"/>
        <v xml:space="preserve"> </v>
      </c>
    </row>
    <row r="50" spans="1:214">
      <c r="A50" s="415" t="str">
        <f>IF(A49="N/A","N/A",IF(EDATE(A49,1)&gt;Inputs!$K$3,"N/A",EDATE(A49,1)))</f>
        <v>N/A</v>
      </c>
      <c r="B50" s="410" t="str">
        <f t="shared" si="60"/>
        <v xml:space="preserve"> </v>
      </c>
      <c r="C50" s="411" t="str">
        <f t="shared" si="61"/>
        <v xml:space="preserve"> </v>
      </c>
      <c r="D50" s="412" t="str">
        <f t="shared" si="62"/>
        <v xml:space="preserve"> </v>
      </c>
      <c r="E50" s="413" t="str">
        <f>IF($A50="N/A"," ",(C50-'Pricing Inputs'!T83)*D50)</f>
        <v xml:space="preserve"> </v>
      </c>
      <c r="F50" s="414" t="str">
        <f t="shared" si="116"/>
        <v xml:space="preserve"> </v>
      </c>
      <c r="G50" s="414" t="str">
        <f t="shared" si="64"/>
        <v xml:space="preserve"> </v>
      </c>
      <c r="H50" s="416" t="str">
        <f t="shared" si="65"/>
        <v xml:space="preserve"> </v>
      </c>
      <c r="I50" s="213" t="str">
        <f t="shared" si="0"/>
        <v xml:space="preserve"> </v>
      </c>
      <c r="J50" s="213" t="str">
        <f t="shared" si="1"/>
        <v xml:space="preserve"> </v>
      </c>
      <c r="K50" s="213" t="str">
        <f t="shared" si="2"/>
        <v xml:space="preserve"> </v>
      </c>
      <c r="L50" s="213" t="str">
        <f t="shared" si="3"/>
        <v xml:space="preserve"> </v>
      </c>
      <c r="M50" s="213" t="str">
        <f t="shared" si="4"/>
        <v xml:space="preserve"> </v>
      </c>
      <c r="N50" s="213" t="str">
        <f t="shared" si="5"/>
        <v xml:space="preserve"> </v>
      </c>
      <c r="O50" s="213" t="str">
        <f t="shared" si="6"/>
        <v xml:space="preserve"> </v>
      </c>
      <c r="P50" s="213" t="str">
        <f t="shared" si="7"/>
        <v xml:space="preserve"> </v>
      </c>
      <c r="Q50" s="213" t="str">
        <f t="shared" si="8"/>
        <v xml:space="preserve"> </v>
      </c>
      <c r="R50" s="405" t="str">
        <f>IF($A50="N/A"," ",IF(Pricetype=2,MAX(I50-$H50,0),IF(Pricetype=1,(_xll.xSPRDOPT(I50,$E50,$CI50,0,($CD50+IF(Smile=TRUE,VLOOKUP(MAX(-5,$H50-I50),Volsmile,2),0)),$CG50,$CH50,($A50-DateToday)+15,1,0)),I50-$H50)))</f>
        <v xml:space="preserve"> </v>
      </c>
      <c r="S50" s="405" t="str">
        <f>IF($A50="N/A"," ",IF(Pricetype=2,MAX(J50-$H50,0),IF(Pricetype=1,(_xll.xSPRDOPT(J50,$E50,$CI50,0,($CD50+IF(Smile=TRUE,VLOOKUP(MAX(-5,$H50-J50),Volsmile,2),0)),$CG50,$CH50,($A50-DateToday)+15,1,0)),J50-$H50)))</f>
        <v xml:space="preserve"> </v>
      </c>
      <c r="T50" s="406" t="str">
        <f t="shared" si="9"/>
        <v xml:space="preserve"> </v>
      </c>
      <c r="U50" s="405" t="str">
        <f>IF($A50="N/A"," ",IF(Pricetype=2,MAX(L50-$H50,0),IF(L50&lt;&gt;0,IF(Pricetype=1,(_xll.xSPRDOPT(L50,$E50,$CI50,0,($CD50+IF(Smile=TRUE,VLOOKUP(MAX(-5,$H50-L50),Volsmile,2),0)),$CG50,$CH50,($A50-DateToday)+15,1,0)),L50-$H50),0)))</f>
        <v xml:space="preserve"> </v>
      </c>
      <c r="V50" s="405" t="str">
        <f>IF($A50="N/A"," ",IF(Pricetype=2,MAX(M50-$H50,0),IF(M50&lt;&gt;0,IF(Pricetype=1,(_xll.xSPRDOPT(M50,$E50,$CI50,0,($CD50+IF(Smile=TRUE,VLOOKUP(MAX(-5,$H50-M50),Volsmile,2),0)),$CG50,$CH50,($A50-DateToday)+15,1,0)),M50-$H50),0)))</f>
        <v xml:space="preserve"> </v>
      </c>
      <c r="W50" s="406" t="str">
        <f t="shared" si="10"/>
        <v xml:space="preserve"> </v>
      </c>
      <c r="X50" s="405" t="str">
        <f>IF($A50="N/A"," ",IF(Pricetype=2,MAX(O50-$H50,0),IF(O50&lt;&gt;0,IF(Pricetype=1,(_xll.xSPRDOPT(O50,$E50,$CI50,0,($CD50+IF(Smile=TRUE,VLOOKUP(MAX(-5,$H50-O50),Volsmile,2),0)),$CG50,$CH50,($A50-DateToday)+15,1,0)),O50-$H50),0)))</f>
        <v xml:space="preserve"> </v>
      </c>
      <c r="Y50" s="405" t="str">
        <f>IF($A50="N/A"," ",IF(Pricetype=2,MAX(P50-$H50,0),IF(P50&lt;&gt;0,IF(Pricetype=1,(_xll.xSPRDOPT(P50,$E50,$CI50,0,($CD50+IF(Smile=TRUE,VLOOKUP(MAX(-5,$H50-P50),Volsmile,2),0)),$CG50,$CH50,($A50-DateToday)+15,1,0)),P50-$H50),0)))</f>
        <v xml:space="preserve"> </v>
      </c>
      <c r="Z50" s="406" t="str">
        <f t="shared" si="11"/>
        <v xml:space="preserve"> </v>
      </c>
      <c r="AA50" s="254" t="str">
        <f>IF($A50="N/A"," ",IF(VLOOKUP(MONTH(A50),ManualTable,2)=1,(IF(0&lt;&gt;R50,IF(Pricetype=1,(_xll.xSPRDOPT(I50,$E50,$CI50,0,($CD50+IF(Smile=TRUE,VLOOKUP(MAX(-5,$H50-I50),Volsmile,2),0)),$CG50,$CH50,($A50-DateToday)+15,1,1))*(8*$HD50),8*$HD50),0)),0))</f>
        <v xml:space="preserve"> </v>
      </c>
      <c r="AB50" s="254" t="str">
        <f>IF($A50="N/A"," ",IF(VLOOKUP(MONTH(A50),ManualTable,3)=1,(IF(S50&lt;&gt;0,IF(Pricetype=1,(_xll.xSPRDOPT(J50,$E50,$CI50,0,($CD50+IF(Smile=TRUE,VLOOKUP(MAX(-5,$H50-J50),Volsmile,2),0)),$CG50,$CH50,($A50-DateToday)+15,1,1))*(8*$HD50),8*$HD50),0)),0))</f>
        <v xml:space="preserve"> </v>
      </c>
      <c r="AC50" s="254" t="str">
        <f t="shared" si="66"/>
        <v xml:space="preserve"> </v>
      </c>
      <c r="AD50" s="254" t="str">
        <f>IF($A50="N/A"," ",IF(VLOOKUP(MONTH(A50),ManualTable,5)=1,(IF(U50&lt;&gt;0,IF(Pricetype=1,(_xll.xSPRDOPT(L50,$E50,$CI50,0,($CD50+IF(Smile=TRUE,VLOOKUP(MAX(-5,$H50-L50),Volsmile,2),0)),$CG50,$CH50,($A50-DateToday)+15,1,1))*(8*$HE50),8*$HE50),0)),0))</f>
        <v xml:space="preserve"> </v>
      </c>
      <c r="AE50" s="254" t="str">
        <f>IF($A50="N/A"," ",IF(VLOOKUP(MONTH(A50),ManualTable,6)=1,(IF(V50&lt;&gt;0,IF(Pricetype=1,(_xll.xSPRDOPT(M50,$E50,$CI50,0,($CD50+IF(Smile=TRUE,VLOOKUP(MAX(-5,$H50-M50),Volsmile,2),0)),$CG50,$CH50,($A50-DateToday)+15,1,1))*(8*$HE50),8*$HE50),0)),0))</f>
        <v xml:space="preserve"> </v>
      </c>
      <c r="AF50" s="254" t="str">
        <f t="shared" si="67"/>
        <v xml:space="preserve"> </v>
      </c>
      <c r="AG50" s="254" t="str">
        <f>IF($A50="N/A"," ",IF(VLOOKUP(MONTH(A50),ManualTable,8)=1,(IF(X50&lt;&gt;0,IF(Pricetype=1,(_xll.xSPRDOPT(O50,$E50,$CI50,0,($CD50+IF(Smile=TRUE,VLOOKUP(MAX(-5,$H50-O50),Volsmile,2),0)),$CG50,$CH50,($A50-DateToday)+15,1,1))*(8*$HF50),8*$HF50),0)),0))</f>
        <v xml:space="preserve"> </v>
      </c>
      <c r="AH50" s="254" t="str">
        <f>IF($A50="N/A"," ",IF(VLOOKUP(MONTH(A50),ManualTable,9)=1,(IF(Y50&lt;&gt;0,IF(Pricetype=1,(_xll.xSPRDOPT(P50,$E50,$CI50,0,($CD50+IF(Smile=TRUE,VLOOKUP(MAX(-5,$H50-P50),Volsmile,2),0)),$CG50,$CH50,($A50-DateToday)+15,1,1))*(8*$HF50),8*$HF50),0)),0))</f>
        <v xml:space="preserve"> </v>
      </c>
      <c r="AI50" s="254" t="str">
        <f t="shared" si="68"/>
        <v xml:space="preserve"> </v>
      </c>
      <c r="AJ50" s="227" t="str">
        <f t="shared" si="146"/>
        <v xml:space="preserve"> </v>
      </c>
      <c r="AK50" s="228" t="str">
        <f t="shared" si="147"/>
        <v xml:space="preserve"> </v>
      </c>
      <c r="AL50" s="228" t="str">
        <f t="shared" si="147"/>
        <v xml:space="preserve"> </v>
      </c>
      <c r="AM50" s="228" t="str">
        <f t="shared" si="148"/>
        <v xml:space="preserve"> </v>
      </c>
      <c r="AN50" s="228" t="str">
        <f t="shared" si="149"/>
        <v xml:space="preserve"> </v>
      </c>
      <c r="AO50" s="228" t="str">
        <f t="shared" si="149"/>
        <v xml:space="preserve"> </v>
      </c>
      <c r="AP50" s="228" t="str">
        <f t="shared" si="150"/>
        <v xml:space="preserve"> </v>
      </c>
      <c r="AQ50" s="228" t="str">
        <f t="shared" si="151"/>
        <v xml:space="preserve"> </v>
      </c>
      <c r="AR50" s="229" t="str">
        <f t="shared" si="152"/>
        <v xml:space="preserve"> </v>
      </c>
      <c r="AS50" s="262" t="str">
        <f t="shared" si="102"/>
        <v xml:space="preserve"> </v>
      </c>
      <c r="AT50" s="263" t="str">
        <f t="shared" si="103"/>
        <v xml:space="preserve"> </v>
      </c>
      <c r="AU50" s="263" t="str">
        <f t="shared" si="103"/>
        <v xml:space="preserve"> </v>
      </c>
      <c r="AV50" s="263" t="str">
        <f t="shared" si="104"/>
        <v xml:space="preserve"> </v>
      </c>
      <c r="AW50" s="263" t="str">
        <f t="shared" si="105"/>
        <v xml:space="preserve"> </v>
      </c>
      <c r="AX50" s="263" t="str">
        <f t="shared" si="105"/>
        <v xml:space="preserve"> </v>
      </c>
      <c r="AY50" s="263" t="str">
        <f t="shared" si="106"/>
        <v xml:space="preserve"> </v>
      </c>
      <c r="AZ50" s="263" t="str">
        <f t="shared" si="107"/>
        <v xml:space="preserve"> </v>
      </c>
      <c r="BA50" s="263" t="str">
        <f t="shared" si="108"/>
        <v xml:space="preserve"> </v>
      </c>
      <c r="BB50" s="229">
        <f>SUM(AS40:BA51)</f>
        <v>0</v>
      </c>
      <c r="BC50" s="266" t="str">
        <f t="shared" si="139"/>
        <v xml:space="preserve"> </v>
      </c>
      <c r="BD50" s="269" t="str">
        <f t="shared" si="140"/>
        <v xml:space="preserve"> </v>
      </c>
      <c r="BE50" s="269" t="str">
        <f t="shared" si="140"/>
        <v xml:space="preserve"> </v>
      </c>
      <c r="BF50" s="269" t="str">
        <f t="shared" si="141"/>
        <v xml:space="preserve"> </v>
      </c>
      <c r="BG50" s="269" t="str">
        <f t="shared" si="142"/>
        <v xml:space="preserve"> </v>
      </c>
      <c r="BH50" s="269" t="str">
        <f t="shared" si="142"/>
        <v xml:space="preserve"> </v>
      </c>
      <c r="BI50" s="269" t="str">
        <f t="shared" si="143"/>
        <v xml:space="preserve"> </v>
      </c>
      <c r="BJ50" s="269" t="str">
        <f t="shared" si="144"/>
        <v xml:space="preserve"> </v>
      </c>
      <c r="BK50" s="269" t="str">
        <f t="shared" si="145"/>
        <v xml:space="preserve"> </v>
      </c>
      <c r="BL50" s="229">
        <f>SUM(BC40:BK51)</f>
        <v>0</v>
      </c>
      <c r="BM50" s="220" t="str">
        <f>IF($A50="N/A"," ",(IF(MONTH(A50)&gt;=4,IF(MONTH(A50)&lt;=10,Inputs!$F$13-Inputs!$G$13,Inputs!$F$14-Inputs!$G$14),Inputs!$F$14-Inputs!$G$14))*$CK50*Availability)</f>
        <v xml:space="preserve"> </v>
      </c>
      <c r="BN50" s="221" t="str">
        <f t="shared" si="79"/>
        <v xml:space="preserve"> </v>
      </c>
      <c r="BO50" s="221" t="str">
        <f t="shared" si="80"/>
        <v xml:space="preserve"> </v>
      </c>
      <c r="BP50" s="221" t="str">
        <f t="shared" si="81"/>
        <v xml:space="preserve"> </v>
      </c>
      <c r="BQ50" s="221" t="str">
        <f t="shared" si="82"/>
        <v xml:space="preserve"> </v>
      </c>
      <c r="BR50" s="221" t="str">
        <f t="shared" si="83"/>
        <v xml:space="preserve"> </v>
      </c>
      <c r="BS50" s="221" t="str">
        <f t="shared" si="84"/>
        <v xml:space="preserve"> </v>
      </c>
      <c r="BT50" s="221" t="str">
        <f t="shared" si="85"/>
        <v xml:space="preserve"> </v>
      </c>
      <c r="BU50" s="221" t="str">
        <f t="shared" si="86"/>
        <v xml:space="preserve"> </v>
      </c>
      <c r="BV50" s="221" t="str">
        <f t="shared" si="87"/>
        <v xml:space="preserve"> </v>
      </c>
      <c r="BW50" s="221" t="str">
        <f t="shared" si="88"/>
        <v xml:space="preserve"> </v>
      </c>
      <c r="BX50" s="421" t="str">
        <f t="shared" si="89"/>
        <v xml:space="preserve"> </v>
      </c>
      <c r="BY50" s="417" t="str">
        <f t="shared" si="90"/>
        <v xml:space="preserve"> </v>
      </c>
      <c r="BZ50" s="417" t="str">
        <f t="shared" si="91"/>
        <v xml:space="preserve"> </v>
      </c>
      <c r="CA50" s="422" t="str">
        <f t="shared" si="92"/>
        <v xml:space="preserve"> </v>
      </c>
      <c r="CB50" s="347" t="str">
        <f t="shared" si="25"/>
        <v xml:space="preserve"> </v>
      </c>
      <c r="CC50" s="347" t="str">
        <f t="shared" si="93"/>
        <v xml:space="preserve"> </v>
      </c>
      <c r="CD50" s="348" t="str">
        <f t="shared" si="26"/>
        <v xml:space="preserve"> </v>
      </c>
      <c r="CE50" s="347" t="str">
        <f t="shared" si="27"/>
        <v xml:space="preserve"> </v>
      </c>
      <c r="CF50" s="347" t="str">
        <f t="shared" si="28"/>
        <v xml:space="preserve"> </v>
      </c>
      <c r="CG50" s="348" t="str">
        <f t="shared" si="29"/>
        <v xml:space="preserve"> </v>
      </c>
      <c r="CH50" s="347" t="str">
        <f t="shared" si="94"/>
        <v xml:space="preserve"> </v>
      </c>
      <c r="CI50" s="349" t="str">
        <f>IF($A50="N/A"," ",F50+G50+(D50*('Pricing Inputs'!T83)))</f>
        <v xml:space="preserve"> </v>
      </c>
      <c r="CJ50" s="347" t="str">
        <f>IF($A50="N/A"," ",IF(PV=1,0,'Pricing Inputs'!U83))</f>
        <v xml:space="preserve"> </v>
      </c>
      <c r="CK50" s="350" t="str">
        <f t="shared" si="30"/>
        <v xml:space="preserve"> </v>
      </c>
      <c r="CL50" s="365" t="str">
        <f t="shared" si="31"/>
        <v xml:space="preserve"> </v>
      </c>
      <c r="CM50" s="380" t="str">
        <f t="shared" si="95"/>
        <v xml:space="preserve"> </v>
      </c>
      <c r="CN50" s="378" t="str">
        <f t="shared" si="32"/>
        <v xml:space="preserve"> </v>
      </c>
      <c r="CO50" s="378" t="str">
        <f t="shared" si="33"/>
        <v xml:space="preserve"> </v>
      </c>
      <c r="CP50" s="378" t="str">
        <f t="shared" si="34"/>
        <v xml:space="preserve"> </v>
      </c>
      <c r="CQ50" s="378" t="str">
        <f t="shared" si="35"/>
        <v xml:space="preserve"> </v>
      </c>
      <c r="CR50" s="378" t="str">
        <f t="shared" si="36"/>
        <v xml:space="preserve"> </v>
      </c>
      <c r="CS50" s="378" t="str">
        <f t="shared" si="37"/>
        <v xml:space="preserve"> </v>
      </c>
      <c r="CT50" s="378" t="str">
        <f t="shared" si="38"/>
        <v xml:space="preserve"> </v>
      </c>
      <c r="CU50" s="378" t="str">
        <f t="shared" si="39"/>
        <v xml:space="preserve"> </v>
      </c>
      <c r="CV50" s="378" t="str">
        <f t="shared" si="40"/>
        <v xml:space="preserve"> </v>
      </c>
      <c r="CW50" s="254" t="str">
        <f t="shared" si="41"/>
        <v xml:space="preserve"> </v>
      </c>
      <c r="CX50" s="254" t="str">
        <f t="shared" si="42"/>
        <v xml:space="preserve"> </v>
      </c>
      <c r="CY50" s="254" t="str">
        <f t="shared" si="43"/>
        <v xml:space="preserve"> </v>
      </c>
      <c r="CZ50" s="254" t="str">
        <f t="shared" si="44"/>
        <v xml:space="preserve"> </v>
      </c>
      <c r="DA50" s="254" t="str">
        <f t="shared" si="45"/>
        <v xml:space="preserve"> </v>
      </c>
      <c r="DB50" s="254" t="str">
        <f t="shared" si="46"/>
        <v xml:space="preserve"> </v>
      </c>
      <c r="DC50" s="254" t="str">
        <f t="shared" si="47"/>
        <v xml:space="preserve"> </v>
      </c>
      <c r="DD50" s="254" t="str">
        <f t="shared" si="48"/>
        <v xml:space="preserve"> </v>
      </c>
      <c r="DE50" s="254" t="str">
        <f t="shared" si="49"/>
        <v xml:space="preserve"> </v>
      </c>
      <c r="DF50" s="374" t="str">
        <f>IF($A50="N/A"," ",IF(CC=2,(IF(MONTH(A50)&gt;=4,IF(MONTH(A50)&lt;=10,Inputs!$G$13,Inputs!$G$14),Inputs!$G$14))*$CK50,0))</f>
        <v xml:space="preserve"> </v>
      </c>
      <c r="DG50" s="373" t="str">
        <f t="shared" si="50"/>
        <v xml:space="preserve"> </v>
      </c>
      <c r="DH50" s="373" t="str">
        <f t="shared" si="51"/>
        <v xml:space="preserve"> </v>
      </c>
      <c r="DI50" s="373" t="str">
        <f t="shared" si="52"/>
        <v xml:space="preserve"> </v>
      </c>
      <c r="DJ50" s="373" t="str">
        <f t="shared" si="53"/>
        <v xml:space="preserve"> </v>
      </c>
      <c r="DK50" s="373" t="str">
        <f t="shared" si="54"/>
        <v xml:space="preserve"> </v>
      </c>
      <c r="DL50" s="373" t="str">
        <f t="shared" si="55"/>
        <v xml:space="preserve"> </v>
      </c>
      <c r="DM50" s="373" t="str">
        <f t="shared" si="56"/>
        <v xml:space="preserve"> </v>
      </c>
      <c r="DN50" s="373" t="str">
        <f t="shared" si="57"/>
        <v xml:space="preserve"> </v>
      </c>
      <c r="DO50" s="373" t="str">
        <f t="shared" si="58"/>
        <v xml:space="preserve"> </v>
      </c>
      <c r="DP50" s="375" t="str">
        <f t="shared" si="59"/>
        <v xml:space="preserve"> </v>
      </c>
      <c r="DQ50" t="str">
        <f t="shared" si="96"/>
        <v xml:space="preserve"> </v>
      </c>
      <c r="HD50" t="str">
        <f t="shared" si="97"/>
        <v xml:space="preserve"> </v>
      </c>
      <c r="HE50" t="str">
        <f t="shared" si="98"/>
        <v xml:space="preserve"> </v>
      </c>
      <c r="HF50" t="str">
        <f t="shared" si="99"/>
        <v xml:space="preserve"> </v>
      </c>
    </row>
    <row r="51" spans="1:214">
      <c r="A51" s="415" t="str">
        <f>IF(A50="N/A","N/A",IF(EDATE(A50,1)&gt;Inputs!$K$3,"N/A",EDATE(A50,1)))</f>
        <v>N/A</v>
      </c>
      <c r="B51" s="410" t="str">
        <f t="shared" si="60"/>
        <v xml:space="preserve"> </v>
      </c>
      <c r="C51" s="411" t="str">
        <f t="shared" si="61"/>
        <v xml:space="preserve"> </v>
      </c>
      <c r="D51" s="412" t="str">
        <f t="shared" si="62"/>
        <v xml:space="preserve"> </v>
      </c>
      <c r="E51" s="413" t="str">
        <f>IF($A51="N/A"," ",(C51-'Pricing Inputs'!T84)*D51)</f>
        <v xml:space="preserve"> </v>
      </c>
      <c r="F51" s="414" t="str">
        <f t="shared" si="116"/>
        <v xml:space="preserve"> </v>
      </c>
      <c r="G51" s="414" t="str">
        <f t="shared" si="64"/>
        <v xml:space="preserve"> </v>
      </c>
      <c r="H51" s="416" t="str">
        <f t="shared" si="65"/>
        <v xml:space="preserve"> </v>
      </c>
      <c r="I51" s="213" t="str">
        <f t="shared" si="0"/>
        <v xml:space="preserve"> </v>
      </c>
      <c r="J51" s="213" t="str">
        <f t="shared" si="1"/>
        <v xml:space="preserve"> </v>
      </c>
      <c r="K51" s="213" t="str">
        <f t="shared" si="2"/>
        <v xml:space="preserve"> </v>
      </c>
      <c r="L51" s="213" t="str">
        <f t="shared" si="3"/>
        <v xml:space="preserve"> </v>
      </c>
      <c r="M51" s="213" t="str">
        <f t="shared" si="4"/>
        <v xml:space="preserve"> </v>
      </c>
      <c r="N51" s="213" t="str">
        <f t="shared" si="5"/>
        <v xml:space="preserve"> </v>
      </c>
      <c r="O51" s="213" t="str">
        <f t="shared" si="6"/>
        <v xml:space="preserve"> </v>
      </c>
      <c r="P51" s="213" t="str">
        <f t="shared" si="7"/>
        <v xml:space="preserve"> </v>
      </c>
      <c r="Q51" s="213" t="str">
        <f t="shared" si="8"/>
        <v xml:space="preserve"> </v>
      </c>
      <c r="R51" s="405" t="str">
        <f>IF($A51="N/A"," ",IF(Pricetype=2,MAX(I51-$H51,0),IF(Pricetype=1,(_xll.xSPRDOPT(I51,$E51,$CI51,0,($CD51+IF(Smile=TRUE,VLOOKUP(MAX(-5,$H51-I51),Volsmile,2),0)),$CG51,$CH51,($A51-DateToday)+15,1,0)),I51-$H51)))</f>
        <v xml:space="preserve"> </v>
      </c>
      <c r="S51" s="405" t="str">
        <f>IF($A51="N/A"," ",IF(Pricetype=2,MAX(J51-$H51,0),IF(Pricetype=1,(_xll.xSPRDOPT(J51,$E51,$CI51,0,($CD51+IF(Smile=TRUE,VLOOKUP(MAX(-5,$H51-J51),Volsmile,2),0)),$CG51,$CH51,($A51-DateToday)+15,1,0)),J51-$H51)))</f>
        <v xml:space="preserve"> </v>
      </c>
      <c r="T51" s="406" t="str">
        <f t="shared" si="9"/>
        <v xml:space="preserve"> </v>
      </c>
      <c r="U51" s="405" t="str">
        <f>IF($A51="N/A"," ",IF(Pricetype=2,MAX(L51-$H51,0),IF(L51&lt;&gt;0,IF(Pricetype=1,(_xll.xSPRDOPT(L51,$E51,$CI51,0,($CD51+IF(Smile=TRUE,VLOOKUP(MAX(-5,$H51-L51),Volsmile,2),0)),$CG51,$CH51,($A51-DateToday)+15,1,0)),L51-$H51),0)))</f>
        <v xml:space="preserve"> </v>
      </c>
      <c r="V51" s="405" t="str">
        <f>IF($A51="N/A"," ",IF(Pricetype=2,MAX(M51-$H51,0),IF(M51&lt;&gt;0,IF(Pricetype=1,(_xll.xSPRDOPT(M51,$E51,$CI51,0,($CD51+IF(Smile=TRUE,VLOOKUP(MAX(-5,$H51-M51),Volsmile,2),0)),$CG51,$CH51,($A51-DateToday)+15,1,0)),M51-$H51),0)))</f>
        <v xml:space="preserve"> </v>
      </c>
      <c r="W51" s="406" t="str">
        <f t="shared" si="10"/>
        <v xml:space="preserve"> </v>
      </c>
      <c r="X51" s="405" t="str">
        <f>IF($A51="N/A"," ",IF(Pricetype=2,MAX(O51-$H51,0),IF(O51&lt;&gt;0,IF(Pricetype=1,(_xll.xSPRDOPT(O51,$E51,$CI51,0,($CD51+IF(Smile=TRUE,VLOOKUP(MAX(-5,$H51-O51),Volsmile,2),0)),$CG51,$CH51,($A51-DateToday)+15,1,0)),O51-$H51),0)))</f>
        <v xml:space="preserve"> </v>
      </c>
      <c r="Y51" s="405" t="str">
        <f>IF($A51="N/A"," ",IF(Pricetype=2,MAX(P51-$H51,0),IF(P51&lt;&gt;0,IF(Pricetype=1,(_xll.xSPRDOPT(P51,$E51,$CI51,0,($CD51+IF(Smile=TRUE,VLOOKUP(MAX(-5,$H51-P51),Volsmile,2),0)),$CG51,$CH51,($A51-DateToday)+15,1,0)),P51-$H51),0)))</f>
        <v xml:space="preserve"> </v>
      </c>
      <c r="Z51" s="406" t="str">
        <f t="shared" si="11"/>
        <v xml:space="preserve"> </v>
      </c>
      <c r="AA51" s="254" t="str">
        <f>IF($A51="N/A"," ",IF(VLOOKUP(MONTH(A51),ManualTable,2)=1,(IF(0&lt;&gt;R51,IF(Pricetype=1,(_xll.xSPRDOPT(I51,$E51,$CI51,0,($CD51+IF(Smile=TRUE,VLOOKUP(MAX(-5,$H51-I51),Volsmile,2),0)),$CG51,$CH51,($A51-DateToday)+15,1,1))*(8*$HD51),8*$HD51),0)),0))</f>
        <v xml:space="preserve"> </v>
      </c>
      <c r="AB51" s="254" t="str">
        <f>IF($A51="N/A"," ",IF(VLOOKUP(MONTH(A51),ManualTable,3)=1,(IF(S51&lt;&gt;0,IF(Pricetype=1,(_xll.xSPRDOPT(J51,$E51,$CI51,0,($CD51+IF(Smile=TRUE,VLOOKUP(MAX(-5,$H51-J51),Volsmile,2),0)),$CG51,$CH51,($A51-DateToday)+15,1,1))*(8*$HD51),8*$HD51),0)),0))</f>
        <v xml:space="preserve"> </v>
      </c>
      <c r="AC51" s="254" t="str">
        <f t="shared" si="66"/>
        <v xml:space="preserve"> </v>
      </c>
      <c r="AD51" s="254" t="str">
        <f>IF($A51="N/A"," ",IF(VLOOKUP(MONTH(A51),ManualTable,5)=1,(IF(U51&lt;&gt;0,IF(Pricetype=1,(_xll.xSPRDOPT(L51,$E51,$CI51,0,($CD51+IF(Smile=TRUE,VLOOKUP(MAX(-5,$H51-L51),Volsmile,2),0)),$CG51,$CH51,($A51-DateToday)+15,1,1))*(8*$HE51),8*$HE51),0)),0))</f>
        <v xml:space="preserve"> </v>
      </c>
      <c r="AE51" s="254" t="str">
        <f>IF($A51="N/A"," ",IF(VLOOKUP(MONTH(A51),ManualTable,6)=1,(IF(V51&lt;&gt;0,IF(Pricetype=1,(_xll.xSPRDOPT(M51,$E51,$CI51,0,($CD51+IF(Smile=TRUE,VLOOKUP(MAX(-5,$H51-M51),Volsmile,2),0)),$CG51,$CH51,($A51-DateToday)+15,1,1))*(8*$HE51),8*$HE51),0)),0))</f>
        <v xml:space="preserve"> </v>
      </c>
      <c r="AF51" s="254" t="str">
        <f t="shared" si="67"/>
        <v xml:space="preserve"> </v>
      </c>
      <c r="AG51" s="254" t="str">
        <f>IF($A51="N/A"," ",IF(VLOOKUP(MONTH(A51),ManualTable,8)=1,(IF(X51&lt;&gt;0,IF(Pricetype=1,(_xll.xSPRDOPT(O51,$E51,$CI51,0,($CD51+IF(Smile=TRUE,VLOOKUP(MAX(-5,$H51-O51),Volsmile,2),0)),$CG51,$CH51,($A51-DateToday)+15,1,1))*(8*$HF51),8*$HF51),0)),0))</f>
        <v xml:space="preserve"> </v>
      </c>
      <c r="AH51" s="254" t="str">
        <f>IF($A51="N/A"," ",IF(VLOOKUP(MONTH(A51),ManualTable,9)=1,(IF(Y51&lt;&gt;0,IF(Pricetype=1,(_xll.xSPRDOPT(P51,$E51,$CI51,0,($CD51+IF(Smile=TRUE,VLOOKUP(MAX(-5,$H51-P51),Volsmile,2),0)),$CG51,$CH51,($A51-DateToday)+15,1,1))*(8*$HF51),8*$HF51),0)),0))</f>
        <v xml:space="preserve"> </v>
      </c>
      <c r="AI51" s="254" t="str">
        <f t="shared" si="68"/>
        <v xml:space="preserve"> </v>
      </c>
      <c r="AJ51" s="230" t="str">
        <f t="shared" si="146"/>
        <v xml:space="preserve"> </v>
      </c>
      <c r="AK51" s="231" t="str">
        <f t="shared" si="147"/>
        <v xml:space="preserve"> </v>
      </c>
      <c r="AL51" s="231" t="str">
        <f t="shared" si="147"/>
        <v xml:space="preserve"> </v>
      </c>
      <c r="AM51" s="231" t="str">
        <f t="shared" si="148"/>
        <v xml:space="preserve"> </v>
      </c>
      <c r="AN51" s="231" t="str">
        <f t="shared" si="149"/>
        <v xml:space="preserve"> </v>
      </c>
      <c r="AO51" s="231" t="str">
        <f t="shared" si="149"/>
        <v xml:space="preserve"> </v>
      </c>
      <c r="AP51" s="231" t="str">
        <f t="shared" si="150"/>
        <v xml:space="preserve"> </v>
      </c>
      <c r="AQ51" s="231" t="str">
        <f t="shared" si="151"/>
        <v xml:space="preserve"> </v>
      </c>
      <c r="AR51" s="232" t="str">
        <f t="shared" si="152"/>
        <v xml:space="preserve"> </v>
      </c>
      <c r="AS51" s="264" t="str">
        <f t="shared" si="102"/>
        <v xml:space="preserve"> </v>
      </c>
      <c r="AT51" s="265" t="str">
        <f t="shared" si="103"/>
        <v xml:space="preserve"> </v>
      </c>
      <c r="AU51" s="265" t="str">
        <f t="shared" si="103"/>
        <v xml:space="preserve"> </v>
      </c>
      <c r="AV51" s="265" t="str">
        <f t="shared" si="104"/>
        <v xml:space="preserve"> </v>
      </c>
      <c r="AW51" s="265" t="str">
        <f t="shared" si="105"/>
        <v xml:space="preserve"> </v>
      </c>
      <c r="AX51" s="265" t="str">
        <f t="shared" si="105"/>
        <v xml:space="preserve"> </v>
      </c>
      <c r="AY51" s="265" t="str">
        <f t="shared" si="106"/>
        <v xml:space="preserve"> </v>
      </c>
      <c r="AZ51" s="265" t="str">
        <f t="shared" si="107"/>
        <v xml:space="preserve"> </v>
      </c>
      <c r="BA51" s="265" t="str">
        <f t="shared" si="108"/>
        <v xml:space="preserve"> </v>
      </c>
      <c r="BB51" s="232">
        <f>IF(($AZ$2-BB50)&gt;=0,$AZ$2-BB50,0)</f>
        <v>980</v>
      </c>
      <c r="BC51" s="270" t="str">
        <f t="shared" si="139"/>
        <v xml:space="preserve"> </v>
      </c>
      <c r="BD51" s="271" t="str">
        <f t="shared" si="140"/>
        <v xml:space="preserve"> </v>
      </c>
      <c r="BE51" s="269" t="str">
        <f t="shared" si="140"/>
        <v xml:space="preserve"> </v>
      </c>
      <c r="BF51" s="271" t="str">
        <f t="shared" si="141"/>
        <v xml:space="preserve"> </v>
      </c>
      <c r="BG51" s="271" t="str">
        <f t="shared" si="142"/>
        <v xml:space="preserve"> </v>
      </c>
      <c r="BH51" s="269" t="str">
        <f t="shared" si="142"/>
        <v xml:space="preserve"> </v>
      </c>
      <c r="BI51" s="271" t="str">
        <f t="shared" si="143"/>
        <v xml:space="preserve"> </v>
      </c>
      <c r="BJ51" s="271" t="str">
        <f t="shared" si="144"/>
        <v xml:space="preserve"> </v>
      </c>
      <c r="BK51" s="271" t="str">
        <f t="shared" si="145"/>
        <v xml:space="preserve"> </v>
      </c>
      <c r="BL51" s="235">
        <f>BB50+BL50</f>
        <v>0</v>
      </c>
      <c r="BM51" s="220" t="str">
        <f>IF($A51="N/A"," ",(IF(MONTH(A51)&gt;=4,IF(MONTH(A51)&lt;=10,Inputs!$F$13-Inputs!$G$13,Inputs!$F$14-Inputs!$G$14),Inputs!$F$14-Inputs!$G$14))*$CK51*Availability)</f>
        <v xml:space="preserve"> </v>
      </c>
      <c r="BN51" s="221" t="str">
        <f t="shared" si="79"/>
        <v xml:space="preserve"> </v>
      </c>
      <c r="BO51" s="221" t="str">
        <f t="shared" si="80"/>
        <v xml:space="preserve"> </v>
      </c>
      <c r="BP51" s="221" t="str">
        <f t="shared" si="81"/>
        <v xml:space="preserve"> </v>
      </c>
      <c r="BQ51" s="221" t="str">
        <f t="shared" si="82"/>
        <v xml:space="preserve"> </v>
      </c>
      <c r="BR51" s="221" t="str">
        <f t="shared" si="83"/>
        <v xml:space="preserve"> </v>
      </c>
      <c r="BS51" s="221" t="str">
        <f t="shared" si="84"/>
        <v xml:space="preserve"> </v>
      </c>
      <c r="BT51" s="221" t="str">
        <f t="shared" si="85"/>
        <v xml:space="preserve"> </v>
      </c>
      <c r="BU51" s="221" t="str">
        <f t="shared" si="86"/>
        <v xml:space="preserve"> </v>
      </c>
      <c r="BV51" s="221" t="str">
        <f t="shared" si="87"/>
        <v xml:space="preserve"> </v>
      </c>
      <c r="BW51" s="221" t="str">
        <f t="shared" si="88"/>
        <v xml:space="preserve"> </v>
      </c>
      <c r="BX51" s="421" t="str">
        <f t="shared" si="89"/>
        <v xml:space="preserve"> </v>
      </c>
      <c r="BY51" s="417" t="str">
        <f t="shared" si="90"/>
        <v xml:space="preserve"> </v>
      </c>
      <c r="BZ51" s="417" t="str">
        <f t="shared" si="91"/>
        <v xml:space="preserve"> </v>
      </c>
      <c r="CA51" s="422" t="str">
        <f t="shared" si="92"/>
        <v xml:space="preserve"> </v>
      </c>
      <c r="CB51" s="347" t="str">
        <f t="shared" si="25"/>
        <v xml:space="preserve"> </v>
      </c>
      <c r="CC51" s="347" t="str">
        <f t="shared" si="93"/>
        <v xml:space="preserve"> </v>
      </c>
      <c r="CD51" s="348" t="str">
        <f t="shared" si="26"/>
        <v xml:space="preserve"> </v>
      </c>
      <c r="CE51" s="347" t="str">
        <f t="shared" si="27"/>
        <v xml:space="preserve"> </v>
      </c>
      <c r="CF51" s="347" t="str">
        <f t="shared" si="28"/>
        <v xml:space="preserve"> </v>
      </c>
      <c r="CG51" s="348" t="str">
        <f t="shared" si="29"/>
        <v xml:space="preserve"> </v>
      </c>
      <c r="CH51" s="347" t="str">
        <f t="shared" si="94"/>
        <v xml:space="preserve"> </v>
      </c>
      <c r="CI51" s="349" t="str">
        <f>IF($A51="N/A"," ",F51+G51+(D51*('Pricing Inputs'!T84)))</f>
        <v xml:space="preserve"> </v>
      </c>
      <c r="CJ51" s="347" t="str">
        <f>IF($A51="N/A"," ",IF(PV=1,0,'Pricing Inputs'!U84))</f>
        <v xml:space="preserve"> </v>
      </c>
      <c r="CK51" s="350" t="str">
        <f t="shared" si="30"/>
        <v xml:space="preserve"> </v>
      </c>
      <c r="CL51" s="365" t="str">
        <f t="shared" si="31"/>
        <v xml:space="preserve"> </v>
      </c>
      <c r="CM51" s="380" t="str">
        <f t="shared" si="95"/>
        <v xml:space="preserve"> </v>
      </c>
      <c r="CN51" s="378" t="str">
        <f t="shared" si="32"/>
        <v xml:space="preserve"> </v>
      </c>
      <c r="CO51" s="378" t="str">
        <f t="shared" si="33"/>
        <v xml:space="preserve"> </v>
      </c>
      <c r="CP51" s="378" t="str">
        <f t="shared" si="34"/>
        <v xml:space="preserve"> </v>
      </c>
      <c r="CQ51" s="378" t="str">
        <f t="shared" si="35"/>
        <v xml:space="preserve"> </v>
      </c>
      <c r="CR51" s="378" t="str">
        <f t="shared" si="36"/>
        <v xml:space="preserve"> </v>
      </c>
      <c r="CS51" s="378" t="str">
        <f t="shared" si="37"/>
        <v xml:space="preserve"> </v>
      </c>
      <c r="CT51" s="378" t="str">
        <f t="shared" si="38"/>
        <v xml:space="preserve"> </v>
      </c>
      <c r="CU51" s="378" t="str">
        <f t="shared" si="39"/>
        <v xml:space="preserve"> </v>
      </c>
      <c r="CV51" s="378" t="str">
        <f t="shared" si="40"/>
        <v xml:space="preserve"> </v>
      </c>
      <c r="CW51" s="254" t="str">
        <f t="shared" si="41"/>
        <v xml:space="preserve"> </v>
      </c>
      <c r="CX51" s="254" t="str">
        <f t="shared" si="42"/>
        <v xml:space="preserve"> </v>
      </c>
      <c r="CY51" s="254" t="str">
        <f t="shared" si="43"/>
        <v xml:space="preserve"> </v>
      </c>
      <c r="CZ51" s="254" t="str">
        <f t="shared" si="44"/>
        <v xml:space="preserve"> </v>
      </c>
      <c r="DA51" s="254" t="str">
        <f t="shared" si="45"/>
        <v xml:space="preserve"> </v>
      </c>
      <c r="DB51" s="254" t="str">
        <f t="shared" si="46"/>
        <v xml:space="preserve"> </v>
      </c>
      <c r="DC51" s="254" t="str">
        <f t="shared" si="47"/>
        <v xml:space="preserve"> </v>
      </c>
      <c r="DD51" s="254" t="str">
        <f t="shared" si="48"/>
        <v xml:space="preserve"> </v>
      </c>
      <c r="DE51" s="254" t="str">
        <f t="shared" si="49"/>
        <v xml:space="preserve"> </v>
      </c>
      <c r="DF51" s="374" t="str">
        <f>IF($A51="N/A"," ",IF(CC=2,(IF(MONTH(A51)&gt;=4,IF(MONTH(A51)&lt;=10,Inputs!$G$13,Inputs!$G$14),Inputs!$G$14))*$CK51,0))</f>
        <v xml:space="preserve"> </v>
      </c>
      <c r="DG51" s="373" t="str">
        <f t="shared" si="50"/>
        <v xml:space="preserve"> </v>
      </c>
      <c r="DH51" s="373" t="str">
        <f t="shared" si="51"/>
        <v xml:space="preserve"> </v>
      </c>
      <c r="DI51" s="373" t="str">
        <f t="shared" si="52"/>
        <v xml:space="preserve"> </v>
      </c>
      <c r="DJ51" s="373" t="str">
        <f t="shared" si="53"/>
        <v xml:space="preserve"> </v>
      </c>
      <c r="DK51" s="373" t="str">
        <f t="shared" si="54"/>
        <v xml:space="preserve"> </v>
      </c>
      <c r="DL51" s="373" t="str">
        <f t="shared" si="55"/>
        <v xml:space="preserve"> </v>
      </c>
      <c r="DM51" s="373" t="str">
        <f t="shared" si="56"/>
        <v xml:space="preserve"> </v>
      </c>
      <c r="DN51" s="373" t="str">
        <f t="shared" si="57"/>
        <v xml:space="preserve"> </v>
      </c>
      <c r="DO51" s="373" t="str">
        <f t="shared" si="58"/>
        <v xml:space="preserve"> </v>
      </c>
      <c r="DP51" s="375" t="str">
        <f t="shared" si="59"/>
        <v xml:space="preserve"> </v>
      </c>
      <c r="DQ51" t="str">
        <f t="shared" si="96"/>
        <v xml:space="preserve"> </v>
      </c>
      <c r="HD51" t="str">
        <f t="shared" si="97"/>
        <v xml:space="preserve"> </v>
      </c>
      <c r="HE51" t="str">
        <f t="shared" si="98"/>
        <v xml:space="preserve"> </v>
      </c>
      <c r="HF51" t="str">
        <f t="shared" si="99"/>
        <v xml:space="preserve"> </v>
      </c>
    </row>
    <row r="52" spans="1:214">
      <c r="A52" s="415" t="str">
        <f>IF(A51="N/A","N/A",IF(EDATE(A51,1)&gt;Inputs!$K$3,"N/A",EDATE(A51,1)))</f>
        <v>N/A</v>
      </c>
      <c r="B52" s="410" t="str">
        <f t="shared" si="60"/>
        <v xml:space="preserve"> </v>
      </c>
      <c r="C52" s="411" t="str">
        <f t="shared" si="61"/>
        <v xml:space="preserve"> </v>
      </c>
      <c r="D52" s="412" t="str">
        <f t="shared" si="62"/>
        <v xml:space="preserve"> </v>
      </c>
      <c r="E52" s="413" t="str">
        <f>IF($A52="N/A"," ",(C52-'Pricing Inputs'!T85)*D52)</f>
        <v xml:space="preserve"> </v>
      </c>
      <c r="F52" s="414" t="str">
        <f t="shared" si="116"/>
        <v xml:space="preserve"> </v>
      </c>
      <c r="G52" s="414" t="str">
        <f t="shared" si="64"/>
        <v xml:space="preserve"> </v>
      </c>
      <c r="H52" s="416" t="str">
        <f t="shared" si="65"/>
        <v xml:space="preserve"> </v>
      </c>
      <c r="I52" s="213" t="str">
        <f t="shared" si="0"/>
        <v xml:space="preserve"> </v>
      </c>
      <c r="J52" s="213" t="str">
        <f t="shared" si="1"/>
        <v xml:space="preserve"> </v>
      </c>
      <c r="K52" s="213" t="str">
        <f t="shared" si="2"/>
        <v xml:space="preserve"> </v>
      </c>
      <c r="L52" s="213" t="str">
        <f t="shared" si="3"/>
        <v xml:space="preserve"> </v>
      </c>
      <c r="M52" s="213" t="str">
        <f t="shared" si="4"/>
        <v xml:space="preserve"> </v>
      </c>
      <c r="N52" s="213" t="str">
        <f t="shared" si="5"/>
        <v xml:space="preserve"> </v>
      </c>
      <c r="O52" s="213" t="str">
        <f t="shared" si="6"/>
        <v xml:space="preserve"> </v>
      </c>
      <c r="P52" s="213" t="str">
        <f t="shared" si="7"/>
        <v xml:space="preserve"> </v>
      </c>
      <c r="Q52" s="213" t="str">
        <f t="shared" si="8"/>
        <v xml:space="preserve"> </v>
      </c>
      <c r="R52" s="405" t="str">
        <f>IF($A52="N/A"," ",IF(Pricetype=2,MAX(I52-$H52,0),IF(Pricetype=1,(_xll.xSPRDOPT(I52,$E52,$CI52,0,($CD52+IF(Smile=TRUE,VLOOKUP(MAX(-5,$H52-I52),Volsmile,2),0)),$CG52,$CH52,($A52-DateToday)+15,1,0)),I52-$H52)))</f>
        <v xml:space="preserve"> </v>
      </c>
      <c r="S52" s="405" t="str">
        <f>IF($A52="N/A"," ",IF(Pricetype=2,MAX(J52-$H52,0),IF(Pricetype=1,(_xll.xSPRDOPT(J52,$E52,$CI52,0,($CD52+IF(Smile=TRUE,VLOOKUP(MAX(-5,$H52-J52),Volsmile,2),0)),$CG52,$CH52,($A52-DateToday)+15,1,0)),J52-$H52)))</f>
        <v xml:space="preserve"> </v>
      </c>
      <c r="T52" s="406" t="str">
        <f t="shared" si="9"/>
        <v xml:space="preserve"> </v>
      </c>
      <c r="U52" s="405" t="str">
        <f>IF($A52="N/A"," ",IF(Pricetype=2,MAX(L52-$H52,0),IF(L52&lt;&gt;0,IF(Pricetype=1,(_xll.xSPRDOPT(L52,$E52,$CI52,0,($CD52+IF(Smile=TRUE,VLOOKUP(MAX(-5,$H52-L52),Volsmile,2),0)),$CG52,$CH52,($A52-DateToday)+15,1,0)),L52-$H52),0)))</f>
        <v xml:space="preserve"> </v>
      </c>
      <c r="V52" s="405" t="str">
        <f>IF($A52="N/A"," ",IF(Pricetype=2,MAX(M52-$H52,0),IF(M52&lt;&gt;0,IF(Pricetype=1,(_xll.xSPRDOPT(M52,$E52,$CI52,0,($CD52+IF(Smile=TRUE,VLOOKUP(MAX(-5,$H52-M52),Volsmile,2),0)),$CG52,$CH52,($A52-DateToday)+15,1,0)),M52-$H52),0)))</f>
        <v xml:space="preserve"> </v>
      </c>
      <c r="W52" s="406" t="str">
        <f t="shared" si="10"/>
        <v xml:space="preserve"> </v>
      </c>
      <c r="X52" s="405" t="str">
        <f>IF($A52="N/A"," ",IF(Pricetype=2,MAX(O52-$H52,0),IF(O52&lt;&gt;0,IF(Pricetype=1,(_xll.xSPRDOPT(O52,$E52,$CI52,0,($CD52+IF(Smile=TRUE,VLOOKUP(MAX(-5,$H52-O52),Volsmile,2),0)),$CG52,$CH52,($A52-DateToday)+15,1,0)),O52-$H52),0)))</f>
        <v xml:space="preserve"> </v>
      </c>
      <c r="Y52" s="405" t="str">
        <f>IF($A52="N/A"," ",IF(Pricetype=2,MAX(P52-$H52,0),IF(P52&lt;&gt;0,IF(Pricetype=1,(_xll.xSPRDOPT(P52,$E52,$CI52,0,($CD52+IF(Smile=TRUE,VLOOKUP(MAX(-5,$H52-P52),Volsmile,2),0)),$CG52,$CH52,($A52-DateToday)+15,1,0)),P52-$H52),0)))</f>
        <v xml:space="preserve"> </v>
      </c>
      <c r="Z52" s="406" t="str">
        <f t="shared" si="11"/>
        <v xml:space="preserve"> </v>
      </c>
      <c r="AA52" s="254" t="str">
        <f>IF($A52="N/A"," ",IF(VLOOKUP(MONTH(A52),ManualTable,2)=1,(IF(0&lt;&gt;R52,IF(Pricetype=1,(_xll.xSPRDOPT(I52,$E52,$CI52,0,($CD52+IF(Smile=TRUE,VLOOKUP(MAX(-5,$H52-I52),Volsmile,2),0)),$CG52,$CH52,($A52-DateToday)+15,1,1))*(8*$HD52),8*$HD52),0)),0))</f>
        <v xml:space="preserve"> </v>
      </c>
      <c r="AB52" s="254" t="str">
        <f>IF($A52="N/A"," ",IF(VLOOKUP(MONTH(A52),ManualTable,3)=1,(IF(S52&lt;&gt;0,IF(Pricetype=1,(_xll.xSPRDOPT(J52,$E52,$CI52,0,($CD52+IF(Smile=TRUE,VLOOKUP(MAX(-5,$H52-J52),Volsmile,2),0)),$CG52,$CH52,($A52-DateToday)+15,1,1))*(8*$HD52),8*$HD52),0)),0))</f>
        <v xml:space="preserve"> </v>
      </c>
      <c r="AC52" s="254" t="str">
        <f t="shared" si="66"/>
        <v xml:space="preserve"> </v>
      </c>
      <c r="AD52" s="254" t="str">
        <f>IF($A52="N/A"," ",IF(VLOOKUP(MONTH(A52),ManualTable,5)=1,(IF(U52&lt;&gt;0,IF(Pricetype=1,(_xll.xSPRDOPT(L52,$E52,$CI52,0,($CD52+IF(Smile=TRUE,VLOOKUP(MAX(-5,$H52-L52),Volsmile,2),0)),$CG52,$CH52,($A52-DateToday)+15,1,1))*(8*$HE52),8*$HE52),0)),0))</f>
        <v xml:space="preserve"> </v>
      </c>
      <c r="AE52" s="254" t="str">
        <f>IF($A52="N/A"," ",IF(VLOOKUP(MONTH(A52),ManualTable,6)=1,(IF(V52&lt;&gt;0,IF(Pricetype=1,(_xll.xSPRDOPT(M52,$E52,$CI52,0,($CD52+IF(Smile=TRUE,VLOOKUP(MAX(-5,$H52-M52),Volsmile,2),0)),$CG52,$CH52,($A52-DateToday)+15,1,1))*(8*$HE52),8*$HE52),0)),0))</f>
        <v xml:space="preserve"> </v>
      </c>
      <c r="AF52" s="254" t="str">
        <f t="shared" si="67"/>
        <v xml:space="preserve"> </v>
      </c>
      <c r="AG52" s="254" t="str">
        <f>IF($A52="N/A"," ",IF(VLOOKUP(MONTH(A52),ManualTable,8)=1,(IF(X52&lt;&gt;0,IF(Pricetype=1,(_xll.xSPRDOPT(O52,$E52,$CI52,0,($CD52+IF(Smile=TRUE,VLOOKUP(MAX(-5,$H52-O52),Volsmile,2),0)),$CG52,$CH52,($A52-DateToday)+15,1,1))*(8*$HF52),8*$HF52),0)),0))</f>
        <v xml:space="preserve"> </v>
      </c>
      <c r="AH52" s="254" t="str">
        <f>IF($A52="N/A"," ",IF(VLOOKUP(MONTH(A52),ManualTable,9)=1,(IF(Y52&lt;&gt;0,IF(Pricetype=1,(_xll.xSPRDOPT(P52,$E52,$CI52,0,($CD52+IF(Smile=TRUE,VLOOKUP(MAX(-5,$H52-P52),Volsmile,2),0)),$CG52,$CH52,($A52-DateToday)+15,1,1))*(8*$HF52),8*$HF52),0)),0))</f>
        <v xml:space="preserve"> </v>
      </c>
      <c r="AI52" s="254" t="str">
        <f t="shared" si="68"/>
        <v xml:space="preserve"> </v>
      </c>
      <c r="AJ52" s="224" t="str">
        <f t="shared" ref="AJ52:AR52" si="153">IF($A52="N/A"," ",RANK(R52,$R$52:$Z$63))</f>
        <v xml:space="preserve"> </v>
      </c>
      <c r="AK52" s="225" t="str">
        <f t="shared" si="153"/>
        <v xml:space="preserve"> </v>
      </c>
      <c r="AL52" s="225" t="str">
        <f t="shared" si="153"/>
        <v xml:space="preserve"> </v>
      </c>
      <c r="AM52" s="225" t="str">
        <f t="shared" si="153"/>
        <v xml:space="preserve"> </v>
      </c>
      <c r="AN52" s="225" t="str">
        <f t="shared" si="153"/>
        <v xml:space="preserve"> </v>
      </c>
      <c r="AO52" s="225" t="str">
        <f t="shared" si="153"/>
        <v xml:space="preserve"> </v>
      </c>
      <c r="AP52" s="225" t="str">
        <f t="shared" si="153"/>
        <v xml:space="preserve"> </v>
      </c>
      <c r="AQ52" s="225" t="str">
        <f t="shared" si="153"/>
        <v xml:space="preserve"> </v>
      </c>
      <c r="AR52" s="226" t="str">
        <f t="shared" si="153"/>
        <v xml:space="preserve"> </v>
      </c>
      <c r="AS52" s="260" t="str">
        <f t="shared" si="102"/>
        <v xml:space="preserve"> </v>
      </c>
      <c r="AT52" s="261" t="str">
        <f t="shared" si="103"/>
        <v xml:space="preserve"> </v>
      </c>
      <c r="AU52" s="263" t="str">
        <f t="shared" si="103"/>
        <v xml:space="preserve"> </v>
      </c>
      <c r="AV52" s="263" t="str">
        <f t="shared" si="104"/>
        <v xml:space="preserve"> </v>
      </c>
      <c r="AW52" s="263" t="str">
        <f t="shared" si="105"/>
        <v xml:space="preserve"> </v>
      </c>
      <c r="AX52" s="263" t="str">
        <f t="shared" si="105"/>
        <v xml:space="preserve"> </v>
      </c>
      <c r="AY52" s="261" t="str">
        <f t="shared" si="106"/>
        <v xml:space="preserve"> </v>
      </c>
      <c r="AZ52" s="261" t="str">
        <f t="shared" si="107"/>
        <v xml:space="preserve"> </v>
      </c>
      <c r="BA52" s="261" t="str">
        <f t="shared" si="108"/>
        <v xml:space="preserve"> </v>
      </c>
      <c r="BB52" s="226"/>
      <c r="BC52" s="272" t="str">
        <f t="shared" ref="BC52:BC63" si="154">IF($A52="N/A"," ",IF(AND(AJ52=$AR$2+1,AS52=0),MIN($BB$63,AA52),0))</f>
        <v xml:space="preserve"> </v>
      </c>
      <c r="BD52" s="267" t="str">
        <f t="shared" ref="BD52:BE63" si="155">IF($A52="N/A"," ",IF(AND(AK52=$AR$2+1,AT52=0),MIN($BB$63,AB52),0))</f>
        <v xml:space="preserve"> </v>
      </c>
      <c r="BE52" s="267" t="str">
        <f t="shared" si="155"/>
        <v xml:space="preserve"> </v>
      </c>
      <c r="BF52" s="267" t="str">
        <f t="shared" ref="BF52:BF63" si="156">IF($A52="N/A"," ",IF(AND(AM52=$AR$2+1,AV52=0),MIN($BB$63,AD52),0))</f>
        <v xml:space="preserve"> </v>
      </c>
      <c r="BG52" s="267" t="str">
        <f t="shared" ref="BG52:BH63" si="157">IF($A52="N/A"," ",IF(AND(AN52=$AR$2+1,AW52=0),MIN($BB$63,AE52),0))</f>
        <v xml:space="preserve"> </v>
      </c>
      <c r="BH52" s="267" t="str">
        <f t="shared" si="157"/>
        <v xml:space="preserve"> </v>
      </c>
      <c r="BI52" s="267" t="str">
        <f t="shared" ref="BI52:BI63" si="158">IF($A52="N/A"," ",IF(AND(AP52=$AR$2+1,AY52=0),MIN($BB$63,AG52),0))</f>
        <v xml:space="preserve"> </v>
      </c>
      <c r="BJ52" s="267" t="str">
        <f t="shared" ref="BJ52:BJ63" si="159">IF($A52="N/A"," ",IF(AND(AQ52=$AR$2+1,AZ52=0),MIN($BB$63,AH52),0))</f>
        <v xml:space="preserve"> </v>
      </c>
      <c r="BK52" s="267" t="str">
        <f t="shared" ref="BK52:BK63" si="160">IF($A52="N/A"," ",IF(AND(AR52=$AR$2+1,BA52=0),MIN($BB$63,AI52),0))</f>
        <v xml:space="preserve"> </v>
      </c>
      <c r="BL52" s="226"/>
      <c r="BM52" s="220" t="str">
        <f>IF($A52="N/A"," ",(IF(MONTH(A52)&gt;=4,IF(MONTH(A52)&lt;=10,Inputs!$F$13-Inputs!$G$13,Inputs!$F$14-Inputs!$G$14),Inputs!$F$14-Inputs!$G$14))*$CK52*Availability)</f>
        <v xml:space="preserve"> </v>
      </c>
      <c r="BN52" s="221" t="str">
        <f t="shared" si="79"/>
        <v xml:space="preserve"> </v>
      </c>
      <c r="BO52" s="221" t="str">
        <f t="shared" si="80"/>
        <v xml:space="preserve"> </v>
      </c>
      <c r="BP52" s="221" t="str">
        <f t="shared" si="81"/>
        <v xml:space="preserve"> </v>
      </c>
      <c r="BQ52" s="221" t="str">
        <f t="shared" si="82"/>
        <v xml:space="preserve"> </v>
      </c>
      <c r="BR52" s="221" t="str">
        <f t="shared" si="83"/>
        <v xml:space="preserve"> </v>
      </c>
      <c r="BS52" s="221" t="str">
        <f t="shared" si="84"/>
        <v xml:space="preserve"> </v>
      </c>
      <c r="BT52" s="221" t="str">
        <f t="shared" si="85"/>
        <v xml:space="preserve"> </v>
      </c>
      <c r="BU52" s="221" t="str">
        <f t="shared" si="86"/>
        <v xml:space="preserve"> </v>
      </c>
      <c r="BV52" s="221" t="str">
        <f t="shared" si="87"/>
        <v xml:space="preserve"> </v>
      </c>
      <c r="BW52" s="221" t="str">
        <f t="shared" si="88"/>
        <v xml:space="preserve"> </v>
      </c>
      <c r="BX52" s="421" t="str">
        <f t="shared" si="89"/>
        <v xml:space="preserve"> </v>
      </c>
      <c r="BY52" s="417" t="str">
        <f t="shared" si="90"/>
        <v xml:space="preserve"> </v>
      </c>
      <c r="BZ52" s="417" t="str">
        <f t="shared" si="91"/>
        <v xml:space="preserve"> </v>
      </c>
      <c r="CA52" s="422" t="str">
        <f t="shared" si="92"/>
        <v xml:space="preserve"> </v>
      </c>
      <c r="CB52" s="347" t="str">
        <f t="shared" si="25"/>
        <v xml:space="preserve"> </v>
      </c>
      <c r="CC52" s="347" t="str">
        <f t="shared" si="93"/>
        <v xml:space="preserve"> </v>
      </c>
      <c r="CD52" s="348" t="str">
        <f t="shared" si="26"/>
        <v xml:space="preserve"> </v>
      </c>
      <c r="CE52" s="347" t="str">
        <f t="shared" si="27"/>
        <v xml:space="preserve"> </v>
      </c>
      <c r="CF52" s="347" t="str">
        <f t="shared" si="28"/>
        <v xml:space="preserve"> </v>
      </c>
      <c r="CG52" s="348" t="str">
        <f t="shared" si="29"/>
        <v xml:space="preserve"> </v>
      </c>
      <c r="CH52" s="347" t="str">
        <f t="shared" si="94"/>
        <v xml:space="preserve"> </v>
      </c>
      <c r="CI52" s="349" t="str">
        <f>IF($A52="N/A"," ",F52+G52+(D52*('Pricing Inputs'!T85)))</f>
        <v xml:space="preserve"> </v>
      </c>
      <c r="CJ52" s="347" t="str">
        <f>IF($A52="N/A"," ",IF(PV=1,0,'Pricing Inputs'!U85))</f>
        <v xml:space="preserve"> </v>
      </c>
      <c r="CK52" s="350" t="str">
        <f t="shared" si="30"/>
        <v xml:space="preserve"> </v>
      </c>
      <c r="CL52" s="365" t="str">
        <f t="shared" si="31"/>
        <v xml:space="preserve"> </v>
      </c>
      <c r="CM52" s="380" t="str">
        <f t="shared" si="95"/>
        <v xml:space="preserve"> </v>
      </c>
      <c r="CN52" s="378" t="str">
        <f t="shared" si="32"/>
        <v xml:space="preserve"> </v>
      </c>
      <c r="CO52" s="378" t="str">
        <f t="shared" si="33"/>
        <v xml:space="preserve"> </v>
      </c>
      <c r="CP52" s="378" t="str">
        <f t="shared" si="34"/>
        <v xml:space="preserve"> </v>
      </c>
      <c r="CQ52" s="378" t="str">
        <f t="shared" si="35"/>
        <v xml:space="preserve"> </v>
      </c>
      <c r="CR52" s="378" t="str">
        <f t="shared" si="36"/>
        <v xml:space="preserve"> </v>
      </c>
      <c r="CS52" s="378" t="str">
        <f t="shared" si="37"/>
        <v xml:space="preserve"> </v>
      </c>
      <c r="CT52" s="378" t="str">
        <f t="shared" si="38"/>
        <v xml:space="preserve"> </v>
      </c>
      <c r="CU52" s="378" t="str">
        <f t="shared" si="39"/>
        <v xml:space="preserve"> </v>
      </c>
      <c r="CV52" s="378" t="str">
        <f t="shared" si="40"/>
        <v xml:space="preserve"> </v>
      </c>
      <c r="CW52" s="254" t="str">
        <f t="shared" si="41"/>
        <v xml:space="preserve"> </v>
      </c>
      <c r="CX52" s="254" t="str">
        <f t="shared" si="42"/>
        <v xml:space="preserve"> </v>
      </c>
      <c r="CY52" s="254" t="str">
        <f t="shared" si="43"/>
        <v xml:space="preserve"> </v>
      </c>
      <c r="CZ52" s="254" t="str">
        <f t="shared" si="44"/>
        <v xml:space="preserve"> </v>
      </c>
      <c r="DA52" s="254" t="str">
        <f t="shared" si="45"/>
        <v xml:space="preserve"> </v>
      </c>
      <c r="DB52" s="254" t="str">
        <f t="shared" si="46"/>
        <v xml:space="preserve"> </v>
      </c>
      <c r="DC52" s="254" t="str">
        <f t="shared" si="47"/>
        <v xml:space="preserve"> </v>
      </c>
      <c r="DD52" s="254" t="str">
        <f t="shared" si="48"/>
        <v xml:space="preserve"> </v>
      </c>
      <c r="DE52" s="254" t="str">
        <f t="shared" si="49"/>
        <v xml:space="preserve"> </v>
      </c>
      <c r="DF52" s="374" t="str">
        <f>IF($A52="N/A"," ",IF(CC=2,(IF(MONTH(A52)&gt;=4,IF(MONTH(A52)&lt;=10,Inputs!$G$13,Inputs!$G$14),Inputs!$G$14))*$CK52,0))</f>
        <v xml:space="preserve"> </v>
      </c>
      <c r="DG52" s="373" t="str">
        <f t="shared" si="50"/>
        <v xml:space="preserve"> </v>
      </c>
      <c r="DH52" s="373" t="str">
        <f t="shared" si="51"/>
        <v xml:space="preserve"> </v>
      </c>
      <c r="DI52" s="373" t="str">
        <f t="shared" si="52"/>
        <v xml:space="preserve"> </v>
      </c>
      <c r="DJ52" s="373" t="str">
        <f t="shared" si="53"/>
        <v xml:space="preserve"> </v>
      </c>
      <c r="DK52" s="373" t="str">
        <f t="shared" si="54"/>
        <v xml:space="preserve"> </v>
      </c>
      <c r="DL52" s="373" t="str">
        <f t="shared" si="55"/>
        <v xml:space="preserve"> </v>
      </c>
      <c r="DM52" s="373" t="str">
        <f t="shared" si="56"/>
        <v xml:space="preserve"> </v>
      </c>
      <c r="DN52" s="373" t="str">
        <f t="shared" si="57"/>
        <v xml:space="preserve"> </v>
      </c>
      <c r="DO52" s="373" t="str">
        <f t="shared" si="58"/>
        <v xml:space="preserve"> </v>
      </c>
      <c r="DP52" s="375" t="str">
        <f t="shared" si="59"/>
        <v xml:space="preserve"> </v>
      </c>
      <c r="DQ52" t="str">
        <f t="shared" si="96"/>
        <v xml:space="preserve"> </v>
      </c>
      <c r="HD52" t="str">
        <f t="shared" si="97"/>
        <v xml:space="preserve"> </v>
      </c>
      <c r="HE52" t="str">
        <f t="shared" si="98"/>
        <v xml:space="preserve"> </v>
      </c>
      <c r="HF52" t="str">
        <f t="shared" si="99"/>
        <v xml:space="preserve"> </v>
      </c>
    </row>
    <row r="53" spans="1:214">
      <c r="A53" s="415" t="str">
        <f>IF(A52="N/A","N/A",IF(EDATE(A52,1)&gt;Inputs!$K$3,"N/A",EDATE(A52,1)))</f>
        <v>N/A</v>
      </c>
      <c r="B53" s="410" t="str">
        <f t="shared" si="60"/>
        <v xml:space="preserve"> </v>
      </c>
      <c r="C53" s="411" t="str">
        <f t="shared" si="61"/>
        <v xml:space="preserve"> </v>
      </c>
      <c r="D53" s="412" t="str">
        <f t="shared" si="62"/>
        <v xml:space="preserve"> </v>
      </c>
      <c r="E53" s="413" t="str">
        <f>IF($A53="N/A"," ",(C53-'Pricing Inputs'!T86)*D53)</f>
        <v xml:space="preserve"> </v>
      </c>
      <c r="F53" s="414" t="str">
        <f t="shared" si="116"/>
        <v xml:space="preserve"> </v>
      </c>
      <c r="G53" s="414" t="str">
        <f t="shared" si="64"/>
        <v xml:space="preserve"> </v>
      </c>
      <c r="H53" s="416" t="str">
        <f t="shared" si="65"/>
        <v xml:space="preserve"> </v>
      </c>
      <c r="I53" s="213" t="str">
        <f t="shared" si="0"/>
        <v xml:space="preserve"> </v>
      </c>
      <c r="J53" s="213" t="str">
        <f t="shared" si="1"/>
        <v xml:space="preserve"> </v>
      </c>
      <c r="K53" s="213" t="str">
        <f t="shared" si="2"/>
        <v xml:space="preserve"> </v>
      </c>
      <c r="L53" s="213" t="str">
        <f t="shared" si="3"/>
        <v xml:space="preserve"> </v>
      </c>
      <c r="M53" s="213" t="str">
        <f t="shared" si="4"/>
        <v xml:space="preserve"> </v>
      </c>
      <c r="N53" s="213" t="str">
        <f t="shared" si="5"/>
        <v xml:space="preserve"> </v>
      </c>
      <c r="O53" s="213" t="str">
        <f t="shared" si="6"/>
        <v xml:space="preserve"> </v>
      </c>
      <c r="P53" s="213" t="str">
        <f t="shared" si="7"/>
        <v xml:space="preserve"> </v>
      </c>
      <c r="Q53" s="213" t="str">
        <f t="shared" si="8"/>
        <v xml:space="preserve"> </v>
      </c>
      <c r="R53" s="405" t="str">
        <f>IF($A53="N/A"," ",IF(Pricetype=2,MAX(I53-$H53,0),IF(Pricetype=1,(_xll.xSPRDOPT(I53,$E53,$CI53,0,($CD53+IF(Smile=TRUE,VLOOKUP(MAX(-5,$H53-I53),Volsmile,2),0)),$CG53,$CH53,($A53-DateToday)+15,1,0)),I53-$H53)))</f>
        <v xml:space="preserve"> </v>
      </c>
      <c r="S53" s="405" t="str">
        <f>IF($A53="N/A"," ",IF(Pricetype=2,MAX(J53-$H53,0),IF(Pricetype=1,(_xll.xSPRDOPT(J53,$E53,$CI53,0,($CD53+IF(Smile=TRUE,VLOOKUP(MAX(-5,$H53-J53),Volsmile,2),0)),$CG53,$CH53,($A53-DateToday)+15,1,0)),J53-$H53)))</f>
        <v xml:space="preserve"> </v>
      </c>
      <c r="T53" s="406" t="str">
        <f t="shared" si="9"/>
        <v xml:space="preserve"> </v>
      </c>
      <c r="U53" s="405" t="str">
        <f>IF($A53="N/A"," ",IF(Pricetype=2,MAX(L53-$H53,0),IF(L53&lt;&gt;0,IF(Pricetype=1,(_xll.xSPRDOPT(L53,$E53,$CI53,0,($CD53+IF(Smile=TRUE,VLOOKUP(MAX(-5,$H53-L53),Volsmile,2),0)),$CG53,$CH53,($A53-DateToday)+15,1,0)),L53-$H53),0)))</f>
        <v xml:space="preserve"> </v>
      </c>
      <c r="V53" s="405" t="str">
        <f>IF($A53="N/A"," ",IF(Pricetype=2,MAX(M53-$H53,0),IF(M53&lt;&gt;0,IF(Pricetype=1,(_xll.xSPRDOPT(M53,$E53,$CI53,0,($CD53+IF(Smile=TRUE,VLOOKUP(MAX(-5,$H53-M53),Volsmile,2),0)),$CG53,$CH53,($A53-DateToday)+15,1,0)),M53-$H53),0)))</f>
        <v xml:space="preserve"> </v>
      </c>
      <c r="W53" s="406" t="str">
        <f t="shared" si="10"/>
        <v xml:space="preserve"> </v>
      </c>
      <c r="X53" s="405" t="str">
        <f>IF($A53="N/A"," ",IF(Pricetype=2,MAX(O53-$H53,0),IF(O53&lt;&gt;0,IF(Pricetype=1,(_xll.xSPRDOPT(O53,$E53,$CI53,0,($CD53+IF(Smile=TRUE,VLOOKUP(MAX(-5,$H53-O53),Volsmile,2),0)),$CG53,$CH53,($A53-DateToday)+15,1,0)),O53-$H53),0)))</f>
        <v xml:space="preserve"> </v>
      </c>
      <c r="Y53" s="405" t="str">
        <f>IF($A53="N/A"," ",IF(Pricetype=2,MAX(P53-$H53,0),IF(P53&lt;&gt;0,IF(Pricetype=1,(_xll.xSPRDOPT(P53,$E53,$CI53,0,($CD53+IF(Smile=TRUE,VLOOKUP(MAX(-5,$H53-P53),Volsmile,2),0)),$CG53,$CH53,($A53-DateToday)+15,1,0)),P53-$H53),0)))</f>
        <v xml:space="preserve"> </v>
      </c>
      <c r="Z53" s="406" t="str">
        <f t="shared" si="11"/>
        <v xml:space="preserve"> </v>
      </c>
      <c r="AA53" s="254" t="str">
        <f>IF($A53="N/A"," ",IF(VLOOKUP(MONTH(A53),ManualTable,2)=1,(IF(0&lt;&gt;R53,IF(Pricetype=1,(_xll.xSPRDOPT(I53,$E53,$CI53,0,($CD53+IF(Smile=TRUE,VLOOKUP(MAX(-5,$H53-I53),Volsmile,2),0)),$CG53,$CH53,($A53-DateToday)+15,1,1))*(8*$HD53),8*$HD53),0)),0))</f>
        <v xml:space="preserve"> </v>
      </c>
      <c r="AB53" s="254" t="str">
        <f>IF($A53="N/A"," ",IF(VLOOKUP(MONTH(A53),ManualTable,3)=1,(IF(S53&lt;&gt;0,IF(Pricetype=1,(_xll.xSPRDOPT(J53,$E53,$CI53,0,($CD53+IF(Smile=TRUE,VLOOKUP(MAX(-5,$H53-J53),Volsmile,2),0)),$CG53,$CH53,($A53-DateToday)+15,1,1))*(8*$HD53),8*$HD53),0)),0))</f>
        <v xml:space="preserve"> </v>
      </c>
      <c r="AC53" s="254" t="str">
        <f t="shared" si="66"/>
        <v xml:space="preserve"> </v>
      </c>
      <c r="AD53" s="254" t="str">
        <f>IF($A53="N/A"," ",IF(VLOOKUP(MONTH(A53),ManualTable,5)=1,(IF(U53&lt;&gt;0,IF(Pricetype=1,(_xll.xSPRDOPT(L53,$E53,$CI53,0,($CD53+IF(Smile=TRUE,VLOOKUP(MAX(-5,$H53-L53),Volsmile,2),0)),$CG53,$CH53,($A53-DateToday)+15,1,1))*(8*$HE53),8*$HE53),0)),0))</f>
        <v xml:space="preserve"> </v>
      </c>
      <c r="AE53" s="254" t="str">
        <f>IF($A53="N/A"," ",IF(VLOOKUP(MONTH(A53),ManualTable,6)=1,(IF(V53&lt;&gt;0,IF(Pricetype=1,(_xll.xSPRDOPT(M53,$E53,$CI53,0,($CD53+IF(Smile=TRUE,VLOOKUP(MAX(-5,$H53-M53),Volsmile,2),0)),$CG53,$CH53,($A53-DateToday)+15,1,1))*(8*$HE53),8*$HE53),0)),0))</f>
        <v xml:space="preserve"> </v>
      </c>
      <c r="AF53" s="254" t="str">
        <f t="shared" si="67"/>
        <v xml:space="preserve"> </v>
      </c>
      <c r="AG53" s="254" t="str">
        <f>IF($A53="N/A"," ",IF(VLOOKUP(MONTH(A53),ManualTable,8)=1,(IF(X53&lt;&gt;0,IF(Pricetype=1,(_xll.xSPRDOPT(O53,$E53,$CI53,0,($CD53+IF(Smile=TRUE,VLOOKUP(MAX(-5,$H53-O53),Volsmile,2),0)),$CG53,$CH53,($A53-DateToday)+15,1,1))*(8*$HF53),8*$HF53),0)),0))</f>
        <v xml:space="preserve"> </v>
      </c>
      <c r="AH53" s="254" t="str">
        <f>IF($A53="N/A"," ",IF(VLOOKUP(MONTH(A53),ManualTable,9)=1,(IF(Y53&lt;&gt;0,IF(Pricetype=1,(_xll.xSPRDOPT(P53,$E53,$CI53,0,($CD53+IF(Smile=TRUE,VLOOKUP(MAX(-5,$H53-P53),Volsmile,2),0)),$CG53,$CH53,($A53-DateToday)+15,1,1))*(8*$HF53),8*$HF53),0)),0))</f>
        <v xml:space="preserve"> </v>
      </c>
      <c r="AI53" s="254" t="str">
        <f t="shared" si="68"/>
        <v xml:space="preserve"> </v>
      </c>
      <c r="AJ53" s="227" t="str">
        <f t="shared" ref="AJ53:AJ63" si="161">IF($A53="N/A"," ",RANK(R53,$R$52:$Z$63))</f>
        <v xml:space="preserve"> </v>
      </c>
      <c r="AK53" s="228" t="str">
        <f t="shared" ref="AK53:AL63" si="162">IF($A53="N/A"," ",RANK(S53,$R$52:$Z$63))</f>
        <v xml:space="preserve"> </v>
      </c>
      <c r="AL53" s="228" t="str">
        <f t="shared" si="162"/>
        <v xml:space="preserve"> </v>
      </c>
      <c r="AM53" s="228" t="str">
        <f t="shared" ref="AM53:AM63" si="163">IF($A53="N/A"," ",RANK(U53,$R$52:$Z$63))</f>
        <v xml:space="preserve"> </v>
      </c>
      <c r="AN53" s="228" t="str">
        <f t="shared" ref="AN53:AO63" si="164">IF($A53="N/A"," ",RANK(V53,$R$52:$Z$63))</f>
        <v xml:space="preserve"> </v>
      </c>
      <c r="AO53" s="228" t="str">
        <f t="shared" si="164"/>
        <v xml:space="preserve"> </v>
      </c>
      <c r="AP53" s="228" t="str">
        <f t="shared" ref="AP53:AP63" si="165">IF($A53="N/A"," ",RANK(X53,$R$52:$Z$63))</f>
        <v xml:space="preserve"> </v>
      </c>
      <c r="AQ53" s="228" t="str">
        <f t="shared" ref="AQ53:AQ63" si="166">IF($A53="N/A"," ",RANK(Y53,$R$52:$Z$63))</f>
        <v xml:space="preserve"> </v>
      </c>
      <c r="AR53" s="229" t="str">
        <f t="shared" ref="AR53:AR63" si="167">IF($A53="N/A"," ",RANK(Z53,$R$52:$Z$63))</f>
        <v xml:space="preserve"> </v>
      </c>
      <c r="AS53" s="262" t="str">
        <f t="shared" si="102"/>
        <v xml:space="preserve"> </v>
      </c>
      <c r="AT53" s="263" t="str">
        <f t="shared" si="103"/>
        <v xml:space="preserve"> </v>
      </c>
      <c r="AU53" s="263" t="str">
        <f t="shared" si="103"/>
        <v xml:space="preserve"> </v>
      </c>
      <c r="AV53" s="263" t="str">
        <f t="shared" si="104"/>
        <v xml:space="preserve"> </v>
      </c>
      <c r="AW53" s="263" t="str">
        <f t="shared" si="105"/>
        <v xml:space="preserve"> </v>
      </c>
      <c r="AX53" s="263" t="str">
        <f t="shared" si="105"/>
        <v xml:space="preserve"> </v>
      </c>
      <c r="AY53" s="263" t="str">
        <f t="shared" si="106"/>
        <v xml:space="preserve"> </v>
      </c>
      <c r="AZ53" s="263" t="str">
        <f t="shared" si="107"/>
        <v xml:space="preserve"> </v>
      </c>
      <c r="BA53" s="263" t="str">
        <f t="shared" si="108"/>
        <v xml:space="preserve"> </v>
      </c>
      <c r="BB53" s="229"/>
      <c r="BC53" s="266" t="str">
        <f t="shared" si="154"/>
        <v xml:space="preserve"> </v>
      </c>
      <c r="BD53" s="269" t="str">
        <f t="shared" si="155"/>
        <v xml:space="preserve"> </v>
      </c>
      <c r="BE53" s="269" t="str">
        <f t="shared" si="155"/>
        <v xml:space="preserve"> </v>
      </c>
      <c r="BF53" s="269" t="str">
        <f t="shared" si="156"/>
        <v xml:space="preserve"> </v>
      </c>
      <c r="BG53" s="269" t="str">
        <f t="shared" si="157"/>
        <v xml:space="preserve"> </v>
      </c>
      <c r="BH53" s="269" t="str">
        <f t="shared" si="157"/>
        <v xml:space="preserve"> </v>
      </c>
      <c r="BI53" s="269" t="str">
        <f t="shared" si="158"/>
        <v xml:space="preserve"> </v>
      </c>
      <c r="BJ53" s="269" t="str">
        <f t="shared" si="159"/>
        <v xml:space="preserve"> </v>
      </c>
      <c r="BK53" s="269" t="str">
        <f t="shared" si="160"/>
        <v xml:space="preserve"> </v>
      </c>
      <c r="BL53" s="229"/>
      <c r="BM53" s="220" t="str">
        <f>IF($A53="N/A"," ",(IF(MONTH(A53)&gt;=4,IF(MONTH(A53)&lt;=10,Inputs!$F$13-Inputs!$G$13,Inputs!$F$14-Inputs!$G$14),Inputs!$F$14-Inputs!$G$14))*$CK53*Availability)</f>
        <v xml:space="preserve"> </v>
      </c>
      <c r="BN53" s="221" t="str">
        <f t="shared" si="79"/>
        <v xml:space="preserve"> </v>
      </c>
      <c r="BO53" s="221" t="str">
        <f t="shared" si="80"/>
        <v xml:space="preserve"> </v>
      </c>
      <c r="BP53" s="221" t="str">
        <f t="shared" si="81"/>
        <v xml:space="preserve"> </v>
      </c>
      <c r="BQ53" s="221" t="str">
        <f t="shared" si="82"/>
        <v xml:space="preserve"> </v>
      </c>
      <c r="BR53" s="221" t="str">
        <f t="shared" si="83"/>
        <v xml:space="preserve"> </v>
      </c>
      <c r="BS53" s="221" t="str">
        <f t="shared" si="84"/>
        <v xml:space="preserve"> </v>
      </c>
      <c r="BT53" s="221" t="str">
        <f t="shared" si="85"/>
        <v xml:space="preserve"> </v>
      </c>
      <c r="BU53" s="221" t="str">
        <f t="shared" si="86"/>
        <v xml:space="preserve"> </v>
      </c>
      <c r="BV53" s="221" t="str">
        <f t="shared" si="87"/>
        <v xml:space="preserve"> </v>
      </c>
      <c r="BW53" s="221" t="str">
        <f t="shared" si="88"/>
        <v xml:space="preserve"> </v>
      </c>
      <c r="BX53" s="421" t="str">
        <f t="shared" si="89"/>
        <v xml:space="preserve"> </v>
      </c>
      <c r="BY53" s="417" t="str">
        <f t="shared" si="90"/>
        <v xml:space="preserve"> </v>
      </c>
      <c r="BZ53" s="417" t="str">
        <f t="shared" si="91"/>
        <v xml:space="preserve"> </v>
      </c>
      <c r="CA53" s="422" t="str">
        <f t="shared" si="92"/>
        <v xml:space="preserve"> </v>
      </c>
      <c r="CB53" s="347" t="str">
        <f t="shared" si="25"/>
        <v xml:space="preserve"> </v>
      </c>
      <c r="CC53" s="347" t="str">
        <f t="shared" si="93"/>
        <v xml:space="preserve"> </v>
      </c>
      <c r="CD53" s="348" t="str">
        <f t="shared" si="26"/>
        <v xml:space="preserve"> </v>
      </c>
      <c r="CE53" s="347" t="str">
        <f t="shared" si="27"/>
        <v xml:space="preserve"> </v>
      </c>
      <c r="CF53" s="347" t="str">
        <f t="shared" si="28"/>
        <v xml:space="preserve"> </v>
      </c>
      <c r="CG53" s="348" t="str">
        <f t="shared" si="29"/>
        <v xml:space="preserve"> </v>
      </c>
      <c r="CH53" s="347" t="str">
        <f t="shared" si="94"/>
        <v xml:space="preserve"> </v>
      </c>
      <c r="CI53" s="349" t="str">
        <f>IF($A53="N/A"," ",F53+G53+(D53*('Pricing Inputs'!T86)))</f>
        <v xml:space="preserve"> </v>
      </c>
      <c r="CJ53" s="347" t="str">
        <f>IF($A53="N/A"," ",IF(PV=1,0,'Pricing Inputs'!U86))</f>
        <v xml:space="preserve"> </v>
      </c>
      <c r="CK53" s="350" t="str">
        <f t="shared" si="30"/>
        <v xml:space="preserve"> </v>
      </c>
      <c r="CL53" s="365" t="str">
        <f t="shared" si="31"/>
        <v xml:space="preserve"> </v>
      </c>
      <c r="CM53" s="380" t="str">
        <f t="shared" si="95"/>
        <v xml:space="preserve"> </v>
      </c>
      <c r="CN53" s="378" t="str">
        <f t="shared" si="32"/>
        <v xml:space="preserve"> </v>
      </c>
      <c r="CO53" s="378" t="str">
        <f t="shared" si="33"/>
        <v xml:space="preserve"> </v>
      </c>
      <c r="CP53" s="378" t="str">
        <f t="shared" si="34"/>
        <v xml:space="preserve"> </v>
      </c>
      <c r="CQ53" s="378" t="str">
        <f t="shared" si="35"/>
        <v xml:space="preserve"> </v>
      </c>
      <c r="CR53" s="378" t="str">
        <f t="shared" si="36"/>
        <v xml:space="preserve"> </v>
      </c>
      <c r="CS53" s="378" t="str">
        <f t="shared" si="37"/>
        <v xml:space="preserve"> </v>
      </c>
      <c r="CT53" s="378" t="str">
        <f t="shared" si="38"/>
        <v xml:space="preserve"> </v>
      </c>
      <c r="CU53" s="378" t="str">
        <f t="shared" si="39"/>
        <v xml:space="preserve"> </v>
      </c>
      <c r="CV53" s="378" t="str">
        <f t="shared" si="40"/>
        <v xml:space="preserve"> </v>
      </c>
      <c r="CW53" s="254" t="str">
        <f t="shared" si="41"/>
        <v xml:space="preserve"> </v>
      </c>
      <c r="CX53" s="254" t="str">
        <f t="shared" si="42"/>
        <v xml:space="preserve"> </v>
      </c>
      <c r="CY53" s="254" t="str">
        <f t="shared" si="43"/>
        <v xml:space="preserve"> </v>
      </c>
      <c r="CZ53" s="254" t="str">
        <f t="shared" si="44"/>
        <v xml:space="preserve"> </v>
      </c>
      <c r="DA53" s="254" t="str">
        <f t="shared" si="45"/>
        <v xml:space="preserve"> </v>
      </c>
      <c r="DB53" s="254" t="str">
        <f t="shared" si="46"/>
        <v xml:space="preserve"> </v>
      </c>
      <c r="DC53" s="254" t="str">
        <f t="shared" si="47"/>
        <v xml:space="preserve"> </v>
      </c>
      <c r="DD53" s="254" t="str">
        <f t="shared" si="48"/>
        <v xml:space="preserve"> </v>
      </c>
      <c r="DE53" s="254" t="str">
        <f t="shared" si="49"/>
        <v xml:space="preserve"> </v>
      </c>
      <c r="DF53" s="374" t="str">
        <f>IF($A53="N/A"," ",IF(CC=2,(IF(MONTH(A53)&gt;=4,IF(MONTH(A53)&lt;=10,Inputs!$G$13,Inputs!$G$14),Inputs!$G$14))*$CK53,0))</f>
        <v xml:space="preserve"> </v>
      </c>
      <c r="DG53" s="373" t="str">
        <f t="shared" si="50"/>
        <v xml:space="preserve"> </v>
      </c>
      <c r="DH53" s="373" t="str">
        <f t="shared" si="51"/>
        <v xml:space="preserve"> </v>
      </c>
      <c r="DI53" s="373" t="str">
        <f t="shared" si="52"/>
        <v xml:space="preserve"> </v>
      </c>
      <c r="DJ53" s="373" t="str">
        <f t="shared" si="53"/>
        <v xml:space="preserve"> </v>
      </c>
      <c r="DK53" s="373" t="str">
        <f t="shared" si="54"/>
        <v xml:space="preserve"> </v>
      </c>
      <c r="DL53" s="373" t="str">
        <f t="shared" si="55"/>
        <v xml:space="preserve"> </v>
      </c>
      <c r="DM53" s="373" t="str">
        <f t="shared" si="56"/>
        <v xml:space="preserve"> </v>
      </c>
      <c r="DN53" s="373" t="str">
        <f t="shared" si="57"/>
        <v xml:space="preserve"> </v>
      </c>
      <c r="DO53" s="373" t="str">
        <f t="shared" si="58"/>
        <v xml:space="preserve"> </v>
      </c>
      <c r="DP53" s="375" t="str">
        <f t="shared" si="59"/>
        <v xml:space="preserve"> </v>
      </c>
      <c r="DQ53" t="str">
        <f t="shared" si="96"/>
        <v xml:space="preserve"> </v>
      </c>
      <c r="HD53" t="str">
        <f t="shared" si="97"/>
        <v xml:space="preserve"> </v>
      </c>
      <c r="HE53" t="str">
        <f t="shared" si="98"/>
        <v xml:space="preserve"> </v>
      </c>
      <c r="HF53" t="str">
        <f t="shared" si="99"/>
        <v xml:space="preserve"> </v>
      </c>
    </row>
    <row r="54" spans="1:214">
      <c r="A54" s="415" t="str">
        <f>IF(A53="N/A","N/A",IF(EDATE(A53,1)&gt;Inputs!$K$3,"N/A",EDATE(A53,1)))</f>
        <v>N/A</v>
      </c>
      <c r="B54" s="410" t="str">
        <f t="shared" si="60"/>
        <v xml:space="preserve"> </v>
      </c>
      <c r="C54" s="411" t="str">
        <f t="shared" si="61"/>
        <v xml:space="preserve"> </v>
      </c>
      <c r="D54" s="412" t="str">
        <f t="shared" si="62"/>
        <v xml:space="preserve"> </v>
      </c>
      <c r="E54" s="413" t="str">
        <f>IF($A54="N/A"," ",(C54-'Pricing Inputs'!T87)*D54)</f>
        <v xml:space="preserve"> </v>
      </c>
      <c r="F54" s="414" t="str">
        <f t="shared" si="116"/>
        <v xml:space="preserve"> </v>
      </c>
      <c r="G54" s="414" t="str">
        <f t="shared" si="64"/>
        <v xml:space="preserve"> </v>
      </c>
      <c r="H54" s="416" t="str">
        <f t="shared" si="65"/>
        <v xml:space="preserve"> </v>
      </c>
      <c r="I54" s="213" t="str">
        <f t="shared" si="0"/>
        <v xml:space="preserve"> </v>
      </c>
      <c r="J54" s="213" t="str">
        <f t="shared" si="1"/>
        <v xml:space="preserve"> </v>
      </c>
      <c r="K54" s="213" t="str">
        <f t="shared" si="2"/>
        <v xml:space="preserve"> </v>
      </c>
      <c r="L54" s="213" t="str">
        <f t="shared" si="3"/>
        <v xml:space="preserve"> </v>
      </c>
      <c r="M54" s="213" t="str">
        <f t="shared" si="4"/>
        <v xml:space="preserve"> </v>
      </c>
      <c r="N54" s="213" t="str">
        <f t="shared" si="5"/>
        <v xml:space="preserve"> </v>
      </c>
      <c r="O54" s="213" t="str">
        <f t="shared" si="6"/>
        <v xml:space="preserve"> </v>
      </c>
      <c r="P54" s="213" t="str">
        <f t="shared" si="7"/>
        <v xml:space="preserve"> </v>
      </c>
      <c r="Q54" s="213" t="str">
        <f t="shared" si="8"/>
        <v xml:space="preserve"> </v>
      </c>
      <c r="R54" s="405" t="str">
        <f>IF($A54="N/A"," ",IF(Pricetype=2,MAX(I54-$H54,0),IF(Pricetype=1,(_xll.xSPRDOPT(I54,$E54,$CI54,0,($CD54+IF(Smile=TRUE,VLOOKUP(MAX(-5,$H54-I54),Volsmile,2),0)),$CG54,$CH54,($A54-DateToday)+15,1,0)),I54-$H54)))</f>
        <v xml:space="preserve"> </v>
      </c>
      <c r="S54" s="405" t="str">
        <f>IF($A54="N/A"," ",IF(Pricetype=2,MAX(J54-$H54,0),IF(Pricetype=1,(_xll.xSPRDOPT(J54,$E54,$CI54,0,($CD54+IF(Smile=TRUE,VLOOKUP(MAX(-5,$H54-J54),Volsmile,2),0)),$CG54,$CH54,($A54-DateToday)+15,1,0)),J54-$H54)))</f>
        <v xml:space="preserve"> </v>
      </c>
      <c r="T54" s="406" t="str">
        <f t="shared" si="9"/>
        <v xml:space="preserve"> </v>
      </c>
      <c r="U54" s="405" t="str">
        <f>IF($A54="N/A"," ",IF(Pricetype=2,MAX(L54-$H54,0),IF(L54&lt;&gt;0,IF(Pricetype=1,(_xll.xSPRDOPT(L54,$E54,$CI54,0,($CD54+IF(Smile=TRUE,VLOOKUP(MAX(-5,$H54-L54),Volsmile,2),0)),$CG54,$CH54,($A54-DateToday)+15,1,0)),L54-$H54),0)))</f>
        <v xml:space="preserve"> </v>
      </c>
      <c r="V54" s="405" t="str">
        <f>IF($A54="N/A"," ",IF(Pricetype=2,MAX(M54-$H54,0),IF(M54&lt;&gt;0,IF(Pricetype=1,(_xll.xSPRDOPT(M54,$E54,$CI54,0,($CD54+IF(Smile=TRUE,VLOOKUP(MAX(-5,$H54-M54),Volsmile,2),0)),$CG54,$CH54,($A54-DateToday)+15,1,0)),M54-$H54),0)))</f>
        <v xml:space="preserve"> </v>
      </c>
      <c r="W54" s="406" t="str">
        <f t="shared" si="10"/>
        <v xml:space="preserve"> </v>
      </c>
      <c r="X54" s="405" t="str">
        <f>IF($A54="N/A"," ",IF(Pricetype=2,MAX(O54-$H54,0),IF(O54&lt;&gt;0,IF(Pricetype=1,(_xll.xSPRDOPT(O54,$E54,$CI54,0,($CD54+IF(Smile=TRUE,VLOOKUP(MAX(-5,$H54-O54),Volsmile,2),0)),$CG54,$CH54,($A54-DateToday)+15,1,0)),O54-$H54),0)))</f>
        <v xml:space="preserve"> </v>
      </c>
      <c r="Y54" s="405" t="str">
        <f>IF($A54="N/A"," ",IF(Pricetype=2,MAX(P54-$H54,0),IF(P54&lt;&gt;0,IF(Pricetype=1,(_xll.xSPRDOPT(P54,$E54,$CI54,0,($CD54+IF(Smile=TRUE,VLOOKUP(MAX(-5,$H54-P54),Volsmile,2),0)),$CG54,$CH54,($A54-DateToday)+15,1,0)),P54-$H54),0)))</f>
        <v xml:space="preserve"> </v>
      </c>
      <c r="Z54" s="406" t="str">
        <f t="shared" si="11"/>
        <v xml:space="preserve"> </v>
      </c>
      <c r="AA54" s="254" t="str">
        <f>IF($A54="N/A"," ",IF(VLOOKUP(MONTH(A54),ManualTable,2)=1,(IF(0&lt;&gt;R54,IF(Pricetype=1,(_xll.xSPRDOPT(I54,$E54,$CI54,0,($CD54+IF(Smile=TRUE,VLOOKUP(MAX(-5,$H54-I54),Volsmile,2),0)),$CG54,$CH54,($A54-DateToday)+15,1,1))*(8*$HD54),8*$HD54),0)),0))</f>
        <v xml:space="preserve"> </v>
      </c>
      <c r="AB54" s="254" t="str">
        <f>IF($A54="N/A"," ",IF(VLOOKUP(MONTH(A54),ManualTable,3)=1,(IF(S54&lt;&gt;0,IF(Pricetype=1,(_xll.xSPRDOPT(J54,$E54,$CI54,0,($CD54+IF(Smile=TRUE,VLOOKUP(MAX(-5,$H54-J54),Volsmile,2),0)),$CG54,$CH54,($A54-DateToday)+15,1,1))*(8*$HD54),8*$HD54),0)),0))</f>
        <v xml:space="preserve"> </v>
      </c>
      <c r="AC54" s="254" t="str">
        <f t="shared" si="66"/>
        <v xml:space="preserve"> </v>
      </c>
      <c r="AD54" s="254" t="str">
        <f>IF($A54="N/A"," ",IF(VLOOKUP(MONTH(A54),ManualTable,5)=1,(IF(U54&lt;&gt;0,IF(Pricetype=1,(_xll.xSPRDOPT(L54,$E54,$CI54,0,($CD54+IF(Smile=TRUE,VLOOKUP(MAX(-5,$H54-L54),Volsmile,2),0)),$CG54,$CH54,($A54-DateToday)+15,1,1))*(8*$HE54),8*$HE54),0)),0))</f>
        <v xml:space="preserve"> </v>
      </c>
      <c r="AE54" s="254" t="str">
        <f>IF($A54="N/A"," ",IF(VLOOKUP(MONTH(A54),ManualTable,6)=1,(IF(V54&lt;&gt;0,IF(Pricetype=1,(_xll.xSPRDOPT(M54,$E54,$CI54,0,($CD54+IF(Smile=TRUE,VLOOKUP(MAX(-5,$H54-M54),Volsmile,2),0)),$CG54,$CH54,($A54-DateToday)+15,1,1))*(8*$HE54),8*$HE54),0)),0))</f>
        <v xml:space="preserve"> </v>
      </c>
      <c r="AF54" s="254" t="str">
        <f t="shared" si="67"/>
        <v xml:space="preserve"> </v>
      </c>
      <c r="AG54" s="254" t="str">
        <f>IF($A54="N/A"," ",IF(VLOOKUP(MONTH(A54),ManualTable,8)=1,(IF(X54&lt;&gt;0,IF(Pricetype=1,(_xll.xSPRDOPT(O54,$E54,$CI54,0,($CD54+IF(Smile=TRUE,VLOOKUP(MAX(-5,$H54-O54),Volsmile,2),0)),$CG54,$CH54,($A54-DateToday)+15,1,1))*(8*$HF54),8*$HF54),0)),0))</f>
        <v xml:space="preserve"> </v>
      </c>
      <c r="AH54" s="254" t="str">
        <f>IF($A54="N/A"," ",IF(VLOOKUP(MONTH(A54),ManualTable,9)=1,(IF(Y54&lt;&gt;0,IF(Pricetype=1,(_xll.xSPRDOPT(P54,$E54,$CI54,0,($CD54+IF(Smile=TRUE,VLOOKUP(MAX(-5,$H54-P54),Volsmile,2),0)),$CG54,$CH54,($A54-DateToday)+15,1,1))*(8*$HF54),8*$HF54),0)),0))</f>
        <v xml:space="preserve"> </v>
      </c>
      <c r="AI54" s="254" t="str">
        <f t="shared" si="68"/>
        <v xml:space="preserve"> </v>
      </c>
      <c r="AJ54" s="227" t="str">
        <f t="shared" si="161"/>
        <v xml:space="preserve"> </v>
      </c>
      <c r="AK54" s="228" t="str">
        <f t="shared" si="162"/>
        <v xml:space="preserve"> </v>
      </c>
      <c r="AL54" s="228" t="str">
        <f t="shared" si="162"/>
        <v xml:space="preserve"> </v>
      </c>
      <c r="AM54" s="228" t="str">
        <f t="shared" si="163"/>
        <v xml:space="preserve"> </v>
      </c>
      <c r="AN54" s="228" t="str">
        <f t="shared" si="164"/>
        <v xml:space="preserve"> </v>
      </c>
      <c r="AO54" s="228" t="str">
        <f t="shared" si="164"/>
        <v xml:space="preserve"> </v>
      </c>
      <c r="AP54" s="228" t="str">
        <f t="shared" si="165"/>
        <v xml:space="preserve"> </v>
      </c>
      <c r="AQ54" s="228" t="str">
        <f t="shared" si="166"/>
        <v xml:space="preserve"> </v>
      </c>
      <c r="AR54" s="229" t="str">
        <f t="shared" si="167"/>
        <v xml:space="preserve"> </v>
      </c>
      <c r="AS54" s="262" t="str">
        <f t="shared" si="102"/>
        <v xml:space="preserve"> </v>
      </c>
      <c r="AT54" s="263" t="str">
        <f t="shared" si="103"/>
        <v xml:space="preserve"> </v>
      </c>
      <c r="AU54" s="263" t="str">
        <f t="shared" si="103"/>
        <v xml:space="preserve"> </v>
      </c>
      <c r="AV54" s="263" t="str">
        <f t="shared" si="104"/>
        <v xml:space="preserve"> </v>
      </c>
      <c r="AW54" s="263" t="str">
        <f t="shared" si="105"/>
        <v xml:space="preserve"> </v>
      </c>
      <c r="AX54" s="263" t="str">
        <f t="shared" si="105"/>
        <v xml:space="preserve"> </v>
      </c>
      <c r="AY54" s="263" t="str">
        <f t="shared" si="106"/>
        <v xml:space="preserve"> </v>
      </c>
      <c r="AZ54" s="263" t="str">
        <f t="shared" si="107"/>
        <v xml:space="preserve"> </v>
      </c>
      <c r="BA54" s="263" t="str">
        <f t="shared" si="108"/>
        <v xml:space="preserve"> </v>
      </c>
      <c r="BB54" s="229"/>
      <c r="BC54" s="266" t="str">
        <f t="shared" si="154"/>
        <v xml:space="preserve"> </v>
      </c>
      <c r="BD54" s="269" t="str">
        <f t="shared" si="155"/>
        <v xml:space="preserve"> </v>
      </c>
      <c r="BE54" s="269" t="str">
        <f t="shared" si="155"/>
        <v xml:space="preserve"> </v>
      </c>
      <c r="BF54" s="269" t="str">
        <f t="shared" si="156"/>
        <v xml:space="preserve"> </v>
      </c>
      <c r="BG54" s="269" t="str">
        <f t="shared" si="157"/>
        <v xml:space="preserve"> </v>
      </c>
      <c r="BH54" s="269" t="str">
        <f t="shared" si="157"/>
        <v xml:space="preserve"> </v>
      </c>
      <c r="BI54" s="269" t="str">
        <f t="shared" si="158"/>
        <v xml:space="preserve"> </v>
      </c>
      <c r="BJ54" s="269" t="str">
        <f t="shared" si="159"/>
        <v xml:space="preserve"> </v>
      </c>
      <c r="BK54" s="269" t="str">
        <f t="shared" si="160"/>
        <v xml:space="preserve"> </v>
      </c>
      <c r="BL54" s="229"/>
      <c r="BM54" s="220" t="str">
        <f>IF($A54="N/A"," ",(IF(MONTH(A54)&gt;=4,IF(MONTH(A54)&lt;=10,Inputs!$F$13-Inputs!$G$13,Inputs!$F$14-Inputs!$G$14),Inputs!$F$14-Inputs!$G$14))*$CK54*Availability)</f>
        <v xml:space="preserve"> </v>
      </c>
      <c r="BN54" s="221" t="str">
        <f t="shared" si="79"/>
        <v xml:space="preserve"> </v>
      </c>
      <c r="BO54" s="221" t="str">
        <f t="shared" si="80"/>
        <v xml:space="preserve"> </v>
      </c>
      <c r="BP54" s="221" t="str">
        <f t="shared" si="81"/>
        <v xml:space="preserve"> </v>
      </c>
      <c r="BQ54" s="221" t="str">
        <f t="shared" si="82"/>
        <v xml:space="preserve"> </v>
      </c>
      <c r="BR54" s="221" t="str">
        <f t="shared" si="83"/>
        <v xml:space="preserve"> </v>
      </c>
      <c r="BS54" s="221" t="str">
        <f t="shared" si="84"/>
        <v xml:space="preserve"> </v>
      </c>
      <c r="BT54" s="221" t="str">
        <f t="shared" si="85"/>
        <v xml:space="preserve"> </v>
      </c>
      <c r="BU54" s="221" t="str">
        <f t="shared" si="86"/>
        <v xml:space="preserve"> </v>
      </c>
      <c r="BV54" s="221" t="str">
        <f t="shared" si="87"/>
        <v xml:space="preserve"> </v>
      </c>
      <c r="BW54" s="221" t="str">
        <f t="shared" si="88"/>
        <v xml:space="preserve"> </v>
      </c>
      <c r="BX54" s="421" t="str">
        <f t="shared" si="89"/>
        <v xml:space="preserve"> </v>
      </c>
      <c r="BY54" s="417" t="str">
        <f t="shared" si="90"/>
        <v xml:space="preserve"> </v>
      </c>
      <c r="BZ54" s="417" t="str">
        <f t="shared" si="91"/>
        <v xml:space="preserve"> </v>
      </c>
      <c r="CA54" s="422" t="str">
        <f t="shared" si="92"/>
        <v xml:space="preserve"> </v>
      </c>
      <c r="CB54" s="347" t="str">
        <f t="shared" si="25"/>
        <v xml:space="preserve"> </v>
      </c>
      <c r="CC54" s="347" t="str">
        <f t="shared" si="93"/>
        <v xml:space="preserve"> </v>
      </c>
      <c r="CD54" s="348" t="str">
        <f t="shared" si="26"/>
        <v xml:space="preserve"> </v>
      </c>
      <c r="CE54" s="347" t="str">
        <f t="shared" si="27"/>
        <v xml:space="preserve"> </v>
      </c>
      <c r="CF54" s="347" t="str">
        <f t="shared" si="28"/>
        <v xml:space="preserve"> </v>
      </c>
      <c r="CG54" s="348" t="str">
        <f t="shared" si="29"/>
        <v xml:space="preserve"> </v>
      </c>
      <c r="CH54" s="347" t="str">
        <f t="shared" si="94"/>
        <v xml:space="preserve"> </v>
      </c>
      <c r="CI54" s="349" t="str">
        <f>IF($A54="N/A"," ",F54+G54+(D54*('Pricing Inputs'!T87)))</f>
        <v xml:space="preserve"> </v>
      </c>
      <c r="CJ54" s="347" t="str">
        <f>IF($A54="N/A"," ",IF(PV=1,0,'Pricing Inputs'!U87))</f>
        <v xml:space="preserve"> </v>
      </c>
      <c r="CK54" s="350" t="str">
        <f t="shared" si="30"/>
        <v xml:space="preserve"> </v>
      </c>
      <c r="CL54" s="365" t="str">
        <f t="shared" si="31"/>
        <v xml:space="preserve"> </v>
      </c>
      <c r="CM54" s="380" t="str">
        <f t="shared" si="95"/>
        <v xml:space="preserve"> </v>
      </c>
      <c r="CN54" s="378" t="str">
        <f t="shared" si="32"/>
        <v xml:space="preserve"> </v>
      </c>
      <c r="CO54" s="378" t="str">
        <f t="shared" si="33"/>
        <v xml:space="preserve"> </v>
      </c>
      <c r="CP54" s="378" t="str">
        <f t="shared" si="34"/>
        <v xml:space="preserve"> </v>
      </c>
      <c r="CQ54" s="378" t="str">
        <f t="shared" si="35"/>
        <v xml:space="preserve"> </v>
      </c>
      <c r="CR54" s="378" t="str">
        <f t="shared" si="36"/>
        <v xml:space="preserve"> </v>
      </c>
      <c r="CS54" s="378" t="str">
        <f t="shared" si="37"/>
        <v xml:space="preserve"> </v>
      </c>
      <c r="CT54" s="378" t="str">
        <f t="shared" si="38"/>
        <v xml:space="preserve"> </v>
      </c>
      <c r="CU54" s="378" t="str">
        <f t="shared" si="39"/>
        <v xml:space="preserve"> </v>
      </c>
      <c r="CV54" s="378" t="str">
        <f t="shared" si="40"/>
        <v xml:space="preserve"> </v>
      </c>
      <c r="CW54" s="254" t="str">
        <f t="shared" si="41"/>
        <v xml:space="preserve"> </v>
      </c>
      <c r="CX54" s="254" t="str">
        <f t="shared" si="42"/>
        <v xml:space="preserve"> </v>
      </c>
      <c r="CY54" s="254" t="str">
        <f t="shared" si="43"/>
        <v xml:space="preserve"> </v>
      </c>
      <c r="CZ54" s="254" t="str">
        <f t="shared" si="44"/>
        <v xml:space="preserve"> </v>
      </c>
      <c r="DA54" s="254" t="str">
        <f t="shared" si="45"/>
        <v xml:space="preserve"> </v>
      </c>
      <c r="DB54" s="254" t="str">
        <f t="shared" si="46"/>
        <v xml:space="preserve"> </v>
      </c>
      <c r="DC54" s="254" t="str">
        <f t="shared" si="47"/>
        <v xml:space="preserve"> </v>
      </c>
      <c r="DD54" s="254" t="str">
        <f t="shared" si="48"/>
        <v xml:space="preserve"> </v>
      </c>
      <c r="DE54" s="254" t="str">
        <f t="shared" si="49"/>
        <v xml:space="preserve"> </v>
      </c>
      <c r="DF54" s="374" t="str">
        <f>IF($A54="N/A"," ",IF(CC=2,(IF(MONTH(A54)&gt;=4,IF(MONTH(A54)&lt;=10,Inputs!$G$13,Inputs!$G$14),Inputs!$G$14))*$CK54,0))</f>
        <v xml:space="preserve"> </v>
      </c>
      <c r="DG54" s="373" t="str">
        <f t="shared" si="50"/>
        <v xml:space="preserve"> </v>
      </c>
      <c r="DH54" s="373" t="str">
        <f t="shared" si="51"/>
        <v xml:space="preserve"> </v>
      </c>
      <c r="DI54" s="373" t="str">
        <f t="shared" si="52"/>
        <v xml:space="preserve"> </v>
      </c>
      <c r="DJ54" s="373" t="str">
        <f t="shared" si="53"/>
        <v xml:space="preserve"> </v>
      </c>
      <c r="DK54" s="373" t="str">
        <f t="shared" si="54"/>
        <v xml:space="preserve"> </v>
      </c>
      <c r="DL54" s="373" t="str">
        <f t="shared" si="55"/>
        <v xml:space="preserve"> </v>
      </c>
      <c r="DM54" s="373" t="str">
        <f t="shared" si="56"/>
        <v xml:space="preserve"> </v>
      </c>
      <c r="DN54" s="373" t="str">
        <f t="shared" si="57"/>
        <v xml:space="preserve"> </v>
      </c>
      <c r="DO54" s="373" t="str">
        <f t="shared" si="58"/>
        <v xml:space="preserve"> </v>
      </c>
      <c r="DP54" s="375" t="str">
        <f t="shared" si="59"/>
        <v xml:space="preserve"> </v>
      </c>
      <c r="DQ54" t="str">
        <f t="shared" si="96"/>
        <v xml:space="preserve"> </v>
      </c>
      <c r="HD54" t="str">
        <f t="shared" si="97"/>
        <v xml:space="preserve"> </v>
      </c>
      <c r="HE54" t="str">
        <f t="shared" si="98"/>
        <v xml:space="preserve"> </v>
      </c>
      <c r="HF54" t="str">
        <f t="shared" si="99"/>
        <v xml:space="preserve"> </v>
      </c>
    </row>
    <row r="55" spans="1:214">
      <c r="A55" s="415" t="str">
        <f>IF(A54="N/A","N/A",IF(EDATE(A54,1)&gt;Inputs!$K$3,"N/A",EDATE(A54,1)))</f>
        <v>N/A</v>
      </c>
      <c r="B55" s="410" t="str">
        <f t="shared" si="60"/>
        <v xml:space="preserve"> </v>
      </c>
      <c r="C55" s="411" t="str">
        <f t="shared" si="61"/>
        <v xml:space="preserve"> </v>
      </c>
      <c r="D55" s="412" t="str">
        <f t="shared" si="62"/>
        <v xml:space="preserve"> </v>
      </c>
      <c r="E55" s="413" t="str">
        <f>IF($A55="N/A"," ",(C55-'Pricing Inputs'!T88)*D55)</f>
        <v xml:space="preserve"> </v>
      </c>
      <c r="F55" s="414" t="str">
        <f t="shared" si="116"/>
        <v xml:space="preserve"> </v>
      </c>
      <c r="G55" s="414" t="str">
        <f t="shared" si="64"/>
        <v xml:space="preserve"> </v>
      </c>
      <c r="H55" s="416" t="str">
        <f t="shared" si="65"/>
        <v xml:space="preserve"> </v>
      </c>
      <c r="I55" s="213" t="str">
        <f t="shared" si="0"/>
        <v xml:space="preserve"> </v>
      </c>
      <c r="J55" s="213" t="str">
        <f t="shared" si="1"/>
        <v xml:space="preserve"> </v>
      </c>
      <c r="K55" s="213" t="str">
        <f t="shared" si="2"/>
        <v xml:space="preserve"> </v>
      </c>
      <c r="L55" s="213" t="str">
        <f t="shared" si="3"/>
        <v xml:space="preserve"> </v>
      </c>
      <c r="M55" s="213" t="str">
        <f t="shared" si="4"/>
        <v xml:space="preserve"> </v>
      </c>
      <c r="N55" s="213" t="str">
        <f t="shared" si="5"/>
        <v xml:space="preserve"> </v>
      </c>
      <c r="O55" s="213" t="str">
        <f t="shared" si="6"/>
        <v xml:space="preserve"> </v>
      </c>
      <c r="P55" s="213" t="str">
        <f t="shared" si="7"/>
        <v xml:space="preserve"> </v>
      </c>
      <c r="Q55" s="213" t="str">
        <f t="shared" si="8"/>
        <v xml:space="preserve"> </v>
      </c>
      <c r="R55" s="405" t="str">
        <f>IF($A55="N/A"," ",IF(Pricetype=2,MAX(I55-$H55,0),IF(Pricetype=1,(_xll.xSPRDOPT(I55,$E55,$CI55,0,($CD55+IF(Smile=TRUE,VLOOKUP(MAX(-5,$H55-I55),Volsmile,2),0)),$CG55,$CH55,($A55-DateToday)+15,1,0)),I55-$H55)))</f>
        <v xml:space="preserve"> </v>
      </c>
      <c r="S55" s="405" t="str">
        <f>IF($A55="N/A"," ",IF(Pricetype=2,MAX(J55-$H55,0),IF(Pricetype=1,(_xll.xSPRDOPT(J55,$E55,$CI55,0,($CD55+IF(Smile=TRUE,VLOOKUP(MAX(-5,$H55-J55),Volsmile,2),0)),$CG55,$CH55,($A55-DateToday)+15,1,0)),J55-$H55)))</f>
        <v xml:space="preserve"> </v>
      </c>
      <c r="T55" s="406" t="str">
        <f t="shared" si="9"/>
        <v xml:space="preserve"> </v>
      </c>
      <c r="U55" s="405" t="str">
        <f>IF($A55="N/A"," ",IF(Pricetype=2,MAX(L55-$H55,0),IF(L55&lt;&gt;0,IF(Pricetype=1,(_xll.xSPRDOPT(L55,$E55,$CI55,0,($CD55+IF(Smile=TRUE,VLOOKUP(MAX(-5,$H55-L55),Volsmile,2),0)),$CG55,$CH55,($A55-DateToday)+15,1,0)),L55-$H55),0)))</f>
        <v xml:space="preserve"> </v>
      </c>
      <c r="V55" s="405" t="str">
        <f>IF($A55="N/A"," ",IF(Pricetype=2,MAX(M55-$H55,0),IF(M55&lt;&gt;0,IF(Pricetype=1,(_xll.xSPRDOPT(M55,$E55,$CI55,0,($CD55+IF(Smile=TRUE,VLOOKUP(MAX(-5,$H55-M55),Volsmile,2),0)),$CG55,$CH55,($A55-DateToday)+15,1,0)),M55-$H55),0)))</f>
        <v xml:space="preserve"> </v>
      </c>
      <c r="W55" s="406" t="str">
        <f t="shared" si="10"/>
        <v xml:space="preserve"> </v>
      </c>
      <c r="X55" s="405" t="str">
        <f>IF($A55="N/A"," ",IF(Pricetype=2,MAX(O55-$H55,0),IF(O55&lt;&gt;0,IF(Pricetype=1,(_xll.xSPRDOPT(O55,$E55,$CI55,0,($CD55+IF(Smile=TRUE,VLOOKUP(MAX(-5,$H55-O55),Volsmile,2),0)),$CG55,$CH55,($A55-DateToday)+15,1,0)),O55-$H55),0)))</f>
        <v xml:space="preserve"> </v>
      </c>
      <c r="Y55" s="405" t="str">
        <f>IF($A55="N/A"," ",IF(Pricetype=2,MAX(P55-$H55,0),IF(P55&lt;&gt;0,IF(Pricetype=1,(_xll.xSPRDOPT(P55,$E55,$CI55,0,($CD55+IF(Smile=TRUE,VLOOKUP(MAX(-5,$H55-P55),Volsmile,2),0)),$CG55,$CH55,($A55-DateToday)+15,1,0)),P55-$H55),0)))</f>
        <v xml:space="preserve"> </v>
      </c>
      <c r="Z55" s="406" t="str">
        <f t="shared" si="11"/>
        <v xml:space="preserve"> </v>
      </c>
      <c r="AA55" s="254" t="str">
        <f>IF($A55="N/A"," ",IF(VLOOKUP(MONTH(A55),ManualTable,2)=1,(IF(0&lt;&gt;R55,IF(Pricetype=1,(_xll.xSPRDOPT(I55,$E55,$CI55,0,($CD55+IF(Smile=TRUE,VLOOKUP(MAX(-5,$H55-I55),Volsmile,2),0)),$CG55,$CH55,($A55-DateToday)+15,1,1))*(8*$HD55),8*$HD55),0)),0))</f>
        <v xml:space="preserve"> </v>
      </c>
      <c r="AB55" s="254" t="str">
        <f>IF($A55="N/A"," ",IF(VLOOKUP(MONTH(A55),ManualTable,3)=1,(IF(S55&lt;&gt;0,IF(Pricetype=1,(_xll.xSPRDOPT(J55,$E55,$CI55,0,($CD55+IF(Smile=TRUE,VLOOKUP(MAX(-5,$H55-J55),Volsmile,2),0)),$CG55,$CH55,($A55-DateToday)+15,1,1))*(8*$HD55),8*$HD55),0)),0))</f>
        <v xml:space="preserve"> </v>
      </c>
      <c r="AC55" s="254" t="str">
        <f t="shared" si="66"/>
        <v xml:space="preserve"> </v>
      </c>
      <c r="AD55" s="254" t="str">
        <f>IF($A55="N/A"," ",IF(VLOOKUP(MONTH(A55),ManualTable,5)=1,(IF(U55&lt;&gt;0,IF(Pricetype=1,(_xll.xSPRDOPT(L55,$E55,$CI55,0,($CD55+IF(Smile=TRUE,VLOOKUP(MAX(-5,$H55-L55),Volsmile,2),0)),$CG55,$CH55,($A55-DateToday)+15,1,1))*(8*$HE55),8*$HE55),0)),0))</f>
        <v xml:space="preserve"> </v>
      </c>
      <c r="AE55" s="254" t="str">
        <f>IF($A55="N/A"," ",IF(VLOOKUP(MONTH(A55),ManualTable,6)=1,(IF(V55&lt;&gt;0,IF(Pricetype=1,(_xll.xSPRDOPT(M55,$E55,$CI55,0,($CD55+IF(Smile=TRUE,VLOOKUP(MAX(-5,$H55-M55),Volsmile,2),0)),$CG55,$CH55,($A55-DateToday)+15,1,1))*(8*$HE55),8*$HE55),0)),0))</f>
        <v xml:space="preserve"> </v>
      </c>
      <c r="AF55" s="254" t="str">
        <f t="shared" si="67"/>
        <v xml:space="preserve"> </v>
      </c>
      <c r="AG55" s="254" t="str">
        <f>IF($A55="N/A"," ",IF(VLOOKUP(MONTH(A55),ManualTable,8)=1,(IF(X55&lt;&gt;0,IF(Pricetype=1,(_xll.xSPRDOPT(O55,$E55,$CI55,0,($CD55+IF(Smile=TRUE,VLOOKUP(MAX(-5,$H55-O55),Volsmile,2),0)),$CG55,$CH55,($A55-DateToday)+15,1,1))*(8*$HF55),8*$HF55),0)),0))</f>
        <v xml:space="preserve"> </v>
      </c>
      <c r="AH55" s="254" t="str">
        <f>IF($A55="N/A"," ",IF(VLOOKUP(MONTH(A55),ManualTable,9)=1,(IF(Y55&lt;&gt;0,IF(Pricetype=1,(_xll.xSPRDOPT(P55,$E55,$CI55,0,($CD55+IF(Smile=TRUE,VLOOKUP(MAX(-5,$H55-P55),Volsmile,2),0)),$CG55,$CH55,($A55-DateToday)+15,1,1))*(8*$HF55),8*$HF55),0)),0))</f>
        <v xml:space="preserve"> </v>
      </c>
      <c r="AI55" s="254" t="str">
        <f t="shared" si="68"/>
        <v xml:space="preserve"> </v>
      </c>
      <c r="AJ55" s="227" t="str">
        <f t="shared" si="161"/>
        <v xml:space="preserve"> </v>
      </c>
      <c r="AK55" s="228" t="str">
        <f t="shared" si="162"/>
        <v xml:space="preserve"> </v>
      </c>
      <c r="AL55" s="228" t="str">
        <f t="shared" si="162"/>
        <v xml:space="preserve"> </v>
      </c>
      <c r="AM55" s="228" t="str">
        <f t="shared" si="163"/>
        <v xml:space="preserve"> </v>
      </c>
      <c r="AN55" s="228" t="str">
        <f t="shared" si="164"/>
        <v xml:space="preserve"> </v>
      </c>
      <c r="AO55" s="228" t="str">
        <f t="shared" si="164"/>
        <v xml:space="preserve"> </v>
      </c>
      <c r="AP55" s="228" t="str">
        <f t="shared" si="165"/>
        <v xml:space="preserve"> </v>
      </c>
      <c r="AQ55" s="228" t="str">
        <f t="shared" si="166"/>
        <v xml:space="preserve"> </v>
      </c>
      <c r="AR55" s="229" t="str">
        <f t="shared" si="167"/>
        <v xml:space="preserve"> </v>
      </c>
      <c r="AS55" s="262" t="str">
        <f t="shared" si="102"/>
        <v xml:space="preserve"> </v>
      </c>
      <c r="AT55" s="263" t="str">
        <f t="shared" si="103"/>
        <v xml:space="preserve"> </v>
      </c>
      <c r="AU55" s="263" t="str">
        <f t="shared" si="103"/>
        <v xml:space="preserve"> </v>
      </c>
      <c r="AV55" s="263" t="str">
        <f t="shared" si="104"/>
        <v xml:space="preserve"> </v>
      </c>
      <c r="AW55" s="263" t="str">
        <f t="shared" si="105"/>
        <v xml:space="preserve"> </v>
      </c>
      <c r="AX55" s="263" t="str">
        <f t="shared" si="105"/>
        <v xml:space="preserve"> </v>
      </c>
      <c r="AY55" s="263" t="str">
        <f t="shared" si="106"/>
        <v xml:space="preserve"> </v>
      </c>
      <c r="AZ55" s="263" t="str">
        <f t="shared" si="107"/>
        <v xml:space="preserve"> </v>
      </c>
      <c r="BA55" s="263" t="str">
        <f t="shared" si="108"/>
        <v xml:space="preserve"> </v>
      </c>
      <c r="BB55" s="229"/>
      <c r="BC55" s="266" t="str">
        <f t="shared" si="154"/>
        <v xml:space="preserve"> </v>
      </c>
      <c r="BD55" s="269" t="str">
        <f t="shared" si="155"/>
        <v xml:space="preserve"> </v>
      </c>
      <c r="BE55" s="269" t="str">
        <f t="shared" si="155"/>
        <v xml:space="preserve"> </v>
      </c>
      <c r="BF55" s="269" t="str">
        <f t="shared" si="156"/>
        <v xml:space="preserve"> </v>
      </c>
      <c r="BG55" s="269" t="str">
        <f t="shared" si="157"/>
        <v xml:space="preserve"> </v>
      </c>
      <c r="BH55" s="269" t="str">
        <f t="shared" si="157"/>
        <v xml:space="preserve"> </v>
      </c>
      <c r="BI55" s="269" t="str">
        <f t="shared" si="158"/>
        <v xml:space="preserve"> </v>
      </c>
      <c r="BJ55" s="269" t="str">
        <f t="shared" si="159"/>
        <v xml:space="preserve"> </v>
      </c>
      <c r="BK55" s="269" t="str">
        <f t="shared" si="160"/>
        <v xml:space="preserve"> </v>
      </c>
      <c r="BL55" s="229"/>
      <c r="BM55" s="220" t="str">
        <f>IF($A55="N/A"," ",(IF(MONTH(A55)&gt;=4,IF(MONTH(A55)&lt;=10,Inputs!$F$13-Inputs!$G$13,Inputs!$F$14-Inputs!$G$14),Inputs!$F$14-Inputs!$G$14))*$CK55*Availability)</f>
        <v xml:space="preserve"> </v>
      </c>
      <c r="BN55" s="221" t="str">
        <f t="shared" si="79"/>
        <v xml:space="preserve"> </v>
      </c>
      <c r="BO55" s="221" t="str">
        <f t="shared" si="80"/>
        <v xml:space="preserve"> </v>
      </c>
      <c r="BP55" s="221" t="str">
        <f t="shared" si="81"/>
        <v xml:space="preserve"> </v>
      </c>
      <c r="BQ55" s="221" t="str">
        <f t="shared" si="82"/>
        <v xml:space="preserve"> </v>
      </c>
      <c r="BR55" s="221" t="str">
        <f t="shared" si="83"/>
        <v xml:space="preserve"> </v>
      </c>
      <c r="BS55" s="221" t="str">
        <f t="shared" si="84"/>
        <v xml:space="preserve"> </v>
      </c>
      <c r="BT55" s="221" t="str">
        <f t="shared" si="85"/>
        <v xml:space="preserve"> </v>
      </c>
      <c r="BU55" s="221" t="str">
        <f t="shared" si="86"/>
        <v xml:space="preserve"> </v>
      </c>
      <c r="BV55" s="221" t="str">
        <f t="shared" si="87"/>
        <v xml:space="preserve"> </v>
      </c>
      <c r="BW55" s="221" t="str">
        <f t="shared" si="88"/>
        <v xml:space="preserve"> </v>
      </c>
      <c r="BX55" s="421" t="str">
        <f t="shared" si="89"/>
        <v xml:space="preserve"> </v>
      </c>
      <c r="BY55" s="417" t="str">
        <f t="shared" si="90"/>
        <v xml:space="preserve"> </v>
      </c>
      <c r="BZ55" s="417" t="str">
        <f t="shared" si="91"/>
        <v xml:space="preserve"> </v>
      </c>
      <c r="CA55" s="422" t="str">
        <f t="shared" si="92"/>
        <v xml:space="preserve"> </v>
      </c>
      <c r="CB55" s="347" t="str">
        <f t="shared" si="25"/>
        <v xml:space="preserve"> </v>
      </c>
      <c r="CC55" s="347" t="str">
        <f t="shared" si="93"/>
        <v xml:space="preserve"> </v>
      </c>
      <c r="CD55" s="348" t="str">
        <f t="shared" si="26"/>
        <v xml:space="preserve"> </v>
      </c>
      <c r="CE55" s="347" t="str">
        <f t="shared" si="27"/>
        <v xml:space="preserve"> </v>
      </c>
      <c r="CF55" s="347" t="str">
        <f t="shared" si="28"/>
        <v xml:space="preserve"> </v>
      </c>
      <c r="CG55" s="348" t="str">
        <f t="shared" si="29"/>
        <v xml:space="preserve"> </v>
      </c>
      <c r="CH55" s="347" t="str">
        <f t="shared" si="94"/>
        <v xml:space="preserve"> </v>
      </c>
      <c r="CI55" s="349" t="str">
        <f>IF($A55="N/A"," ",F55+G55+(D55*('Pricing Inputs'!T88)))</f>
        <v xml:space="preserve"> </v>
      </c>
      <c r="CJ55" s="347" t="str">
        <f>IF($A55="N/A"," ",IF(PV=1,0,'Pricing Inputs'!U88))</f>
        <v xml:space="preserve"> </v>
      </c>
      <c r="CK55" s="350" t="str">
        <f t="shared" si="30"/>
        <v xml:space="preserve"> </v>
      </c>
      <c r="CL55" s="365" t="str">
        <f t="shared" si="31"/>
        <v xml:space="preserve"> </v>
      </c>
      <c r="CM55" s="380" t="str">
        <f t="shared" si="95"/>
        <v xml:space="preserve"> </v>
      </c>
      <c r="CN55" s="378" t="str">
        <f t="shared" si="32"/>
        <v xml:space="preserve"> </v>
      </c>
      <c r="CO55" s="378" t="str">
        <f t="shared" si="33"/>
        <v xml:space="preserve"> </v>
      </c>
      <c r="CP55" s="378" t="str">
        <f t="shared" si="34"/>
        <v xml:space="preserve"> </v>
      </c>
      <c r="CQ55" s="378" t="str">
        <f t="shared" si="35"/>
        <v xml:space="preserve"> </v>
      </c>
      <c r="CR55" s="378" t="str">
        <f t="shared" si="36"/>
        <v xml:space="preserve"> </v>
      </c>
      <c r="CS55" s="378" t="str">
        <f t="shared" si="37"/>
        <v xml:space="preserve"> </v>
      </c>
      <c r="CT55" s="378" t="str">
        <f t="shared" si="38"/>
        <v xml:space="preserve"> </v>
      </c>
      <c r="CU55" s="378" t="str">
        <f t="shared" si="39"/>
        <v xml:space="preserve"> </v>
      </c>
      <c r="CV55" s="378" t="str">
        <f t="shared" si="40"/>
        <v xml:space="preserve"> </v>
      </c>
      <c r="CW55" s="254" t="str">
        <f t="shared" si="41"/>
        <v xml:space="preserve"> </v>
      </c>
      <c r="CX55" s="254" t="str">
        <f t="shared" si="42"/>
        <v xml:space="preserve"> </v>
      </c>
      <c r="CY55" s="254" t="str">
        <f t="shared" si="43"/>
        <v xml:space="preserve"> </v>
      </c>
      <c r="CZ55" s="254" t="str">
        <f t="shared" si="44"/>
        <v xml:space="preserve"> </v>
      </c>
      <c r="DA55" s="254" t="str">
        <f t="shared" si="45"/>
        <v xml:space="preserve"> </v>
      </c>
      <c r="DB55" s="254" t="str">
        <f t="shared" si="46"/>
        <v xml:space="preserve"> </v>
      </c>
      <c r="DC55" s="254" t="str">
        <f t="shared" si="47"/>
        <v xml:space="preserve"> </v>
      </c>
      <c r="DD55" s="254" t="str">
        <f t="shared" si="48"/>
        <v xml:space="preserve"> </v>
      </c>
      <c r="DE55" s="254" t="str">
        <f t="shared" si="49"/>
        <v xml:space="preserve"> </v>
      </c>
      <c r="DF55" s="374" t="str">
        <f>IF($A55="N/A"," ",IF(CC=2,(IF(MONTH(A55)&gt;=4,IF(MONTH(A55)&lt;=10,Inputs!$G$13,Inputs!$G$14),Inputs!$G$14))*$CK55,0))</f>
        <v xml:space="preserve"> </v>
      </c>
      <c r="DG55" s="373" t="str">
        <f t="shared" si="50"/>
        <v xml:space="preserve"> </v>
      </c>
      <c r="DH55" s="373" t="str">
        <f t="shared" si="51"/>
        <v xml:space="preserve"> </v>
      </c>
      <c r="DI55" s="373" t="str">
        <f t="shared" si="52"/>
        <v xml:space="preserve"> </v>
      </c>
      <c r="DJ55" s="373" t="str">
        <f t="shared" si="53"/>
        <v xml:space="preserve"> </v>
      </c>
      <c r="DK55" s="373" t="str">
        <f t="shared" si="54"/>
        <v xml:space="preserve"> </v>
      </c>
      <c r="DL55" s="373" t="str">
        <f t="shared" si="55"/>
        <v xml:space="preserve"> </v>
      </c>
      <c r="DM55" s="373" t="str">
        <f t="shared" si="56"/>
        <v xml:space="preserve"> </v>
      </c>
      <c r="DN55" s="373" t="str">
        <f t="shared" si="57"/>
        <v xml:space="preserve"> </v>
      </c>
      <c r="DO55" s="373" t="str">
        <f t="shared" si="58"/>
        <v xml:space="preserve"> </v>
      </c>
      <c r="DP55" s="375" t="str">
        <f t="shared" si="59"/>
        <v xml:space="preserve"> </v>
      </c>
      <c r="DQ55" t="str">
        <f t="shared" si="96"/>
        <v xml:space="preserve"> </v>
      </c>
      <c r="HD55" t="str">
        <f t="shared" si="97"/>
        <v xml:space="preserve"> </v>
      </c>
      <c r="HE55" t="str">
        <f t="shared" si="98"/>
        <v xml:space="preserve"> </v>
      </c>
      <c r="HF55" t="str">
        <f t="shared" si="99"/>
        <v xml:space="preserve"> </v>
      </c>
    </row>
    <row r="56" spans="1:214">
      <c r="A56" s="415" t="str">
        <f>IF(A55="N/A","N/A",IF(EDATE(A55,1)&gt;Inputs!$K$3,"N/A",EDATE(A55,1)))</f>
        <v>N/A</v>
      </c>
      <c r="B56" s="410" t="str">
        <f t="shared" si="60"/>
        <v xml:space="preserve"> </v>
      </c>
      <c r="C56" s="411" t="str">
        <f t="shared" si="61"/>
        <v xml:space="preserve"> </v>
      </c>
      <c r="D56" s="412" t="str">
        <f t="shared" si="62"/>
        <v xml:space="preserve"> </v>
      </c>
      <c r="E56" s="413" t="str">
        <f>IF($A56="N/A"," ",(C56-'Pricing Inputs'!T89)*D56)</f>
        <v xml:space="preserve"> </v>
      </c>
      <c r="F56" s="414" t="str">
        <f t="shared" si="116"/>
        <v xml:space="preserve"> </v>
      </c>
      <c r="G56" s="414" t="str">
        <f t="shared" si="64"/>
        <v xml:space="preserve"> </v>
      </c>
      <c r="H56" s="416" t="str">
        <f t="shared" si="65"/>
        <v xml:space="preserve"> </v>
      </c>
      <c r="I56" s="213" t="str">
        <f t="shared" si="0"/>
        <v xml:space="preserve"> </v>
      </c>
      <c r="J56" s="213" t="str">
        <f t="shared" si="1"/>
        <v xml:space="preserve"> </v>
      </c>
      <c r="K56" s="213" t="str">
        <f t="shared" si="2"/>
        <v xml:space="preserve"> </v>
      </c>
      <c r="L56" s="213" t="str">
        <f t="shared" si="3"/>
        <v xml:space="preserve"> </v>
      </c>
      <c r="M56" s="213" t="str">
        <f t="shared" si="4"/>
        <v xml:space="preserve"> </v>
      </c>
      <c r="N56" s="213" t="str">
        <f t="shared" si="5"/>
        <v xml:space="preserve"> </v>
      </c>
      <c r="O56" s="213" t="str">
        <f t="shared" si="6"/>
        <v xml:space="preserve"> </v>
      </c>
      <c r="P56" s="213" t="str">
        <f t="shared" si="7"/>
        <v xml:space="preserve"> </v>
      </c>
      <c r="Q56" s="213" t="str">
        <f t="shared" si="8"/>
        <v xml:space="preserve"> </v>
      </c>
      <c r="R56" s="405" t="str">
        <f>IF($A56="N/A"," ",IF(Pricetype=2,MAX(I56-$H56,0),IF(Pricetype=1,(_xll.xSPRDOPT(I56,$E56,$CI56,0,($CD56+IF(Smile=TRUE,VLOOKUP(MAX(-5,$H56-I56),Volsmile,2),0)),$CG56,$CH56,($A56-DateToday)+15,1,0)),I56-$H56)))</f>
        <v xml:space="preserve"> </v>
      </c>
      <c r="S56" s="405" t="str">
        <f>IF($A56="N/A"," ",IF(Pricetype=2,MAX(J56-$H56,0),IF(Pricetype=1,(_xll.xSPRDOPT(J56,$E56,$CI56,0,($CD56+IF(Smile=TRUE,VLOOKUP(MAX(-5,$H56-J56),Volsmile,2),0)),$CG56,$CH56,($A56-DateToday)+15,1,0)),J56-$H56)))</f>
        <v xml:space="preserve"> </v>
      </c>
      <c r="T56" s="406" t="str">
        <f t="shared" si="9"/>
        <v xml:space="preserve"> </v>
      </c>
      <c r="U56" s="405" t="str">
        <f>IF($A56="N/A"," ",IF(Pricetype=2,MAX(L56-$H56,0),IF(L56&lt;&gt;0,IF(Pricetype=1,(_xll.xSPRDOPT(L56,$E56,$CI56,0,($CD56+IF(Smile=TRUE,VLOOKUP(MAX(-5,$H56-L56),Volsmile,2),0)),$CG56,$CH56,($A56-DateToday)+15,1,0)),L56-$H56),0)))</f>
        <v xml:space="preserve"> </v>
      </c>
      <c r="V56" s="405" t="str">
        <f>IF($A56="N/A"," ",IF(Pricetype=2,MAX(M56-$H56,0),IF(M56&lt;&gt;0,IF(Pricetype=1,(_xll.xSPRDOPT(M56,$E56,$CI56,0,($CD56+IF(Smile=TRUE,VLOOKUP(MAX(-5,$H56-M56),Volsmile,2),0)),$CG56,$CH56,($A56-DateToday)+15,1,0)),M56-$H56),0)))</f>
        <v xml:space="preserve"> </v>
      </c>
      <c r="W56" s="406" t="str">
        <f t="shared" si="10"/>
        <v xml:space="preserve"> </v>
      </c>
      <c r="X56" s="405" t="str">
        <f>IF($A56="N/A"," ",IF(Pricetype=2,MAX(O56-$H56,0),IF(O56&lt;&gt;0,IF(Pricetype=1,(_xll.xSPRDOPT(O56,$E56,$CI56,0,($CD56+IF(Smile=TRUE,VLOOKUP(MAX(-5,$H56-O56),Volsmile,2),0)),$CG56,$CH56,($A56-DateToday)+15,1,0)),O56-$H56),0)))</f>
        <v xml:space="preserve"> </v>
      </c>
      <c r="Y56" s="405" t="str">
        <f>IF($A56="N/A"," ",IF(Pricetype=2,MAX(P56-$H56,0),IF(P56&lt;&gt;0,IF(Pricetype=1,(_xll.xSPRDOPT(P56,$E56,$CI56,0,($CD56+IF(Smile=TRUE,VLOOKUP(MAX(-5,$H56-P56),Volsmile,2),0)),$CG56,$CH56,($A56-DateToday)+15,1,0)),P56-$H56),0)))</f>
        <v xml:space="preserve"> </v>
      </c>
      <c r="Z56" s="406" t="str">
        <f t="shared" si="11"/>
        <v xml:space="preserve"> </v>
      </c>
      <c r="AA56" s="254" t="str">
        <f>IF($A56="N/A"," ",IF(VLOOKUP(MONTH(A56),ManualTable,2)=1,(IF(0&lt;&gt;R56,IF(Pricetype=1,(_xll.xSPRDOPT(I56,$E56,$CI56,0,($CD56+IF(Smile=TRUE,VLOOKUP(MAX(-5,$H56-I56),Volsmile,2),0)),$CG56,$CH56,($A56-DateToday)+15,1,1))*(8*$HD56),8*$HD56),0)),0))</f>
        <v xml:space="preserve"> </v>
      </c>
      <c r="AB56" s="254" t="str">
        <f>IF($A56="N/A"," ",IF(VLOOKUP(MONTH(A56),ManualTable,3)=1,(IF(S56&lt;&gt;0,IF(Pricetype=1,(_xll.xSPRDOPT(J56,$E56,$CI56,0,($CD56+IF(Smile=TRUE,VLOOKUP(MAX(-5,$H56-J56),Volsmile,2),0)),$CG56,$CH56,($A56-DateToday)+15,1,1))*(8*$HD56),8*$HD56),0)),0))</f>
        <v xml:space="preserve"> </v>
      </c>
      <c r="AC56" s="254" t="str">
        <f t="shared" si="66"/>
        <v xml:space="preserve"> </v>
      </c>
      <c r="AD56" s="254" t="str">
        <f>IF($A56="N/A"," ",IF(VLOOKUP(MONTH(A56),ManualTable,5)=1,(IF(U56&lt;&gt;0,IF(Pricetype=1,(_xll.xSPRDOPT(L56,$E56,$CI56,0,($CD56+IF(Smile=TRUE,VLOOKUP(MAX(-5,$H56-L56),Volsmile,2),0)),$CG56,$CH56,($A56-DateToday)+15,1,1))*(8*$HE56),8*$HE56),0)),0))</f>
        <v xml:space="preserve"> </v>
      </c>
      <c r="AE56" s="254" t="str">
        <f>IF($A56="N/A"," ",IF(VLOOKUP(MONTH(A56),ManualTable,6)=1,(IF(V56&lt;&gt;0,IF(Pricetype=1,(_xll.xSPRDOPT(M56,$E56,$CI56,0,($CD56+IF(Smile=TRUE,VLOOKUP(MAX(-5,$H56-M56),Volsmile,2),0)),$CG56,$CH56,($A56-DateToday)+15,1,1))*(8*$HE56),8*$HE56),0)),0))</f>
        <v xml:space="preserve"> </v>
      </c>
      <c r="AF56" s="254" t="str">
        <f t="shared" si="67"/>
        <v xml:space="preserve"> </v>
      </c>
      <c r="AG56" s="254" t="str">
        <f>IF($A56="N/A"," ",IF(VLOOKUP(MONTH(A56),ManualTable,8)=1,(IF(X56&lt;&gt;0,IF(Pricetype=1,(_xll.xSPRDOPT(O56,$E56,$CI56,0,($CD56+IF(Smile=TRUE,VLOOKUP(MAX(-5,$H56-O56),Volsmile,2),0)),$CG56,$CH56,($A56-DateToday)+15,1,1))*(8*$HF56),8*$HF56),0)),0))</f>
        <v xml:space="preserve"> </v>
      </c>
      <c r="AH56" s="254" t="str">
        <f>IF($A56="N/A"," ",IF(VLOOKUP(MONTH(A56),ManualTable,9)=1,(IF(Y56&lt;&gt;0,IF(Pricetype=1,(_xll.xSPRDOPT(P56,$E56,$CI56,0,($CD56+IF(Smile=TRUE,VLOOKUP(MAX(-5,$H56-P56),Volsmile,2),0)),$CG56,$CH56,($A56-DateToday)+15,1,1))*(8*$HF56),8*$HF56),0)),0))</f>
        <v xml:space="preserve"> </v>
      </c>
      <c r="AI56" s="254" t="str">
        <f t="shared" si="68"/>
        <v xml:space="preserve"> </v>
      </c>
      <c r="AJ56" s="227" t="str">
        <f t="shared" si="161"/>
        <v xml:space="preserve"> </v>
      </c>
      <c r="AK56" s="228" t="str">
        <f t="shared" si="162"/>
        <v xml:space="preserve"> </v>
      </c>
      <c r="AL56" s="228" t="str">
        <f t="shared" si="162"/>
        <v xml:space="preserve"> </v>
      </c>
      <c r="AM56" s="228" t="str">
        <f t="shared" si="163"/>
        <v xml:space="preserve"> </v>
      </c>
      <c r="AN56" s="228" t="str">
        <f t="shared" si="164"/>
        <v xml:space="preserve"> </v>
      </c>
      <c r="AO56" s="228" t="str">
        <f t="shared" si="164"/>
        <v xml:space="preserve"> </v>
      </c>
      <c r="AP56" s="228" t="str">
        <f t="shared" si="165"/>
        <v xml:space="preserve"> </v>
      </c>
      <c r="AQ56" s="228" t="str">
        <f t="shared" si="166"/>
        <v xml:space="preserve"> </v>
      </c>
      <c r="AR56" s="229" t="str">
        <f t="shared" si="167"/>
        <v xml:space="preserve"> </v>
      </c>
      <c r="AS56" s="262" t="str">
        <f t="shared" si="102"/>
        <v xml:space="preserve"> </v>
      </c>
      <c r="AT56" s="263" t="str">
        <f t="shared" si="103"/>
        <v xml:space="preserve"> </v>
      </c>
      <c r="AU56" s="263" t="str">
        <f t="shared" si="103"/>
        <v xml:space="preserve"> </v>
      </c>
      <c r="AV56" s="263" t="str">
        <f t="shared" si="104"/>
        <v xml:space="preserve"> </v>
      </c>
      <c r="AW56" s="263" t="str">
        <f t="shared" si="105"/>
        <v xml:space="preserve"> </v>
      </c>
      <c r="AX56" s="263" t="str">
        <f t="shared" si="105"/>
        <v xml:space="preserve"> </v>
      </c>
      <c r="AY56" s="263" t="str">
        <f t="shared" si="106"/>
        <v xml:space="preserve"> </v>
      </c>
      <c r="AZ56" s="263" t="str">
        <f t="shared" si="107"/>
        <v xml:space="preserve"> </v>
      </c>
      <c r="BA56" s="263" t="str">
        <f t="shared" si="108"/>
        <v xml:space="preserve"> </v>
      </c>
      <c r="BB56" s="229"/>
      <c r="BC56" s="266" t="str">
        <f t="shared" si="154"/>
        <v xml:space="preserve"> </v>
      </c>
      <c r="BD56" s="269" t="str">
        <f t="shared" si="155"/>
        <v xml:space="preserve"> </v>
      </c>
      <c r="BE56" s="269" t="str">
        <f t="shared" si="155"/>
        <v xml:space="preserve"> </v>
      </c>
      <c r="BF56" s="269" t="str">
        <f t="shared" si="156"/>
        <v xml:space="preserve"> </v>
      </c>
      <c r="BG56" s="269" t="str">
        <f t="shared" si="157"/>
        <v xml:space="preserve"> </v>
      </c>
      <c r="BH56" s="269" t="str">
        <f t="shared" si="157"/>
        <v xml:space="preserve"> </v>
      </c>
      <c r="BI56" s="269" t="str">
        <f t="shared" si="158"/>
        <v xml:space="preserve"> </v>
      </c>
      <c r="BJ56" s="269" t="str">
        <f t="shared" si="159"/>
        <v xml:space="preserve"> </v>
      </c>
      <c r="BK56" s="269" t="str">
        <f t="shared" si="160"/>
        <v xml:space="preserve"> </v>
      </c>
      <c r="BL56" s="229"/>
      <c r="BM56" s="220" t="str">
        <f>IF($A56="N/A"," ",(IF(MONTH(A56)&gt;=4,IF(MONTH(A56)&lt;=10,Inputs!$F$13-Inputs!$G$13,Inputs!$F$14-Inputs!$G$14),Inputs!$F$14-Inputs!$G$14))*$CK56*Availability)</f>
        <v xml:space="preserve"> </v>
      </c>
      <c r="BN56" s="221" t="str">
        <f t="shared" si="79"/>
        <v xml:space="preserve"> </v>
      </c>
      <c r="BO56" s="221" t="str">
        <f t="shared" si="80"/>
        <v xml:space="preserve"> </v>
      </c>
      <c r="BP56" s="221" t="str">
        <f t="shared" si="81"/>
        <v xml:space="preserve"> </v>
      </c>
      <c r="BQ56" s="221" t="str">
        <f t="shared" si="82"/>
        <v xml:space="preserve"> </v>
      </c>
      <c r="BR56" s="221" t="str">
        <f t="shared" si="83"/>
        <v xml:space="preserve"> </v>
      </c>
      <c r="BS56" s="221" t="str">
        <f t="shared" si="84"/>
        <v xml:space="preserve"> </v>
      </c>
      <c r="BT56" s="221" t="str">
        <f t="shared" si="85"/>
        <v xml:space="preserve"> </v>
      </c>
      <c r="BU56" s="221" t="str">
        <f t="shared" si="86"/>
        <v xml:space="preserve"> </v>
      </c>
      <c r="BV56" s="221" t="str">
        <f t="shared" si="87"/>
        <v xml:space="preserve"> </v>
      </c>
      <c r="BW56" s="221" t="str">
        <f t="shared" si="88"/>
        <v xml:space="preserve"> </v>
      </c>
      <c r="BX56" s="421" t="str">
        <f t="shared" si="89"/>
        <v xml:space="preserve"> </v>
      </c>
      <c r="BY56" s="417" t="str">
        <f t="shared" si="90"/>
        <v xml:space="preserve"> </v>
      </c>
      <c r="BZ56" s="417" t="str">
        <f t="shared" si="91"/>
        <v xml:space="preserve"> </v>
      </c>
      <c r="CA56" s="422" t="str">
        <f t="shared" si="92"/>
        <v xml:space="preserve"> </v>
      </c>
      <c r="CB56" s="347" t="str">
        <f t="shared" si="25"/>
        <v xml:space="preserve"> </v>
      </c>
      <c r="CC56" s="347" t="str">
        <f t="shared" si="93"/>
        <v xml:space="preserve"> </v>
      </c>
      <c r="CD56" s="348" t="str">
        <f t="shared" si="26"/>
        <v xml:space="preserve"> </v>
      </c>
      <c r="CE56" s="347" t="str">
        <f t="shared" si="27"/>
        <v xml:space="preserve"> </v>
      </c>
      <c r="CF56" s="347" t="str">
        <f t="shared" si="28"/>
        <v xml:space="preserve"> </v>
      </c>
      <c r="CG56" s="348" t="str">
        <f t="shared" si="29"/>
        <v xml:space="preserve"> </v>
      </c>
      <c r="CH56" s="347" t="str">
        <f t="shared" si="94"/>
        <v xml:space="preserve"> </v>
      </c>
      <c r="CI56" s="349" t="str">
        <f>IF($A56="N/A"," ",F56+G56+(D56*('Pricing Inputs'!T89)))</f>
        <v xml:space="preserve"> </v>
      </c>
      <c r="CJ56" s="347" t="str">
        <f>IF($A56="N/A"," ",IF(PV=1,0,'Pricing Inputs'!U89))</f>
        <v xml:space="preserve"> </v>
      </c>
      <c r="CK56" s="350" t="str">
        <f t="shared" si="30"/>
        <v xml:space="preserve"> </v>
      </c>
      <c r="CL56" s="365" t="str">
        <f t="shared" si="31"/>
        <v xml:space="preserve"> </v>
      </c>
      <c r="CM56" s="380" t="str">
        <f t="shared" si="95"/>
        <v xml:space="preserve"> </v>
      </c>
      <c r="CN56" s="378" t="str">
        <f t="shared" si="32"/>
        <v xml:space="preserve"> </v>
      </c>
      <c r="CO56" s="378" t="str">
        <f t="shared" si="33"/>
        <v xml:space="preserve"> </v>
      </c>
      <c r="CP56" s="378" t="str">
        <f t="shared" si="34"/>
        <v xml:space="preserve"> </v>
      </c>
      <c r="CQ56" s="378" t="str">
        <f t="shared" si="35"/>
        <v xml:space="preserve"> </v>
      </c>
      <c r="CR56" s="378" t="str">
        <f t="shared" si="36"/>
        <v xml:space="preserve"> </v>
      </c>
      <c r="CS56" s="378" t="str">
        <f t="shared" si="37"/>
        <v xml:space="preserve"> </v>
      </c>
      <c r="CT56" s="378" t="str">
        <f t="shared" si="38"/>
        <v xml:space="preserve"> </v>
      </c>
      <c r="CU56" s="378" t="str">
        <f t="shared" si="39"/>
        <v xml:space="preserve"> </v>
      </c>
      <c r="CV56" s="378" t="str">
        <f t="shared" si="40"/>
        <v xml:space="preserve"> </v>
      </c>
      <c r="CW56" s="254" t="str">
        <f t="shared" si="41"/>
        <v xml:space="preserve"> </v>
      </c>
      <c r="CX56" s="254" t="str">
        <f t="shared" si="42"/>
        <v xml:space="preserve"> </v>
      </c>
      <c r="CY56" s="254" t="str">
        <f t="shared" si="43"/>
        <v xml:space="preserve"> </v>
      </c>
      <c r="CZ56" s="254" t="str">
        <f t="shared" si="44"/>
        <v xml:space="preserve"> </v>
      </c>
      <c r="DA56" s="254" t="str">
        <f t="shared" si="45"/>
        <v xml:space="preserve"> </v>
      </c>
      <c r="DB56" s="254" t="str">
        <f t="shared" si="46"/>
        <v xml:space="preserve"> </v>
      </c>
      <c r="DC56" s="254" t="str">
        <f t="shared" si="47"/>
        <v xml:space="preserve"> </v>
      </c>
      <c r="DD56" s="254" t="str">
        <f t="shared" si="48"/>
        <v xml:space="preserve"> </v>
      </c>
      <c r="DE56" s="254" t="str">
        <f t="shared" si="49"/>
        <v xml:space="preserve"> </v>
      </c>
      <c r="DF56" s="374" t="str">
        <f>IF($A56="N/A"," ",IF(CC=2,(IF(MONTH(A56)&gt;=4,IF(MONTH(A56)&lt;=10,Inputs!$G$13,Inputs!$G$14),Inputs!$G$14))*$CK56,0))</f>
        <v xml:space="preserve"> </v>
      </c>
      <c r="DG56" s="373" t="str">
        <f t="shared" si="50"/>
        <v xml:space="preserve"> </v>
      </c>
      <c r="DH56" s="373" t="str">
        <f t="shared" si="51"/>
        <v xml:space="preserve"> </v>
      </c>
      <c r="DI56" s="373" t="str">
        <f t="shared" si="52"/>
        <v xml:space="preserve"> </v>
      </c>
      <c r="DJ56" s="373" t="str">
        <f t="shared" si="53"/>
        <v xml:space="preserve"> </v>
      </c>
      <c r="DK56" s="373" t="str">
        <f t="shared" si="54"/>
        <v xml:space="preserve"> </v>
      </c>
      <c r="DL56" s="373" t="str">
        <f t="shared" si="55"/>
        <v xml:space="preserve"> </v>
      </c>
      <c r="DM56" s="373" t="str">
        <f t="shared" si="56"/>
        <v xml:space="preserve"> </v>
      </c>
      <c r="DN56" s="373" t="str">
        <f t="shared" si="57"/>
        <v xml:space="preserve"> </v>
      </c>
      <c r="DO56" s="373" t="str">
        <f t="shared" si="58"/>
        <v xml:space="preserve"> </v>
      </c>
      <c r="DP56" s="375" t="str">
        <f t="shared" si="59"/>
        <v xml:space="preserve"> </v>
      </c>
      <c r="DQ56" t="str">
        <f t="shared" si="96"/>
        <v xml:space="preserve"> </v>
      </c>
      <c r="HD56" t="str">
        <f t="shared" si="97"/>
        <v xml:space="preserve"> </v>
      </c>
      <c r="HE56" t="str">
        <f t="shared" si="98"/>
        <v xml:space="preserve"> </v>
      </c>
      <c r="HF56" t="str">
        <f t="shared" si="99"/>
        <v xml:space="preserve"> </v>
      </c>
    </row>
    <row r="57" spans="1:214">
      <c r="A57" s="415" t="str">
        <f>IF(A56="N/A","N/A",IF(EDATE(A56,1)&gt;Inputs!$K$3,"N/A",EDATE(A56,1)))</f>
        <v>N/A</v>
      </c>
      <c r="B57" s="410" t="str">
        <f t="shared" si="60"/>
        <v xml:space="preserve"> </v>
      </c>
      <c r="C57" s="411" t="str">
        <f t="shared" si="61"/>
        <v xml:space="preserve"> </v>
      </c>
      <c r="D57" s="412" t="str">
        <f t="shared" si="62"/>
        <v xml:space="preserve"> </v>
      </c>
      <c r="E57" s="413" t="str">
        <f>IF($A57="N/A"," ",(C57-'Pricing Inputs'!T90)*D57)</f>
        <v xml:space="preserve"> </v>
      </c>
      <c r="F57" s="414" t="str">
        <f t="shared" si="116"/>
        <v xml:space="preserve"> </v>
      </c>
      <c r="G57" s="414" t="str">
        <f t="shared" si="64"/>
        <v xml:space="preserve"> </v>
      </c>
      <c r="H57" s="416" t="str">
        <f t="shared" si="65"/>
        <v xml:space="preserve"> </v>
      </c>
      <c r="I57" s="213" t="str">
        <f t="shared" si="0"/>
        <v xml:space="preserve"> </v>
      </c>
      <c r="J57" s="213" t="str">
        <f t="shared" si="1"/>
        <v xml:space="preserve"> </v>
      </c>
      <c r="K57" s="213" t="str">
        <f t="shared" si="2"/>
        <v xml:space="preserve"> </v>
      </c>
      <c r="L57" s="213" t="str">
        <f t="shared" si="3"/>
        <v xml:space="preserve"> </v>
      </c>
      <c r="M57" s="213" t="str">
        <f t="shared" si="4"/>
        <v xml:space="preserve"> </v>
      </c>
      <c r="N57" s="213" t="str">
        <f t="shared" si="5"/>
        <v xml:space="preserve"> </v>
      </c>
      <c r="O57" s="213" t="str">
        <f t="shared" si="6"/>
        <v xml:space="preserve"> </v>
      </c>
      <c r="P57" s="213" t="str">
        <f t="shared" si="7"/>
        <v xml:space="preserve"> </v>
      </c>
      <c r="Q57" s="213" t="str">
        <f t="shared" si="8"/>
        <v xml:space="preserve"> </v>
      </c>
      <c r="R57" s="405" t="str">
        <f>IF($A57="N/A"," ",IF(Pricetype=2,MAX(I57-$H57,0),IF(Pricetype=1,(_xll.xSPRDOPT(I57,$E57,$CI57,0,($CD57+IF(Smile=TRUE,VLOOKUP(MAX(-5,$H57-I57),Volsmile,2),0)),$CG57,$CH57,($A57-DateToday)+15,1,0)),I57-$H57)))</f>
        <v xml:space="preserve"> </v>
      </c>
      <c r="S57" s="405" t="str">
        <f>IF($A57="N/A"," ",IF(Pricetype=2,MAX(J57-$H57,0),IF(Pricetype=1,(_xll.xSPRDOPT(J57,$E57,$CI57,0,($CD57+IF(Smile=TRUE,VLOOKUP(MAX(-5,$H57-J57),Volsmile,2),0)),$CG57,$CH57,($A57-DateToday)+15,1,0)),J57-$H57)))</f>
        <v xml:space="preserve"> </v>
      </c>
      <c r="T57" s="406" t="str">
        <f t="shared" si="9"/>
        <v xml:space="preserve"> </v>
      </c>
      <c r="U57" s="405" t="str">
        <f>IF($A57="N/A"," ",IF(Pricetype=2,MAX(L57-$H57,0),IF(L57&lt;&gt;0,IF(Pricetype=1,(_xll.xSPRDOPT(L57,$E57,$CI57,0,($CD57+IF(Smile=TRUE,VLOOKUP(MAX(-5,$H57-L57),Volsmile,2),0)),$CG57,$CH57,($A57-DateToday)+15,1,0)),L57-$H57),0)))</f>
        <v xml:space="preserve"> </v>
      </c>
      <c r="V57" s="405" t="str">
        <f>IF($A57="N/A"," ",IF(Pricetype=2,MAX(M57-$H57,0),IF(M57&lt;&gt;0,IF(Pricetype=1,(_xll.xSPRDOPT(M57,$E57,$CI57,0,($CD57+IF(Smile=TRUE,VLOOKUP(MAX(-5,$H57-M57),Volsmile,2),0)),$CG57,$CH57,($A57-DateToday)+15,1,0)),M57-$H57),0)))</f>
        <v xml:space="preserve"> </v>
      </c>
      <c r="W57" s="406" t="str">
        <f t="shared" si="10"/>
        <v xml:space="preserve"> </v>
      </c>
      <c r="X57" s="405" t="str">
        <f>IF($A57="N/A"," ",IF(Pricetype=2,MAX(O57-$H57,0),IF(O57&lt;&gt;0,IF(Pricetype=1,(_xll.xSPRDOPT(O57,$E57,$CI57,0,($CD57+IF(Smile=TRUE,VLOOKUP(MAX(-5,$H57-O57),Volsmile,2),0)),$CG57,$CH57,($A57-DateToday)+15,1,0)),O57-$H57),0)))</f>
        <v xml:space="preserve"> </v>
      </c>
      <c r="Y57" s="405" t="str">
        <f>IF($A57="N/A"," ",IF(Pricetype=2,MAX(P57-$H57,0),IF(P57&lt;&gt;0,IF(Pricetype=1,(_xll.xSPRDOPT(P57,$E57,$CI57,0,($CD57+IF(Smile=TRUE,VLOOKUP(MAX(-5,$H57-P57),Volsmile,2),0)),$CG57,$CH57,($A57-DateToday)+15,1,0)),P57-$H57),0)))</f>
        <v xml:space="preserve"> </v>
      </c>
      <c r="Z57" s="406" t="str">
        <f t="shared" si="11"/>
        <v xml:space="preserve"> </v>
      </c>
      <c r="AA57" s="254" t="str">
        <f>IF($A57="N/A"," ",IF(VLOOKUP(MONTH(A57),ManualTable,2)=1,(IF(0&lt;&gt;R57,IF(Pricetype=1,(_xll.xSPRDOPT(I57,$E57,$CI57,0,($CD57+IF(Smile=TRUE,VLOOKUP(MAX(-5,$H57-I57),Volsmile,2),0)),$CG57,$CH57,($A57-DateToday)+15,1,1))*(8*$HD57),8*$HD57),0)),0))</f>
        <v xml:space="preserve"> </v>
      </c>
      <c r="AB57" s="254" t="str">
        <f>IF($A57="N/A"," ",IF(VLOOKUP(MONTH(A57),ManualTable,3)=1,(IF(S57&lt;&gt;0,IF(Pricetype=1,(_xll.xSPRDOPT(J57,$E57,$CI57,0,($CD57+IF(Smile=TRUE,VLOOKUP(MAX(-5,$H57-J57),Volsmile,2),0)),$CG57,$CH57,($A57-DateToday)+15,1,1))*(8*$HD57),8*$HD57),0)),0))</f>
        <v xml:space="preserve"> </v>
      </c>
      <c r="AC57" s="254" t="str">
        <f t="shared" si="66"/>
        <v xml:space="preserve"> </v>
      </c>
      <c r="AD57" s="254" t="str">
        <f>IF($A57="N/A"," ",IF(VLOOKUP(MONTH(A57),ManualTable,5)=1,(IF(U57&lt;&gt;0,IF(Pricetype=1,(_xll.xSPRDOPT(L57,$E57,$CI57,0,($CD57+IF(Smile=TRUE,VLOOKUP(MAX(-5,$H57-L57),Volsmile,2),0)),$CG57,$CH57,($A57-DateToday)+15,1,1))*(8*$HE57),8*$HE57),0)),0))</f>
        <v xml:space="preserve"> </v>
      </c>
      <c r="AE57" s="254" t="str">
        <f>IF($A57="N/A"," ",IF(VLOOKUP(MONTH(A57),ManualTable,6)=1,(IF(V57&lt;&gt;0,IF(Pricetype=1,(_xll.xSPRDOPT(M57,$E57,$CI57,0,($CD57+IF(Smile=TRUE,VLOOKUP(MAX(-5,$H57-M57),Volsmile,2),0)),$CG57,$CH57,($A57-DateToday)+15,1,1))*(8*$HE57),8*$HE57),0)),0))</f>
        <v xml:space="preserve"> </v>
      </c>
      <c r="AF57" s="254" t="str">
        <f t="shared" si="67"/>
        <v xml:space="preserve"> </v>
      </c>
      <c r="AG57" s="254" t="str">
        <f>IF($A57="N/A"," ",IF(VLOOKUP(MONTH(A57),ManualTable,8)=1,(IF(X57&lt;&gt;0,IF(Pricetype=1,(_xll.xSPRDOPT(O57,$E57,$CI57,0,($CD57+IF(Smile=TRUE,VLOOKUP(MAX(-5,$H57-O57),Volsmile,2),0)),$CG57,$CH57,($A57-DateToday)+15,1,1))*(8*$HF57),8*$HF57),0)),0))</f>
        <v xml:space="preserve"> </v>
      </c>
      <c r="AH57" s="254" t="str">
        <f>IF($A57="N/A"," ",IF(VLOOKUP(MONTH(A57),ManualTable,9)=1,(IF(Y57&lt;&gt;0,IF(Pricetype=1,(_xll.xSPRDOPT(P57,$E57,$CI57,0,($CD57+IF(Smile=TRUE,VLOOKUP(MAX(-5,$H57-P57),Volsmile,2),0)),$CG57,$CH57,($A57-DateToday)+15,1,1))*(8*$HF57),8*$HF57),0)),0))</f>
        <v xml:space="preserve"> </v>
      </c>
      <c r="AI57" s="254" t="str">
        <f t="shared" si="68"/>
        <v xml:space="preserve"> </v>
      </c>
      <c r="AJ57" s="227" t="str">
        <f t="shared" si="161"/>
        <v xml:space="preserve"> </v>
      </c>
      <c r="AK57" s="228" t="str">
        <f t="shared" si="162"/>
        <v xml:space="preserve"> </v>
      </c>
      <c r="AL57" s="228" t="str">
        <f t="shared" si="162"/>
        <v xml:space="preserve"> </v>
      </c>
      <c r="AM57" s="228" t="str">
        <f t="shared" si="163"/>
        <v xml:space="preserve"> </v>
      </c>
      <c r="AN57" s="228" t="str">
        <f t="shared" si="164"/>
        <v xml:space="preserve"> </v>
      </c>
      <c r="AO57" s="228" t="str">
        <f t="shared" si="164"/>
        <v xml:space="preserve"> </v>
      </c>
      <c r="AP57" s="228" t="str">
        <f t="shared" si="165"/>
        <v xml:space="preserve"> </v>
      </c>
      <c r="AQ57" s="228" t="str">
        <f t="shared" si="166"/>
        <v xml:space="preserve"> </v>
      </c>
      <c r="AR57" s="229" t="str">
        <f t="shared" si="167"/>
        <v xml:space="preserve"> </v>
      </c>
      <c r="AS57" s="262" t="str">
        <f t="shared" si="102"/>
        <v xml:space="preserve"> </v>
      </c>
      <c r="AT57" s="263" t="str">
        <f t="shared" si="103"/>
        <v xml:space="preserve"> </v>
      </c>
      <c r="AU57" s="263" t="str">
        <f t="shared" si="103"/>
        <v xml:space="preserve"> </v>
      </c>
      <c r="AV57" s="263" t="str">
        <f t="shared" si="104"/>
        <v xml:space="preserve"> </v>
      </c>
      <c r="AW57" s="263" t="str">
        <f t="shared" si="105"/>
        <v xml:space="preserve"> </v>
      </c>
      <c r="AX57" s="263" t="str">
        <f t="shared" si="105"/>
        <v xml:space="preserve"> </v>
      </c>
      <c r="AY57" s="263" t="str">
        <f t="shared" si="106"/>
        <v xml:space="preserve"> </v>
      </c>
      <c r="AZ57" s="263" t="str">
        <f t="shared" si="107"/>
        <v xml:space="preserve"> </v>
      </c>
      <c r="BA57" s="263" t="str">
        <f t="shared" si="108"/>
        <v xml:space="preserve"> </v>
      </c>
      <c r="BB57" s="229"/>
      <c r="BC57" s="266" t="str">
        <f t="shared" si="154"/>
        <v xml:space="preserve"> </v>
      </c>
      <c r="BD57" s="269" t="str">
        <f t="shared" si="155"/>
        <v xml:space="preserve"> </v>
      </c>
      <c r="BE57" s="269" t="str">
        <f t="shared" si="155"/>
        <v xml:space="preserve"> </v>
      </c>
      <c r="BF57" s="269" t="str">
        <f t="shared" si="156"/>
        <v xml:space="preserve"> </v>
      </c>
      <c r="BG57" s="269" t="str">
        <f t="shared" si="157"/>
        <v xml:space="preserve"> </v>
      </c>
      <c r="BH57" s="269" t="str">
        <f t="shared" si="157"/>
        <v xml:space="preserve"> </v>
      </c>
      <c r="BI57" s="269" t="str">
        <f t="shared" si="158"/>
        <v xml:space="preserve"> </v>
      </c>
      <c r="BJ57" s="269" t="str">
        <f t="shared" si="159"/>
        <v xml:space="preserve"> </v>
      </c>
      <c r="BK57" s="269" t="str">
        <f t="shared" si="160"/>
        <v xml:space="preserve"> </v>
      </c>
      <c r="BL57" s="229"/>
      <c r="BM57" s="220" t="str">
        <f>IF($A57="N/A"," ",(IF(MONTH(A57)&gt;=4,IF(MONTH(A57)&lt;=10,Inputs!$F$13-Inputs!$G$13,Inputs!$F$14-Inputs!$G$14),Inputs!$F$14-Inputs!$G$14))*$CK57*Availability)</f>
        <v xml:space="preserve"> </v>
      </c>
      <c r="BN57" s="221" t="str">
        <f t="shared" si="79"/>
        <v xml:space="preserve"> </v>
      </c>
      <c r="BO57" s="221" t="str">
        <f t="shared" si="80"/>
        <v xml:space="preserve"> </v>
      </c>
      <c r="BP57" s="221" t="str">
        <f t="shared" si="81"/>
        <v xml:space="preserve"> </v>
      </c>
      <c r="BQ57" s="221" t="str">
        <f t="shared" si="82"/>
        <v xml:space="preserve"> </v>
      </c>
      <c r="BR57" s="221" t="str">
        <f t="shared" si="83"/>
        <v xml:space="preserve"> </v>
      </c>
      <c r="BS57" s="221" t="str">
        <f t="shared" si="84"/>
        <v xml:space="preserve"> </v>
      </c>
      <c r="BT57" s="221" t="str">
        <f t="shared" si="85"/>
        <v xml:space="preserve"> </v>
      </c>
      <c r="BU57" s="221" t="str">
        <f t="shared" si="86"/>
        <v xml:space="preserve"> </v>
      </c>
      <c r="BV57" s="221" t="str">
        <f t="shared" si="87"/>
        <v xml:space="preserve"> </v>
      </c>
      <c r="BW57" s="221" t="str">
        <f t="shared" si="88"/>
        <v xml:space="preserve"> </v>
      </c>
      <c r="BX57" s="421" t="str">
        <f t="shared" si="89"/>
        <v xml:space="preserve"> </v>
      </c>
      <c r="BY57" s="417" t="str">
        <f t="shared" si="90"/>
        <v xml:space="preserve"> </v>
      </c>
      <c r="BZ57" s="417" t="str">
        <f t="shared" si="91"/>
        <v xml:space="preserve"> </v>
      </c>
      <c r="CA57" s="422" t="str">
        <f t="shared" si="92"/>
        <v xml:space="preserve"> </v>
      </c>
      <c r="CB57" s="347" t="str">
        <f t="shared" si="25"/>
        <v xml:space="preserve"> </v>
      </c>
      <c r="CC57" s="347" t="str">
        <f t="shared" si="93"/>
        <v xml:space="preserve"> </v>
      </c>
      <c r="CD57" s="348" t="str">
        <f t="shared" si="26"/>
        <v xml:space="preserve"> </v>
      </c>
      <c r="CE57" s="347" t="str">
        <f t="shared" si="27"/>
        <v xml:space="preserve"> </v>
      </c>
      <c r="CF57" s="347" t="str">
        <f t="shared" si="28"/>
        <v xml:space="preserve"> </v>
      </c>
      <c r="CG57" s="348" t="str">
        <f t="shared" si="29"/>
        <v xml:space="preserve"> </v>
      </c>
      <c r="CH57" s="347" t="str">
        <f t="shared" si="94"/>
        <v xml:space="preserve"> </v>
      </c>
      <c r="CI57" s="349" t="str">
        <f>IF($A57="N/A"," ",F57+G57+(D57*('Pricing Inputs'!T90)))</f>
        <v xml:space="preserve"> </v>
      </c>
      <c r="CJ57" s="347" t="str">
        <f>IF($A57="N/A"," ",IF(PV=1,0,'Pricing Inputs'!U90))</f>
        <v xml:space="preserve"> </v>
      </c>
      <c r="CK57" s="350" t="str">
        <f t="shared" si="30"/>
        <v xml:space="preserve"> </v>
      </c>
      <c r="CL57" s="365" t="str">
        <f t="shared" si="31"/>
        <v xml:space="preserve"> </v>
      </c>
      <c r="CM57" s="380" t="str">
        <f t="shared" si="95"/>
        <v xml:space="preserve"> </v>
      </c>
      <c r="CN57" s="378" t="str">
        <f t="shared" si="32"/>
        <v xml:space="preserve"> </v>
      </c>
      <c r="CO57" s="378" t="str">
        <f t="shared" si="33"/>
        <v xml:space="preserve"> </v>
      </c>
      <c r="CP57" s="378" t="str">
        <f t="shared" si="34"/>
        <v xml:space="preserve"> </v>
      </c>
      <c r="CQ57" s="378" t="str">
        <f t="shared" si="35"/>
        <v xml:space="preserve"> </v>
      </c>
      <c r="CR57" s="378" t="str">
        <f t="shared" si="36"/>
        <v xml:space="preserve"> </v>
      </c>
      <c r="CS57" s="378" t="str">
        <f t="shared" si="37"/>
        <v xml:space="preserve"> </v>
      </c>
      <c r="CT57" s="378" t="str">
        <f t="shared" si="38"/>
        <v xml:space="preserve"> </v>
      </c>
      <c r="CU57" s="378" t="str">
        <f t="shared" si="39"/>
        <v xml:space="preserve"> </v>
      </c>
      <c r="CV57" s="378" t="str">
        <f t="shared" si="40"/>
        <v xml:space="preserve"> </v>
      </c>
      <c r="CW57" s="254" t="str">
        <f t="shared" si="41"/>
        <v xml:space="preserve"> </v>
      </c>
      <c r="CX57" s="254" t="str">
        <f t="shared" si="42"/>
        <v xml:space="preserve"> </v>
      </c>
      <c r="CY57" s="254" t="str">
        <f t="shared" si="43"/>
        <v xml:space="preserve"> </v>
      </c>
      <c r="CZ57" s="254" t="str">
        <f t="shared" si="44"/>
        <v xml:space="preserve"> </v>
      </c>
      <c r="DA57" s="254" t="str">
        <f t="shared" si="45"/>
        <v xml:space="preserve"> </v>
      </c>
      <c r="DB57" s="254" t="str">
        <f t="shared" si="46"/>
        <v xml:space="preserve"> </v>
      </c>
      <c r="DC57" s="254" t="str">
        <f t="shared" si="47"/>
        <v xml:space="preserve"> </v>
      </c>
      <c r="DD57" s="254" t="str">
        <f t="shared" si="48"/>
        <v xml:space="preserve"> </v>
      </c>
      <c r="DE57" s="254" t="str">
        <f t="shared" si="49"/>
        <v xml:space="preserve"> </v>
      </c>
      <c r="DF57" s="374" t="str">
        <f>IF($A57="N/A"," ",IF(CC=2,(IF(MONTH(A57)&gt;=4,IF(MONTH(A57)&lt;=10,Inputs!$G$13,Inputs!$G$14),Inputs!$G$14))*$CK57,0))</f>
        <v xml:space="preserve"> </v>
      </c>
      <c r="DG57" s="373" t="str">
        <f t="shared" si="50"/>
        <v xml:space="preserve"> </v>
      </c>
      <c r="DH57" s="373" t="str">
        <f t="shared" si="51"/>
        <v xml:space="preserve"> </v>
      </c>
      <c r="DI57" s="373" t="str">
        <f t="shared" si="52"/>
        <v xml:space="preserve"> </v>
      </c>
      <c r="DJ57" s="373" t="str">
        <f t="shared" si="53"/>
        <v xml:space="preserve"> </v>
      </c>
      <c r="DK57" s="373" t="str">
        <f t="shared" si="54"/>
        <v xml:space="preserve"> </v>
      </c>
      <c r="DL57" s="373" t="str">
        <f t="shared" si="55"/>
        <v xml:space="preserve"> </v>
      </c>
      <c r="DM57" s="373" t="str">
        <f t="shared" si="56"/>
        <v xml:space="preserve"> </v>
      </c>
      <c r="DN57" s="373" t="str">
        <f t="shared" si="57"/>
        <v xml:space="preserve"> </v>
      </c>
      <c r="DO57" s="373" t="str">
        <f t="shared" si="58"/>
        <v xml:space="preserve"> </v>
      </c>
      <c r="DP57" s="375" t="str">
        <f t="shared" si="59"/>
        <v xml:space="preserve"> </v>
      </c>
      <c r="DQ57" t="str">
        <f t="shared" si="96"/>
        <v xml:space="preserve"> </v>
      </c>
      <c r="HD57" t="str">
        <f t="shared" si="97"/>
        <v xml:space="preserve"> </v>
      </c>
      <c r="HE57" t="str">
        <f t="shared" si="98"/>
        <v xml:space="preserve"> </v>
      </c>
      <c r="HF57" t="str">
        <f t="shared" si="99"/>
        <v xml:space="preserve"> </v>
      </c>
    </row>
    <row r="58" spans="1:214">
      <c r="A58" s="415" t="str">
        <f>IF(A57="N/A","N/A",IF(EDATE(A57,1)&gt;Inputs!$K$3,"N/A",EDATE(A57,1)))</f>
        <v>N/A</v>
      </c>
      <c r="B58" s="410" t="str">
        <f t="shared" si="60"/>
        <v xml:space="preserve"> </v>
      </c>
      <c r="C58" s="411" t="str">
        <f t="shared" si="61"/>
        <v xml:space="preserve"> </v>
      </c>
      <c r="D58" s="412" t="str">
        <f t="shared" si="62"/>
        <v xml:space="preserve"> </v>
      </c>
      <c r="E58" s="413" t="str">
        <f>IF($A58="N/A"," ",(C58-'Pricing Inputs'!T91)*D58)</f>
        <v xml:space="preserve"> </v>
      </c>
      <c r="F58" s="414" t="str">
        <f t="shared" si="116"/>
        <v xml:space="preserve"> </v>
      </c>
      <c r="G58" s="414" t="str">
        <f t="shared" si="64"/>
        <v xml:space="preserve"> </v>
      </c>
      <c r="H58" s="416" t="str">
        <f t="shared" si="65"/>
        <v xml:space="preserve"> </v>
      </c>
      <c r="I58" s="213" t="str">
        <f t="shared" si="0"/>
        <v xml:space="preserve"> </v>
      </c>
      <c r="J58" s="213" t="str">
        <f t="shared" si="1"/>
        <v xml:space="preserve"> </v>
      </c>
      <c r="K58" s="213" t="str">
        <f t="shared" si="2"/>
        <v xml:space="preserve"> </v>
      </c>
      <c r="L58" s="213" t="str">
        <f t="shared" si="3"/>
        <v xml:space="preserve"> </v>
      </c>
      <c r="M58" s="213" t="str">
        <f t="shared" si="4"/>
        <v xml:space="preserve"> </v>
      </c>
      <c r="N58" s="213" t="str">
        <f t="shared" si="5"/>
        <v xml:space="preserve"> </v>
      </c>
      <c r="O58" s="213" t="str">
        <f t="shared" si="6"/>
        <v xml:space="preserve"> </v>
      </c>
      <c r="P58" s="213" t="str">
        <f t="shared" si="7"/>
        <v xml:space="preserve"> </v>
      </c>
      <c r="Q58" s="213" t="str">
        <f t="shared" si="8"/>
        <v xml:space="preserve"> </v>
      </c>
      <c r="R58" s="405" t="str">
        <f>IF($A58="N/A"," ",IF(Pricetype=2,MAX(I58-$H58,0),IF(Pricetype=1,(_xll.xSPRDOPT(I58,$E58,$CI58,0,($CD58+IF(Smile=TRUE,VLOOKUP(MAX(-5,$H58-I58),Volsmile,2),0)),$CG58,$CH58,($A58-DateToday)+15,1,0)),I58-$H58)))</f>
        <v xml:space="preserve"> </v>
      </c>
      <c r="S58" s="405" t="str">
        <f>IF($A58="N/A"," ",IF(Pricetype=2,MAX(J58-$H58,0),IF(Pricetype=1,(_xll.xSPRDOPT(J58,$E58,$CI58,0,($CD58+IF(Smile=TRUE,VLOOKUP(MAX(-5,$H58-J58),Volsmile,2),0)),$CG58,$CH58,($A58-DateToday)+15,1,0)),J58-$H58)))</f>
        <v xml:space="preserve"> </v>
      </c>
      <c r="T58" s="406" t="str">
        <f t="shared" si="9"/>
        <v xml:space="preserve"> </v>
      </c>
      <c r="U58" s="405" t="str">
        <f>IF($A58="N/A"," ",IF(Pricetype=2,MAX(L58-$H58,0),IF(L58&lt;&gt;0,IF(Pricetype=1,(_xll.xSPRDOPT(L58,$E58,$CI58,0,($CD58+IF(Smile=TRUE,VLOOKUP(MAX(-5,$H58-L58),Volsmile,2),0)),$CG58,$CH58,($A58-DateToday)+15,1,0)),L58-$H58),0)))</f>
        <v xml:space="preserve"> </v>
      </c>
      <c r="V58" s="405" t="str">
        <f>IF($A58="N/A"," ",IF(Pricetype=2,MAX(M58-$H58,0),IF(M58&lt;&gt;0,IF(Pricetype=1,(_xll.xSPRDOPT(M58,$E58,$CI58,0,($CD58+IF(Smile=TRUE,VLOOKUP(MAX(-5,$H58-M58),Volsmile,2),0)),$CG58,$CH58,($A58-DateToday)+15,1,0)),M58-$H58),0)))</f>
        <v xml:space="preserve"> </v>
      </c>
      <c r="W58" s="406" t="str">
        <f t="shared" si="10"/>
        <v xml:space="preserve"> </v>
      </c>
      <c r="X58" s="405" t="str">
        <f>IF($A58="N/A"," ",IF(Pricetype=2,MAX(O58-$H58,0),IF(O58&lt;&gt;0,IF(Pricetype=1,(_xll.xSPRDOPT(O58,$E58,$CI58,0,($CD58+IF(Smile=TRUE,VLOOKUP(MAX(-5,$H58-O58),Volsmile,2),0)),$CG58,$CH58,($A58-DateToday)+15,1,0)),O58-$H58),0)))</f>
        <v xml:space="preserve"> </v>
      </c>
      <c r="Y58" s="405" t="str">
        <f>IF($A58="N/A"," ",IF(Pricetype=2,MAX(P58-$H58,0),IF(P58&lt;&gt;0,IF(Pricetype=1,(_xll.xSPRDOPT(P58,$E58,$CI58,0,($CD58+IF(Smile=TRUE,VLOOKUP(MAX(-5,$H58-P58),Volsmile,2),0)),$CG58,$CH58,($A58-DateToday)+15,1,0)),P58-$H58),0)))</f>
        <v xml:space="preserve"> </v>
      </c>
      <c r="Z58" s="406" t="str">
        <f t="shared" si="11"/>
        <v xml:space="preserve"> </v>
      </c>
      <c r="AA58" s="254" t="str">
        <f>IF($A58="N/A"," ",IF(VLOOKUP(MONTH(A58),ManualTable,2)=1,(IF(0&lt;&gt;R58,IF(Pricetype=1,(_xll.xSPRDOPT(I58,$E58,$CI58,0,($CD58+IF(Smile=TRUE,VLOOKUP(MAX(-5,$H58-I58),Volsmile,2),0)),$CG58,$CH58,($A58-DateToday)+15,1,1))*(8*$HD58),8*$HD58),0)),0))</f>
        <v xml:space="preserve"> </v>
      </c>
      <c r="AB58" s="254" t="str">
        <f>IF($A58="N/A"," ",IF(VLOOKUP(MONTH(A58),ManualTable,3)=1,(IF(S58&lt;&gt;0,IF(Pricetype=1,(_xll.xSPRDOPT(J58,$E58,$CI58,0,($CD58+IF(Smile=TRUE,VLOOKUP(MAX(-5,$H58-J58),Volsmile,2),0)),$CG58,$CH58,($A58-DateToday)+15,1,1))*(8*$HD58),8*$HD58),0)),0))</f>
        <v xml:space="preserve"> </v>
      </c>
      <c r="AC58" s="254" t="str">
        <f t="shared" si="66"/>
        <v xml:space="preserve"> </v>
      </c>
      <c r="AD58" s="254" t="str">
        <f>IF($A58="N/A"," ",IF(VLOOKUP(MONTH(A58),ManualTable,5)=1,(IF(U58&lt;&gt;0,IF(Pricetype=1,(_xll.xSPRDOPT(L58,$E58,$CI58,0,($CD58+IF(Smile=TRUE,VLOOKUP(MAX(-5,$H58-L58),Volsmile,2),0)),$CG58,$CH58,($A58-DateToday)+15,1,1))*(8*$HE58),8*$HE58),0)),0))</f>
        <v xml:space="preserve"> </v>
      </c>
      <c r="AE58" s="254" t="str">
        <f>IF($A58="N/A"," ",IF(VLOOKUP(MONTH(A58),ManualTable,6)=1,(IF(V58&lt;&gt;0,IF(Pricetype=1,(_xll.xSPRDOPT(M58,$E58,$CI58,0,($CD58+IF(Smile=TRUE,VLOOKUP(MAX(-5,$H58-M58),Volsmile,2),0)),$CG58,$CH58,($A58-DateToday)+15,1,1))*(8*$HE58),8*$HE58),0)),0))</f>
        <v xml:space="preserve"> </v>
      </c>
      <c r="AF58" s="254" t="str">
        <f t="shared" si="67"/>
        <v xml:space="preserve"> </v>
      </c>
      <c r="AG58" s="254" t="str">
        <f>IF($A58="N/A"," ",IF(VLOOKUP(MONTH(A58),ManualTable,8)=1,(IF(X58&lt;&gt;0,IF(Pricetype=1,(_xll.xSPRDOPT(O58,$E58,$CI58,0,($CD58+IF(Smile=TRUE,VLOOKUP(MAX(-5,$H58-O58),Volsmile,2),0)),$CG58,$CH58,($A58-DateToday)+15,1,1))*(8*$HF58),8*$HF58),0)),0))</f>
        <v xml:space="preserve"> </v>
      </c>
      <c r="AH58" s="254" t="str">
        <f>IF($A58="N/A"," ",IF(VLOOKUP(MONTH(A58),ManualTable,9)=1,(IF(Y58&lt;&gt;0,IF(Pricetype=1,(_xll.xSPRDOPT(P58,$E58,$CI58,0,($CD58+IF(Smile=TRUE,VLOOKUP(MAX(-5,$H58-P58),Volsmile,2),0)),$CG58,$CH58,($A58-DateToday)+15,1,1))*(8*$HF58),8*$HF58),0)),0))</f>
        <v xml:space="preserve"> </v>
      </c>
      <c r="AI58" s="254" t="str">
        <f t="shared" si="68"/>
        <v xml:space="preserve"> </v>
      </c>
      <c r="AJ58" s="227" t="str">
        <f t="shared" si="161"/>
        <v xml:space="preserve"> </v>
      </c>
      <c r="AK58" s="228" t="str">
        <f t="shared" si="162"/>
        <v xml:space="preserve"> </v>
      </c>
      <c r="AL58" s="228" t="str">
        <f t="shared" si="162"/>
        <v xml:space="preserve"> </v>
      </c>
      <c r="AM58" s="228" t="str">
        <f t="shared" si="163"/>
        <v xml:space="preserve"> </v>
      </c>
      <c r="AN58" s="228" t="str">
        <f t="shared" si="164"/>
        <v xml:space="preserve"> </v>
      </c>
      <c r="AO58" s="228" t="str">
        <f t="shared" si="164"/>
        <v xml:space="preserve"> </v>
      </c>
      <c r="AP58" s="228" t="str">
        <f t="shared" si="165"/>
        <v xml:space="preserve"> </v>
      </c>
      <c r="AQ58" s="228" t="str">
        <f t="shared" si="166"/>
        <v xml:space="preserve"> </v>
      </c>
      <c r="AR58" s="229" t="str">
        <f t="shared" si="167"/>
        <v xml:space="preserve"> </v>
      </c>
      <c r="AS58" s="262" t="str">
        <f t="shared" si="102"/>
        <v xml:space="preserve"> </v>
      </c>
      <c r="AT58" s="263" t="str">
        <f t="shared" si="103"/>
        <v xml:space="preserve"> </v>
      </c>
      <c r="AU58" s="263" t="str">
        <f t="shared" si="103"/>
        <v xml:space="preserve"> </v>
      </c>
      <c r="AV58" s="263" t="str">
        <f t="shared" si="104"/>
        <v xml:space="preserve"> </v>
      </c>
      <c r="AW58" s="263" t="str">
        <f t="shared" si="105"/>
        <v xml:space="preserve"> </v>
      </c>
      <c r="AX58" s="263" t="str">
        <f t="shared" si="105"/>
        <v xml:space="preserve"> </v>
      </c>
      <c r="AY58" s="263" t="str">
        <f t="shared" si="106"/>
        <v xml:space="preserve"> </v>
      </c>
      <c r="AZ58" s="263" t="str">
        <f t="shared" si="107"/>
        <v xml:space="preserve"> </v>
      </c>
      <c r="BA58" s="263" t="str">
        <f t="shared" si="108"/>
        <v xml:space="preserve"> </v>
      </c>
      <c r="BB58" s="229"/>
      <c r="BC58" s="266" t="str">
        <f t="shared" si="154"/>
        <v xml:space="preserve"> </v>
      </c>
      <c r="BD58" s="269" t="str">
        <f t="shared" si="155"/>
        <v xml:space="preserve"> </v>
      </c>
      <c r="BE58" s="269" t="str">
        <f t="shared" si="155"/>
        <v xml:space="preserve"> </v>
      </c>
      <c r="BF58" s="269" t="str">
        <f t="shared" si="156"/>
        <v xml:space="preserve"> </v>
      </c>
      <c r="BG58" s="269" t="str">
        <f t="shared" si="157"/>
        <v xml:space="preserve"> </v>
      </c>
      <c r="BH58" s="269" t="str">
        <f t="shared" si="157"/>
        <v xml:space="preserve"> </v>
      </c>
      <c r="BI58" s="269" t="str">
        <f t="shared" si="158"/>
        <v xml:space="preserve"> </v>
      </c>
      <c r="BJ58" s="269" t="str">
        <f t="shared" si="159"/>
        <v xml:space="preserve"> </v>
      </c>
      <c r="BK58" s="269" t="str">
        <f t="shared" si="160"/>
        <v xml:space="preserve"> </v>
      </c>
      <c r="BL58" s="229"/>
      <c r="BM58" s="220" t="str">
        <f>IF($A58="N/A"," ",(IF(MONTH(A58)&gt;=4,IF(MONTH(A58)&lt;=10,Inputs!$F$13-Inputs!$G$13,Inputs!$F$14-Inputs!$G$14),Inputs!$F$14-Inputs!$G$14))*$CK58*Availability)</f>
        <v xml:space="preserve"> </v>
      </c>
      <c r="BN58" s="221" t="str">
        <f t="shared" si="79"/>
        <v xml:space="preserve"> </v>
      </c>
      <c r="BO58" s="221" t="str">
        <f t="shared" si="80"/>
        <v xml:space="preserve"> </v>
      </c>
      <c r="BP58" s="221" t="str">
        <f t="shared" si="81"/>
        <v xml:space="preserve"> </v>
      </c>
      <c r="BQ58" s="221" t="str">
        <f t="shared" si="82"/>
        <v xml:space="preserve"> </v>
      </c>
      <c r="BR58" s="221" t="str">
        <f t="shared" si="83"/>
        <v xml:space="preserve"> </v>
      </c>
      <c r="BS58" s="221" t="str">
        <f t="shared" si="84"/>
        <v xml:space="preserve"> </v>
      </c>
      <c r="BT58" s="221" t="str">
        <f t="shared" si="85"/>
        <v xml:space="preserve"> </v>
      </c>
      <c r="BU58" s="221" t="str">
        <f t="shared" si="86"/>
        <v xml:space="preserve"> </v>
      </c>
      <c r="BV58" s="221" t="str">
        <f t="shared" si="87"/>
        <v xml:space="preserve"> </v>
      </c>
      <c r="BW58" s="221" t="str">
        <f t="shared" si="88"/>
        <v xml:space="preserve"> </v>
      </c>
      <c r="BX58" s="421" t="str">
        <f t="shared" si="89"/>
        <v xml:space="preserve"> </v>
      </c>
      <c r="BY58" s="417" t="str">
        <f t="shared" si="90"/>
        <v xml:space="preserve"> </v>
      </c>
      <c r="BZ58" s="417" t="str">
        <f t="shared" si="91"/>
        <v xml:space="preserve"> </v>
      </c>
      <c r="CA58" s="422" t="str">
        <f t="shared" si="92"/>
        <v xml:space="preserve"> </v>
      </c>
      <c r="CB58" s="347" t="str">
        <f t="shared" si="25"/>
        <v xml:space="preserve"> </v>
      </c>
      <c r="CC58" s="347" t="str">
        <f t="shared" si="93"/>
        <v xml:space="preserve"> </v>
      </c>
      <c r="CD58" s="348" t="str">
        <f t="shared" si="26"/>
        <v xml:space="preserve"> </v>
      </c>
      <c r="CE58" s="347" t="str">
        <f t="shared" si="27"/>
        <v xml:space="preserve"> </v>
      </c>
      <c r="CF58" s="347" t="str">
        <f t="shared" si="28"/>
        <v xml:space="preserve"> </v>
      </c>
      <c r="CG58" s="348" t="str">
        <f t="shared" si="29"/>
        <v xml:space="preserve"> </v>
      </c>
      <c r="CH58" s="347" t="str">
        <f t="shared" si="94"/>
        <v xml:space="preserve"> </v>
      </c>
      <c r="CI58" s="349" t="str">
        <f>IF($A58="N/A"," ",F58+G58+(D58*('Pricing Inputs'!T91)))</f>
        <v xml:space="preserve"> </v>
      </c>
      <c r="CJ58" s="347" t="str">
        <f>IF($A58="N/A"," ",IF(PV=1,0,'Pricing Inputs'!U91))</f>
        <v xml:space="preserve"> </v>
      </c>
      <c r="CK58" s="350" t="str">
        <f t="shared" si="30"/>
        <v xml:space="preserve"> </v>
      </c>
      <c r="CL58" s="365" t="str">
        <f t="shared" si="31"/>
        <v xml:space="preserve"> </v>
      </c>
      <c r="CM58" s="380" t="str">
        <f t="shared" si="95"/>
        <v xml:space="preserve"> </v>
      </c>
      <c r="CN58" s="378" t="str">
        <f t="shared" si="32"/>
        <v xml:space="preserve"> </v>
      </c>
      <c r="CO58" s="378" t="str">
        <f t="shared" si="33"/>
        <v xml:space="preserve"> </v>
      </c>
      <c r="CP58" s="378" t="str">
        <f t="shared" si="34"/>
        <v xml:space="preserve"> </v>
      </c>
      <c r="CQ58" s="378" t="str">
        <f t="shared" si="35"/>
        <v xml:space="preserve"> </v>
      </c>
      <c r="CR58" s="378" t="str">
        <f t="shared" si="36"/>
        <v xml:space="preserve"> </v>
      </c>
      <c r="CS58" s="378" t="str">
        <f t="shared" si="37"/>
        <v xml:space="preserve"> </v>
      </c>
      <c r="CT58" s="378" t="str">
        <f t="shared" si="38"/>
        <v xml:space="preserve"> </v>
      </c>
      <c r="CU58" s="378" t="str">
        <f t="shared" si="39"/>
        <v xml:space="preserve"> </v>
      </c>
      <c r="CV58" s="378" t="str">
        <f t="shared" si="40"/>
        <v xml:space="preserve"> </v>
      </c>
      <c r="CW58" s="254" t="str">
        <f t="shared" si="41"/>
        <v xml:space="preserve"> </v>
      </c>
      <c r="CX58" s="254" t="str">
        <f t="shared" si="42"/>
        <v xml:space="preserve"> </v>
      </c>
      <c r="CY58" s="254" t="str">
        <f t="shared" si="43"/>
        <v xml:space="preserve"> </v>
      </c>
      <c r="CZ58" s="254" t="str">
        <f t="shared" si="44"/>
        <v xml:space="preserve"> </v>
      </c>
      <c r="DA58" s="254" t="str">
        <f t="shared" si="45"/>
        <v xml:space="preserve"> </v>
      </c>
      <c r="DB58" s="254" t="str">
        <f t="shared" si="46"/>
        <v xml:space="preserve"> </v>
      </c>
      <c r="DC58" s="254" t="str">
        <f t="shared" si="47"/>
        <v xml:space="preserve"> </v>
      </c>
      <c r="DD58" s="254" t="str">
        <f t="shared" si="48"/>
        <v xml:space="preserve"> </v>
      </c>
      <c r="DE58" s="254" t="str">
        <f t="shared" si="49"/>
        <v xml:space="preserve"> </v>
      </c>
      <c r="DF58" s="374" t="str">
        <f>IF($A58="N/A"," ",IF(CC=2,(IF(MONTH(A58)&gt;=4,IF(MONTH(A58)&lt;=10,Inputs!$G$13,Inputs!$G$14),Inputs!$G$14))*$CK58,0))</f>
        <v xml:space="preserve"> </v>
      </c>
      <c r="DG58" s="373" t="str">
        <f t="shared" si="50"/>
        <v xml:space="preserve"> </v>
      </c>
      <c r="DH58" s="373" t="str">
        <f t="shared" si="51"/>
        <v xml:space="preserve"> </v>
      </c>
      <c r="DI58" s="373" t="str">
        <f t="shared" si="52"/>
        <v xml:space="preserve"> </v>
      </c>
      <c r="DJ58" s="373" t="str">
        <f t="shared" si="53"/>
        <v xml:space="preserve"> </v>
      </c>
      <c r="DK58" s="373" t="str">
        <f t="shared" si="54"/>
        <v xml:space="preserve"> </v>
      </c>
      <c r="DL58" s="373" t="str">
        <f t="shared" si="55"/>
        <v xml:space="preserve"> </v>
      </c>
      <c r="DM58" s="373" t="str">
        <f t="shared" si="56"/>
        <v xml:space="preserve"> </v>
      </c>
      <c r="DN58" s="373" t="str">
        <f t="shared" si="57"/>
        <v xml:space="preserve"> </v>
      </c>
      <c r="DO58" s="373" t="str">
        <f t="shared" si="58"/>
        <v xml:space="preserve"> </v>
      </c>
      <c r="DP58" s="375" t="str">
        <f t="shared" si="59"/>
        <v xml:space="preserve"> </v>
      </c>
      <c r="DQ58" t="str">
        <f t="shared" si="96"/>
        <v xml:space="preserve"> </v>
      </c>
      <c r="HD58" t="str">
        <f t="shared" si="97"/>
        <v xml:space="preserve"> </v>
      </c>
      <c r="HE58" t="str">
        <f t="shared" si="98"/>
        <v xml:space="preserve"> </v>
      </c>
      <c r="HF58" t="str">
        <f t="shared" si="99"/>
        <v xml:space="preserve"> </v>
      </c>
    </row>
    <row r="59" spans="1:214">
      <c r="A59" s="415" t="str">
        <f>IF(A58="N/A","N/A",IF(EDATE(A58,1)&gt;Inputs!$K$3,"N/A",EDATE(A58,1)))</f>
        <v>N/A</v>
      </c>
      <c r="B59" s="410" t="str">
        <f t="shared" si="60"/>
        <v xml:space="preserve"> </v>
      </c>
      <c r="C59" s="411" t="str">
        <f t="shared" si="61"/>
        <v xml:space="preserve"> </v>
      </c>
      <c r="D59" s="412" t="str">
        <f t="shared" si="62"/>
        <v xml:space="preserve"> </v>
      </c>
      <c r="E59" s="413" t="str">
        <f>IF($A59="N/A"," ",(C59-'Pricing Inputs'!T92)*D59)</f>
        <v xml:space="preserve"> </v>
      </c>
      <c r="F59" s="414" t="str">
        <f t="shared" si="116"/>
        <v xml:space="preserve"> </v>
      </c>
      <c r="G59" s="414" t="str">
        <f t="shared" si="64"/>
        <v xml:space="preserve"> </v>
      </c>
      <c r="H59" s="416" t="str">
        <f t="shared" si="65"/>
        <v xml:space="preserve"> </v>
      </c>
      <c r="I59" s="213" t="str">
        <f t="shared" si="0"/>
        <v xml:space="preserve"> </v>
      </c>
      <c r="J59" s="213" t="str">
        <f t="shared" si="1"/>
        <v xml:space="preserve"> </v>
      </c>
      <c r="K59" s="213" t="str">
        <f t="shared" si="2"/>
        <v xml:space="preserve"> </v>
      </c>
      <c r="L59" s="213" t="str">
        <f t="shared" si="3"/>
        <v xml:space="preserve"> </v>
      </c>
      <c r="M59" s="213" t="str">
        <f t="shared" si="4"/>
        <v xml:space="preserve"> </v>
      </c>
      <c r="N59" s="213" t="str">
        <f t="shared" si="5"/>
        <v xml:space="preserve"> </v>
      </c>
      <c r="O59" s="213" t="str">
        <f t="shared" si="6"/>
        <v xml:space="preserve"> </v>
      </c>
      <c r="P59" s="213" t="str">
        <f t="shared" si="7"/>
        <v xml:space="preserve"> </v>
      </c>
      <c r="Q59" s="213" t="str">
        <f t="shared" si="8"/>
        <v xml:space="preserve"> </v>
      </c>
      <c r="R59" s="405" t="str">
        <f>IF($A59="N/A"," ",IF(Pricetype=2,MAX(I59-$H59,0),IF(Pricetype=1,(_xll.xSPRDOPT(I59,$E59,$CI59,0,($CD59+IF(Smile=TRUE,VLOOKUP(MAX(-5,$H59-I59),Volsmile,2),0)),$CG59,$CH59,($A59-DateToday)+15,1,0)),I59-$H59)))</f>
        <v xml:space="preserve"> </v>
      </c>
      <c r="S59" s="405" t="str">
        <f>IF($A59="N/A"," ",IF(Pricetype=2,MAX(J59-$H59,0),IF(Pricetype=1,(_xll.xSPRDOPT(J59,$E59,$CI59,0,($CD59+IF(Smile=TRUE,VLOOKUP(MAX(-5,$H59-J59),Volsmile,2),0)),$CG59,$CH59,($A59-DateToday)+15,1,0)),J59-$H59)))</f>
        <v xml:space="preserve"> </v>
      </c>
      <c r="T59" s="406" t="str">
        <f t="shared" si="9"/>
        <v xml:space="preserve"> </v>
      </c>
      <c r="U59" s="405" t="str">
        <f>IF($A59="N/A"," ",IF(Pricetype=2,MAX(L59-$H59,0),IF(L59&lt;&gt;0,IF(Pricetype=1,(_xll.xSPRDOPT(L59,$E59,$CI59,0,($CD59+IF(Smile=TRUE,VLOOKUP(MAX(-5,$H59-L59),Volsmile,2),0)),$CG59,$CH59,($A59-DateToday)+15,1,0)),L59-$H59),0)))</f>
        <v xml:space="preserve"> </v>
      </c>
      <c r="V59" s="405" t="str">
        <f>IF($A59="N/A"," ",IF(Pricetype=2,MAX(M59-$H59,0),IF(M59&lt;&gt;0,IF(Pricetype=1,(_xll.xSPRDOPT(M59,$E59,$CI59,0,($CD59+IF(Smile=TRUE,VLOOKUP(MAX(-5,$H59-M59),Volsmile,2),0)),$CG59,$CH59,($A59-DateToday)+15,1,0)),M59-$H59),0)))</f>
        <v xml:space="preserve"> </v>
      </c>
      <c r="W59" s="406" t="str">
        <f t="shared" si="10"/>
        <v xml:space="preserve"> </v>
      </c>
      <c r="X59" s="405" t="str">
        <f>IF($A59="N/A"," ",IF(Pricetype=2,MAX(O59-$H59,0),IF(O59&lt;&gt;0,IF(Pricetype=1,(_xll.xSPRDOPT(O59,$E59,$CI59,0,($CD59+IF(Smile=TRUE,VLOOKUP(MAX(-5,$H59-O59),Volsmile,2),0)),$CG59,$CH59,($A59-DateToday)+15,1,0)),O59-$H59),0)))</f>
        <v xml:space="preserve"> </v>
      </c>
      <c r="Y59" s="405" t="str">
        <f>IF($A59="N/A"," ",IF(Pricetype=2,MAX(P59-$H59,0),IF(P59&lt;&gt;0,IF(Pricetype=1,(_xll.xSPRDOPT(P59,$E59,$CI59,0,($CD59+IF(Smile=TRUE,VLOOKUP(MAX(-5,$H59-P59),Volsmile,2),0)),$CG59,$CH59,($A59-DateToday)+15,1,0)),P59-$H59),0)))</f>
        <v xml:space="preserve"> </v>
      </c>
      <c r="Z59" s="406" t="str">
        <f t="shared" si="11"/>
        <v xml:space="preserve"> </v>
      </c>
      <c r="AA59" s="254" t="str">
        <f>IF($A59="N/A"," ",IF(VLOOKUP(MONTH(A59),ManualTable,2)=1,(IF(0&lt;&gt;R59,IF(Pricetype=1,(_xll.xSPRDOPT(I59,$E59,$CI59,0,($CD59+IF(Smile=TRUE,VLOOKUP(MAX(-5,$H59-I59),Volsmile,2),0)),$CG59,$CH59,($A59-DateToday)+15,1,1))*(8*$HD59),8*$HD59),0)),0))</f>
        <v xml:space="preserve"> </v>
      </c>
      <c r="AB59" s="254" t="str">
        <f>IF($A59="N/A"," ",IF(VLOOKUP(MONTH(A59),ManualTable,3)=1,(IF(S59&lt;&gt;0,IF(Pricetype=1,(_xll.xSPRDOPT(J59,$E59,$CI59,0,($CD59+IF(Smile=TRUE,VLOOKUP(MAX(-5,$H59-J59),Volsmile,2),0)),$CG59,$CH59,($A59-DateToday)+15,1,1))*(8*$HD59),8*$HD59),0)),0))</f>
        <v xml:space="preserve"> </v>
      </c>
      <c r="AC59" s="254" t="str">
        <f t="shared" si="66"/>
        <v xml:space="preserve"> </v>
      </c>
      <c r="AD59" s="254" t="str">
        <f>IF($A59="N/A"," ",IF(VLOOKUP(MONTH(A59),ManualTable,5)=1,(IF(U59&lt;&gt;0,IF(Pricetype=1,(_xll.xSPRDOPT(L59,$E59,$CI59,0,($CD59+IF(Smile=TRUE,VLOOKUP(MAX(-5,$H59-L59),Volsmile,2),0)),$CG59,$CH59,($A59-DateToday)+15,1,1))*(8*$HE59),8*$HE59),0)),0))</f>
        <v xml:space="preserve"> </v>
      </c>
      <c r="AE59" s="254" t="str">
        <f>IF($A59="N/A"," ",IF(VLOOKUP(MONTH(A59),ManualTable,6)=1,(IF(V59&lt;&gt;0,IF(Pricetype=1,(_xll.xSPRDOPT(M59,$E59,$CI59,0,($CD59+IF(Smile=TRUE,VLOOKUP(MAX(-5,$H59-M59),Volsmile,2),0)),$CG59,$CH59,($A59-DateToday)+15,1,1))*(8*$HE59),8*$HE59),0)),0))</f>
        <v xml:space="preserve"> </v>
      </c>
      <c r="AF59" s="254" t="str">
        <f t="shared" si="67"/>
        <v xml:space="preserve"> </v>
      </c>
      <c r="AG59" s="254" t="str">
        <f>IF($A59="N/A"," ",IF(VLOOKUP(MONTH(A59),ManualTable,8)=1,(IF(X59&lt;&gt;0,IF(Pricetype=1,(_xll.xSPRDOPT(O59,$E59,$CI59,0,($CD59+IF(Smile=TRUE,VLOOKUP(MAX(-5,$H59-O59),Volsmile,2),0)),$CG59,$CH59,($A59-DateToday)+15,1,1))*(8*$HF59),8*$HF59),0)),0))</f>
        <v xml:space="preserve"> </v>
      </c>
      <c r="AH59" s="254" t="str">
        <f>IF($A59="N/A"," ",IF(VLOOKUP(MONTH(A59),ManualTable,9)=1,(IF(Y59&lt;&gt;0,IF(Pricetype=1,(_xll.xSPRDOPT(P59,$E59,$CI59,0,($CD59+IF(Smile=TRUE,VLOOKUP(MAX(-5,$H59-P59),Volsmile,2),0)),$CG59,$CH59,($A59-DateToday)+15,1,1))*(8*$HF59),8*$HF59),0)),0))</f>
        <v xml:space="preserve"> </v>
      </c>
      <c r="AI59" s="254" t="str">
        <f t="shared" si="68"/>
        <v xml:space="preserve"> </v>
      </c>
      <c r="AJ59" s="227" t="str">
        <f t="shared" si="161"/>
        <v xml:space="preserve"> </v>
      </c>
      <c r="AK59" s="228" t="str">
        <f t="shared" si="162"/>
        <v xml:space="preserve"> </v>
      </c>
      <c r="AL59" s="228" t="str">
        <f t="shared" si="162"/>
        <v xml:space="preserve"> </v>
      </c>
      <c r="AM59" s="228" t="str">
        <f t="shared" si="163"/>
        <v xml:space="preserve"> </v>
      </c>
      <c r="AN59" s="228" t="str">
        <f t="shared" si="164"/>
        <v xml:space="preserve"> </v>
      </c>
      <c r="AO59" s="228" t="str">
        <f t="shared" si="164"/>
        <v xml:space="preserve"> </v>
      </c>
      <c r="AP59" s="228" t="str">
        <f t="shared" si="165"/>
        <v xml:space="preserve"> </v>
      </c>
      <c r="AQ59" s="228" t="str">
        <f t="shared" si="166"/>
        <v xml:space="preserve"> </v>
      </c>
      <c r="AR59" s="229" t="str">
        <f t="shared" si="167"/>
        <v xml:space="preserve"> </v>
      </c>
      <c r="AS59" s="262" t="str">
        <f t="shared" si="102"/>
        <v xml:space="preserve"> </v>
      </c>
      <c r="AT59" s="263" t="str">
        <f t="shared" si="103"/>
        <v xml:space="preserve"> </v>
      </c>
      <c r="AU59" s="263" t="str">
        <f t="shared" si="103"/>
        <v xml:space="preserve"> </v>
      </c>
      <c r="AV59" s="263" t="str">
        <f t="shared" si="104"/>
        <v xml:space="preserve"> </v>
      </c>
      <c r="AW59" s="263" t="str">
        <f t="shared" si="105"/>
        <v xml:space="preserve"> </v>
      </c>
      <c r="AX59" s="263" t="str">
        <f t="shared" si="105"/>
        <v xml:space="preserve"> </v>
      </c>
      <c r="AY59" s="263" t="str">
        <f t="shared" si="106"/>
        <v xml:space="preserve"> </v>
      </c>
      <c r="AZ59" s="263" t="str">
        <f t="shared" si="107"/>
        <v xml:space="preserve"> </v>
      </c>
      <c r="BA59" s="263" t="str">
        <f t="shared" si="108"/>
        <v xml:space="preserve"> </v>
      </c>
      <c r="BB59" s="229"/>
      <c r="BC59" s="266" t="str">
        <f t="shared" si="154"/>
        <v xml:space="preserve"> </v>
      </c>
      <c r="BD59" s="269" t="str">
        <f t="shared" si="155"/>
        <v xml:space="preserve"> </v>
      </c>
      <c r="BE59" s="269" t="str">
        <f t="shared" si="155"/>
        <v xml:space="preserve"> </v>
      </c>
      <c r="BF59" s="269" t="str">
        <f t="shared" si="156"/>
        <v xml:space="preserve"> </v>
      </c>
      <c r="BG59" s="269" t="str">
        <f t="shared" si="157"/>
        <v xml:space="preserve"> </v>
      </c>
      <c r="BH59" s="269" t="str">
        <f t="shared" si="157"/>
        <v xml:space="preserve"> </v>
      </c>
      <c r="BI59" s="269" t="str">
        <f t="shared" si="158"/>
        <v xml:space="preserve"> </v>
      </c>
      <c r="BJ59" s="269" t="str">
        <f t="shared" si="159"/>
        <v xml:space="preserve"> </v>
      </c>
      <c r="BK59" s="269" t="str">
        <f t="shared" si="160"/>
        <v xml:space="preserve"> </v>
      </c>
      <c r="BL59" s="229"/>
      <c r="BM59" s="220" t="str">
        <f>IF($A59="N/A"," ",(IF(MONTH(A59)&gt;=4,IF(MONTH(A59)&lt;=10,Inputs!$F$13-Inputs!$G$13,Inputs!$F$14-Inputs!$G$14),Inputs!$F$14-Inputs!$G$14))*$CK59*Availability)</f>
        <v xml:space="preserve"> </v>
      </c>
      <c r="BN59" s="221" t="str">
        <f t="shared" si="79"/>
        <v xml:space="preserve"> </v>
      </c>
      <c r="BO59" s="221" t="str">
        <f t="shared" si="80"/>
        <v xml:space="preserve"> </v>
      </c>
      <c r="BP59" s="221" t="str">
        <f t="shared" si="81"/>
        <v xml:space="preserve"> </v>
      </c>
      <c r="BQ59" s="221" t="str">
        <f t="shared" si="82"/>
        <v xml:space="preserve"> </v>
      </c>
      <c r="BR59" s="221" t="str">
        <f t="shared" si="83"/>
        <v xml:space="preserve"> </v>
      </c>
      <c r="BS59" s="221" t="str">
        <f t="shared" si="84"/>
        <v xml:space="preserve"> </v>
      </c>
      <c r="BT59" s="221" t="str">
        <f t="shared" si="85"/>
        <v xml:space="preserve"> </v>
      </c>
      <c r="BU59" s="221" t="str">
        <f t="shared" si="86"/>
        <v xml:space="preserve"> </v>
      </c>
      <c r="BV59" s="221" t="str">
        <f t="shared" si="87"/>
        <v xml:space="preserve"> </v>
      </c>
      <c r="BW59" s="221" t="str">
        <f t="shared" si="88"/>
        <v xml:space="preserve"> </v>
      </c>
      <c r="BX59" s="421" t="str">
        <f t="shared" si="89"/>
        <v xml:space="preserve"> </v>
      </c>
      <c r="BY59" s="417" t="str">
        <f t="shared" si="90"/>
        <v xml:space="preserve"> </v>
      </c>
      <c r="BZ59" s="417" t="str">
        <f t="shared" si="91"/>
        <v xml:space="preserve"> </v>
      </c>
      <c r="CA59" s="422" t="str">
        <f t="shared" si="92"/>
        <v xml:space="preserve"> </v>
      </c>
      <c r="CB59" s="347" t="str">
        <f t="shared" si="25"/>
        <v xml:space="preserve"> </v>
      </c>
      <c r="CC59" s="347" t="str">
        <f t="shared" si="93"/>
        <v xml:space="preserve"> </v>
      </c>
      <c r="CD59" s="348" t="str">
        <f t="shared" si="26"/>
        <v xml:space="preserve"> </v>
      </c>
      <c r="CE59" s="347" t="str">
        <f t="shared" si="27"/>
        <v xml:space="preserve"> </v>
      </c>
      <c r="CF59" s="347" t="str">
        <f t="shared" si="28"/>
        <v xml:space="preserve"> </v>
      </c>
      <c r="CG59" s="348" t="str">
        <f t="shared" si="29"/>
        <v xml:space="preserve"> </v>
      </c>
      <c r="CH59" s="347" t="str">
        <f t="shared" si="94"/>
        <v xml:space="preserve"> </v>
      </c>
      <c r="CI59" s="349" t="str">
        <f>IF($A59="N/A"," ",F59+G59+(D59*('Pricing Inputs'!T92)))</f>
        <v xml:space="preserve"> </v>
      </c>
      <c r="CJ59" s="347" t="str">
        <f>IF($A59="N/A"," ",IF(PV=1,0,'Pricing Inputs'!U92))</f>
        <v xml:space="preserve"> </v>
      </c>
      <c r="CK59" s="350" t="str">
        <f t="shared" si="30"/>
        <v xml:space="preserve"> </v>
      </c>
      <c r="CL59" s="365" t="str">
        <f t="shared" si="31"/>
        <v xml:space="preserve"> </v>
      </c>
      <c r="CM59" s="380" t="str">
        <f t="shared" si="95"/>
        <v xml:space="preserve"> </v>
      </c>
      <c r="CN59" s="378" t="str">
        <f t="shared" si="32"/>
        <v xml:space="preserve"> </v>
      </c>
      <c r="CO59" s="378" t="str">
        <f t="shared" si="33"/>
        <v xml:space="preserve"> </v>
      </c>
      <c r="CP59" s="378" t="str">
        <f t="shared" si="34"/>
        <v xml:space="preserve"> </v>
      </c>
      <c r="CQ59" s="378" t="str">
        <f t="shared" si="35"/>
        <v xml:space="preserve"> </v>
      </c>
      <c r="CR59" s="378" t="str">
        <f t="shared" si="36"/>
        <v xml:space="preserve"> </v>
      </c>
      <c r="CS59" s="378" t="str">
        <f t="shared" si="37"/>
        <v xml:space="preserve"> </v>
      </c>
      <c r="CT59" s="378" t="str">
        <f t="shared" si="38"/>
        <v xml:space="preserve"> </v>
      </c>
      <c r="CU59" s="378" t="str">
        <f t="shared" si="39"/>
        <v xml:space="preserve"> </v>
      </c>
      <c r="CV59" s="378" t="str">
        <f t="shared" si="40"/>
        <v xml:space="preserve"> </v>
      </c>
      <c r="CW59" s="254" t="str">
        <f t="shared" si="41"/>
        <v xml:space="preserve"> </v>
      </c>
      <c r="CX59" s="254" t="str">
        <f t="shared" si="42"/>
        <v xml:space="preserve"> </v>
      </c>
      <c r="CY59" s="254" t="str">
        <f t="shared" si="43"/>
        <v xml:space="preserve"> </v>
      </c>
      <c r="CZ59" s="254" t="str">
        <f t="shared" si="44"/>
        <v xml:space="preserve"> </v>
      </c>
      <c r="DA59" s="254" t="str">
        <f t="shared" si="45"/>
        <v xml:space="preserve"> </v>
      </c>
      <c r="DB59" s="254" t="str">
        <f t="shared" si="46"/>
        <v xml:space="preserve"> </v>
      </c>
      <c r="DC59" s="254" t="str">
        <f t="shared" si="47"/>
        <v xml:space="preserve"> </v>
      </c>
      <c r="DD59" s="254" t="str">
        <f t="shared" si="48"/>
        <v xml:space="preserve"> </v>
      </c>
      <c r="DE59" s="254" t="str">
        <f t="shared" si="49"/>
        <v xml:space="preserve"> </v>
      </c>
      <c r="DF59" s="374" t="str">
        <f>IF($A59="N/A"," ",IF(CC=2,(IF(MONTH(A59)&gt;=4,IF(MONTH(A59)&lt;=10,Inputs!$G$13,Inputs!$G$14),Inputs!$G$14))*$CK59,0))</f>
        <v xml:space="preserve"> </v>
      </c>
      <c r="DG59" s="373" t="str">
        <f t="shared" si="50"/>
        <v xml:space="preserve"> </v>
      </c>
      <c r="DH59" s="373" t="str">
        <f t="shared" si="51"/>
        <v xml:space="preserve"> </v>
      </c>
      <c r="DI59" s="373" t="str">
        <f t="shared" si="52"/>
        <v xml:space="preserve"> </v>
      </c>
      <c r="DJ59" s="373" t="str">
        <f t="shared" si="53"/>
        <v xml:space="preserve"> </v>
      </c>
      <c r="DK59" s="373" t="str">
        <f t="shared" si="54"/>
        <v xml:space="preserve"> </v>
      </c>
      <c r="DL59" s="373" t="str">
        <f t="shared" si="55"/>
        <v xml:space="preserve"> </v>
      </c>
      <c r="DM59" s="373" t="str">
        <f t="shared" si="56"/>
        <v xml:space="preserve"> </v>
      </c>
      <c r="DN59" s="373" t="str">
        <f t="shared" si="57"/>
        <v xml:space="preserve"> </v>
      </c>
      <c r="DO59" s="373" t="str">
        <f t="shared" si="58"/>
        <v xml:space="preserve"> </v>
      </c>
      <c r="DP59" s="375" t="str">
        <f t="shared" si="59"/>
        <v xml:space="preserve"> </v>
      </c>
      <c r="DQ59" t="str">
        <f t="shared" si="96"/>
        <v xml:space="preserve"> </v>
      </c>
      <c r="HD59" t="str">
        <f t="shared" si="97"/>
        <v xml:space="preserve"> </v>
      </c>
      <c r="HE59" t="str">
        <f t="shared" si="98"/>
        <v xml:space="preserve"> </v>
      </c>
      <c r="HF59" t="str">
        <f t="shared" si="99"/>
        <v xml:space="preserve"> </v>
      </c>
    </row>
    <row r="60" spans="1:214">
      <c r="A60" s="415" t="str">
        <f>IF(A59="N/A","N/A",IF(EDATE(A59,1)&gt;Inputs!$K$3,"N/A",EDATE(A59,1)))</f>
        <v>N/A</v>
      </c>
      <c r="B60" s="410" t="str">
        <f t="shared" si="60"/>
        <v xml:space="preserve"> </v>
      </c>
      <c r="C60" s="411" t="str">
        <f t="shared" si="61"/>
        <v xml:space="preserve"> </v>
      </c>
      <c r="D60" s="412" t="str">
        <f t="shared" si="62"/>
        <v xml:space="preserve"> </v>
      </c>
      <c r="E60" s="413" t="str">
        <f>IF($A60="N/A"," ",(C60-'Pricing Inputs'!T93)*D60)</f>
        <v xml:space="preserve"> </v>
      </c>
      <c r="F60" s="414" t="str">
        <f t="shared" si="116"/>
        <v xml:space="preserve"> </v>
      </c>
      <c r="G60" s="414" t="str">
        <f t="shared" si="64"/>
        <v xml:space="preserve"> </v>
      </c>
      <c r="H60" s="416" t="str">
        <f t="shared" si="65"/>
        <v xml:space="preserve"> </v>
      </c>
      <c r="I60" s="213" t="str">
        <f t="shared" si="0"/>
        <v xml:space="preserve"> </v>
      </c>
      <c r="J60" s="213" t="str">
        <f t="shared" si="1"/>
        <v xml:space="preserve"> </v>
      </c>
      <c r="K60" s="213" t="str">
        <f t="shared" si="2"/>
        <v xml:space="preserve"> </v>
      </c>
      <c r="L60" s="213" t="str">
        <f t="shared" si="3"/>
        <v xml:space="preserve"> </v>
      </c>
      <c r="M60" s="213" t="str">
        <f t="shared" si="4"/>
        <v xml:space="preserve"> </v>
      </c>
      <c r="N60" s="213" t="str">
        <f t="shared" si="5"/>
        <v xml:space="preserve"> </v>
      </c>
      <c r="O60" s="213" t="str">
        <f t="shared" si="6"/>
        <v xml:space="preserve"> </v>
      </c>
      <c r="P60" s="213" t="str">
        <f t="shared" si="7"/>
        <v xml:space="preserve"> </v>
      </c>
      <c r="Q60" s="213" t="str">
        <f t="shared" si="8"/>
        <v xml:space="preserve"> </v>
      </c>
      <c r="R60" s="405" t="str">
        <f>IF($A60="N/A"," ",IF(Pricetype=2,MAX(I60-$H60,0),IF(Pricetype=1,(_xll.xSPRDOPT(I60,$E60,$CI60,0,($CD60+IF(Smile=TRUE,VLOOKUP(MAX(-5,$H60-I60),Volsmile,2),0)),$CG60,$CH60,($A60-DateToday)+15,1,0)),I60-$H60)))</f>
        <v xml:space="preserve"> </v>
      </c>
      <c r="S60" s="405" t="str">
        <f>IF($A60="N/A"," ",IF(Pricetype=2,MAX(J60-$H60,0),IF(Pricetype=1,(_xll.xSPRDOPT(J60,$E60,$CI60,0,($CD60+IF(Smile=TRUE,VLOOKUP(MAX(-5,$H60-J60),Volsmile,2),0)),$CG60,$CH60,($A60-DateToday)+15,1,0)),J60-$H60)))</f>
        <v xml:space="preserve"> </v>
      </c>
      <c r="T60" s="406" t="str">
        <f t="shared" si="9"/>
        <v xml:space="preserve"> </v>
      </c>
      <c r="U60" s="405" t="str">
        <f>IF($A60="N/A"," ",IF(Pricetype=2,MAX(L60-$H60,0),IF(L60&lt;&gt;0,IF(Pricetype=1,(_xll.xSPRDOPT(L60,$E60,$CI60,0,($CD60+IF(Smile=TRUE,VLOOKUP(MAX(-5,$H60-L60),Volsmile,2),0)),$CG60,$CH60,($A60-DateToday)+15,1,0)),L60-$H60),0)))</f>
        <v xml:space="preserve"> </v>
      </c>
      <c r="V60" s="405" t="str">
        <f>IF($A60="N/A"," ",IF(Pricetype=2,MAX(M60-$H60,0),IF(M60&lt;&gt;0,IF(Pricetype=1,(_xll.xSPRDOPT(M60,$E60,$CI60,0,($CD60+IF(Smile=TRUE,VLOOKUP(MAX(-5,$H60-M60),Volsmile,2),0)),$CG60,$CH60,($A60-DateToday)+15,1,0)),M60-$H60),0)))</f>
        <v xml:space="preserve"> </v>
      </c>
      <c r="W60" s="406" t="str">
        <f t="shared" si="10"/>
        <v xml:space="preserve"> </v>
      </c>
      <c r="X60" s="405" t="str">
        <f>IF($A60="N/A"," ",IF(Pricetype=2,MAX(O60-$H60,0),IF(O60&lt;&gt;0,IF(Pricetype=1,(_xll.xSPRDOPT(O60,$E60,$CI60,0,($CD60+IF(Smile=TRUE,VLOOKUP(MAX(-5,$H60-O60),Volsmile,2),0)),$CG60,$CH60,($A60-DateToday)+15,1,0)),O60-$H60),0)))</f>
        <v xml:space="preserve"> </v>
      </c>
      <c r="Y60" s="405" t="str">
        <f>IF($A60="N/A"," ",IF(Pricetype=2,MAX(P60-$H60,0),IF(P60&lt;&gt;0,IF(Pricetype=1,(_xll.xSPRDOPT(P60,$E60,$CI60,0,($CD60+IF(Smile=TRUE,VLOOKUP(MAX(-5,$H60-P60),Volsmile,2),0)),$CG60,$CH60,($A60-DateToday)+15,1,0)),P60-$H60),0)))</f>
        <v xml:space="preserve"> </v>
      </c>
      <c r="Z60" s="406" t="str">
        <f t="shared" si="11"/>
        <v xml:space="preserve"> </v>
      </c>
      <c r="AA60" s="254" t="str">
        <f>IF($A60="N/A"," ",IF(VLOOKUP(MONTH(A60),ManualTable,2)=1,(IF(0&lt;&gt;R60,IF(Pricetype=1,(_xll.xSPRDOPT(I60,$E60,$CI60,0,($CD60+IF(Smile=TRUE,VLOOKUP(MAX(-5,$H60-I60),Volsmile,2),0)),$CG60,$CH60,($A60-DateToday)+15,1,1))*(8*$HD60),8*$HD60),0)),0))</f>
        <v xml:space="preserve"> </v>
      </c>
      <c r="AB60" s="254" t="str">
        <f>IF($A60="N/A"," ",IF(VLOOKUP(MONTH(A60),ManualTable,3)=1,(IF(S60&lt;&gt;0,IF(Pricetype=1,(_xll.xSPRDOPT(J60,$E60,$CI60,0,($CD60+IF(Smile=TRUE,VLOOKUP(MAX(-5,$H60-J60),Volsmile,2),0)),$CG60,$CH60,($A60-DateToday)+15,1,1))*(8*$HD60),8*$HD60),0)),0))</f>
        <v xml:space="preserve"> </v>
      </c>
      <c r="AC60" s="254" t="str">
        <f t="shared" si="66"/>
        <v xml:space="preserve"> </v>
      </c>
      <c r="AD60" s="254" t="str">
        <f>IF($A60="N/A"," ",IF(VLOOKUP(MONTH(A60),ManualTable,5)=1,(IF(U60&lt;&gt;0,IF(Pricetype=1,(_xll.xSPRDOPT(L60,$E60,$CI60,0,($CD60+IF(Smile=TRUE,VLOOKUP(MAX(-5,$H60-L60),Volsmile,2),0)),$CG60,$CH60,($A60-DateToday)+15,1,1))*(8*$HE60),8*$HE60),0)),0))</f>
        <v xml:space="preserve"> </v>
      </c>
      <c r="AE60" s="254" t="str">
        <f>IF($A60="N/A"," ",IF(VLOOKUP(MONTH(A60),ManualTable,6)=1,(IF(V60&lt;&gt;0,IF(Pricetype=1,(_xll.xSPRDOPT(M60,$E60,$CI60,0,($CD60+IF(Smile=TRUE,VLOOKUP(MAX(-5,$H60-M60),Volsmile,2),0)),$CG60,$CH60,($A60-DateToday)+15,1,1))*(8*$HE60),8*$HE60),0)),0))</f>
        <v xml:space="preserve"> </v>
      </c>
      <c r="AF60" s="254" t="str">
        <f t="shared" si="67"/>
        <v xml:space="preserve"> </v>
      </c>
      <c r="AG60" s="254" t="str">
        <f>IF($A60="N/A"," ",IF(VLOOKUP(MONTH(A60),ManualTable,8)=1,(IF(X60&lt;&gt;0,IF(Pricetype=1,(_xll.xSPRDOPT(O60,$E60,$CI60,0,($CD60+IF(Smile=TRUE,VLOOKUP(MAX(-5,$H60-O60),Volsmile,2),0)),$CG60,$CH60,($A60-DateToday)+15,1,1))*(8*$HF60),8*$HF60),0)),0))</f>
        <v xml:space="preserve"> </v>
      </c>
      <c r="AH60" s="254" t="str">
        <f>IF($A60="N/A"," ",IF(VLOOKUP(MONTH(A60),ManualTable,9)=1,(IF(Y60&lt;&gt;0,IF(Pricetype=1,(_xll.xSPRDOPT(P60,$E60,$CI60,0,($CD60+IF(Smile=TRUE,VLOOKUP(MAX(-5,$H60-P60),Volsmile,2),0)),$CG60,$CH60,($A60-DateToday)+15,1,1))*(8*$HF60),8*$HF60),0)),0))</f>
        <v xml:space="preserve"> </v>
      </c>
      <c r="AI60" s="254" t="str">
        <f t="shared" si="68"/>
        <v xml:space="preserve"> </v>
      </c>
      <c r="AJ60" s="227" t="str">
        <f t="shared" si="161"/>
        <v xml:space="preserve"> </v>
      </c>
      <c r="AK60" s="228" t="str">
        <f t="shared" si="162"/>
        <v xml:space="preserve"> </v>
      </c>
      <c r="AL60" s="228" t="str">
        <f t="shared" si="162"/>
        <v xml:space="preserve"> </v>
      </c>
      <c r="AM60" s="228" t="str">
        <f t="shared" si="163"/>
        <v xml:space="preserve"> </v>
      </c>
      <c r="AN60" s="228" t="str">
        <f t="shared" si="164"/>
        <v xml:space="preserve"> </v>
      </c>
      <c r="AO60" s="228" t="str">
        <f t="shared" si="164"/>
        <v xml:space="preserve"> </v>
      </c>
      <c r="AP60" s="228" t="str">
        <f t="shared" si="165"/>
        <v xml:space="preserve"> </v>
      </c>
      <c r="AQ60" s="228" t="str">
        <f t="shared" si="166"/>
        <v xml:space="preserve"> </v>
      </c>
      <c r="AR60" s="229" t="str">
        <f t="shared" si="167"/>
        <v xml:space="preserve"> </v>
      </c>
      <c r="AS60" s="262" t="str">
        <f t="shared" si="102"/>
        <v xml:space="preserve"> </v>
      </c>
      <c r="AT60" s="263" t="str">
        <f t="shared" si="103"/>
        <v xml:space="preserve"> </v>
      </c>
      <c r="AU60" s="263" t="str">
        <f t="shared" si="103"/>
        <v xml:space="preserve"> </v>
      </c>
      <c r="AV60" s="263" t="str">
        <f t="shared" si="104"/>
        <v xml:space="preserve"> </v>
      </c>
      <c r="AW60" s="263" t="str">
        <f t="shared" si="105"/>
        <v xml:space="preserve"> </v>
      </c>
      <c r="AX60" s="263" t="str">
        <f t="shared" si="105"/>
        <v xml:space="preserve"> </v>
      </c>
      <c r="AY60" s="263" t="str">
        <f t="shared" si="106"/>
        <v xml:space="preserve"> </v>
      </c>
      <c r="AZ60" s="263" t="str">
        <f t="shared" si="107"/>
        <v xml:space="preserve"> </v>
      </c>
      <c r="BA60" s="263" t="str">
        <f t="shared" si="108"/>
        <v xml:space="preserve"> </v>
      </c>
      <c r="BB60" s="229"/>
      <c r="BC60" s="266" t="str">
        <f t="shared" si="154"/>
        <v xml:space="preserve"> </v>
      </c>
      <c r="BD60" s="269" t="str">
        <f t="shared" si="155"/>
        <v xml:space="preserve"> </v>
      </c>
      <c r="BE60" s="269" t="str">
        <f t="shared" si="155"/>
        <v xml:space="preserve"> </v>
      </c>
      <c r="BF60" s="269" t="str">
        <f t="shared" si="156"/>
        <v xml:space="preserve"> </v>
      </c>
      <c r="BG60" s="269" t="str">
        <f t="shared" si="157"/>
        <v xml:space="preserve"> </v>
      </c>
      <c r="BH60" s="269" t="str">
        <f t="shared" si="157"/>
        <v xml:space="preserve"> </v>
      </c>
      <c r="BI60" s="269" t="str">
        <f t="shared" si="158"/>
        <v xml:space="preserve"> </v>
      </c>
      <c r="BJ60" s="269" t="str">
        <f t="shared" si="159"/>
        <v xml:space="preserve"> </v>
      </c>
      <c r="BK60" s="269" t="str">
        <f t="shared" si="160"/>
        <v xml:space="preserve"> </v>
      </c>
      <c r="BL60" s="229"/>
      <c r="BM60" s="220" t="str">
        <f>IF($A60="N/A"," ",(IF(MONTH(A60)&gt;=4,IF(MONTH(A60)&lt;=10,Inputs!$F$13-Inputs!$G$13,Inputs!$F$14-Inputs!$G$14),Inputs!$F$14-Inputs!$G$14))*$CK60*Availability)</f>
        <v xml:space="preserve"> </v>
      </c>
      <c r="BN60" s="221" t="str">
        <f t="shared" si="79"/>
        <v xml:space="preserve"> </v>
      </c>
      <c r="BO60" s="221" t="str">
        <f t="shared" si="80"/>
        <v xml:space="preserve"> </v>
      </c>
      <c r="BP60" s="221" t="str">
        <f t="shared" si="81"/>
        <v xml:space="preserve"> </v>
      </c>
      <c r="BQ60" s="221" t="str">
        <f t="shared" si="82"/>
        <v xml:space="preserve"> </v>
      </c>
      <c r="BR60" s="221" t="str">
        <f t="shared" si="83"/>
        <v xml:space="preserve"> </v>
      </c>
      <c r="BS60" s="221" t="str">
        <f t="shared" si="84"/>
        <v xml:space="preserve"> </v>
      </c>
      <c r="BT60" s="221" t="str">
        <f t="shared" si="85"/>
        <v xml:space="preserve"> </v>
      </c>
      <c r="BU60" s="221" t="str">
        <f t="shared" si="86"/>
        <v xml:space="preserve"> </v>
      </c>
      <c r="BV60" s="221" t="str">
        <f t="shared" si="87"/>
        <v xml:space="preserve"> </v>
      </c>
      <c r="BW60" s="221" t="str">
        <f t="shared" si="88"/>
        <v xml:space="preserve"> </v>
      </c>
      <c r="BX60" s="421" t="str">
        <f t="shared" si="89"/>
        <v xml:space="preserve"> </v>
      </c>
      <c r="BY60" s="417" t="str">
        <f t="shared" si="90"/>
        <v xml:space="preserve"> </v>
      </c>
      <c r="BZ60" s="417" t="str">
        <f t="shared" si="91"/>
        <v xml:space="preserve"> </v>
      </c>
      <c r="CA60" s="422" t="str">
        <f t="shared" si="92"/>
        <v xml:space="preserve"> </v>
      </c>
      <c r="CB60" s="347" t="str">
        <f t="shared" si="25"/>
        <v xml:space="preserve"> </v>
      </c>
      <c r="CC60" s="347" t="str">
        <f t="shared" si="93"/>
        <v xml:space="preserve"> </v>
      </c>
      <c r="CD60" s="348" t="str">
        <f t="shared" si="26"/>
        <v xml:space="preserve"> </v>
      </c>
      <c r="CE60" s="347" t="str">
        <f t="shared" si="27"/>
        <v xml:space="preserve"> </v>
      </c>
      <c r="CF60" s="347" t="str">
        <f t="shared" si="28"/>
        <v xml:space="preserve"> </v>
      </c>
      <c r="CG60" s="348" t="str">
        <f t="shared" si="29"/>
        <v xml:space="preserve"> </v>
      </c>
      <c r="CH60" s="347" t="str">
        <f t="shared" si="94"/>
        <v xml:space="preserve"> </v>
      </c>
      <c r="CI60" s="349" t="str">
        <f>IF($A60="N/A"," ",F60+G60+(D60*('Pricing Inputs'!T93)))</f>
        <v xml:space="preserve"> </v>
      </c>
      <c r="CJ60" s="347" t="str">
        <f>IF($A60="N/A"," ",IF(PV=1,0,'Pricing Inputs'!U93))</f>
        <v xml:space="preserve"> </v>
      </c>
      <c r="CK60" s="350" t="str">
        <f t="shared" si="30"/>
        <v xml:space="preserve"> </v>
      </c>
      <c r="CL60" s="365" t="str">
        <f t="shared" si="31"/>
        <v xml:space="preserve"> </v>
      </c>
      <c r="CM60" s="380" t="str">
        <f t="shared" si="95"/>
        <v xml:space="preserve"> </v>
      </c>
      <c r="CN60" s="378" t="str">
        <f t="shared" si="32"/>
        <v xml:space="preserve"> </v>
      </c>
      <c r="CO60" s="378" t="str">
        <f t="shared" si="33"/>
        <v xml:space="preserve"> </v>
      </c>
      <c r="CP60" s="378" t="str">
        <f t="shared" si="34"/>
        <v xml:space="preserve"> </v>
      </c>
      <c r="CQ60" s="378" t="str">
        <f t="shared" si="35"/>
        <v xml:space="preserve"> </v>
      </c>
      <c r="CR60" s="378" t="str">
        <f t="shared" si="36"/>
        <v xml:space="preserve"> </v>
      </c>
      <c r="CS60" s="378" t="str">
        <f t="shared" si="37"/>
        <v xml:space="preserve"> </v>
      </c>
      <c r="CT60" s="378" t="str">
        <f t="shared" si="38"/>
        <v xml:space="preserve"> </v>
      </c>
      <c r="CU60" s="378" t="str">
        <f t="shared" si="39"/>
        <v xml:space="preserve"> </v>
      </c>
      <c r="CV60" s="378" t="str">
        <f t="shared" si="40"/>
        <v xml:space="preserve"> </v>
      </c>
      <c r="CW60" s="254" t="str">
        <f t="shared" si="41"/>
        <v xml:space="preserve"> </v>
      </c>
      <c r="CX60" s="254" t="str">
        <f t="shared" si="42"/>
        <v xml:space="preserve"> </v>
      </c>
      <c r="CY60" s="254" t="str">
        <f t="shared" si="43"/>
        <v xml:space="preserve"> </v>
      </c>
      <c r="CZ60" s="254" t="str">
        <f t="shared" si="44"/>
        <v xml:space="preserve"> </v>
      </c>
      <c r="DA60" s="254" t="str">
        <f t="shared" si="45"/>
        <v xml:space="preserve"> </v>
      </c>
      <c r="DB60" s="254" t="str">
        <f t="shared" si="46"/>
        <v xml:space="preserve"> </v>
      </c>
      <c r="DC60" s="254" t="str">
        <f t="shared" si="47"/>
        <v xml:space="preserve"> </v>
      </c>
      <c r="DD60" s="254" t="str">
        <f t="shared" si="48"/>
        <v xml:space="preserve"> </v>
      </c>
      <c r="DE60" s="254" t="str">
        <f t="shared" si="49"/>
        <v xml:space="preserve"> </v>
      </c>
      <c r="DF60" s="374" t="str">
        <f>IF($A60="N/A"," ",IF(CC=2,(IF(MONTH(A60)&gt;=4,IF(MONTH(A60)&lt;=10,Inputs!$G$13,Inputs!$G$14),Inputs!$G$14))*$CK60,0))</f>
        <v xml:space="preserve"> </v>
      </c>
      <c r="DG60" s="373" t="str">
        <f t="shared" si="50"/>
        <v xml:space="preserve"> </v>
      </c>
      <c r="DH60" s="373" t="str">
        <f t="shared" si="51"/>
        <v xml:space="preserve"> </v>
      </c>
      <c r="DI60" s="373" t="str">
        <f t="shared" si="52"/>
        <v xml:space="preserve"> </v>
      </c>
      <c r="DJ60" s="373" t="str">
        <f t="shared" si="53"/>
        <v xml:space="preserve"> </v>
      </c>
      <c r="DK60" s="373" t="str">
        <f t="shared" si="54"/>
        <v xml:space="preserve"> </v>
      </c>
      <c r="DL60" s="373" t="str">
        <f t="shared" si="55"/>
        <v xml:space="preserve"> </v>
      </c>
      <c r="DM60" s="373" t="str">
        <f t="shared" si="56"/>
        <v xml:space="preserve"> </v>
      </c>
      <c r="DN60" s="373" t="str">
        <f t="shared" si="57"/>
        <v xml:space="preserve"> </v>
      </c>
      <c r="DO60" s="373" t="str">
        <f t="shared" si="58"/>
        <v xml:space="preserve"> </v>
      </c>
      <c r="DP60" s="375" t="str">
        <f t="shared" si="59"/>
        <v xml:space="preserve"> </v>
      </c>
      <c r="DQ60" t="str">
        <f t="shared" si="96"/>
        <v xml:space="preserve"> </v>
      </c>
      <c r="HD60" t="str">
        <f t="shared" si="97"/>
        <v xml:space="preserve"> </v>
      </c>
      <c r="HE60" t="str">
        <f t="shared" si="98"/>
        <v xml:space="preserve"> </v>
      </c>
      <c r="HF60" t="str">
        <f t="shared" si="99"/>
        <v xml:space="preserve"> </v>
      </c>
    </row>
    <row r="61" spans="1:214">
      <c r="A61" s="415" t="str">
        <f>IF(A60="N/A","N/A",IF(EDATE(A60,1)&gt;Inputs!$K$3,"N/A",EDATE(A60,1)))</f>
        <v>N/A</v>
      </c>
      <c r="B61" s="410" t="str">
        <f t="shared" si="60"/>
        <v xml:space="preserve"> </v>
      </c>
      <c r="C61" s="411" t="str">
        <f t="shared" si="61"/>
        <v xml:space="preserve"> </v>
      </c>
      <c r="D61" s="412" t="str">
        <f t="shared" si="62"/>
        <v xml:space="preserve"> </v>
      </c>
      <c r="E61" s="413" t="str">
        <f>IF($A61="N/A"," ",(C61-'Pricing Inputs'!T94)*D61)</f>
        <v xml:space="preserve"> </v>
      </c>
      <c r="F61" s="414" t="str">
        <f t="shared" si="116"/>
        <v xml:space="preserve"> </v>
      </c>
      <c r="G61" s="414" t="str">
        <f t="shared" si="64"/>
        <v xml:space="preserve"> </v>
      </c>
      <c r="H61" s="416" t="str">
        <f t="shared" si="65"/>
        <v xml:space="preserve"> </v>
      </c>
      <c r="I61" s="213" t="str">
        <f t="shared" si="0"/>
        <v xml:space="preserve"> </v>
      </c>
      <c r="J61" s="213" t="str">
        <f t="shared" si="1"/>
        <v xml:space="preserve"> </v>
      </c>
      <c r="K61" s="213" t="str">
        <f t="shared" si="2"/>
        <v xml:space="preserve"> </v>
      </c>
      <c r="L61" s="213" t="str">
        <f t="shared" si="3"/>
        <v xml:space="preserve"> </v>
      </c>
      <c r="M61" s="213" t="str">
        <f t="shared" si="4"/>
        <v xml:space="preserve"> </v>
      </c>
      <c r="N61" s="213" t="str">
        <f t="shared" si="5"/>
        <v xml:space="preserve"> </v>
      </c>
      <c r="O61" s="213" t="str">
        <f t="shared" si="6"/>
        <v xml:space="preserve"> </v>
      </c>
      <c r="P61" s="213" t="str">
        <f t="shared" si="7"/>
        <v xml:space="preserve"> </v>
      </c>
      <c r="Q61" s="213" t="str">
        <f t="shared" si="8"/>
        <v xml:space="preserve"> </v>
      </c>
      <c r="R61" s="405" t="str">
        <f>IF($A61="N/A"," ",IF(Pricetype=2,MAX(I61-$H61,0),IF(Pricetype=1,(_xll.xSPRDOPT(I61,$E61,$CI61,0,($CD61+IF(Smile=TRUE,VLOOKUP(MAX(-5,$H61-I61),Volsmile,2),0)),$CG61,$CH61,($A61-DateToday)+15,1,0)),I61-$H61)))</f>
        <v xml:space="preserve"> </v>
      </c>
      <c r="S61" s="405" t="str">
        <f>IF($A61="N/A"," ",IF(Pricetype=2,MAX(J61-$H61,0),IF(Pricetype=1,(_xll.xSPRDOPT(J61,$E61,$CI61,0,($CD61+IF(Smile=TRUE,VLOOKUP(MAX(-5,$H61-J61),Volsmile,2),0)),$CG61,$CH61,($A61-DateToday)+15,1,0)),J61-$H61)))</f>
        <v xml:space="preserve"> </v>
      </c>
      <c r="T61" s="406" t="str">
        <f t="shared" si="9"/>
        <v xml:space="preserve"> </v>
      </c>
      <c r="U61" s="405" t="str">
        <f>IF($A61="N/A"," ",IF(Pricetype=2,MAX(L61-$H61,0),IF(L61&lt;&gt;0,IF(Pricetype=1,(_xll.xSPRDOPT(L61,$E61,$CI61,0,($CD61+IF(Smile=TRUE,VLOOKUP(MAX(-5,$H61-L61),Volsmile,2),0)),$CG61,$CH61,($A61-DateToday)+15,1,0)),L61-$H61),0)))</f>
        <v xml:space="preserve"> </v>
      </c>
      <c r="V61" s="405" t="str">
        <f>IF($A61="N/A"," ",IF(Pricetype=2,MAX(M61-$H61,0),IF(M61&lt;&gt;0,IF(Pricetype=1,(_xll.xSPRDOPT(M61,$E61,$CI61,0,($CD61+IF(Smile=TRUE,VLOOKUP(MAX(-5,$H61-M61),Volsmile,2),0)),$CG61,$CH61,($A61-DateToday)+15,1,0)),M61-$H61),0)))</f>
        <v xml:space="preserve"> </v>
      </c>
      <c r="W61" s="406" t="str">
        <f t="shared" si="10"/>
        <v xml:space="preserve"> </v>
      </c>
      <c r="X61" s="405" t="str">
        <f>IF($A61="N/A"," ",IF(Pricetype=2,MAX(O61-$H61,0),IF(O61&lt;&gt;0,IF(Pricetype=1,(_xll.xSPRDOPT(O61,$E61,$CI61,0,($CD61+IF(Smile=TRUE,VLOOKUP(MAX(-5,$H61-O61),Volsmile,2),0)),$CG61,$CH61,($A61-DateToday)+15,1,0)),O61-$H61),0)))</f>
        <v xml:space="preserve"> </v>
      </c>
      <c r="Y61" s="405" t="str">
        <f>IF($A61="N/A"," ",IF(Pricetype=2,MAX(P61-$H61,0),IF(P61&lt;&gt;0,IF(Pricetype=1,(_xll.xSPRDOPT(P61,$E61,$CI61,0,($CD61+IF(Smile=TRUE,VLOOKUP(MAX(-5,$H61-P61),Volsmile,2),0)),$CG61,$CH61,($A61-DateToday)+15,1,0)),P61-$H61),0)))</f>
        <v xml:space="preserve"> </v>
      </c>
      <c r="Z61" s="406" t="str">
        <f t="shared" si="11"/>
        <v xml:space="preserve"> </v>
      </c>
      <c r="AA61" s="254" t="str">
        <f>IF($A61="N/A"," ",IF(VLOOKUP(MONTH(A61),ManualTable,2)=1,(IF(0&lt;&gt;R61,IF(Pricetype=1,(_xll.xSPRDOPT(I61,$E61,$CI61,0,($CD61+IF(Smile=TRUE,VLOOKUP(MAX(-5,$H61-I61),Volsmile,2),0)),$CG61,$CH61,($A61-DateToday)+15,1,1))*(8*$HD61),8*$HD61),0)),0))</f>
        <v xml:space="preserve"> </v>
      </c>
      <c r="AB61" s="254" t="str">
        <f>IF($A61="N/A"," ",IF(VLOOKUP(MONTH(A61),ManualTable,3)=1,(IF(S61&lt;&gt;0,IF(Pricetype=1,(_xll.xSPRDOPT(J61,$E61,$CI61,0,($CD61+IF(Smile=TRUE,VLOOKUP(MAX(-5,$H61-J61),Volsmile,2),0)),$CG61,$CH61,($A61-DateToday)+15,1,1))*(8*$HD61),8*$HD61),0)),0))</f>
        <v xml:space="preserve"> </v>
      </c>
      <c r="AC61" s="254" t="str">
        <f t="shared" si="66"/>
        <v xml:space="preserve"> </v>
      </c>
      <c r="AD61" s="254" t="str">
        <f>IF($A61="N/A"," ",IF(VLOOKUP(MONTH(A61),ManualTable,5)=1,(IF(U61&lt;&gt;0,IF(Pricetype=1,(_xll.xSPRDOPT(L61,$E61,$CI61,0,($CD61+IF(Smile=TRUE,VLOOKUP(MAX(-5,$H61-L61),Volsmile,2),0)),$CG61,$CH61,($A61-DateToday)+15,1,1))*(8*$HE61),8*$HE61),0)),0))</f>
        <v xml:space="preserve"> </v>
      </c>
      <c r="AE61" s="254" t="str">
        <f>IF($A61="N/A"," ",IF(VLOOKUP(MONTH(A61),ManualTable,6)=1,(IF(V61&lt;&gt;0,IF(Pricetype=1,(_xll.xSPRDOPT(M61,$E61,$CI61,0,($CD61+IF(Smile=TRUE,VLOOKUP(MAX(-5,$H61-M61),Volsmile,2),0)),$CG61,$CH61,($A61-DateToday)+15,1,1))*(8*$HE61),8*$HE61),0)),0))</f>
        <v xml:space="preserve"> </v>
      </c>
      <c r="AF61" s="254" t="str">
        <f t="shared" si="67"/>
        <v xml:space="preserve"> </v>
      </c>
      <c r="AG61" s="254" t="str">
        <f>IF($A61="N/A"," ",IF(VLOOKUP(MONTH(A61),ManualTable,8)=1,(IF(X61&lt;&gt;0,IF(Pricetype=1,(_xll.xSPRDOPT(O61,$E61,$CI61,0,($CD61+IF(Smile=TRUE,VLOOKUP(MAX(-5,$H61-O61),Volsmile,2),0)),$CG61,$CH61,($A61-DateToday)+15,1,1))*(8*$HF61),8*$HF61),0)),0))</f>
        <v xml:space="preserve"> </v>
      </c>
      <c r="AH61" s="254" t="str">
        <f>IF($A61="N/A"," ",IF(VLOOKUP(MONTH(A61),ManualTable,9)=1,(IF(Y61&lt;&gt;0,IF(Pricetype=1,(_xll.xSPRDOPT(P61,$E61,$CI61,0,($CD61+IF(Smile=TRUE,VLOOKUP(MAX(-5,$H61-P61),Volsmile,2),0)),$CG61,$CH61,($A61-DateToday)+15,1,1))*(8*$HF61),8*$HF61),0)),0))</f>
        <v xml:space="preserve"> </v>
      </c>
      <c r="AI61" s="254" t="str">
        <f t="shared" si="68"/>
        <v xml:space="preserve"> </v>
      </c>
      <c r="AJ61" s="227" t="str">
        <f t="shared" si="161"/>
        <v xml:space="preserve"> </v>
      </c>
      <c r="AK61" s="228" t="str">
        <f t="shared" si="162"/>
        <v xml:space="preserve"> </v>
      </c>
      <c r="AL61" s="228" t="str">
        <f t="shared" si="162"/>
        <v xml:space="preserve"> </v>
      </c>
      <c r="AM61" s="228" t="str">
        <f t="shared" si="163"/>
        <v xml:space="preserve"> </v>
      </c>
      <c r="AN61" s="228" t="str">
        <f t="shared" si="164"/>
        <v xml:space="preserve"> </v>
      </c>
      <c r="AO61" s="228" t="str">
        <f t="shared" si="164"/>
        <v xml:space="preserve"> </v>
      </c>
      <c r="AP61" s="228" t="str">
        <f t="shared" si="165"/>
        <v xml:space="preserve"> </v>
      </c>
      <c r="AQ61" s="228" t="str">
        <f t="shared" si="166"/>
        <v xml:space="preserve"> </v>
      </c>
      <c r="AR61" s="229" t="str">
        <f t="shared" si="167"/>
        <v xml:space="preserve"> </v>
      </c>
      <c r="AS61" s="262" t="str">
        <f t="shared" si="102"/>
        <v xml:space="preserve"> </v>
      </c>
      <c r="AT61" s="263" t="str">
        <f t="shared" si="103"/>
        <v xml:space="preserve"> </v>
      </c>
      <c r="AU61" s="263" t="str">
        <f t="shared" si="103"/>
        <v xml:space="preserve"> </v>
      </c>
      <c r="AV61" s="263" t="str">
        <f t="shared" si="104"/>
        <v xml:space="preserve"> </v>
      </c>
      <c r="AW61" s="263" t="str">
        <f t="shared" si="105"/>
        <v xml:space="preserve"> </v>
      </c>
      <c r="AX61" s="263" t="str">
        <f t="shared" si="105"/>
        <v xml:space="preserve"> </v>
      </c>
      <c r="AY61" s="263" t="str">
        <f t="shared" si="106"/>
        <v xml:space="preserve"> </v>
      </c>
      <c r="AZ61" s="263" t="str">
        <f t="shared" si="107"/>
        <v xml:space="preserve"> </v>
      </c>
      <c r="BA61" s="263" t="str">
        <f t="shared" si="108"/>
        <v xml:space="preserve"> </v>
      </c>
      <c r="BB61" s="234" t="s">
        <v>1271</v>
      </c>
      <c r="BC61" s="266" t="str">
        <f t="shared" si="154"/>
        <v xml:space="preserve"> </v>
      </c>
      <c r="BD61" s="269" t="str">
        <f t="shared" si="155"/>
        <v xml:space="preserve"> </v>
      </c>
      <c r="BE61" s="269" t="str">
        <f t="shared" si="155"/>
        <v xml:space="preserve"> </v>
      </c>
      <c r="BF61" s="269" t="str">
        <f t="shared" si="156"/>
        <v xml:space="preserve"> </v>
      </c>
      <c r="BG61" s="269" t="str">
        <f t="shared" si="157"/>
        <v xml:space="preserve"> </v>
      </c>
      <c r="BH61" s="269" t="str">
        <f t="shared" si="157"/>
        <v xml:space="preserve"> </v>
      </c>
      <c r="BI61" s="269" t="str">
        <f t="shared" si="158"/>
        <v xml:space="preserve"> </v>
      </c>
      <c r="BJ61" s="269" t="str">
        <f t="shared" si="159"/>
        <v xml:space="preserve"> </v>
      </c>
      <c r="BK61" s="269" t="str">
        <f t="shared" si="160"/>
        <v xml:space="preserve"> </v>
      </c>
      <c r="BL61" s="233" t="s">
        <v>1283</v>
      </c>
      <c r="BM61" s="220" t="str">
        <f>IF($A61="N/A"," ",(IF(MONTH(A61)&gt;=4,IF(MONTH(A61)&lt;=10,Inputs!$F$13-Inputs!$G$13,Inputs!$F$14-Inputs!$G$14),Inputs!$F$14-Inputs!$G$14))*$CK61*Availability)</f>
        <v xml:space="preserve"> </v>
      </c>
      <c r="BN61" s="221" t="str">
        <f t="shared" si="79"/>
        <v xml:space="preserve"> </v>
      </c>
      <c r="BO61" s="221" t="str">
        <f t="shared" si="80"/>
        <v xml:space="preserve"> </v>
      </c>
      <c r="BP61" s="221" t="str">
        <f t="shared" si="81"/>
        <v xml:space="preserve"> </v>
      </c>
      <c r="BQ61" s="221" t="str">
        <f t="shared" si="82"/>
        <v xml:space="preserve"> </v>
      </c>
      <c r="BR61" s="221" t="str">
        <f t="shared" si="83"/>
        <v xml:space="preserve"> </v>
      </c>
      <c r="BS61" s="221" t="str">
        <f t="shared" si="84"/>
        <v xml:space="preserve"> </v>
      </c>
      <c r="BT61" s="221" t="str">
        <f t="shared" si="85"/>
        <v xml:space="preserve"> </v>
      </c>
      <c r="BU61" s="221" t="str">
        <f t="shared" si="86"/>
        <v xml:space="preserve"> </v>
      </c>
      <c r="BV61" s="221" t="str">
        <f t="shared" si="87"/>
        <v xml:space="preserve"> </v>
      </c>
      <c r="BW61" s="221" t="str">
        <f t="shared" si="88"/>
        <v xml:space="preserve"> </v>
      </c>
      <c r="BX61" s="421" t="str">
        <f t="shared" si="89"/>
        <v xml:space="preserve"> </v>
      </c>
      <c r="BY61" s="417" t="str">
        <f t="shared" si="90"/>
        <v xml:space="preserve"> </v>
      </c>
      <c r="BZ61" s="417" t="str">
        <f t="shared" si="91"/>
        <v xml:space="preserve"> </v>
      </c>
      <c r="CA61" s="422" t="str">
        <f t="shared" si="92"/>
        <v xml:space="preserve"> </v>
      </c>
      <c r="CB61" s="347" t="str">
        <f t="shared" si="25"/>
        <v xml:space="preserve"> </v>
      </c>
      <c r="CC61" s="347" t="str">
        <f t="shared" si="93"/>
        <v xml:space="preserve"> </v>
      </c>
      <c r="CD61" s="348" t="str">
        <f t="shared" si="26"/>
        <v xml:space="preserve"> </v>
      </c>
      <c r="CE61" s="347" t="str">
        <f t="shared" si="27"/>
        <v xml:space="preserve"> </v>
      </c>
      <c r="CF61" s="347" t="str">
        <f t="shared" si="28"/>
        <v xml:space="preserve"> </v>
      </c>
      <c r="CG61" s="348" t="str">
        <f t="shared" si="29"/>
        <v xml:space="preserve"> </v>
      </c>
      <c r="CH61" s="347" t="str">
        <f t="shared" si="94"/>
        <v xml:space="preserve"> </v>
      </c>
      <c r="CI61" s="349" t="str">
        <f>IF($A61="N/A"," ",F61+G61+(D61*('Pricing Inputs'!T94)))</f>
        <v xml:space="preserve"> </v>
      </c>
      <c r="CJ61" s="347" t="str">
        <f>IF($A61="N/A"," ",IF(PV=1,0,'Pricing Inputs'!U94))</f>
        <v xml:space="preserve"> </v>
      </c>
      <c r="CK61" s="350" t="str">
        <f t="shared" si="30"/>
        <v xml:space="preserve"> </v>
      </c>
      <c r="CL61" s="365" t="str">
        <f t="shared" si="31"/>
        <v xml:space="preserve"> </v>
      </c>
      <c r="CM61" s="380" t="str">
        <f t="shared" si="95"/>
        <v xml:space="preserve"> </v>
      </c>
      <c r="CN61" s="378" t="str">
        <f t="shared" si="32"/>
        <v xml:space="preserve"> </v>
      </c>
      <c r="CO61" s="378" t="str">
        <f t="shared" si="33"/>
        <v xml:space="preserve"> </v>
      </c>
      <c r="CP61" s="378" t="str">
        <f t="shared" si="34"/>
        <v xml:space="preserve"> </v>
      </c>
      <c r="CQ61" s="378" t="str">
        <f t="shared" si="35"/>
        <v xml:space="preserve"> </v>
      </c>
      <c r="CR61" s="378" t="str">
        <f t="shared" si="36"/>
        <v xml:space="preserve"> </v>
      </c>
      <c r="CS61" s="378" t="str">
        <f t="shared" si="37"/>
        <v xml:space="preserve"> </v>
      </c>
      <c r="CT61" s="378" t="str">
        <f t="shared" si="38"/>
        <v xml:space="preserve"> </v>
      </c>
      <c r="CU61" s="378" t="str">
        <f t="shared" si="39"/>
        <v xml:space="preserve"> </v>
      </c>
      <c r="CV61" s="378" t="str">
        <f t="shared" si="40"/>
        <v xml:space="preserve"> </v>
      </c>
      <c r="CW61" s="254" t="str">
        <f t="shared" si="41"/>
        <v xml:space="preserve"> </v>
      </c>
      <c r="CX61" s="254" t="str">
        <f t="shared" si="42"/>
        <v xml:space="preserve"> </v>
      </c>
      <c r="CY61" s="254" t="str">
        <f t="shared" si="43"/>
        <v xml:space="preserve"> </v>
      </c>
      <c r="CZ61" s="254" t="str">
        <f t="shared" si="44"/>
        <v xml:space="preserve"> </v>
      </c>
      <c r="DA61" s="254" t="str">
        <f t="shared" si="45"/>
        <v xml:space="preserve"> </v>
      </c>
      <c r="DB61" s="254" t="str">
        <f t="shared" si="46"/>
        <v xml:space="preserve"> </v>
      </c>
      <c r="DC61" s="254" t="str">
        <f t="shared" si="47"/>
        <v xml:space="preserve"> </v>
      </c>
      <c r="DD61" s="254" t="str">
        <f t="shared" si="48"/>
        <v xml:space="preserve"> </v>
      </c>
      <c r="DE61" s="254" t="str">
        <f t="shared" si="49"/>
        <v xml:space="preserve"> </v>
      </c>
      <c r="DF61" s="374" t="str">
        <f>IF($A61="N/A"," ",IF(CC=2,(IF(MONTH(A61)&gt;=4,IF(MONTH(A61)&lt;=10,Inputs!$G$13,Inputs!$G$14),Inputs!$G$14))*$CK61,0))</f>
        <v xml:space="preserve"> </v>
      </c>
      <c r="DG61" s="373" t="str">
        <f t="shared" si="50"/>
        <v xml:space="preserve"> </v>
      </c>
      <c r="DH61" s="373" t="str">
        <f t="shared" si="51"/>
        <v xml:space="preserve"> </v>
      </c>
      <c r="DI61" s="373" t="str">
        <f t="shared" si="52"/>
        <v xml:space="preserve"> </v>
      </c>
      <c r="DJ61" s="373" t="str">
        <f t="shared" si="53"/>
        <v xml:space="preserve"> </v>
      </c>
      <c r="DK61" s="373" t="str">
        <f t="shared" si="54"/>
        <v xml:space="preserve"> </v>
      </c>
      <c r="DL61" s="373" t="str">
        <f t="shared" si="55"/>
        <v xml:space="preserve"> </v>
      </c>
      <c r="DM61" s="373" t="str">
        <f t="shared" si="56"/>
        <v xml:space="preserve"> </v>
      </c>
      <c r="DN61" s="373" t="str">
        <f t="shared" si="57"/>
        <v xml:space="preserve"> </v>
      </c>
      <c r="DO61" s="373" t="str">
        <f t="shared" si="58"/>
        <v xml:space="preserve"> </v>
      </c>
      <c r="DP61" s="375" t="str">
        <f t="shared" si="59"/>
        <v xml:space="preserve"> </v>
      </c>
      <c r="DQ61" t="str">
        <f t="shared" si="96"/>
        <v xml:space="preserve"> </v>
      </c>
      <c r="HD61" t="str">
        <f t="shared" si="97"/>
        <v xml:space="preserve"> </v>
      </c>
      <c r="HE61" t="str">
        <f t="shared" si="98"/>
        <v xml:space="preserve"> </v>
      </c>
      <c r="HF61" t="str">
        <f t="shared" si="99"/>
        <v xml:space="preserve"> </v>
      </c>
    </row>
    <row r="62" spans="1:214">
      <c r="A62" s="415" t="str">
        <f>IF(A61="N/A","N/A",IF(EDATE(A61,1)&gt;Inputs!$K$3,"N/A",EDATE(A61,1)))</f>
        <v>N/A</v>
      </c>
      <c r="B62" s="410" t="str">
        <f t="shared" si="60"/>
        <v xml:space="preserve"> </v>
      </c>
      <c r="C62" s="411" t="str">
        <f t="shared" si="61"/>
        <v xml:space="preserve"> </v>
      </c>
      <c r="D62" s="412" t="str">
        <f t="shared" si="62"/>
        <v xml:space="preserve"> </v>
      </c>
      <c r="E62" s="413" t="str">
        <f>IF($A62="N/A"," ",(C62-'Pricing Inputs'!T95)*D62)</f>
        <v xml:space="preserve"> </v>
      </c>
      <c r="F62" s="414" t="str">
        <f t="shared" si="116"/>
        <v xml:space="preserve"> </v>
      </c>
      <c r="G62" s="414" t="str">
        <f t="shared" si="64"/>
        <v xml:space="preserve"> </v>
      </c>
      <c r="H62" s="416" t="str">
        <f t="shared" si="65"/>
        <v xml:space="preserve"> </v>
      </c>
      <c r="I62" s="213" t="str">
        <f t="shared" si="0"/>
        <v xml:space="preserve"> </v>
      </c>
      <c r="J62" s="213" t="str">
        <f t="shared" si="1"/>
        <v xml:space="preserve"> </v>
      </c>
      <c r="K62" s="213" t="str">
        <f t="shared" si="2"/>
        <v xml:space="preserve"> </v>
      </c>
      <c r="L62" s="213" t="str">
        <f t="shared" si="3"/>
        <v xml:space="preserve"> </v>
      </c>
      <c r="M62" s="213" t="str">
        <f t="shared" si="4"/>
        <v xml:space="preserve"> </v>
      </c>
      <c r="N62" s="213" t="str">
        <f t="shared" si="5"/>
        <v xml:space="preserve"> </v>
      </c>
      <c r="O62" s="213" t="str">
        <f t="shared" si="6"/>
        <v xml:space="preserve"> </v>
      </c>
      <c r="P62" s="213" t="str">
        <f t="shared" si="7"/>
        <v xml:space="preserve"> </v>
      </c>
      <c r="Q62" s="213" t="str">
        <f t="shared" si="8"/>
        <v xml:space="preserve"> </v>
      </c>
      <c r="R62" s="405" t="str">
        <f>IF($A62="N/A"," ",IF(Pricetype=2,MAX(I62-$H62,0),IF(Pricetype=1,(_xll.xSPRDOPT(I62,$E62,$CI62,0,($CD62+IF(Smile=TRUE,VLOOKUP(MAX(-5,$H62-I62),Volsmile,2),0)),$CG62,$CH62,($A62-DateToday)+15,1,0)),I62-$H62)))</f>
        <v xml:space="preserve"> </v>
      </c>
      <c r="S62" s="405" t="str">
        <f>IF($A62="N/A"," ",IF(Pricetype=2,MAX(J62-$H62,0),IF(Pricetype=1,(_xll.xSPRDOPT(J62,$E62,$CI62,0,($CD62+IF(Smile=TRUE,VLOOKUP(MAX(-5,$H62-J62),Volsmile,2),0)),$CG62,$CH62,($A62-DateToday)+15,1,0)),J62-$H62)))</f>
        <v xml:space="preserve"> </v>
      </c>
      <c r="T62" s="406" t="str">
        <f t="shared" si="9"/>
        <v xml:space="preserve"> </v>
      </c>
      <c r="U62" s="405" t="str">
        <f>IF($A62="N/A"," ",IF(Pricetype=2,MAX(L62-$H62,0),IF(L62&lt;&gt;0,IF(Pricetype=1,(_xll.xSPRDOPT(L62,$E62,$CI62,0,($CD62+IF(Smile=TRUE,VLOOKUP(MAX(-5,$H62-L62),Volsmile,2),0)),$CG62,$CH62,($A62-DateToday)+15,1,0)),L62-$H62),0)))</f>
        <v xml:space="preserve"> </v>
      </c>
      <c r="V62" s="405" t="str">
        <f>IF($A62="N/A"," ",IF(Pricetype=2,MAX(M62-$H62,0),IF(M62&lt;&gt;0,IF(Pricetype=1,(_xll.xSPRDOPT(M62,$E62,$CI62,0,($CD62+IF(Smile=TRUE,VLOOKUP(MAX(-5,$H62-M62),Volsmile,2),0)),$CG62,$CH62,($A62-DateToday)+15,1,0)),M62-$H62),0)))</f>
        <v xml:space="preserve"> </v>
      </c>
      <c r="W62" s="406" t="str">
        <f t="shared" si="10"/>
        <v xml:space="preserve"> </v>
      </c>
      <c r="X62" s="405" t="str">
        <f>IF($A62="N/A"," ",IF(Pricetype=2,MAX(O62-$H62,0),IF(O62&lt;&gt;0,IF(Pricetype=1,(_xll.xSPRDOPT(O62,$E62,$CI62,0,($CD62+IF(Smile=TRUE,VLOOKUP(MAX(-5,$H62-O62),Volsmile,2),0)),$CG62,$CH62,($A62-DateToday)+15,1,0)),O62-$H62),0)))</f>
        <v xml:space="preserve"> </v>
      </c>
      <c r="Y62" s="405" t="str">
        <f>IF($A62="N/A"," ",IF(Pricetype=2,MAX(P62-$H62,0),IF(P62&lt;&gt;0,IF(Pricetype=1,(_xll.xSPRDOPT(P62,$E62,$CI62,0,($CD62+IF(Smile=TRUE,VLOOKUP(MAX(-5,$H62-P62),Volsmile,2),0)),$CG62,$CH62,($A62-DateToday)+15,1,0)),P62-$H62),0)))</f>
        <v xml:space="preserve"> </v>
      </c>
      <c r="Z62" s="406" t="str">
        <f t="shared" si="11"/>
        <v xml:space="preserve"> </v>
      </c>
      <c r="AA62" s="254" t="str">
        <f>IF($A62="N/A"," ",IF(VLOOKUP(MONTH(A62),ManualTable,2)=1,(IF(0&lt;&gt;R62,IF(Pricetype=1,(_xll.xSPRDOPT(I62,$E62,$CI62,0,($CD62+IF(Smile=TRUE,VLOOKUP(MAX(-5,$H62-I62),Volsmile,2),0)),$CG62,$CH62,($A62-DateToday)+15,1,1))*(8*$HD62),8*$HD62),0)),0))</f>
        <v xml:space="preserve"> </v>
      </c>
      <c r="AB62" s="254" t="str">
        <f>IF($A62="N/A"," ",IF(VLOOKUP(MONTH(A62),ManualTable,3)=1,(IF(S62&lt;&gt;0,IF(Pricetype=1,(_xll.xSPRDOPT(J62,$E62,$CI62,0,($CD62+IF(Smile=TRUE,VLOOKUP(MAX(-5,$H62-J62),Volsmile,2),0)),$CG62,$CH62,($A62-DateToday)+15,1,1))*(8*$HD62),8*$HD62),0)),0))</f>
        <v xml:space="preserve"> </v>
      </c>
      <c r="AC62" s="254" t="str">
        <f t="shared" si="66"/>
        <v xml:space="preserve"> </v>
      </c>
      <c r="AD62" s="254" t="str">
        <f>IF($A62="N/A"," ",IF(VLOOKUP(MONTH(A62),ManualTable,5)=1,(IF(U62&lt;&gt;0,IF(Pricetype=1,(_xll.xSPRDOPT(L62,$E62,$CI62,0,($CD62+IF(Smile=TRUE,VLOOKUP(MAX(-5,$H62-L62),Volsmile,2),0)),$CG62,$CH62,($A62-DateToday)+15,1,1))*(8*$HE62),8*$HE62),0)),0))</f>
        <v xml:space="preserve"> </v>
      </c>
      <c r="AE62" s="254" t="str">
        <f>IF($A62="N/A"," ",IF(VLOOKUP(MONTH(A62),ManualTable,6)=1,(IF(V62&lt;&gt;0,IF(Pricetype=1,(_xll.xSPRDOPT(M62,$E62,$CI62,0,($CD62+IF(Smile=TRUE,VLOOKUP(MAX(-5,$H62-M62),Volsmile,2),0)),$CG62,$CH62,($A62-DateToday)+15,1,1))*(8*$HE62),8*$HE62),0)),0))</f>
        <v xml:space="preserve"> </v>
      </c>
      <c r="AF62" s="254" t="str">
        <f t="shared" si="67"/>
        <v xml:space="preserve"> </v>
      </c>
      <c r="AG62" s="254" t="str">
        <f>IF($A62="N/A"," ",IF(VLOOKUP(MONTH(A62),ManualTable,8)=1,(IF(X62&lt;&gt;0,IF(Pricetype=1,(_xll.xSPRDOPT(O62,$E62,$CI62,0,($CD62+IF(Smile=TRUE,VLOOKUP(MAX(-5,$H62-O62),Volsmile,2),0)),$CG62,$CH62,($A62-DateToday)+15,1,1))*(8*$HF62),8*$HF62),0)),0))</f>
        <v xml:space="preserve"> </v>
      </c>
      <c r="AH62" s="254" t="str">
        <f>IF($A62="N/A"," ",IF(VLOOKUP(MONTH(A62),ManualTable,9)=1,(IF(Y62&lt;&gt;0,IF(Pricetype=1,(_xll.xSPRDOPT(P62,$E62,$CI62,0,($CD62+IF(Smile=TRUE,VLOOKUP(MAX(-5,$H62-P62),Volsmile,2),0)),$CG62,$CH62,($A62-DateToday)+15,1,1))*(8*$HF62),8*$HF62),0)),0))</f>
        <v xml:space="preserve"> </v>
      </c>
      <c r="AI62" s="254" t="str">
        <f t="shared" si="68"/>
        <v xml:space="preserve"> </v>
      </c>
      <c r="AJ62" s="227" t="str">
        <f t="shared" si="161"/>
        <v xml:space="preserve"> </v>
      </c>
      <c r="AK62" s="228" t="str">
        <f t="shared" si="162"/>
        <v xml:space="preserve"> </v>
      </c>
      <c r="AL62" s="228" t="str">
        <f t="shared" si="162"/>
        <v xml:space="preserve"> </v>
      </c>
      <c r="AM62" s="228" t="str">
        <f t="shared" si="163"/>
        <v xml:space="preserve"> </v>
      </c>
      <c r="AN62" s="228" t="str">
        <f t="shared" si="164"/>
        <v xml:space="preserve"> </v>
      </c>
      <c r="AO62" s="228" t="str">
        <f t="shared" si="164"/>
        <v xml:space="preserve"> </v>
      </c>
      <c r="AP62" s="228" t="str">
        <f t="shared" si="165"/>
        <v xml:space="preserve"> </v>
      </c>
      <c r="AQ62" s="228" t="str">
        <f t="shared" si="166"/>
        <v xml:space="preserve"> </v>
      </c>
      <c r="AR62" s="229" t="str">
        <f t="shared" si="167"/>
        <v xml:space="preserve"> </v>
      </c>
      <c r="AS62" s="262" t="str">
        <f t="shared" si="102"/>
        <v xml:space="preserve"> </v>
      </c>
      <c r="AT62" s="263" t="str">
        <f t="shared" si="103"/>
        <v xml:space="preserve"> </v>
      </c>
      <c r="AU62" s="263" t="str">
        <f t="shared" si="103"/>
        <v xml:space="preserve"> </v>
      </c>
      <c r="AV62" s="263" t="str">
        <f t="shared" si="104"/>
        <v xml:space="preserve"> </v>
      </c>
      <c r="AW62" s="263" t="str">
        <f t="shared" si="105"/>
        <v xml:space="preserve"> </v>
      </c>
      <c r="AX62" s="263" t="str">
        <f t="shared" si="105"/>
        <v xml:space="preserve"> </v>
      </c>
      <c r="AY62" s="263" t="str">
        <f t="shared" si="106"/>
        <v xml:space="preserve"> </v>
      </c>
      <c r="AZ62" s="263" t="str">
        <f t="shared" si="107"/>
        <v xml:space="preserve"> </v>
      </c>
      <c r="BA62" s="263" t="str">
        <f t="shared" si="108"/>
        <v xml:space="preserve"> </v>
      </c>
      <c r="BB62" s="229">
        <f>SUM(AS52:BA63)</f>
        <v>0</v>
      </c>
      <c r="BC62" s="266" t="str">
        <f t="shared" si="154"/>
        <v xml:space="preserve"> </v>
      </c>
      <c r="BD62" s="269" t="str">
        <f t="shared" si="155"/>
        <v xml:space="preserve"> </v>
      </c>
      <c r="BE62" s="269" t="str">
        <f t="shared" si="155"/>
        <v xml:space="preserve"> </v>
      </c>
      <c r="BF62" s="269" t="str">
        <f t="shared" si="156"/>
        <v xml:space="preserve"> </v>
      </c>
      <c r="BG62" s="269" t="str">
        <f t="shared" si="157"/>
        <v xml:space="preserve"> </v>
      </c>
      <c r="BH62" s="269" t="str">
        <f t="shared" si="157"/>
        <v xml:space="preserve"> </v>
      </c>
      <c r="BI62" s="269" t="str">
        <f t="shared" si="158"/>
        <v xml:space="preserve"> </v>
      </c>
      <c r="BJ62" s="269" t="str">
        <f t="shared" si="159"/>
        <v xml:space="preserve"> </v>
      </c>
      <c r="BK62" s="269" t="str">
        <f t="shared" si="160"/>
        <v xml:space="preserve"> </v>
      </c>
      <c r="BL62" s="229">
        <f>SUM(BC52:BK63)</f>
        <v>0</v>
      </c>
      <c r="BM62" s="220" t="str">
        <f>IF($A62="N/A"," ",(IF(MONTH(A62)&gt;=4,IF(MONTH(A62)&lt;=10,Inputs!$F$13-Inputs!$G$13,Inputs!$F$14-Inputs!$G$14),Inputs!$F$14-Inputs!$G$14))*$CK62*Availability)</f>
        <v xml:space="preserve"> </v>
      </c>
      <c r="BN62" s="221" t="str">
        <f t="shared" si="79"/>
        <v xml:space="preserve"> </v>
      </c>
      <c r="BO62" s="221" t="str">
        <f t="shared" si="80"/>
        <v xml:space="preserve"> </v>
      </c>
      <c r="BP62" s="221" t="str">
        <f t="shared" si="81"/>
        <v xml:space="preserve"> </v>
      </c>
      <c r="BQ62" s="221" t="str">
        <f t="shared" si="82"/>
        <v xml:space="preserve"> </v>
      </c>
      <c r="BR62" s="221" t="str">
        <f t="shared" si="83"/>
        <v xml:space="preserve"> </v>
      </c>
      <c r="BS62" s="221" t="str">
        <f t="shared" si="84"/>
        <v xml:space="preserve"> </v>
      </c>
      <c r="BT62" s="221" t="str">
        <f t="shared" si="85"/>
        <v xml:space="preserve"> </v>
      </c>
      <c r="BU62" s="221" t="str">
        <f t="shared" si="86"/>
        <v xml:space="preserve"> </v>
      </c>
      <c r="BV62" s="221" t="str">
        <f t="shared" si="87"/>
        <v xml:space="preserve"> </v>
      </c>
      <c r="BW62" s="221" t="str">
        <f t="shared" si="88"/>
        <v xml:space="preserve"> </v>
      </c>
      <c r="BX62" s="421" t="str">
        <f t="shared" si="89"/>
        <v xml:space="preserve"> </v>
      </c>
      <c r="BY62" s="417" t="str">
        <f t="shared" si="90"/>
        <v xml:space="preserve"> </v>
      </c>
      <c r="BZ62" s="417" t="str">
        <f t="shared" si="91"/>
        <v xml:space="preserve"> </v>
      </c>
      <c r="CA62" s="422" t="str">
        <f t="shared" si="92"/>
        <v xml:space="preserve"> </v>
      </c>
      <c r="CB62" s="347" t="str">
        <f t="shared" si="25"/>
        <v xml:space="preserve"> </v>
      </c>
      <c r="CC62" s="347" t="str">
        <f t="shared" si="93"/>
        <v xml:space="preserve"> </v>
      </c>
      <c r="CD62" s="348" t="str">
        <f t="shared" si="26"/>
        <v xml:space="preserve"> </v>
      </c>
      <c r="CE62" s="347" t="str">
        <f t="shared" si="27"/>
        <v xml:space="preserve"> </v>
      </c>
      <c r="CF62" s="347" t="str">
        <f t="shared" si="28"/>
        <v xml:space="preserve"> </v>
      </c>
      <c r="CG62" s="348" t="str">
        <f t="shared" si="29"/>
        <v xml:space="preserve"> </v>
      </c>
      <c r="CH62" s="347" t="str">
        <f t="shared" si="94"/>
        <v xml:space="preserve"> </v>
      </c>
      <c r="CI62" s="349" t="str">
        <f>IF($A62="N/A"," ",F62+G62+(D62*('Pricing Inputs'!T95)))</f>
        <v xml:space="preserve"> </v>
      </c>
      <c r="CJ62" s="347" t="str">
        <f>IF($A62="N/A"," ",IF(PV=1,0,'Pricing Inputs'!U95))</f>
        <v xml:space="preserve"> </v>
      </c>
      <c r="CK62" s="350" t="str">
        <f t="shared" si="30"/>
        <v xml:space="preserve"> </v>
      </c>
      <c r="CL62" s="365" t="str">
        <f t="shared" si="31"/>
        <v xml:space="preserve"> </v>
      </c>
      <c r="CM62" s="380" t="str">
        <f t="shared" si="95"/>
        <v xml:space="preserve"> </v>
      </c>
      <c r="CN62" s="378" t="str">
        <f t="shared" si="32"/>
        <v xml:space="preserve"> </v>
      </c>
      <c r="CO62" s="378" t="str">
        <f t="shared" si="33"/>
        <v xml:space="preserve"> </v>
      </c>
      <c r="CP62" s="378" t="str">
        <f t="shared" si="34"/>
        <v xml:space="preserve"> </v>
      </c>
      <c r="CQ62" s="378" t="str">
        <f t="shared" si="35"/>
        <v xml:space="preserve"> </v>
      </c>
      <c r="CR62" s="378" t="str">
        <f t="shared" si="36"/>
        <v xml:space="preserve"> </v>
      </c>
      <c r="CS62" s="378" t="str">
        <f t="shared" si="37"/>
        <v xml:space="preserve"> </v>
      </c>
      <c r="CT62" s="378" t="str">
        <f t="shared" si="38"/>
        <v xml:space="preserve"> </v>
      </c>
      <c r="CU62" s="378" t="str">
        <f t="shared" si="39"/>
        <v xml:space="preserve"> </v>
      </c>
      <c r="CV62" s="378" t="str">
        <f t="shared" si="40"/>
        <v xml:space="preserve"> </v>
      </c>
      <c r="CW62" s="254" t="str">
        <f t="shared" si="41"/>
        <v xml:space="preserve"> </v>
      </c>
      <c r="CX62" s="254" t="str">
        <f t="shared" si="42"/>
        <v xml:space="preserve"> </v>
      </c>
      <c r="CY62" s="254" t="str">
        <f t="shared" si="43"/>
        <v xml:space="preserve"> </v>
      </c>
      <c r="CZ62" s="254" t="str">
        <f t="shared" si="44"/>
        <v xml:space="preserve"> </v>
      </c>
      <c r="DA62" s="254" t="str">
        <f t="shared" si="45"/>
        <v xml:space="preserve"> </v>
      </c>
      <c r="DB62" s="254" t="str">
        <f t="shared" si="46"/>
        <v xml:space="preserve"> </v>
      </c>
      <c r="DC62" s="254" t="str">
        <f t="shared" si="47"/>
        <v xml:space="preserve"> </v>
      </c>
      <c r="DD62" s="254" t="str">
        <f t="shared" si="48"/>
        <v xml:space="preserve"> </v>
      </c>
      <c r="DE62" s="254" t="str">
        <f t="shared" si="49"/>
        <v xml:space="preserve"> </v>
      </c>
      <c r="DF62" s="374" t="str">
        <f>IF($A62="N/A"," ",IF(CC=2,(IF(MONTH(A62)&gt;=4,IF(MONTH(A62)&lt;=10,Inputs!$G$13,Inputs!$G$14),Inputs!$G$14))*$CK62,0))</f>
        <v xml:space="preserve"> </v>
      </c>
      <c r="DG62" s="373" t="str">
        <f t="shared" si="50"/>
        <v xml:space="preserve"> </v>
      </c>
      <c r="DH62" s="373" t="str">
        <f t="shared" si="51"/>
        <v xml:space="preserve"> </v>
      </c>
      <c r="DI62" s="373" t="str">
        <f t="shared" si="52"/>
        <v xml:space="preserve"> </v>
      </c>
      <c r="DJ62" s="373" t="str">
        <f t="shared" si="53"/>
        <v xml:space="preserve"> </v>
      </c>
      <c r="DK62" s="373" t="str">
        <f t="shared" si="54"/>
        <v xml:space="preserve"> </v>
      </c>
      <c r="DL62" s="373" t="str">
        <f t="shared" si="55"/>
        <v xml:space="preserve"> </v>
      </c>
      <c r="DM62" s="373" t="str">
        <f t="shared" si="56"/>
        <v xml:space="preserve"> </v>
      </c>
      <c r="DN62" s="373" t="str">
        <f t="shared" si="57"/>
        <v xml:space="preserve"> </v>
      </c>
      <c r="DO62" s="373" t="str">
        <f t="shared" si="58"/>
        <v xml:space="preserve"> </v>
      </c>
      <c r="DP62" s="375" t="str">
        <f t="shared" si="59"/>
        <v xml:space="preserve"> </v>
      </c>
      <c r="DQ62" t="str">
        <f t="shared" si="96"/>
        <v xml:space="preserve"> </v>
      </c>
      <c r="HD62" t="str">
        <f t="shared" si="97"/>
        <v xml:space="preserve"> </v>
      </c>
      <c r="HE62" t="str">
        <f t="shared" si="98"/>
        <v xml:space="preserve"> </v>
      </c>
      <c r="HF62" t="str">
        <f t="shared" si="99"/>
        <v xml:space="preserve"> </v>
      </c>
    </row>
    <row r="63" spans="1:214">
      <c r="A63" s="415" t="str">
        <f>IF(A62="N/A","N/A",IF(EDATE(A62,1)&gt;Inputs!$K$3,"N/A",EDATE(A62,1)))</f>
        <v>N/A</v>
      </c>
      <c r="B63" s="410" t="str">
        <f t="shared" si="60"/>
        <v xml:space="preserve"> </v>
      </c>
      <c r="C63" s="411" t="str">
        <f t="shared" si="61"/>
        <v xml:space="preserve"> </v>
      </c>
      <c r="D63" s="412" t="str">
        <f t="shared" si="62"/>
        <v xml:space="preserve"> </v>
      </c>
      <c r="E63" s="413" t="str">
        <f>IF($A63="N/A"," ",(C63-'Pricing Inputs'!T96)*D63)</f>
        <v xml:space="preserve"> </v>
      </c>
      <c r="F63" s="414" t="str">
        <f t="shared" si="116"/>
        <v xml:space="preserve"> </v>
      </c>
      <c r="G63" s="414" t="str">
        <f t="shared" si="64"/>
        <v xml:space="preserve"> </v>
      </c>
      <c r="H63" s="416" t="str">
        <f t="shared" si="65"/>
        <v xml:space="preserve"> </v>
      </c>
      <c r="I63" s="213" t="str">
        <f t="shared" si="0"/>
        <v xml:space="preserve"> </v>
      </c>
      <c r="J63" s="213" t="str">
        <f t="shared" si="1"/>
        <v xml:space="preserve"> </v>
      </c>
      <c r="K63" s="213" t="str">
        <f t="shared" si="2"/>
        <v xml:space="preserve"> </v>
      </c>
      <c r="L63" s="213" t="str">
        <f t="shared" si="3"/>
        <v xml:space="preserve"> </v>
      </c>
      <c r="M63" s="213" t="str">
        <f t="shared" si="4"/>
        <v xml:space="preserve"> </v>
      </c>
      <c r="N63" s="213" t="str">
        <f t="shared" si="5"/>
        <v xml:space="preserve"> </v>
      </c>
      <c r="O63" s="213" t="str">
        <f t="shared" si="6"/>
        <v xml:space="preserve"> </v>
      </c>
      <c r="P63" s="213" t="str">
        <f t="shared" si="7"/>
        <v xml:space="preserve"> </v>
      </c>
      <c r="Q63" s="213" t="str">
        <f t="shared" si="8"/>
        <v xml:space="preserve"> </v>
      </c>
      <c r="R63" s="405" t="str">
        <f>IF($A63="N/A"," ",IF(Pricetype=2,MAX(I63-$H63,0),IF(Pricetype=1,(_xll.xSPRDOPT(I63,$E63,$CI63,0,($CD63+IF(Smile=TRUE,VLOOKUP(MAX(-5,$H63-I63),Volsmile,2),0)),$CG63,$CH63,($A63-DateToday)+15,1,0)),I63-$H63)))</f>
        <v xml:space="preserve"> </v>
      </c>
      <c r="S63" s="405" t="str">
        <f>IF($A63="N/A"," ",IF(Pricetype=2,MAX(J63-$H63,0),IF(Pricetype=1,(_xll.xSPRDOPT(J63,$E63,$CI63,0,($CD63+IF(Smile=TRUE,VLOOKUP(MAX(-5,$H63-J63),Volsmile,2),0)),$CG63,$CH63,($A63-DateToday)+15,1,0)),J63-$H63)))</f>
        <v xml:space="preserve"> </v>
      </c>
      <c r="T63" s="406" t="str">
        <f t="shared" si="9"/>
        <v xml:space="preserve"> </v>
      </c>
      <c r="U63" s="405" t="str">
        <f>IF($A63="N/A"," ",IF(Pricetype=2,MAX(L63-$H63,0),IF(L63&lt;&gt;0,IF(Pricetype=1,(_xll.xSPRDOPT(L63,$E63,$CI63,0,($CD63+IF(Smile=TRUE,VLOOKUP(MAX(-5,$H63-L63),Volsmile,2),0)),$CG63,$CH63,($A63-DateToday)+15,1,0)),L63-$H63),0)))</f>
        <v xml:space="preserve"> </v>
      </c>
      <c r="V63" s="405" t="str">
        <f>IF($A63="N/A"," ",IF(Pricetype=2,MAX(M63-$H63,0),IF(M63&lt;&gt;0,IF(Pricetype=1,(_xll.xSPRDOPT(M63,$E63,$CI63,0,($CD63+IF(Smile=TRUE,VLOOKUP(MAX(-5,$H63-M63),Volsmile,2),0)),$CG63,$CH63,($A63-DateToday)+15,1,0)),M63-$H63),0)))</f>
        <v xml:space="preserve"> </v>
      </c>
      <c r="W63" s="406" t="str">
        <f t="shared" si="10"/>
        <v xml:space="preserve"> </v>
      </c>
      <c r="X63" s="405" t="str">
        <f>IF($A63="N/A"," ",IF(Pricetype=2,MAX(O63-$H63,0),IF(O63&lt;&gt;0,IF(Pricetype=1,(_xll.xSPRDOPT(O63,$E63,$CI63,0,($CD63+IF(Smile=TRUE,VLOOKUP(MAX(-5,$H63-O63),Volsmile,2),0)),$CG63,$CH63,($A63-DateToday)+15,1,0)),O63-$H63),0)))</f>
        <v xml:space="preserve"> </v>
      </c>
      <c r="Y63" s="405" t="str">
        <f>IF($A63="N/A"," ",IF(Pricetype=2,MAX(P63-$H63,0),IF(P63&lt;&gt;0,IF(Pricetype=1,(_xll.xSPRDOPT(P63,$E63,$CI63,0,($CD63+IF(Smile=TRUE,VLOOKUP(MAX(-5,$H63-P63),Volsmile,2),0)),$CG63,$CH63,($A63-DateToday)+15,1,0)),P63-$H63),0)))</f>
        <v xml:space="preserve"> </v>
      </c>
      <c r="Z63" s="406" t="str">
        <f t="shared" si="11"/>
        <v xml:space="preserve"> </v>
      </c>
      <c r="AA63" s="254" t="str">
        <f>IF($A63="N/A"," ",IF(VLOOKUP(MONTH(A63),ManualTable,2)=1,(IF(0&lt;&gt;R63,IF(Pricetype=1,(_xll.xSPRDOPT(I63,$E63,$CI63,0,($CD63+IF(Smile=TRUE,VLOOKUP(MAX(-5,$H63-I63),Volsmile,2),0)),$CG63,$CH63,($A63-DateToday)+15,1,1))*(8*$HD63),8*$HD63),0)),0))</f>
        <v xml:space="preserve"> </v>
      </c>
      <c r="AB63" s="254" t="str">
        <f>IF($A63="N/A"," ",IF(VLOOKUP(MONTH(A63),ManualTable,3)=1,(IF(S63&lt;&gt;0,IF(Pricetype=1,(_xll.xSPRDOPT(J63,$E63,$CI63,0,($CD63+IF(Smile=TRUE,VLOOKUP(MAX(-5,$H63-J63),Volsmile,2),0)),$CG63,$CH63,($A63-DateToday)+15,1,1))*(8*$HD63),8*$HD63),0)),0))</f>
        <v xml:space="preserve"> </v>
      </c>
      <c r="AC63" s="254" t="str">
        <f t="shared" si="66"/>
        <v xml:space="preserve"> </v>
      </c>
      <c r="AD63" s="254" t="str">
        <f>IF($A63="N/A"," ",IF(VLOOKUP(MONTH(A63),ManualTable,5)=1,(IF(U63&lt;&gt;0,IF(Pricetype=1,(_xll.xSPRDOPT(L63,$E63,$CI63,0,($CD63+IF(Smile=TRUE,VLOOKUP(MAX(-5,$H63-L63),Volsmile,2),0)),$CG63,$CH63,($A63-DateToday)+15,1,1))*(8*$HE63),8*$HE63),0)),0))</f>
        <v xml:space="preserve"> </v>
      </c>
      <c r="AE63" s="254" t="str">
        <f>IF($A63="N/A"," ",IF(VLOOKUP(MONTH(A63),ManualTable,6)=1,(IF(V63&lt;&gt;0,IF(Pricetype=1,(_xll.xSPRDOPT(M63,$E63,$CI63,0,($CD63+IF(Smile=TRUE,VLOOKUP(MAX(-5,$H63-M63),Volsmile,2),0)),$CG63,$CH63,($A63-DateToday)+15,1,1))*(8*$HE63),8*$HE63),0)),0))</f>
        <v xml:space="preserve"> </v>
      </c>
      <c r="AF63" s="254" t="str">
        <f t="shared" si="67"/>
        <v xml:space="preserve"> </v>
      </c>
      <c r="AG63" s="254" t="str">
        <f>IF($A63="N/A"," ",IF(VLOOKUP(MONTH(A63),ManualTable,8)=1,(IF(X63&lt;&gt;0,IF(Pricetype=1,(_xll.xSPRDOPT(O63,$E63,$CI63,0,($CD63+IF(Smile=TRUE,VLOOKUP(MAX(-5,$H63-O63),Volsmile,2),0)),$CG63,$CH63,($A63-DateToday)+15,1,1))*(8*$HF63),8*$HF63),0)),0))</f>
        <v xml:space="preserve"> </v>
      </c>
      <c r="AH63" s="254" t="str">
        <f>IF($A63="N/A"," ",IF(VLOOKUP(MONTH(A63),ManualTable,9)=1,(IF(Y63&lt;&gt;0,IF(Pricetype=1,(_xll.xSPRDOPT(P63,$E63,$CI63,0,($CD63+IF(Smile=TRUE,VLOOKUP(MAX(-5,$H63-P63),Volsmile,2),0)),$CG63,$CH63,($A63-DateToday)+15,1,1))*(8*$HF63),8*$HF63),0)),0))</f>
        <v xml:space="preserve"> </v>
      </c>
      <c r="AI63" s="254" t="str">
        <f t="shared" si="68"/>
        <v xml:space="preserve"> </v>
      </c>
      <c r="AJ63" s="230" t="str">
        <f t="shared" si="161"/>
        <v xml:space="preserve"> </v>
      </c>
      <c r="AK63" s="231" t="str">
        <f t="shared" si="162"/>
        <v xml:space="preserve"> </v>
      </c>
      <c r="AL63" s="231" t="str">
        <f t="shared" si="162"/>
        <v xml:space="preserve"> </v>
      </c>
      <c r="AM63" s="231" t="str">
        <f t="shared" si="163"/>
        <v xml:space="preserve"> </v>
      </c>
      <c r="AN63" s="231" t="str">
        <f t="shared" si="164"/>
        <v xml:space="preserve"> </v>
      </c>
      <c r="AO63" s="231" t="str">
        <f t="shared" si="164"/>
        <v xml:space="preserve"> </v>
      </c>
      <c r="AP63" s="231" t="str">
        <f t="shared" si="165"/>
        <v xml:space="preserve"> </v>
      </c>
      <c r="AQ63" s="231" t="str">
        <f t="shared" si="166"/>
        <v xml:space="preserve"> </v>
      </c>
      <c r="AR63" s="232" t="str">
        <f t="shared" si="167"/>
        <v xml:space="preserve"> </v>
      </c>
      <c r="AS63" s="264" t="str">
        <f t="shared" si="102"/>
        <v xml:space="preserve"> </v>
      </c>
      <c r="AT63" s="265" t="str">
        <f t="shared" si="103"/>
        <v xml:space="preserve"> </v>
      </c>
      <c r="AU63" s="265" t="str">
        <f t="shared" si="103"/>
        <v xml:space="preserve"> </v>
      </c>
      <c r="AV63" s="265" t="str">
        <f t="shared" si="104"/>
        <v xml:space="preserve"> </v>
      </c>
      <c r="AW63" s="265" t="str">
        <f t="shared" si="105"/>
        <v xml:space="preserve"> </v>
      </c>
      <c r="AX63" s="265" t="str">
        <f t="shared" si="105"/>
        <v xml:space="preserve"> </v>
      </c>
      <c r="AY63" s="265" t="str">
        <f t="shared" si="106"/>
        <v xml:space="preserve"> </v>
      </c>
      <c r="AZ63" s="265" t="str">
        <f t="shared" si="107"/>
        <v xml:space="preserve"> </v>
      </c>
      <c r="BA63" s="265" t="str">
        <f t="shared" si="108"/>
        <v xml:space="preserve"> </v>
      </c>
      <c r="BB63" s="232">
        <f>IF(($AZ$2-BB62)&gt;=0,$AZ$2-BB62,0)</f>
        <v>980</v>
      </c>
      <c r="BC63" s="270" t="str">
        <f t="shared" si="154"/>
        <v xml:space="preserve"> </v>
      </c>
      <c r="BD63" s="271" t="str">
        <f t="shared" si="155"/>
        <v xml:space="preserve"> </v>
      </c>
      <c r="BE63" s="269" t="str">
        <f t="shared" si="155"/>
        <v xml:space="preserve"> </v>
      </c>
      <c r="BF63" s="271" t="str">
        <f t="shared" si="156"/>
        <v xml:space="preserve"> </v>
      </c>
      <c r="BG63" s="271" t="str">
        <f t="shared" si="157"/>
        <v xml:space="preserve"> </v>
      </c>
      <c r="BH63" s="269" t="str">
        <f t="shared" si="157"/>
        <v xml:space="preserve"> </v>
      </c>
      <c r="BI63" s="271" t="str">
        <f t="shared" si="158"/>
        <v xml:space="preserve"> </v>
      </c>
      <c r="BJ63" s="271" t="str">
        <f t="shared" si="159"/>
        <v xml:space="preserve"> </v>
      </c>
      <c r="BK63" s="271" t="str">
        <f t="shared" si="160"/>
        <v xml:space="preserve"> </v>
      </c>
      <c r="BL63" s="235">
        <f>BB62+BL62</f>
        <v>0</v>
      </c>
      <c r="BM63" s="220" t="str">
        <f>IF($A63="N/A"," ",(IF(MONTH(A63)&gt;=4,IF(MONTH(A63)&lt;=10,Inputs!$F$13-Inputs!$G$13,Inputs!$F$14-Inputs!$G$14),Inputs!$F$14-Inputs!$G$14))*$CK63*Availability)</f>
        <v xml:space="preserve"> </v>
      </c>
      <c r="BN63" s="221" t="str">
        <f t="shared" si="79"/>
        <v xml:space="preserve"> </v>
      </c>
      <c r="BO63" s="221" t="str">
        <f t="shared" si="80"/>
        <v xml:space="preserve"> </v>
      </c>
      <c r="BP63" s="221" t="str">
        <f t="shared" si="81"/>
        <v xml:space="preserve"> </v>
      </c>
      <c r="BQ63" s="221" t="str">
        <f t="shared" si="82"/>
        <v xml:space="preserve"> </v>
      </c>
      <c r="BR63" s="221" t="str">
        <f t="shared" si="83"/>
        <v xml:space="preserve"> </v>
      </c>
      <c r="BS63" s="221" t="str">
        <f t="shared" si="84"/>
        <v xml:space="preserve"> </v>
      </c>
      <c r="BT63" s="221" t="str">
        <f t="shared" si="85"/>
        <v xml:space="preserve"> </v>
      </c>
      <c r="BU63" s="221" t="str">
        <f t="shared" si="86"/>
        <v xml:space="preserve"> </v>
      </c>
      <c r="BV63" s="221" t="str">
        <f t="shared" si="87"/>
        <v xml:space="preserve"> </v>
      </c>
      <c r="BW63" s="221" t="str">
        <f t="shared" si="88"/>
        <v xml:space="preserve"> </v>
      </c>
      <c r="BX63" s="421" t="str">
        <f t="shared" si="89"/>
        <v xml:space="preserve"> </v>
      </c>
      <c r="BY63" s="417" t="str">
        <f t="shared" si="90"/>
        <v xml:space="preserve"> </v>
      </c>
      <c r="BZ63" s="417" t="str">
        <f t="shared" si="91"/>
        <v xml:space="preserve"> </v>
      </c>
      <c r="CA63" s="422" t="str">
        <f t="shared" si="92"/>
        <v xml:space="preserve"> </v>
      </c>
      <c r="CB63" s="347" t="str">
        <f t="shared" si="25"/>
        <v xml:space="preserve"> </v>
      </c>
      <c r="CC63" s="347" t="str">
        <f t="shared" si="93"/>
        <v xml:space="preserve"> </v>
      </c>
      <c r="CD63" s="348" t="str">
        <f t="shared" si="26"/>
        <v xml:space="preserve"> </v>
      </c>
      <c r="CE63" s="347" t="str">
        <f t="shared" si="27"/>
        <v xml:space="preserve"> </v>
      </c>
      <c r="CF63" s="347" t="str">
        <f t="shared" si="28"/>
        <v xml:space="preserve"> </v>
      </c>
      <c r="CG63" s="348" t="str">
        <f t="shared" si="29"/>
        <v xml:space="preserve"> </v>
      </c>
      <c r="CH63" s="347" t="str">
        <f t="shared" si="94"/>
        <v xml:space="preserve"> </v>
      </c>
      <c r="CI63" s="349" t="str">
        <f>IF($A63="N/A"," ",F63+G63+(D63*('Pricing Inputs'!T96)))</f>
        <v xml:space="preserve"> </v>
      </c>
      <c r="CJ63" s="347" t="str">
        <f>IF($A63="N/A"," ",IF(PV=1,0,'Pricing Inputs'!U96))</f>
        <v xml:space="preserve"> </v>
      </c>
      <c r="CK63" s="350" t="str">
        <f t="shared" si="30"/>
        <v xml:space="preserve"> </v>
      </c>
      <c r="CL63" s="365" t="str">
        <f t="shared" si="31"/>
        <v xml:space="preserve"> </v>
      </c>
      <c r="CM63" s="380" t="str">
        <f t="shared" si="95"/>
        <v xml:space="preserve"> </v>
      </c>
      <c r="CN63" s="378" t="str">
        <f t="shared" si="32"/>
        <v xml:space="preserve"> </v>
      </c>
      <c r="CO63" s="378" t="str">
        <f t="shared" si="33"/>
        <v xml:space="preserve"> </v>
      </c>
      <c r="CP63" s="378" t="str">
        <f t="shared" si="34"/>
        <v xml:space="preserve"> </v>
      </c>
      <c r="CQ63" s="378" t="str">
        <f t="shared" si="35"/>
        <v xml:space="preserve"> </v>
      </c>
      <c r="CR63" s="378" t="str">
        <f t="shared" si="36"/>
        <v xml:space="preserve"> </v>
      </c>
      <c r="CS63" s="378" t="str">
        <f t="shared" si="37"/>
        <v xml:space="preserve"> </v>
      </c>
      <c r="CT63" s="378" t="str">
        <f t="shared" si="38"/>
        <v xml:space="preserve"> </v>
      </c>
      <c r="CU63" s="378" t="str">
        <f t="shared" si="39"/>
        <v xml:space="preserve"> </v>
      </c>
      <c r="CV63" s="378" t="str">
        <f t="shared" si="40"/>
        <v xml:space="preserve"> </v>
      </c>
      <c r="CW63" s="254" t="str">
        <f t="shared" si="41"/>
        <v xml:space="preserve"> </v>
      </c>
      <c r="CX63" s="254" t="str">
        <f t="shared" si="42"/>
        <v xml:space="preserve"> </v>
      </c>
      <c r="CY63" s="254" t="str">
        <f t="shared" si="43"/>
        <v xml:space="preserve"> </v>
      </c>
      <c r="CZ63" s="254" t="str">
        <f t="shared" si="44"/>
        <v xml:space="preserve"> </v>
      </c>
      <c r="DA63" s="254" t="str">
        <f t="shared" si="45"/>
        <v xml:space="preserve"> </v>
      </c>
      <c r="DB63" s="254" t="str">
        <f t="shared" si="46"/>
        <v xml:space="preserve"> </v>
      </c>
      <c r="DC63" s="254" t="str">
        <f t="shared" si="47"/>
        <v xml:space="preserve"> </v>
      </c>
      <c r="DD63" s="254" t="str">
        <f t="shared" si="48"/>
        <v xml:space="preserve"> </v>
      </c>
      <c r="DE63" s="254" t="str">
        <f t="shared" si="49"/>
        <v xml:space="preserve"> </v>
      </c>
      <c r="DF63" s="374" t="str">
        <f>IF($A63="N/A"," ",IF(CC=2,(IF(MONTH(A63)&gt;=4,IF(MONTH(A63)&lt;=10,Inputs!$G$13,Inputs!$G$14),Inputs!$G$14))*$CK63,0))</f>
        <v xml:space="preserve"> </v>
      </c>
      <c r="DG63" s="373" t="str">
        <f t="shared" si="50"/>
        <v xml:space="preserve"> </v>
      </c>
      <c r="DH63" s="373" t="str">
        <f t="shared" si="51"/>
        <v xml:space="preserve"> </v>
      </c>
      <c r="DI63" s="373" t="str">
        <f t="shared" si="52"/>
        <v xml:space="preserve"> </v>
      </c>
      <c r="DJ63" s="373" t="str">
        <f t="shared" si="53"/>
        <v xml:space="preserve"> </v>
      </c>
      <c r="DK63" s="373" t="str">
        <f t="shared" si="54"/>
        <v xml:space="preserve"> </v>
      </c>
      <c r="DL63" s="373" t="str">
        <f t="shared" si="55"/>
        <v xml:space="preserve"> </v>
      </c>
      <c r="DM63" s="373" t="str">
        <f t="shared" si="56"/>
        <v xml:space="preserve"> </v>
      </c>
      <c r="DN63" s="373" t="str">
        <f t="shared" si="57"/>
        <v xml:space="preserve"> </v>
      </c>
      <c r="DO63" s="373" t="str">
        <f t="shared" si="58"/>
        <v xml:space="preserve"> </v>
      </c>
      <c r="DP63" s="375" t="str">
        <f t="shared" si="59"/>
        <v xml:space="preserve"> </v>
      </c>
      <c r="DQ63" t="str">
        <f t="shared" si="96"/>
        <v xml:space="preserve"> </v>
      </c>
      <c r="HD63" t="str">
        <f t="shared" si="97"/>
        <v xml:space="preserve"> </v>
      </c>
      <c r="HE63" t="str">
        <f t="shared" si="98"/>
        <v xml:space="preserve"> </v>
      </c>
      <c r="HF63" t="str">
        <f t="shared" si="99"/>
        <v xml:space="preserve"> </v>
      </c>
    </row>
    <row r="64" spans="1:214">
      <c r="A64" s="415" t="str">
        <f>IF(A63="N/A","N/A",IF(EDATE(A63,1)&gt;Inputs!$K$3,"N/A",EDATE(A63,1)))</f>
        <v>N/A</v>
      </c>
      <c r="B64" s="410" t="str">
        <f t="shared" si="60"/>
        <v xml:space="preserve"> </v>
      </c>
      <c r="C64" s="411" t="str">
        <f t="shared" si="61"/>
        <v xml:space="preserve"> </v>
      </c>
      <c r="D64" s="412" t="str">
        <f t="shared" si="62"/>
        <v xml:space="preserve"> </v>
      </c>
      <c r="E64" s="413" t="str">
        <f>IF($A64="N/A"," ",(C64-'Pricing Inputs'!T97)*D64)</f>
        <v xml:space="preserve"> </v>
      </c>
      <c r="F64" s="414" t="str">
        <f t="shared" si="116"/>
        <v xml:space="preserve"> </v>
      </c>
      <c r="G64" s="414" t="str">
        <f t="shared" si="64"/>
        <v xml:space="preserve"> </v>
      </c>
      <c r="H64" s="416" t="str">
        <f t="shared" si="65"/>
        <v xml:space="preserve"> </v>
      </c>
      <c r="I64" s="213" t="str">
        <f t="shared" si="0"/>
        <v xml:space="preserve"> </v>
      </c>
      <c r="J64" s="213" t="str">
        <f t="shared" si="1"/>
        <v xml:space="preserve"> </v>
      </c>
      <c r="K64" s="213" t="str">
        <f t="shared" si="2"/>
        <v xml:space="preserve"> </v>
      </c>
      <c r="L64" s="213" t="str">
        <f t="shared" si="3"/>
        <v xml:space="preserve"> </v>
      </c>
      <c r="M64" s="213" t="str">
        <f t="shared" si="4"/>
        <v xml:space="preserve"> </v>
      </c>
      <c r="N64" s="213" t="str">
        <f t="shared" si="5"/>
        <v xml:space="preserve"> </v>
      </c>
      <c r="O64" s="213" t="str">
        <f t="shared" si="6"/>
        <v xml:space="preserve"> </v>
      </c>
      <c r="P64" s="213" t="str">
        <f t="shared" si="7"/>
        <v xml:space="preserve"> </v>
      </c>
      <c r="Q64" s="213" t="str">
        <f t="shared" si="8"/>
        <v xml:space="preserve"> </v>
      </c>
      <c r="R64" s="405" t="str">
        <f>IF($A64="N/A"," ",IF(Pricetype=2,MAX(I64-$H64,0),IF(Pricetype=1,(_xll.xSPRDOPT(I64,$E64,$CI64,0,($CD64+IF(Smile=TRUE,VLOOKUP(MAX(-5,$H64-I64),Volsmile,2),0)),$CG64,$CH64,($A64-DateToday)+15,1,0)),I64-$H64)))</f>
        <v xml:space="preserve"> </v>
      </c>
      <c r="S64" s="405" t="str">
        <f>IF($A64="N/A"," ",IF(Pricetype=2,MAX(J64-$H64,0),IF(Pricetype=1,(_xll.xSPRDOPT(J64,$E64,$CI64,0,($CD64+IF(Smile=TRUE,VLOOKUP(MAX(-5,$H64-J64),Volsmile,2),0)),$CG64,$CH64,($A64-DateToday)+15,1,0)),J64-$H64)))</f>
        <v xml:space="preserve"> </v>
      </c>
      <c r="T64" s="406" t="str">
        <f t="shared" si="9"/>
        <v xml:space="preserve"> </v>
      </c>
      <c r="U64" s="405" t="str">
        <f>IF($A64="N/A"," ",IF(Pricetype=2,MAX(L64-$H64,0),IF(L64&lt;&gt;0,IF(Pricetype=1,(_xll.xSPRDOPT(L64,$E64,$CI64,0,($CD64+IF(Smile=TRUE,VLOOKUP(MAX(-5,$H64-L64),Volsmile,2),0)),$CG64,$CH64,($A64-DateToday)+15,1,0)),L64-$H64),0)))</f>
        <v xml:space="preserve"> </v>
      </c>
      <c r="V64" s="405" t="str">
        <f>IF($A64="N/A"," ",IF(Pricetype=2,MAX(M64-$H64,0),IF(M64&lt;&gt;0,IF(Pricetype=1,(_xll.xSPRDOPT(M64,$E64,$CI64,0,($CD64+IF(Smile=TRUE,VLOOKUP(MAX(-5,$H64-M64),Volsmile,2),0)),$CG64,$CH64,($A64-DateToday)+15,1,0)),M64-$H64),0)))</f>
        <v xml:space="preserve"> </v>
      </c>
      <c r="W64" s="406" t="str">
        <f t="shared" si="10"/>
        <v xml:space="preserve"> </v>
      </c>
      <c r="X64" s="405" t="str">
        <f>IF($A64="N/A"," ",IF(Pricetype=2,MAX(O64-$H64,0),IF(O64&lt;&gt;0,IF(Pricetype=1,(_xll.xSPRDOPT(O64,$E64,$CI64,0,($CD64+IF(Smile=TRUE,VLOOKUP(MAX(-5,$H64-O64),Volsmile,2),0)),$CG64,$CH64,($A64-DateToday)+15,1,0)),O64-$H64),0)))</f>
        <v xml:space="preserve"> </v>
      </c>
      <c r="Y64" s="405" t="str">
        <f>IF($A64="N/A"," ",IF(Pricetype=2,MAX(P64-$H64,0),IF(P64&lt;&gt;0,IF(Pricetype=1,(_xll.xSPRDOPT(P64,$E64,$CI64,0,($CD64+IF(Smile=TRUE,VLOOKUP(MAX(-5,$H64-P64),Volsmile,2),0)),$CG64,$CH64,($A64-DateToday)+15,1,0)),P64-$H64),0)))</f>
        <v xml:space="preserve"> </v>
      </c>
      <c r="Z64" s="406" t="str">
        <f t="shared" si="11"/>
        <v xml:space="preserve"> </v>
      </c>
      <c r="AA64" s="254" t="str">
        <f>IF($A64="N/A"," ",IF(VLOOKUP(MONTH(A64),ManualTable,2)=1,(IF(0&lt;&gt;R64,IF(Pricetype=1,(_xll.xSPRDOPT(I64,$E64,$CI64,0,($CD64+IF(Smile=TRUE,VLOOKUP(MAX(-5,$H64-I64),Volsmile,2),0)),$CG64,$CH64,($A64-DateToday)+15,1,1))*(8*$HD64),8*$HD64),0)),0))</f>
        <v xml:space="preserve"> </v>
      </c>
      <c r="AB64" s="254" t="str">
        <f>IF($A64="N/A"," ",IF(VLOOKUP(MONTH(A64),ManualTable,3)=1,(IF(S64&lt;&gt;0,IF(Pricetype=1,(_xll.xSPRDOPT(J64,$E64,$CI64,0,($CD64+IF(Smile=TRUE,VLOOKUP(MAX(-5,$H64-J64),Volsmile,2),0)),$CG64,$CH64,($A64-DateToday)+15,1,1))*(8*$HD64),8*$HD64),0)),0))</f>
        <v xml:space="preserve"> </v>
      </c>
      <c r="AC64" s="254" t="str">
        <f t="shared" si="66"/>
        <v xml:space="preserve"> </v>
      </c>
      <c r="AD64" s="254" t="str">
        <f>IF($A64="N/A"," ",IF(VLOOKUP(MONTH(A64),ManualTable,5)=1,(IF(U64&lt;&gt;0,IF(Pricetype=1,(_xll.xSPRDOPT(L64,$E64,$CI64,0,($CD64+IF(Smile=TRUE,VLOOKUP(MAX(-5,$H64-L64),Volsmile,2),0)),$CG64,$CH64,($A64-DateToday)+15,1,1))*(8*$HE64),8*$HE64),0)),0))</f>
        <v xml:space="preserve"> </v>
      </c>
      <c r="AE64" s="254" t="str">
        <f>IF($A64="N/A"," ",IF(VLOOKUP(MONTH(A64),ManualTable,6)=1,(IF(V64&lt;&gt;0,IF(Pricetype=1,(_xll.xSPRDOPT(M64,$E64,$CI64,0,($CD64+IF(Smile=TRUE,VLOOKUP(MAX(-5,$H64-M64),Volsmile,2),0)),$CG64,$CH64,($A64-DateToday)+15,1,1))*(8*$HE64),8*$HE64),0)),0))</f>
        <v xml:space="preserve"> </v>
      </c>
      <c r="AF64" s="254" t="str">
        <f t="shared" si="67"/>
        <v xml:space="preserve"> </v>
      </c>
      <c r="AG64" s="254" t="str">
        <f>IF($A64="N/A"," ",IF(VLOOKUP(MONTH(A64),ManualTable,8)=1,(IF(X64&lt;&gt;0,IF(Pricetype=1,(_xll.xSPRDOPT(O64,$E64,$CI64,0,($CD64+IF(Smile=TRUE,VLOOKUP(MAX(-5,$H64-O64),Volsmile,2),0)),$CG64,$CH64,($A64-DateToday)+15,1,1))*(8*$HF64),8*$HF64),0)),0))</f>
        <v xml:space="preserve"> </v>
      </c>
      <c r="AH64" s="254" t="str">
        <f>IF($A64="N/A"," ",IF(VLOOKUP(MONTH(A64),ManualTable,9)=1,(IF(Y64&lt;&gt;0,IF(Pricetype=1,(_xll.xSPRDOPT(P64,$E64,$CI64,0,($CD64+IF(Smile=TRUE,VLOOKUP(MAX(-5,$H64-P64),Volsmile,2),0)),$CG64,$CH64,($A64-DateToday)+15,1,1))*(8*$HF64),8*$HF64),0)),0))</f>
        <v xml:space="preserve"> </v>
      </c>
      <c r="AI64" s="254" t="str">
        <f t="shared" si="68"/>
        <v xml:space="preserve"> </v>
      </c>
      <c r="AJ64" s="224" t="str">
        <f t="shared" ref="AJ64:AR64" si="168">IF($A64="N/A"," ",RANK(R64,$R$64:$Z$75))</f>
        <v xml:space="preserve"> </v>
      </c>
      <c r="AK64" s="225" t="str">
        <f t="shared" si="168"/>
        <v xml:space="preserve"> </v>
      </c>
      <c r="AL64" s="225" t="str">
        <f t="shared" si="168"/>
        <v xml:space="preserve"> </v>
      </c>
      <c r="AM64" s="225" t="str">
        <f t="shared" si="168"/>
        <v xml:space="preserve"> </v>
      </c>
      <c r="AN64" s="225" t="str">
        <f t="shared" si="168"/>
        <v xml:space="preserve"> </v>
      </c>
      <c r="AO64" s="225" t="str">
        <f t="shared" si="168"/>
        <v xml:space="preserve"> </v>
      </c>
      <c r="AP64" s="225" t="str">
        <f t="shared" si="168"/>
        <v xml:space="preserve"> </v>
      </c>
      <c r="AQ64" s="225" t="str">
        <f t="shared" si="168"/>
        <v xml:space="preserve"> </v>
      </c>
      <c r="AR64" s="226" t="str">
        <f t="shared" si="168"/>
        <v xml:space="preserve"> </v>
      </c>
      <c r="AS64" s="260" t="str">
        <f t="shared" si="102"/>
        <v xml:space="preserve"> </v>
      </c>
      <c r="AT64" s="261" t="str">
        <f t="shared" si="103"/>
        <v xml:space="preserve"> </v>
      </c>
      <c r="AU64" s="263" t="str">
        <f t="shared" si="103"/>
        <v xml:space="preserve"> </v>
      </c>
      <c r="AV64" s="263" t="str">
        <f t="shared" si="104"/>
        <v xml:space="preserve"> </v>
      </c>
      <c r="AW64" s="263" t="str">
        <f t="shared" si="105"/>
        <v xml:space="preserve"> </v>
      </c>
      <c r="AX64" s="263" t="str">
        <f t="shared" si="105"/>
        <v xml:space="preserve"> </v>
      </c>
      <c r="AY64" s="261" t="str">
        <f t="shared" si="106"/>
        <v xml:space="preserve"> </v>
      </c>
      <c r="AZ64" s="261" t="str">
        <f t="shared" si="107"/>
        <v xml:space="preserve"> </v>
      </c>
      <c r="BA64" s="261" t="str">
        <f t="shared" si="108"/>
        <v xml:space="preserve"> </v>
      </c>
      <c r="BB64" s="226"/>
      <c r="BC64" s="272" t="str">
        <f t="shared" ref="BC64:BC75" si="169">IF($A64="N/A"," ",IF(AND(AJ64=$AR$2+1,AS64=0),MIN($BB$75,AA64),0))</f>
        <v xml:space="preserve"> </v>
      </c>
      <c r="BD64" s="267" t="str">
        <f t="shared" ref="BD64:BE75" si="170">IF($A64="N/A"," ",IF(AND(AK64=$AR$2+1,AT64=0),MIN($BB$75,AB64),0))</f>
        <v xml:space="preserve"> </v>
      </c>
      <c r="BE64" s="267" t="str">
        <f t="shared" si="170"/>
        <v xml:space="preserve"> </v>
      </c>
      <c r="BF64" s="267" t="str">
        <f t="shared" ref="BF64:BF75" si="171">IF($A64="N/A"," ",IF(AND(AM64=$AR$2+1,AV64=0),MIN($BB$75,AD64),0))</f>
        <v xml:space="preserve"> </v>
      </c>
      <c r="BG64" s="267" t="str">
        <f t="shared" ref="BG64:BH75" si="172">IF($A64="N/A"," ",IF(AND(AN64=$AR$2+1,AW64=0),MIN($BB$75,AE64),0))</f>
        <v xml:space="preserve"> </v>
      </c>
      <c r="BH64" s="267" t="str">
        <f t="shared" si="172"/>
        <v xml:space="preserve"> </v>
      </c>
      <c r="BI64" s="267" t="str">
        <f t="shared" ref="BI64:BI75" si="173">IF($A64="N/A"," ",IF(AND(AP64=$AR$2+1,AY64=0),MIN($BB$75,AG64),0))</f>
        <v xml:space="preserve"> </v>
      </c>
      <c r="BJ64" s="267" t="str">
        <f t="shared" ref="BJ64:BJ75" si="174">IF($A64="N/A"," ",IF(AND(AQ64=$AR$2+1,AZ64=0),MIN($BB$75,AH64),0))</f>
        <v xml:space="preserve"> </v>
      </c>
      <c r="BK64" s="267" t="str">
        <f t="shared" ref="BK64:BK75" si="175">IF($A64="N/A"," ",IF(AND(AR64=$AR$2+1,BA64=0),MIN($BB$75,AI64),0))</f>
        <v xml:space="preserve"> </v>
      </c>
      <c r="BL64" s="226"/>
      <c r="BM64" s="220" t="str">
        <f>IF($A64="N/A"," ",(IF(MONTH(A64)&gt;=4,IF(MONTH(A64)&lt;=10,Inputs!$F$13-Inputs!$G$13,Inputs!$F$14-Inputs!$G$14),Inputs!$F$14-Inputs!$G$14))*$CK64*Availability)</f>
        <v xml:space="preserve"> </v>
      </c>
      <c r="BN64" s="221" t="str">
        <f t="shared" si="79"/>
        <v xml:space="preserve"> </v>
      </c>
      <c r="BO64" s="221" t="str">
        <f t="shared" si="80"/>
        <v xml:space="preserve"> </v>
      </c>
      <c r="BP64" s="221" t="str">
        <f t="shared" si="81"/>
        <v xml:space="preserve"> </v>
      </c>
      <c r="BQ64" s="221" t="str">
        <f t="shared" si="82"/>
        <v xml:space="preserve"> </v>
      </c>
      <c r="BR64" s="221" t="str">
        <f t="shared" si="83"/>
        <v xml:space="preserve"> </v>
      </c>
      <c r="BS64" s="221" t="str">
        <f t="shared" si="84"/>
        <v xml:space="preserve"> </v>
      </c>
      <c r="BT64" s="221" t="str">
        <f t="shared" si="85"/>
        <v xml:space="preserve"> </v>
      </c>
      <c r="BU64" s="221" t="str">
        <f t="shared" si="86"/>
        <v xml:space="preserve"> </v>
      </c>
      <c r="BV64" s="221" t="str">
        <f t="shared" si="87"/>
        <v xml:space="preserve"> </v>
      </c>
      <c r="BW64" s="221" t="str">
        <f t="shared" si="88"/>
        <v xml:space="preserve"> </v>
      </c>
      <c r="BX64" s="421" t="str">
        <f t="shared" si="89"/>
        <v xml:space="preserve"> </v>
      </c>
      <c r="BY64" s="417" t="str">
        <f t="shared" si="90"/>
        <v xml:space="preserve"> </v>
      </c>
      <c r="BZ64" s="417" t="str">
        <f t="shared" si="91"/>
        <v xml:space="preserve"> </v>
      </c>
      <c r="CA64" s="422" t="str">
        <f t="shared" si="92"/>
        <v xml:space="preserve"> </v>
      </c>
      <c r="CB64" s="347" t="str">
        <f t="shared" si="25"/>
        <v xml:space="preserve"> </v>
      </c>
      <c r="CC64" s="347" t="str">
        <f t="shared" si="93"/>
        <v xml:space="preserve"> </v>
      </c>
      <c r="CD64" s="348" t="str">
        <f t="shared" si="26"/>
        <v xml:space="preserve"> </v>
      </c>
      <c r="CE64" s="347" t="str">
        <f t="shared" si="27"/>
        <v xml:space="preserve"> </v>
      </c>
      <c r="CF64" s="347" t="str">
        <f t="shared" si="28"/>
        <v xml:space="preserve"> </v>
      </c>
      <c r="CG64" s="348" t="str">
        <f t="shared" si="29"/>
        <v xml:space="preserve"> </v>
      </c>
      <c r="CH64" s="347" t="str">
        <f t="shared" si="94"/>
        <v xml:space="preserve"> </v>
      </c>
      <c r="CI64" s="349" t="str">
        <f>IF($A64="N/A"," ",F64+G64+(D64*('Pricing Inputs'!T97)))</f>
        <v xml:space="preserve"> </v>
      </c>
      <c r="CJ64" s="347" t="str">
        <f>IF($A64="N/A"," ",IF(PV=1,0,'Pricing Inputs'!U97))</f>
        <v xml:space="preserve"> </v>
      </c>
      <c r="CK64" s="350" t="str">
        <f t="shared" si="30"/>
        <v xml:space="preserve"> </v>
      </c>
      <c r="CL64" s="365" t="str">
        <f t="shared" si="31"/>
        <v xml:space="preserve"> </v>
      </c>
      <c r="CM64" s="380" t="str">
        <f t="shared" si="95"/>
        <v xml:space="preserve"> </v>
      </c>
      <c r="CN64" s="378" t="str">
        <f t="shared" si="32"/>
        <v xml:space="preserve"> </v>
      </c>
      <c r="CO64" s="378" t="str">
        <f t="shared" si="33"/>
        <v xml:space="preserve"> </v>
      </c>
      <c r="CP64" s="378" t="str">
        <f t="shared" si="34"/>
        <v xml:space="preserve"> </v>
      </c>
      <c r="CQ64" s="378" t="str">
        <f t="shared" si="35"/>
        <v xml:space="preserve"> </v>
      </c>
      <c r="CR64" s="378" t="str">
        <f t="shared" si="36"/>
        <v xml:space="preserve"> </v>
      </c>
      <c r="CS64" s="378" t="str">
        <f t="shared" si="37"/>
        <v xml:space="preserve"> </v>
      </c>
      <c r="CT64" s="378" t="str">
        <f t="shared" si="38"/>
        <v xml:space="preserve"> </v>
      </c>
      <c r="CU64" s="378" t="str">
        <f t="shared" si="39"/>
        <v xml:space="preserve"> </v>
      </c>
      <c r="CV64" s="378" t="str">
        <f t="shared" si="40"/>
        <v xml:space="preserve"> </v>
      </c>
      <c r="CW64" s="254" t="str">
        <f t="shared" si="41"/>
        <v xml:space="preserve"> </v>
      </c>
      <c r="CX64" s="254" t="str">
        <f t="shared" si="42"/>
        <v xml:space="preserve"> </v>
      </c>
      <c r="CY64" s="254" t="str">
        <f t="shared" si="43"/>
        <v xml:space="preserve"> </v>
      </c>
      <c r="CZ64" s="254" t="str">
        <f t="shared" si="44"/>
        <v xml:space="preserve"> </v>
      </c>
      <c r="DA64" s="254" t="str">
        <f t="shared" si="45"/>
        <v xml:space="preserve"> </v>
      </c>
      <c r="DB64" s="254" t="str">
        <f t="shared" si="46"/>
        <v xml:space="preserve"> </v>
      </c>
      <c r="DC64" s="254" t="str">
        <f t="shared" si="47"/>
        <v xml:space="preserve"> </v>
      </c>
      <c r="DD64" s="254" t="str">
        <f t="shared" si="48"/>
        <v xml:space="preserve"> </v>
      </c>
      <c r="DE64" s="254" t="str">
        <f t="shared" si="49"/>
        <v xml:space="preserve"> </v>
      </c>
      <c r="DF64" s="374" t="str">
        <f>IF($A64="N/A"," ",IF(CC=2,(IF(MONTH(A64)&gt;=4,IF(MONTH(A64)&lt;=10,Inputs!$G$13,Inputs!$G$14),Inputs!$G$14))*$CK64,0))</f>
        <v xml:space="preserve"> </v>
      </c>
      <c r="DG64" s="373" t="str">
        <f t="shared" si="50"/>
        <v xml:space="preserve"> </v>
      </c>
      <c r="DH64" s="373" t="str">
        <f t="shared" si="51"/>
        <v xml:space="preserve"> </v>
      </c>
      <c r="DI64" s="373" t="str">
        <f t="shared" si="52"/>
        <v xml:space="preserve"> </v>
      </c>
      <c r="DJ64" s="373" t="str">
        <f t="shared" si="53"/>
        <v xml:space="preserve"> </v>
      </c>
      <c r="DK64" s="373" t="str">
        <f t="shared" si="54"/>
        <v xml:space="preserve"> </v>
      </c>
      <c r="DL64" s="373" t="str">
        <f t="shared" si="55"/>
        <v xml:space="preserve"> </v>
      </c>
      <c r="DM64" s="373" t="str">
        <f t="shared" si="56"/>
        <v xml:space="preserve"> </v>
      </c>
      <c r="DN64" s="373" t="str">
        <f t="shared" si="57"/>
        <v xml:space="preserve"> </v>
      </c>
      <c r="DO64" s="373" t="str">
        <f t="shared" si="58"/>
        <v xml:space="preserve"> </v>
      </c>
      <c r="DP64" s="375" t="str">
        <f t="shared" si="59"/>
        <v xml:space="preserve"> </v>
      </c>
      <c r="DQ64" t="str">
        <f t="shared" si="96"/>
        <v xml:space="preserve"> </v>
      </c>
      <c r="HD64" t="str">
        <f t="shared" si="97"/>
        <v xml:space="preserve"> </v>
      </c>
      <c r="HE64" t="str">
        <f t="shared" si="98"/>
        <v xml:space="preserve"> </v>
      </c>
      <c r="HF64" t="str">
        <f t="shared" si="99"/>
        <v xml:space="preserve"> </v>
      </c>
    </row>
    <row r="65" spans="1:214">
      <c r="A65" s="415" t="str">
        <f>IF(A64="N/A","N/A",IF(EDATE(A64,1)&gt;Inputs!$K$3,"N/A",EDATE(A64,1)))</f>
        <v>N/A</v>
      </c>
      <c r="B65" s="410" t="str">
        <f t="shared" si="60"/>
        <v xml:space="preserve"> </v>
      </c>
      <c r="C65" s="411" t="str">
        <f t="shared" si="61"/>
        <v xml:space="preserve"> </v>
      </c>
      <c r="D65" s="412" t="str">
        <f t="shared" si="62"/>
        <v xml:space="preserve"> </v>
      </c>
      <c r="E65" s="413" t="str">
        <f>IF($A65="N/A"," ",(C65-'Pricing Inputs'!T98)*D65)</f>
        <v xml:space="preserve"> </v>
      </c>
      <c r="F65" s="414" t="str">
        <f t="shared" si="116"/>
        <v xml:space="preserve"> </v>
      </c>
      <c r="G65" s="414" t="str">
        <f t="shared" si="64"/>
        <v xml:space="preserve"> </v>
      </c>
      <c r="H65" s="416" t="str">
        <f t="shared" si="65"/>
        <v xml:space="preserve"> </v>
      </c>
      <c r="I65" s="213" t="str">
        <f t="shared" si="0"/>
        <v xml:space="preserve"> </v>
      </c>
      <c r="J65" s="213" t="str">
        <f t="shared" si="1"/>
        <v xml:space="preserve"> </v>
      </c>
      <c r="K65" s="213" t="str">
        <f t="shared" si="2"/>
        <v xml:space="preserve"> </v>
      </c>
      <c r="L65" s="213" t="str">
        <f t="shared" si="3"/>
        <v xml:space="preserve"> </v>
      </c>
      <c r="M65" s="213" t="str">
        <f t="shared" si="4"/>
        <v xml:space="preserve"> </v>
      </c>
      <c r="N65" s="213" t="str">
        <f t="shared" si="5"/>
        <v xml:space="preserve"> </v>
      </c>
      <c r="O65" s="213" t="str">
        <f t="shared" si="6"/>
        <v xml:space="preserve"> </v>
      </c>
      <c r="P65" s="213" t="str">
        <f t="shared" si="7"/>
        <v xml:space="preserve"> </v>
      </c>
      <c r="Q65" s="213" t="str">
        <f t="shared" si="8"/>
        <v xml:space="preserve"> </v>
      </c>
      <c r="R65" s="405" t="str">
        <f>IF($A65="N/A"," ",IF(Pricetype=2,MAX(I65-$H65,0),IF(Pricetype=1,(_xll.xSPRDOPT(I65,$E65,$CI65,0,($CD65+IF(Smile=TRUE,VLOOKUP(MAX(-5,$H65-I65),Volsmile,2),0)),$CG65,$CH65,($A65-DateToday)+15,1,0)),I65-$H65)))</f>
        <v xml:space="preserve"> </v>
      </c>
      <c r="S65" s="405" t="str">
        <f>IF($A65="N/A"," ",IF(Pricetype=2,MAX(J65-$H65,0),IF(Pricetype=1,(_xll.xSPRDOPT(J65,$E65,$CI65,0,($CD65+IF(Smile=TRUE,VLOOKUP(MAX(-5,$H65-J65),Volsmile,2),0)),$CG65,$CH65,($A65-DateToday)+15,1,0)),J65-$H65)))</f>
        <v xml:space="preserve"> </v>
      </c>
      <c r="T65" s="406" t="str">
        <f t="shared" si="9"/>
        <v xml:space="preserve"> </v>
      </c>
      <c r="U65" s="405" t="str">
        <f>IF($A65="N/A"," ",IF(Pricetype=2,MAX(L65-$H65,0),IF(L65&lt;&gt;0,IF(Pricetype=1,(_xll.xSPRDOPT(L65,$E65,$CI65,0,($CD65+IF(Smile=TRUE,VLOOKUP(MAX(-5,$H65-L65),Volsmile,2),0)),$CG65,$CH65,($A65-DateToday)+15,1,0)),L65-$H65),0)))</f>
        <v xml:space="preserve"> </v>
      </c>
      <c r="V65" s="405" t="str">
        <f>IF($A65="N/A"," ",IF(Pricetype=2,MAX(M65-$H65,0),IF(M65&lt;&gt;0,IF(Pricetype=1,(_xll.xSPRDOPT(M65,$E65,$CI65,0,($CD65+IF(Smile=TRUE,VLOOKUP(MAX(-5,$H65-M65),Volsmile,2),0)),$CG65,$CH65,($A65-DateToday)+15,1,0)),M65-$H65),0)))</f>
        <v xml:space="preserve"> </v>
      </c>
      <c r="W65" s="406" t="str">
        <f t="shared" si="10"/>
        <v xml:space="preserve"> </v>
      </c>
      <c r="X65" s="405" t="str">
        <f>IF($A65="N/A"," ",IF(Pricetype=2,MAX(O65-$H65,0),IF(O65&lt;&gt;0,IF(Pricetype=1,(_xll.xSPRDOPT(O65,$E65,$CI65,0,($CD65+IF(Smile=TRUE,VLOOKUP(MAX(-5,$H65-O65),Volsmile,2),0)),$CG65,$CH65,($A65-DateToday)+15,1,0)),O65-$H65),0)))</f>
        <v xml:space="preserve"> </v>
      </c>
      <c r="Y65" s="405" t="str">
        <f>IF($A65="N/A"," ",IF(Pricetype=2,MAX(P65-$H65,0),IF(P65&lt;&gt;0,IF(Pricetype=1,(_xll.xSPRDOPT(P65,$E65,$CI65,0,($CD65+IF(Smile=TRUE,VLOOKUP(MAX(-5,$H65-P65),Volsmile,2),0)),$CG65,$CH65,($A65-DateToday)+15,1,0)),P65-$H65),0)))</f>
        <v xml:space="preserve"> </v>
      </c>
      <c r="Z65" s="406" t="str">
        <f t="shared" si="11"/>
        <v xml:space="preserve"> </v>
      </c>
      <c r="AA65" s="254" t="str">
        <f>IF($A65="N/A"," ",IF(VLOOKUP(MONTH(A65),ManualTable,2)=1,(IF(0&lt;&gt;R65,IF(Pricetype=1,(_xll.xSPRDOPT(I65,$E65,$CI65,0,($CD65+IF(Smile=TRUE,VLOOKUP(MAX(-5,$H65-I65),Volsmile,2),0)),$CG65,$CH65,($A65-DateToday)+15,1,1))*(8*$HD65),8*$HD65),0)),0))</f>
        <v xml:space="preserve"> </v>
      </c>
      <c r="AB65" s="254" t="str">
        <f>IF($A65="N/A"," ",IF(VLOOKUP(MONTH(A65),ManualTable,3)=1,(IF(S65&lt;&gt;0,IF(Pricetype=1,(_xll.xSPRDOPT(J65,$E65,$CI65,0,($CD65+IF(Smile=TRUE,VLOOKUP(MAX(-5,$H65-J65),Volsmile,2),0)),$CG65,$CH65,($A65-DateToday)+15,1,1))*(8*$HD65),8*$HD65),0)),0))</f>
        <v xml:space="preserve"> </v>
      </c>
      <c r="AC65" s="254" t="str">
        <f t="shared" si="66"/>
        <v xml:space="preserve"> </v>
      </c>
      <c r="AD65" s="254" t="str">
        <f>IF($A65="N/A"," ",IF(VLOOKUP(MONTH(A65),ManualTable,5)=1,(IF(U65&lt;&gt;0,IF(Pricetype=1,(_xll.xSPRDOPT(L65,$E65,$CI65,0,($CD65+IF(Smile=TRUE,VLOOKUP(MAX(-5,$H65-L65),Volsmile,2),0)),$CG65,$CH65,($A65-DateToday)+15,1,1))*(8*$HE65),8*$HE65),0)),0))</f>
        <v xml:space="preserve"> </v>
      </c>
      <c r="AE65" s="254" t="str">
        <f>IF($A65="N/A"," ",IF(VLOOKUP(MONTH(A65),ManualTable,6)=1,(IF(V65&lt;&gt;0,IF(Pricetype=1,(_xll.xSPRDOPT(M65,$E65,$CI65,0,($CD65+IF(Smile=TRUE,VLOOKUP(MAX(-5,$H65-M65),Volsmile,2),0)),$CG65,$CH65,($A65-DateToday)+15,1,1))*(8*$HE65),8*$HE65),0)),0))</f>
        <v xml:space="preserve"> </v>
      </c>
      <c r="AF65" s="254" t="str">
        <f t="shared" si="67"/>
        <v xml:space="preserve"> </v>
      </c>
      <c r="AG65" s="254" t="str">
        <f>IF($A65="N/A"," ",IF(VLOOKUP(MONTH(A65),ManualTable,8)=1,(IF(X65&lt;&gt;0,IF(Pricetype=1,(_xll.xSPRDOPT(O65,$E65,$CI65,0,($CD65+IF(Smile=TRUE,VLOOKUP(MAX(-5,$H65-O65),Volsmile,2),0)),$CG65,$CH65,($A65-DateToday)+15,1,1))*(8*$HF65),8*$HF65),0)),0))</f>
        <v xml:space="preserve"> </v>
      </c>
      <c r="AH65" s="254" t="str">
        <f>IF($A65="N/A"," ",IF(VLOOKUP(MONTH(A65),ManualTable,9)=1,(IF(Y65&lt;&gt;0,IF(Pricetype=1,(_xll.xSPRDOPT(P65,$E65,$CI65,0,($CD65+IF(Smile=TRUE,VLOOKUP(MAX(-5,$H65-P65),Volsmile,2),0)),$CG65,$CH65,($A65-DateToday)+15,1,1))*(8*$HF65),8*$HF65),0)),0))</f>
        <v xml:space="preserve"> </v>
      </c>
      <c r="AI65" s="254" t="str">
        <f t="shared" si="68"/>
        <v xml:space="preserve"> </v>
      </c>
      <c r="AJ65" s="227" t="str">
        <f t="shared" ref="AJ65:AJ75" si="176">IF($A65="N/A"," ",RANK(R65,$R$64:$Z$75))</f>
        <v xml:space="preserve"> </v>
      </c>
      <c r="AK65" s="228" t="str">
        <f t="shared" ref="AK65:AL75" si="177">IF($A65="N/A"," ",RANK(S65,$R$64:$Z$75))</f>
        <v xml:space="preserve"> </v>
      </c>
      <c r="AL65" s="228" t="str">
        <f t="shared" si="177"/>
        <v xml:space="preserve"> </v>
      </c>
      <c r="AM65" s="228" t="str">
        <f t="shared" ref="AM65:AM75" si="178">IF($A65="N/A"," ",RANK(U65,$R$64:$Z$75))</f>
        <v xml:space="preserve"> </v>
      </c>
      <c r="AN65" s="228" t="str">
        <f t="shared" ref="AN65:AO75" si="179">IF($A65="N/A"," ",RANK(V65,$R$64:$Z$75))</f>
        <v xml:space="preserve"> </v>
      </c>
      <c r="AO65" s="228" t="str">
        <f t="shared" si="179"/>
        <v xml:space="preserve"> </v>
      </c>
      <c r="AP65" s="228" t="str">
        <f t="shared" ref="AP65:AP75" si="180">IF($A65="N/A"," ",RANK(X65,$R$64:$Z$75))</f>
        <v xml:space="preserve"> </v>
      </c>
      <c r="AQ65" s="228" t="str">
        <f t="shared" ref="AQ65:AQ75" si="181">IF($A65="N/A"," ",RANK(Y65,$R$64:$Z$75))</f>
        <v xml:space="preserve"> </v>
      </c>
      <c r="AR65" s="229" t="str">
        <f t="shared" ref="AR65:AR75" si="182">IF($A65="N/A"," ",RANK(Z65,$R$64:$Z$75))</f>
        <v xml:space="preserve"> </v>
      </c>
      <c r="AS65" s="262" t="str">
        <f t="shared" si="102"/>
        <v xml:space="preserve"> </v>
      </c>
      <c r="AT65" s="263" t="str">
        <f t="shared" si="103"/>
        <v xml:space="preserve"> </v>
      </c>
      <c r="AU65" s="263" t="str">
        <f t="shared" si="103"/>
        <v xml:space="preserve"> </v>
      </c>
      <c r="AV65" s="263" t="str">
        <f t="shared" si="104"/>
        <v xml:space="preserve"> </v>
      </c>
      <c r="AW65" s="263" t="str">
        <f t="shared" si="105"/>
        <v xml:space="preserve"> </v>
      </c>
      <c r="AX65" s="263" t="str">
        <f t="shared" si="105"/>
        <v xml:space="preserve"> </v>
      </c>
      <c r="AY65" s="263" t="str">
        <f t="shared" si="106"/>
        <v xml:space="preserve"> </v>
      </c>
      <c r="AZ65" s="263" t="str">
        <f t="shared" si="107"/>
        <v xml:space="preserve"> </v>
      </c>
      <c r="BA65" s="263" t="str">
        <f t="shared" si="108"/>
        <v xml:space="preserve"> </v>
      </c>
      <c r="BB65" s="229"/>
      <c r="BC65" s="266" t="str">
        <f t="shared" si="169"/>
        <v xml:space="preserve"> </v>
      </c>
      <c r="BD65" s="269" t="str">
        <f t="shared" si="170"/>
        <v xml:space="preserve"> </v>
      </c>
      <c r="BE65" s="269" t="str">
        <f t="shared" si="170"/>
        <v xml:space="preserve"> </v>
      </c>
      <c r="BF65" s="269" t="str">
        <f t="shared" si="171"/>
        <v xml:space="preserve"> </v>
      </c>
      <c r="BG65" s="269" t="str">
        <f t="shared" si="172"/>
        <v xml:space="preserve"> </v>
      </c>
      <c r="BH65" s="269" t="str">
        <f t="shared" si="172"/>
        <v xml:space="preserve"> </v>
      </c>
      <c r="BI65" s="269" t="str">
        <f t="shared" si="173"/>
        <v xml:space="preserve"> </v>
      </c>
      <c r="BJ65" s="269" t="str">
        <f t="shared" si="174"/>
        <v xml:space="preserve"> </v>
      </c>
      <c r="BK65" s="269" t="str">
        <f t="shared" si="175"/>
        <v xml:space="preserve"> </v>
      </c>
      <c r="BL65" s="229"/>
      <c r="BM65" s="220" t="str">
        <f>IF($A65="N/A"," ",(IF(MONTH(A65)&gt;=4,IF(MONTH(A65)&lt;=10,Inputs!$F$13-Inputs!$G$13,Inputs!$F$14-Inputs!$G$14),Inputs!$F$14-Inputs!$G$14))*$CK65*Availability)</f>
        <v xml:space="preserve"> </v>
      </c>
      <c r="BN65" s="221" t="str">
        <f t="shared" si="79"/>
        <v xml:space="preserve"> </v>
      </c>
      <c r="BO65" s="221" t="str">
        <f t="shared" si="80"/>
        <v xml:space="preserve"> </v>
      </c>
      <c r="BP65" s="221" t="str">
        <f t="shared" si="81"/>
        <v xml:space="preserve"> </v>
      </c>
      <c r="BQ65" s="221" t="str">
        <f t="shared" si="82"/>
        <v xml:space="preserve"> </v>
      </c>
      <c r="BR65" s="221" t="str">
        <f t="shared" si="83"/>
        <v xml:space="preserve"> </v>
      </c>
      <c r="BS65" s="221" t="str">
        <f t="shared" si="84"/>
        <v xml:space="preserve"> </v>
      </c>
      <c r="BT65" s="221" t="str">
        <f t="shared" si="85"/>
        <v xml:space="preserve"> </v>
      </c>
      <c r="BU65" s="221" t="str">
        <f t="shared" si="86"/>
        <v xml:space="preserve"> </v>
      </c>
      <c r="BV65" s="221" t="str">
        <f t="shared" si="87"/>
        <v xml:space="preserve"> </v>
      </c>
      <c r="BW65" s="221" t="str">
        <f t="shared" si="88"/>
        <v xml:space="preserve"> </v>
      </c>
      <c r="BX65" s="421" t="str">
        <f t="shared" si="89"/>
        <v xml:space="preserve"> </v>
      </c>
      <c r="BY65" s="417" t="str">
        <f t="shared" si="90"/>
        <v xml:space="preserve"> </v>
      </c>
      <c r="BZ65" s="417" t="str">
        <f t="shared" si="91"/>
        <v xml:space="preserve"> </v>
      </c>
      <c r="CA65" s="422" t="str">
        <f t="shared" si="92"/>
        <v xml:space="preserve"> </v>
      </c>
      <c r="CB65" s="347" t="str">
        <f t="shared" si="25"/>
        <v xml:space="preserve"> </v>
      </c>
      <c r="CC65" s="347" t="str">
        <f t="shared" si="93"/>
        <v xml:space="preserve"> </v>
      </c>
      <c r="CD65" s="348" t="str">
        <f t="shared" si="26"/>
        <v xml:space="preserve"> </v>
      </c>
      <c r="CE65" s="347" t="str">
        <f t="shared" si="27"/>
        <v xml:space="preserve"> </v>
      </c>
      <c r="CF65" s="347" t="str">
        <f t="shared" si="28"/>
        <v xml:space="preserve"> </v>
      </c>
      <c r="CG65" s="348" t="str">
        <f t="shared" si="29"/>
        <v xml:space="preserve"> </v>
      </c>
      <c r="CH65" s="347" t="str">
        <f t="shared" si="94"/>
        <v xml:space="preserve"> </v>
      </c>
      <c r="CI65" s="349" t="str">
        <f>IF($A65="N/A"," ",F65+G65+(D65*('Pricing Inputs'!T98)))</f>
        <v xml:space="preserve"> </v>
      </c>
      <c r="CJ65" s="347" t="str">
        <f>IF($A65="N/A"," ",IF(PV=1,0,'Pricing Inputs'!U98))</f>
        <v xml:space="preserve"> </v>
      </c>
      <c r="CK65" s="350" t="str">
        <f t="shared" si="30"/>
        <v xml:space="preserve"> </v>
      </c>
      <c r="CL65" s="365" t="str">
        <f t="shared" si="31"/>
        <v xml:space="preserve"> </v>
      </c>
      <c r="CM65" s="380" t="str">
        <f t="shared" si="95"/>
        <v xml:space="preserve"> </v>
      </c>
      <c r="CN65" s="378" t="str">
        <f t="shared" si="32"/>
        <v xml:space="preserve"> </v>
      </c>
      <c r="CO65" s="378" t="str">
        <f t="shared" si="33"/>
        <v xml:space="preserve"> </v>
      </c>
      <c r="CP65" s="378" t="str">
        <f t="shared" si="34"/>
        <v xml:space="preserve"> </v>
      </c>
      <c r="CQ65" s="378" t="str">
        <f t="shared" si="35"/>
        <v xml:space="preserve"> </v>
      </c>
      <c r="CR65" s="378" t="str">
        <f t="shared" si="36"/>
        <v xml:space="preserve"> </v>
      </c>
      <c r="CS65" s="378" t="str">
        <f t="shared" si="37"/>
        <v xml:space="preserve"> </v>
      </c>
      <c r="CT65" s="378" t="str">
        <f t="shared" si="38"/>
        <v xml:space="preserve"> </v>
      </c>
      <c r="CU65" s="378" t="str">
        <f t="shared" si="39"/>
        <v xml:space="preserve"> </v>
      </c>
      <c r="CV65" s="378" t="str">
        <f t="shared" si="40"/>
        <v xml:space="preserve"> </v>
      </c>
      <c r="CW65" s="254" t="str">
        <f t="shared" si="41"/>
        <v xml:space="preserve"> </v>
      </c>
      <c r="CX65" s="254" t="str">
        <f t="shared" si="42"/>
        <v xml:space="preserve"> </v>
      </c>
      <c r="CY65" s="254" t="str">
        <f t="shared" si="43"/>
        <v xml:space="preserve"> </v>
      </c>
      <c r="CZ65" s="254" t="str">
        <f t="shared" si="44"/>
        <v xml:space="preserve"> </v>
      </c>
      <c r="DA65" s="254" t="str">
        <f t="shared" si="45"/>
        <v xml:space="preserve"> </v>
      </c>
      <c r="DB65" s="254" t="str">
        <f t="shared" si="46"/>
        <v xml:space="preserve"> </v>
      </c>
      <c r="DC65" s="254" t="str">
        <f t="shared" si="47"/>
        <v xml:space="preserve"> </v>
      </c>
      <c r="DD65" s="254" t="str">
        <f t="shared" si="48"/>
        <v xml:space="preserve"> </v>
      </c>
      <c r="DE65" s="254" t="str">
        <f t="shared" si="49"/>
        <v xml:space="preserve"> </v>
      </c>
      <c r="DF65" s="374" t="str">
        <f>IF($A65="N/A"," ",IF(CC=2,(IF(MONTH(A65)&gt;=4,IF(MONTH(A65)&lt;=10,Inputs!$G$13,Inputs!$G$14),Inputs!$G$14))*$CK65,0))</f>
        <v xml:space="preserve"> </v>
      </c>
      <c r="DG65" s="373" t="str">
        <f t="shared" si="50"/>
        <v xml:space="preserve"> </v>
      </c>
      <c r="DH65" s="373" t="str">
        <f t="shared" si="51"/>
        <v xml:space="preserve"> </v>
      </c>
      <c r="DI65" s="373" t="str">
        <f t="shared" si="52"/>
        <v xml:space="preserve"> </v>
      </c>
      <c r="DJ65" s="373" t="str">
        <f t="shared" si="53"/>
        <v xml:space="preserve"> </v>
      </c>
      <c r="DK65" s="373" t="str">
        <f t="shared" si="54"/>
        <v xml:space="preserve"> </v>
      </c>
      <c r="DL65" s="373" t="str">
        <f t="shared" si="55"/>
        <v xml:space="preserve"> </v>
      </c>
      <c r="DM65" s="373" t="str">
        <f t="shared" si="56"/>
        <v xml:space="preserve"> </v>
      </c>
      <c r="DN65" s="373" t="str">
        <f t="shared" si="57"/>
        <v xml:space="preserve"> </v>
      </c>
      <c r="DO65" s="373" t="str">
        <f t="shared" si="58"/>
        <v xml:space="preserve"> </v>
      </c>
      <c r="DP65" s="375" t="str">
        <f t="shared" si="59"/>
        <v xml:space="preserve"> </v>
      </c>
      <c r="DQ65" t="str">
        <f t="shared" si="96"/>
        <v xml:space="preserve"> </v>
      </c>
      <c r="HD65" t="str">
        <f t="shared" si="97"/>
        <v xml:space="preserve"> </v>
      </c>
      <c r="HE65" t="str">
        <f t="shared" si="98"/>
        <v xml:space="preserve"> </v>
      </c>
      <c r="HF65" t="str">
        <f t="shared" si="99"/>
        <v xml:space="preserve"> </v>
      </c>
    </row>
    <row r="66" spans="1:214">
      <c r="A66" s="415" t="str">
        <f>IF(A65="N/A","N/A",IF(EDATE(A65,1)&gt;Inputs!$K$3,"N/A",EDATE(A65,1)))</f>
        <v>N/A</v>
      </c>
      <c r="B66" s="410" t="str">
        <f t="shared" si="60"/>
        <v xml:space="preserve"> </v>
      </c>
      <c r="C66" s="411" t="str">
        <f t="shared" si="61"/>
        <v xml:space="preserve"> </v>
      </c>
      <c r="D66" s="412" t="str">
        <f t="shared" si="62"/>
        <v xml:space="preserve"> </v>
      </c>
      <c r="E66" s="413" t="str">
        <f>IF($A66="N/A"," ",(C66-'Pricing Inputs'!T99)*D66)</f>
        <v xml:space="preserve"> </v>
      </c>
      <c r="F66" s="414" t="str">
        <f t="shared" si="116"/>
        <v xml:space="preserve"> </v>
      </c>
      <c r="G66" s="414" t="str">
        <f t="shared" si="64"/>
        <v xml:space="preserve"> </v>
      </c>
      <c r="H66" s="416" t="str">
        <f t="shared" si="65"/>
        <v xml:space="preserve"> </v>
      </c>
      <c r="I66" s="213" t="str">
        <f t="shared" si="0"/>
        <v xml:space="preserve"> </v>
      </c>
      <c r="J66" s="213" t="str">
        <f t="shared" si="1"/>
        <v xml:space="preserve"> </v>
      </c>
      <c r="K66" s="213" t="str">
        <f t="shared" si="2"/>
        <v xml:space="preserve"> </v>
      </c>
      <c r="L66" s="213" t="str">
        <f t="shared" si="3"/>
        <v xml:space="preserve"> </v>
      </c>
      <c r="M66" s="213" t="str">
        <f t="shared" si="4"/>
        <v xml:space="preserve"> </v>
      </c>
      <c r="N66" s="213" t="str">
        <f t="shared" si="5"/>
        <v xml:space="preserve"> </v>
      </c>
      <c r="O66" s="213" t="str">
        <f t="shared" si="6"/>
        <v xml:space="preserve"> </v>
      </c>
      <c r="P66" s="213" t="str">
        <f t="shared" si="7"/>
        <v xml:space="preserve"> </v>
      </c>
      <c r="Q66" s="213" t="str">
        <f t="shared" si="8"/>
        <v xml:space="preserve"> </v>
      </c>
      <c r="R66" s="405" t="str">
        <f>IF($A66="N/A"," ",IF(Pricetype=2,MAX(I66-$H66,0),IF(Pricetype=1,(_xll.xSPRDOPT(I66,$E66,$CI66,0,($CD66+IF(Smile=TRUE,VLOOKUP(MAX(-5,$H66-I66),Volsmile,2),0)),$CG66,$CH66,($A66-DateToday)+15,1,0)),I66-$H66)))</f>
        <v xml:space="preserve"> </v>
      </c>
      <c r="S66" s="405" t="str">
        <f>IF($A66="N/A"," ",IF(Pricetype=2,MAX(J66-$H66,0),IF(Pricetype=1,(_xll.xSPRDOPT(J66,$E66,$CI66,0,($CD66+IF(Smile=TRUE,VLOOKUP(MAX(-5,$H66-J66),Volsmile,2),0)),$CG66,$CH66,($A66-DateToday)+15,1,0)),J66-$H66)))</f>
        <v xml:space="preserve"> </v>
      </c>
      <c r="T66" s="406" t="str">
        <f t="shared" si="9"/>
        <v xml:space="preserve"> </v>
      </c>
      <c r="U66" s="405" t="str">
        <f>IF($A66="N/A"," ",IF(Pricetype=2,MAX(L66-$H66,0),IF(L66&lt;&gt;0,IF(Pricetype=1,(_xll.xSPRDOPT(L66,$E66,$CI66,0,($CD66+IF(Smile=TRUE,VLOOKUP(MAX(-5,$H66-L66),Volsmile,2),0)),$CG66,$CH66,($A66-DateToday)+15,1,0)),L66-$H66),0)))</f>
        <v xml:space="preserve"> </v>
      </c>
      <c r="V66" s="405" t="str">
        <f>IF($A66="N/A"," ",IF(Pricetype=2,MAX(M66-$H66,0),IF(M66&lt;&gt;0,IF(Pricetype=1,(_xll.xSPRDOPT(M66,$E66,$CI66,0,($CD66+IF(Smile=TRUE,VLOOKUP(MAX(-5,$H66-M66),Volsmile,2),0)),$CG66,$CH66,($A66-DateToday)+15,1,0)),M66-$H66),0)))</f>
        <v xml:space="preserve"> </v>
      </c>
      <c r="W66" s="406" t="str">
        <f t="shared" si="10"/>
        <v xml:space="preserve"> </v>
      </c>
      <c r="X66" s="405" t="str">
        <f>IF($A66="N/A"," ",IF(Pricetype=2,MAX(O66-$H66,0),IF(O66&lt;&gt;0,IF(Pricetype=1,(_xll.xSPRDOPT(O66,$E66,$CI66,0,($CD66+IF(Smile=TRUE,VLOOKUP(MAX(-5,$H66-O66),Volsmile,2),0)),$CG66,$CH66,($A66-DateToday)+15,1,0)),O66-$H66),0)))</f>
        <v xml:space="preserve"> </v>
      </c>
      <c r="Y66" s="405" t="str">
        <f>IF($A66="N/A"," ",IF(Pricetype=2,MAX(P66-$H66,0),IF(P66&lt;&gt;0,IF(Pricetype=1,(_xll.xSPRDOPT(P66,$E66,$CI66,0,($CD66+IF(Smile=TRUE,VLOOKUP(MAX(-5,$H66-P66),Volsmile,2),0)),$CG66,$CH66,($A66-DateToday)+15,1,0)),P66-$H66),0)))</f>
        <v xml:space="preserve"> </v>
      </c>
      <c r="Z66" s="406" t="str">
        <f t="shared" si="11"/>
        <v xml:space="preserve"> </v>
      </c>
      <c r="AA66" s="254" t="str">
        <f>IF($A66="N/A"," ",IF(VLOOKUP(MONTH(A66),ManualTable,2)=1,(IF(0&lt;&gt;R66,IF(Pricetype=1,(_xll.xSPRDOPT(I66,$E66,$CI66,0,($CD66+IF(Smile=TRUE,VLOOKUP(MAX(-5,$H66-I66),Volsmile,2),0)),$CG66,$CH66,($A66-DateToday)+15,1,1))*(8*$HD66),8*$HD66),0)),0))</f>
        <v xml:space="preserve"> </v>
      </c>
      <c r="AB66" s="254" t="str">
        <f>IF($A66="N/A"," ",IF(VLOOKUP(MONTH(A66),ManualTable,3)=1,(IF(S66&lt;&gt;0,IF(Pricetype=1,(_xll.xSPRDOPT(J66,$E66,$CI66,0,($CD66+IF(Smile=TRUE,VLOOKUP(MAX(-5,$H66-J66),Volsmile,2),0)),$CG66,$CH66,($A66-DateToday)+15,1,1))*(8*$HD66),8*$HD66),0)),0))</f>
        <v xml:space="preserve"> </v>
      </c>
      <c r="AC66" s="254" t="str">
        <f t="shared" si="66"/>
        <v xml:space="preserve"> </v>
      </c>
      <c r="AD66" s="254" t="str">
        <f>IF($A66="N/A"," ",IF(VLOOKUP(MONTH(A66),ManualTable,5)=1,(IF(U66&lt;&gt;0,IF(Pricetype=1,(_xll.xSPRDOPT(L66,$E66,$CI66,0,($CD66+IF(Smile=TRUE,VLOOKUP(MAX(-5,$H66-L66),Volsmile,2),0)),$CG66,$CH66,($A66-DateToday)+15,1,1))*(8*$HE66),8*$HE66),0)),0))</f>
        <v xml:space="preserve"> </v>
      </c>
      <c r="AE66" s="254" t="str">
        <f>IF($A66="N/A"," ",IF(VLOOKUP(MONTH(A66),ManualTable,6)=1,(IF(V66&lt;&gt;0,IF(Pricetype=1,(_xll.xSPRDOPT(M66,$E66,$CI66,0,($CD66+IF(Smile=TRUE,VLOOKUP(MAX(-5,$H66-M66),Volsmile,2),0)),$CG66,$CH66,($A66-DateToday)+15,1,1))*(8*$HE66),8*$HE66),0)),0))</f>
        <v xml:space="preserve"> </v>
      </c>
      <c r="AF66" s="254" t="str">
        <f t="shared" si="67"/>
        <v xml:space="preserve"> </v>
      </c>
      <c r="AG66" s="254" t="str">
        <f>IF($A66="N/A"," ",IF(VLOOKUP(MONTH(A66),ManualTable,8)=1,(IF(X66&lt;&gt;0,IF(Pricetype=1,(_xll.xSPRDOPT(O66,$E66,$CI66,0,($CD66+IF(Smile=TRUE,VLOOKUP(MAX(-5,$H66-O66),Volsmile,2),0)),$CG66,$CH66,($A66-DateToday)+15,1,1))*(8*$HF66),8*$HF66),0)),0))</f>
        <v xml:space="preserve"> </v>
      </c>
      <c r="AH66" s="254" t="str">
        <f>IF($A66="N/A"," ",IF(VLOOKUP(MONTH(A66),ManualTable,9)=1,(IF(Y66&lt;&gt;0,IF(Pricetype=1,(_xll.xSPRDOPT(P66,$E66,$CI66,0,($CD66+IF(Smile=TRUE,VLOOKUP(MAX(-5,$H66-P66),Volsmile,2),0)),$CG66,$CH66,($A66-DateToday)+15,1,1))*(8*$HF66),8*$HF66),0)),0))</f>
        <v xml:space="preserve"> </v>
      </c>
      <c r="AI66" s="254" t="str">
        <f t="shared" si="68"/>
        <v xml:space="preserve"> </v>
      </c>
      <c r="AJ66" s="227" t="str">
        <f t="shared" si="176"/>
        <v xml:space="preserve"> </v>
      </c>
      <c r="AK66" s="228" t="str">
        <f t="shared" si="177"/>
        <v xml:space="preserve"> </v>
      </c>
      <c r="AL66" s="228" t="str">
        <f t="shared" si="177"/>
        <v xml:space="preserve"> </v>
      </c>
      <c r="AM66" s="228" t="str">
        <f t="shared" si="178"/>
        <v xml:space="preserve"> </v>
      </c>
      <c r="AN66" s="228" t="str">
        <f t="shared" si="179"/>
        <v xml:space="preserve"> </v>
      </c>
      <c r="AO66" s="228" t="str">
        <f t="shared" si="179"/>
        <v xml:space="preserve"> </v>
      </c>
      <c r="AP66" s="228" t="str">
        <f t="shared" si="180"/>
        <v xml:space="preserve"> </v>
      </c>
      <c r="AQ66" s="228" t="str">
        <f t="shared" si="181"/>
        <v xml:space="preserve"> </v>
      </c>
      <c r="AR66" s="229" t="str">
        <f t="shared" si="182"/>
        <v xml:space="preserve"> </v>
      </c>
      <c r="AS66" s="262" t="str">
        <f t="shared" si="102"/>
        <v xml:space="preserve"> </v>
      </c>
      <c r="AT66" s="263" t="str">
        <f t="shared" si="103"/>
        <v xml:space="preserve"> </v>
      </c>
      <c r="AU66" s="263" t="str">
        <f t="shared" si="103"/>
        <v xml:space="preserve"> </v>
      </c>
      <c r="AV66" s="263" t="str">
        <f t="shared" si="104"/>
        <v xml:space="preserve"> </v>
      </c>
      <c r="AW66" s="263" t="str">
        <f t="shared" si="105"/>
        <v xml:space="preserve"> </v>
      </c>
      <c r="AX66" s="263" t="str">
        <f t="shared" si="105"/>
        <v xml:space="preserve"> </v>
      </c>
      <c r="AY66" s="263" t="str">
        <f t="shared" si="106"/>
        <v xml:space="preserve"> </v>
      </c>
      <c r="AZ66" s="263" t="str">
        <f t="shared" si="107"/>
        <v xml:space="preserve"> </v>
      </c>
      <c r="BA66" s="263" t="str">
        <f t="shared" si="108"/>
        <v xml:space="preserve"> </v>
      </c>
      <c r="BB66" s="229"/>
      <c r="BC66" s="266" t="str">
        <f t="shared" si="169"/>
        <v xml:space="preserve"> </v>
      </c>
      <c r="BD66" s="269" t="str">
        <f t="shared" si="170"/>
        <v xml:space="preserve"> </v>
      </c>
      <c r="BE66" s="269" t="str">
        <f t="shared" si="170"/>
        <v xml:space="preserve"> </v>
      </c>
      <c r="BF66" s="269" t="str">
        <f t="shared" si="171"/>
        <v xml:space="preserve"> </v>
      </c>
      <c r="BG66" s="269" t="str">
        <f t="shared" si="172"/>
        <v xml:space="preserve"> </v>
      </c>
      <c r="BH66" s="269" t="str">
        <f t="shared" si="172"/>
        <v xml:space="preserve"> </v>
      </c>
      <c r="BI66" s="269" t="str">
        <f t="shared" si="173"/>
        <v xml:space="preserve"> </v>
      </c>
      <c r="BJ66" s="269" t="str">
        <f t="shared" si="174"/>
        <v xml:space="preserve"> </v>
      </c>
      <c r="BK66" s="269" t="str">
        <f t="shared" si="175"/>
        <v xml:space="preserve"> </v>
      </c>
      <c r="BL66" s="229"/>
      <c r="BM66" s="220" t="str">
        <f>IF($A66="N/A"," ",(IF(MONTH(A66)&gt;=4,IF(MONTH(A66)&lt;=10,Inputs!$F$13-Inputs!$G$13,Inputs!$F$14-Inputs!$G$14),Inputs!$F$14-Inputs!$G$14))*$CK66*Availability)</f>
        <v xml:space="preserve"> </v>
      </c>
      <c r="BN66" s="221" t="str">
        <f t="shared" si="79"/>
        <v xml:space="preserve"> </v>
      </c>
      <c r="BO66" s="221" t="str">
        <f t="shared" si="80"/>
        <v xml:space="preserve"> </v>
      </c>
      <c r="BP66" s="221" t="str">
        <f t="shared" si="81"/>
        <v xml:space="preserve"> </v>
      </c>
      <c r="BQ66" s="221" t="str">
        <f t="shared" si="82"/>
        <v xml:space="preserve"> </v>
      </c>
      <c r="BR66" s="221" t="str">
        <f t="shared" si="83"/>
        <v xml:space="preserve"> </v>
      </c>
      <c r="BS66" s="221" t="str">
        <f t="shared" si="84"/>
        <v xml:space="preserve"> </v>
      </c>
      <c r="BT66" s="221" t="str">
        <f t="shared" si="85"/>
        <v xml:space="preserve"> </v>
      </c>
      <c r="BU66" s="221" t="str">
        <f t="shared" si="86"/>
        <v xml:space="preserve"> </v>
      </c>
      <c r="BV66" s="221" t="str">
        <f t="shared" si="87"/>
        <v xml:space="preserve"> </v>
      </c>
      <c r="BW66" s="221" t="str">
        <f t="shared" si="88"/>
        <v xml:space="preserve"> </v>
      </c>
      <c r="BX66" s="421" t="str">
        <f t="shared" si="89"/>
        <v xml:space="preserve"> </v>
      </c>
      <c r="BY66" s="417" t="str">
        <f t="shared" si="90"/>
        <v xml:space="preserve"> </v>
      </c>
      <c r="BZ66" s="417" t="str">
        <f t="shared" si="91"/>
        <v xml:space="preserve"> </v>
      </c>
      <c r="CA66" s="422" t="str">
        <f t="shared" si="92"/>
        <v xml:space="preserve"> </v>
      </c>
      <c r="CB66" s="347" t="str">
        <f t="shared" si="25"/>
        <v xml:space="preserve"> </v>
      </c>
      <c r="CC66" s="347" t="str">
        <f t="shared" si="93"/>
        <v xml:space="preserve"> </v>
      </c>
      <c r="CD66" s="348" t="str">
        <f t="shared" si="26"/>
        <v xml:space="preserve"> </v>
      </c>
      <c r="CE66" s="347" t="str">
        <f t="shared" si="27"/>
        <v xml:space="preserve"> </v>
      </c>
      <c r="CF66" s="347" t="str">
        <f t="shared" si="28"/>
        <v xml:space="preserve"> </v>
      </c>
      <c r="CG66" s="348" t="str">
        <f t="shared" si="29"/>
        <v xml:space="preserve"> </v>
      </c>
      <c r="CH66" s="347" t="str">
        <f t="shared" si="94"/>
        <v xml:space="preserve"> </v>
      </c>
      <c r="CI66" s="349" t="str">
        <f>IF($A66="N/A"," ",F66+G66+(D66*('Pricing Inputs'!T99)))</f>
        <v xml:space="preserve"> </v>
      </c>
      <c r="CJ66" s="347" t="str">
        <f>IF($A66="N/A"," ",IF(PV=1,0,'Pricing Inputs'!U99))</f>
        <v xml:space="preserve"> </v>
      </c>
      <c r="CK66" s="350" t="str">
        <f t="shared" si="30"/>
        <v xml:space="preserve"> </v>
      </c>
      <c r="CL66" s="365" t="str">
        <f t="shared" si="31"/>
        <v xml:space="preserve"> </v>
      </c>
      <c r="CM66" s="380" t="str">
        <f t="shared" si="95"/>
        <v xml:space="preserve"> </v>
      </c>
      <c r="CN66" s="378" t="str">
        <f t="shared" si="32"/>
        <v xml:space="preserve"> </v>
      </c>
      <c r="CO66" s="378" t="str">
        <f t="shared" si="33"/>
        <v xml:space="preserve"> </v>
      </c>
      <c r="CP66" s="378" t="str">
        <f t="shared" si="34"/>
        <v xml:space="preserve"> </v>
      </c>
      <c r="CQ66" s="378" t="str">
        <f t="shared" si="35"/>
        <v xml:space="preserve"> </v>
      </c>
      <c r="CR66" s="378" t="str">
        <f t="shared" si="36"/>
        <v xml:space="preserve"> </v>
      </c>
      <c r="CS66" s="378" t="str">
        <f t="shared" si="37"/>
        <v xml:space="preserve"> </v>
      </c>
      <c r="CT66" s="378" t="str">
        <f t="shared" si="38"/>
        <v xml:space="preserve"> </v>
      </c>
      <c r="CU66" s="378" t="str">
        <f t="shared" si="39"/>
        <v xml:space="preserve"> </v>
      </c>
      <c r="CV66" s="378" t="str">
        <f t="shared" si="40"/>
        <v xml:space="preserve"> </v>
      </c>
      <c r="CW66" s="254" t="str">
        <f t="shared" si="41"/>
        <v xml:space="preserve"> </v>
      </c>
      <c r="CX66" s="254" t="str">
        <f t="shared" si="42"/>
        <v xml:space="preserve"> </v>
      </c>
      <c r="CY66" s="254" t="str">
        <f t="shared" si="43"/>
        <v xml:space="preserve"> </v>
      </c>
      <c r="CZ66" s="254" t="str">
        <f t="shared" si="44"/>
        <v xml:space="preserve"> </v>
      </c>
      <c r="DA66" s="254" t="str">
        <f t="shared" si="45"/>
        <v xml:space="preserve"> </v>
      </c>
      <c r="DB66" s="254" t="str">
        <f t="shared" si="46"/>
        <v xml:space="preserve"> </v>
      </c>
      <c r="DC66" s="254" t="str">
        <f t="shared" si="47"/>
        <v xml:space="preserve"> </v>
      </c>
      <c r="DD66" s="254" t="str">
        <f t="shared" si="48"/>
        <v xml:space="preserve"> </v>
      </c>
      <c r="DE66" s="254" t="str">
        <f t="shared" si="49"/>
        <v xml:space="preserve"> </v>
      </c>
      <c r="DF66" s="374" t="str">
        <f>IF($A66="N/A"," ",IF(CC=2,(IF(MONTH(A66)&gt;=4,IF(MONTH(A66)&lt;=10,Inputs!$G$13,Inputs!$G$14),Inputs!$G$14))*$CK66,0))</f>
        <v xml:space="preserve"> </v>
      </c>
      <c r="DG66" s="373" t="str">
        <f t="shared" si="50"/>
        <v xml:space="preserve"> </v>
      </c>
      <c r="DH66" s="373" t="str">
        <f t="shared" si="51"/>
        <v xml:space="preserve"> </v>
      </c>
      <c r="DI66" s="373" t="str">
        <f t="shared" si="52"/>
        <v xml:space="preserve"> </v>
      </c>
      <c r="DJ66" s="373" t="str">
        <f t="shared" si="53"/>
        <v xml:space="preserve"> </v>
      </c>
      <c r="DK66" s="373" t="str">
        <f t="shared" si="54"/>
        <v xml:space="preserve"> </v>
      </c>
      <c r="DL66" s="373" t="str">
        <f t="shared" si="55"/>
        <v xml:space="preserve"> </v>
      </c>
      <c r="DM66" s="373" t="str">
        <f t="shared" si="56"/>
        <v xml:space="preserve"> </v>
      </c>
      <c r="DN66" s="373" t="str">
        <f t="shared" si="57"/>
        <v xml:space="preserve"> </v>
      </c>
      <c r="DO66" s="373" t="str">
        <f t="shared" si="58"/>
        <v xml:space="preserve"> </v>
      </c>
      <c r="DP66" s="375" t="str">
        <f t="shared" si="59"/>
        <v xml:space="preserve"> </v>
      </c>
      <c r="DQ66" t="str">
        <f t="shared" si="96"/>
        <v xml:space="preserve"> </v>
      </c>
      <c r="HD66" t="str">
        <f t="shared" si="97"/>
        <v xml:space="preserve"> </v>
      </c>
      <c r="HE66" t="str">
        <f t="shared" si="98"/>
        <v xml:space="preserve"> </v>
      </c>
      <c r="HF66" t="str">
        <f t="shared" si="99"/>
        <v xml:space="preserve"> </v>
      </c>
    </row>
    <row r="67" spans="1:214">
      <c r="A67" s="415" t="str">
        <f>IF(A66="N/A","N/A",IF(EDATE(A66,1)&gt;Inputs!$K$3,"N/A",EDATE(A66,1)))</f>
        <v>N/A</v>
      </c>
      <c r="B67" s="410" t="str">
        <f t="shared" si="60"/>
        <v xml:space="preserve"> </v>
      </c>
      <c r="C67" s="411" t="str">
        <f t="shared" si="61"/>
        <v xml:space="preserve"> </v>
      </c>
      <c r="D67" s="412" t="str">
        <f t="shared" si="62"/>
        <v xml:space="preserve"> </v>
      </c>
      <c r="E67" s="413" t="str">
        <f>IF($A67="N/A"," ",(C67-'Pricing Inputs'!T100)*D67)</f>
        <v xml:space="preserve"> </v>
      </c>
      <c r="F67" s="414" t="str">
        <f t="shared" si="116"/>
        <v xml:space="preserve"> </v>
      </c>
      <c r="G67" s="414" t="str">
        <f t="shared" si="64"/>
        <v xml:space="preserve"> </v>
      </c>
      <c r="H67" s="416" t="str">
        <f t="shared" si="65"/>
        <v xml:space="preserve"> </v>
      </c>
      <c r="I67" s="213" t="str">
        <f t="shared" si="0"/>
        <v xml:space="preserve"> </v>
      </c>
      <c r="J67" s="213" t="str">
        <f t="shared" si="1"/>
        <v xml:space="preserve"> </v>
      </c>
      <c r="K67" s="213" t="str">
        <f t="shared" si="2"/>
        <v xml:space="preserve"> </v>
      </c>
      <c r="L67" s="213" t="str">
        <f t="shared" si="3"/>
        <v xml:space="preserve"> </v>
      </c>
      <c r="M67" s="213" t="str">
        <f t="shared" si="4"/>
        <v xml:space="preserve"> </v>
      </c>
      <c r="N67" s="213" t="str">
        <f t="shared" si="5"/>
        <v xml:space="preserve"> </v>
      </c>
      <c r="O67" s="213" t="str">
        <f t="shared" si="6"/>
        <v xml:space="preserve"> </v>
      </c>
      <c r="P67" s="213" t="str">
        <f t="shared" si="7"/>
        <v xml:space="preserve"> </v>
      </c>
      <c r="Q67" s="213" t="str">
        <f t="shared" si="8"/>
        <v xml:space="preserve"> </v>
      </c>
      <c r="R67" s="405" t="str">
        <f>IF($A67="N/A"," ",IF(Pricetype=2,MAX(I67-$H67,0),IF(Pricetype=1,(_xll.xSPRDOPT(I67,$E67,$CI67,0,($CD67+IF(Smile=TRUE,VLOOKUP(MAX(-5,$H67-I67),Volsmile,2),0)),$CG67,$CH67,($A67-DateToday)+15,1,0)),I67-$H67)))</f>
        <v xml:space="preserve"> </v>
      </c>
      <c r="S67" s="405" t="str">
        <f>IF($A67="N/A"," ",IF(Pricetype=2,MAX(J67-$H67,0),IF(Pricetype=1,(_xll.xSPRDOPT(J67,$E67,$CI67,0,($CD67+IF(Smile=TRUE,VLOOKUP(MAX(-5,$H67-J67),Volsmile,2),0)),$CG67,$CH67,($A67-DateToday)+15,1,0)),J67-$H67)))</f>
        <v xml:space="preserve"> </v>
      </c>
      <c r="T67" s="406" t="str">
        <f t="shared" si="9"/>
        <v xml:space="preserve"> </v>
      </c>
      <c r="U67" s="405" t="str">
        <f>IF($A67="N/A"," ",IF(Pricetype=2,MAX(L67-$H67,0),IF(L67&lt;&gt;0,IF(Pricetype=1,(_xll.xSPRDOPT(L67,$E67,$CI67,0,($CD67+IF(Smile=TRUE,VLOOKUP(MAX(-5,$H67-L67),Volsmile,2),0)),$CG67,$CH67,($A67-DateToday)+15,1,0)),L67-$H67),0)))</f>
        <v xml:space="preserve"> </v>
      </c>
      <c r="V67" s="405" t="str">
        <f>IF($A67="N/A"," ",IF(Pricetype=2,MAX(M67-$H67,0),IF(M67&lt;&gt;0,IF(Pricetype=1,(_xll.xSPRDOPT(M67,$E67,$CI67,0,($CD67+IF(Smile=TRUE,VLOOKUP(MAX(-5,$H67-M67),Volsmile,2),0)),$CG67,$CH67,($A67-DateToday)+15,1,0)),M67-$H67),0)))</f>
        <v xml:space="preserve"> </v>
      </c>
      <c r="W67" s="406" t="str">
        <f t="shared" si="10"/>
        <v xml:space="preserve"> </v>
      </c>
      <c r="X67" s="405" t="str">
        <f>IF($A67="N/A"," ",IF(Pricetype=2,MAX(O67-$H67,0),IF(O67&lt;&gt;0,IF(Pricetype=1,(_xll.xSPRDOPT(O67,$E67,$CI67,0,($CD67+IF(Smile=TRUE,VLOOKUP(MAX(-5,$H67-O67),Volsmile,2),0)),$CG67,$CH67,($A67-DateToday)+15,1,0)),O67-$H67),0)))</f>
        <v xml:space="preserve"> </v>
      </c>
      <c r="Y67" s="405" t="str">
        <f>IF($A67="N/A"," ",IF(Pricetype=2,MAX(P67-$H67,0),IF(P67&lt;&gt;0,IF(Pricetype=1,(_xll.xSPRDOPT(P67,$E67,$CI67,0,($CD67+IF(Smile=TRUE,VLOOKUP(MAX(-5,$H67-P67),Volsmile,2),0)),$CG67,$CH67,($A67-DateToday)+15,1,0)),P67-$H67),0)))</f>
        <v xml:space="preserve"> </v>
      </c>
      <c r="Z67" s="406" t="str">
        <f t="shared" si="11"/>
        <v xml:space="preserve"> </v>
      </c>
      <c r="AA67" s="254" t="str">
        <f>IF($A67="N/A"," ",IF(VLOOKUP(MONTH(A67),ManualTable,2)=1,(IF(0&lt;&gt;R67,IF(Pricetype=1,(_xll.xSPRDOPT(I67,$E67,$CI67,0,($CD67+IF(Smile=TRUE,VLOOKUP(MAX(-5,$H67-I67),Volsmile,2),0)),$CG67,$CH67,($A67-DateToday)+15,1,1))*(8*$HD67),8*$HD67),0)),0))</f>
        <v xml:space="preserve"> </v>
      </c>
      <c r="AB67" s="254" t="str">
        <f>IF($A67="N/A"," ",IF(VLOOKUP(MONTH(A67),ManualTable,3)=1,(IF(S67&lt;&gt;0,IF(Pricetype=1,(_xll.xSPRDOPT(J67,$E67,$CI67,0,($CD67+IF(Smile=TRUE,VLOOKUP(MAX(-5,$H67-J67),Volsmile,2),0)),$CG67,$CH67,($A67-DateToday)+15,1,1))*(8*$HD67),8*$HD67),0)),0))</f>
        <v xml:space="preserve"> </v>
      </c>
      <c r="AC67" s="254" t="str">
        <f t="shared" si="66"/>
        <v xml:space="preserve"> </v>
      </c>
      <c r="AD67" s="254" t="str">
        <f>IF($A67="N/A"," ",IF(VLOOKUP(MONTH(A67),ManualTable,5)=1,(IF(U67&lt;&gt;0,IF(Pricetype=1,(_xll.xSPRDOPT(L67,$E67,$CI67,0,($CD67+IF(Smile=TRUE,VLOOKUP(MAX(-5,$H67-L67),Volsmile,2),0)),$CG67,$CH67,($A67-DateToday)+15,1,1))*(8*$HE67),8*$HE67),0)),0))</f>
        <v xml:space="preserve"> </v>
      </c>
      <c r="AE67" s="254" t="str">
        <f>IF($A67="N/A"," ",IF(VLOOKUP(MONTH(A67),ManualTable,6)=1,(IF(V67&lt;&gt;0,IF(Pricetype=1,(_xll.xSPRDOPT(M67,$E67,$CI67,0,($CD67+IF(Smile=TRUE,VLOOKUP(MAX(-5,$H67-M67),Volsmile,2),0)),$CG67,$CH67,($A67-DateToday)+15,1,1))*(8*$HE67),8*$HE67),0)),0))</f>
        <v xml:space="preserve"> </v>
      </c>
      <c r="AF67" s="254" t="str">
        <f t="shared" si="67"/>
        <v xml:space="preserve"> </v>
      </c>
      <c r="AG67" s="254" t="str">
        <f>IF($A67="N/A"," ",IF(VLOOKUP(MONTH(A67),ManualTable,8)=1,(IF(X67&lt;&gt;0,IF(Pricetype=1,(_xll.xSPRDOPT(O67,$E67,$CI67,0,($CD67+IF(Smile=TRUE,VLOOKUP(MAX(-5,$H67-O67),Volsmile,2),0)),$CG67,$CH67,($A67-DateToday)+15,1,1))*(8*$HF67),8*$HF67),0)),0))</f>
        <v xml:space="preserve"> </v>
      </c>
      <c r="AH67" s="254" t="str">
        <f>IF($A67="N/A"," ",IF(VLOOKUP(MONTH(A67),ManualTable,9)=1,(IF(Y67&lt;&gt;0,IF(Pricetype=1,(_xll.xSPRDOPT(P67,$E67,$CI67,0,($CD67+IF(Smile=TRUE,VLOOKUP(MAX(-5,$H67-P67),Volsmile,2),0)),$CG67,$CH67,($A67-DateToday)+15,1,1))*(8*$HF67),8*$HF67),0)),0))</f>
        <v xml:space="preserve"> </v>
      </c>
      <c r="AI67" s="254" t="str">
        <f t="shared" si="68"/>
        <v xml:space="preserve"> </v>
      </c>
      <c r="AJ67" s="227" t="str">
        <f t="shared" si="176"/>
        <v xml:space="preserve"> </v>
      </c>
      <c r="AK67" s="228" t="str">
        <f t="shared" si="177"/>
        <v xml:space="preserve"> </v>
      </c>
      <c r="AL67" s="228" t="str">
        <f t="shared" si="177"/>
        <v xml:space="preserve"> </v>
      </c>
      <c r="AM67" s="228" t="str">
        <f t="shared" si="178"/>
        <v xml:space="preserve"> </v>
      </c>
      <c r="AN67" s="228" t="str">
        <f t="shared" si="179"/>
        <v xml:space="preserve"> </v>
      </c>
      <c r="AO67" s="228" t="str">
        <f t="shared" si="179"/>
        <v xml:space="preserve"> </v>
      </c>
      <c r="AP67" s="228" t="str">
        <f t="shared" si="180"/>
        <v xml:space="preserve"> </v>
      </c>
      <c r="AQ67" s="228" t="str">
        <f t="shared" si="181"/>
        <v xml:space="preserve"> </v>
      </c>
      <c r="AR67" s="229" t="str">
        <f t="shared" si="182"/>
        <v xml:space="preserve"> </v>
      </c>
      <c r="AS67" s="262" t="str">
        <f t="shared" si="102"/>
        <v xml:space="preserve"> </v>
      </c>
      <c r="AT67" s="263" t="str">
        <f t="shared" si="103"/>
        <v xml:space="preserve"> </v>
      </c>
      <c r="AU67" s="263" t="str">
        <f t="shared" si="103"/>
        <v xml:space="preserve"> </v>
      </c>
      <c r="AV67" s="263" t="str">
        <f t="shared" si="104"/>
        <v xml:space="preserve"> </v>
      </c>
      <c r="AW67" s="263" t="str">
        <f t="shared" si="105"/>
        <v xml:space="preserve"> </v>
      </c>
      <c r="AX67" s="263" t="str">
        <f t="shared" si="105"/>
        <v xml:space="preserve"> </v>
      </c>
      <c r="AY67" s="263" t="str">
        <f t="shared" si="106"/>
        <v xml:space="preserve"> </v>
      </c>
      <c r="AZ67" s="263" t="str">
        <f t="shared" si="107"/>
        <v xml:space="preserve"> </v>
      </c>
      <c r="BA67" s="263" t="str">
        <f t="shared" si="108"/>
        <v xml:space="preserve"> </v>
      </c>
      <c r="BB67" s="229"/>
      <c r="BC67" s="266" t="str">
        <f t="shared" si="169"/>
        <v xml:space="preserve"> </v>
      </c>
      <c r="BD67" s="269" t="str">
        <f t="shared" si="170"/>
        <v xml:space="preserve"> </v>
      </c>
      <c r="BE67" s="269" t="str">
        <f t="shared" si="170"/>
        <v xml:space="preserve"> </v>
      </c>
      <c r="BF67" s="269" t="str">
        <f t="shared" si="171"/>
        <v xml:space="preserve"> </v>
      </c>
      <c r="BG67" s="269" t="str">
        <f t="shared" si="172"/>
        <v xml:space="preserve"> </v>
      </c>
      <c r="BH67" s="269" t="str">
        <f t="shared" si="172"/>
        <v xml:space="preserve"> </v>
      </c>
      <c r="BI67" s="269" t="str">
        <f t="shared" si="173"/>
        <v xml:space="preserve"> </v>
      </c>
      <c r="BJ67" s="269" t="str">
        <f t="shared" si="174"/>
        <v xml:space="preserve"> </v>
      </c>
      <c r="BK67" s="269" t="str">
        <f t="shared" si="175"/>
        <v xml:space="preserve"> </v>
      </c>
      <c r="BL67" s="229"/>
      <c r="BM67" s="220" t="str">
        <f>IF($A67="N/A"," ",(IF(MONTH(A67)&gt;=4,IF(MONTH(A67)&lt;=10,Inputs!$F$13-Inputs!$G$13,Inputs!$F$14-Inputs!$G$14),Inputs!$F$14-Inputs!$G$14))*$CK67*Availability)</f>
        <v xml:space="preserve"> </v>
      </c>
      <c r="BN67" s="221" t="str">
        <f t="shared" si="79"/>
        <v xml:space="preserve"> </v>
      </c>
      <c r="BO67" s="221" t="str">
        <f t="shared" si="80"/>
        <v xml:space="preserve"> </v>
      </c>
      <c r="BP67" s="221" t="str">
        <f t="shared" si="81"/>
        <v xml:space="preserve"> </v>
      </c>
      <c r="BQ67" s="221" t="str">
        <f t="shared" si="82"/>
        <v xml:space="preserve"> </v>
      </c>
      <c r="BR67" s="221" t="str">
        <f t="shared" si="83"/>
        <v xml:space="preserve"> </v>
      </c>
      <c r="BS67" s="221" t="str">
        <f t="shared" si="84"/>
        <v xml:space="preserve"> </v>
      </c>
      <c r="BT67" s="221" t="str">
        <f t="shared" si="85"/>
        <v xml:space="preserve"> </v>
      </c>
      <c r="BU67" s="221" t="str">
        <f t="shared" si="86"/>
        <v xml:space="preserve"> </v>
      </c>
      <c r="BV67" s="221" t="str">
        <f t="shared" si="87"/>
        <v xml:space="preserve"> </v>
      </c>
      <c r="BW67" s="221" t="str">
        <f t="shared" si="88"/>
        <v xml:space="preserve"> </v>
      </c>
      <c r="BX67" s="421" t="str">
        <f t="shared" si="89"/>
        <v xml:space="preserve"> </v>
      </c>
      <c r="BY67" s="417" t="str">
        <f t="shared" si="90"/>
        <v xml:space="preserve"> </v>
      </c>
      <c r="BZ67" s="417" t="str">
        <f t="shared" si="91"/>
        <v xml:space="preserve"> </v>
      </c>
      <c r="CA67" s="422" t="str">
        <f t="shared" si="92"/>
        <v xml:space="preserve"> </v>
      </c>
      <c r="CB67" s="347" t="str">
        <f t="shared" si="25"/>
        <v xml:space="preserve"> </v>
      </c>
      <c r="CC67" s="347" t="str">
        <f t="shared" si="93"/>
        <v xml:space="preserve"> </v>
      </c>
      <c r="CD67" s="348" t="str">
        <f t="shared" si="26"/>
        <v xml:space="preserve"> </v>
      </c>
      <c r="CE67" s="347" t="str">
        <f t="shared" si="27"/>
        <v xml:space="preserve"> </v>
      </c>
      <c r="CF67" s="347" t="str">
        <f t="shared" si="28"/>
        <v xml:space="preserve"> </v>
      </c>
      <c r="CG67" s="348" t="str">
        <f t="shared" si="29"/>
        <v xml:space="preserve"> </v>
      </c>
      <c r="CH67" s="347" t="str">
        <f t="shared" si="94"/>
        <v xml:space="preserve"> </v>
      </c>
      <c r="CI67" s="349" t="str">
        <f>IF($A67="N/A"," ",F67+G67+(D67*('Pricing Inputs'!T100)))</f>
        <v xml:space="preserve"> </v>
      </c>
      <c r="CJ67" s="347" t="str">
        <f>IF($A67="N/A"," ",IF(PV=1,0,'Pricing Inputs'!U100))</f>
        <v xml:space="preserve"> </v>
      </c>
      <c r="CK67" s="350" t="str">
        <f t="shared" si="30"/>
        <v xml:space="preserve"> </v>
      </c>
      <c r="CL67" s="365" t="str">
        <f t="shared" si="31"/>
        <v xml:space="preserve"> </v>
      </c>
      <c r="CM67" s="380" t="str">
        <f t="shared" si="95"/>
        <v xml:space="preserve"> </v>
      </c>
      <c r="CN67" s="378" t="str">
        <f t="shared" si="32"/>
        <v xml:space="preserve"> </v>
      </c>
      <c r="CO67" s="378" t="str">
        <f t="shared" si="33"/>
        <v xml:space="preserve"> </v>
      </c>
      <c r="CP67" s="378" t="str">
        <f t="shared" si="34"/>
        <v xml:space="preserve"> </v>
      </c>
      <c r="CQ67" s="378" t="str">
        <f t="shared" si="35"/>
        <v xml:space="preserve"> </v>
      </c>
      <c r="CR67" s="378" t="str">
        <f t="shared" si="36"/>
        <v xml:space="preserve"> </v>
      </c>
      <c r="CS67" s="378" t="str">
        <f t="shared" si="37"/>
        <v xml:space="preserve"> </v>
      </c>
      <c r="CT67" s="378" t="str">
        <f t="shared" si="38"/>
        <v xml:space="preserve"> </v>
      </c>
      <c r="CU67" s="378" t="str">
        <f t="shared" si="39"/>
        <v xml:space="preserve"> </v>
      </c>
      <c r="CV67" s="378" t="str">
        <f t="shared" si="40"/>
        <v xml:space="preserve"> </v>
      </c>
      <c r="CW67" s="254" t="str">
        <f t="shared" si="41"/>
        <v xml:space="preserve"> </v>
      </c>
      <c r="CX67" s="254" t="str">
        <f t="shared" si="42"/>
        <v xml:space="preserve"> </v>
      </c>
      <c r="CY67" s="254" t="str">
        <f t="shared" si="43"/>
        <v xml:space="preserve"> </v>
      </c>
      <c r="CZ67" s="254" t="str">
        <f t="shared" si="44"/>
        <v xml:space="preserve"> </v>
      </c>
      <c r="DA67" s="254" t="str">
        <f t="shared" si="45"/>
        <v xml:space="preserve"> </v>
      </c>
      <c r="DB67" s="254" t="str">
        <f t="shared" si="46"/>
        <v xml:space="preserve"> </v>
      </c>
      <c r="DC67" s="254" t="str">
        <f t="shared" si="47"/>
        <v xml:space="preserve"> </v>
      </c>
      <c r="DD67" s="254" t="str">
        <f t="shared" si="48"/>
        <v xml:space="preserve"> </v>
      </c>
      <c r="DE67" s="254" t="str">
        <f t="shared" si="49"/>
        <v xml:space="preserve"> </v>
      </c>
      <c r="DF67" s="374" t="str">
        <f>IF($A67="N/A"," ",IF(CC=2,(IF(MONTH(A67)&gt;=4,IF(MONTH(A67)&lt;=10,Inputs!$G$13,Inputs!$G$14),Inputs!$G$14))*$CK67,0))</f>
        <v xml:space="preserve"> </v>
      </c>
      <c r="DG67" s="373" t="str">
        <f t="shared" si="50"/>
        <v xml:space="preserve"> </v>
      </c>
      <c r="DH67" s="373" t="str">
        <f t="shared" si="51"/>
        <v xml:space="preserve"> </v>
      </c>
      <c r="DI67" s="373" t="str">
        <f t="shared" si="52"/>
        <v xml:space="preserve"> </v>
      </c>
      <c r="DJ67" s="373" t="str">
        <f t="shared" si="53"/>
        <v xml:space="preserve"> </v>
      </c>
      <c r="DK67" s="373" t="str">
        <f t="shared" si="54"/>
        <v xml:space="preserve"> </v>
      </c>
      <c r="DL67" s="373" t="str">
        <f t="shared" si="55"/>
        <v xml:space="preserve"> </v>
      </c>
      <c r="DM67" s="373" t="str">
        <f t="shared" si="56"/>
        <v xml:space="preserve"> </v>
      </c>
      <c r="DN67" s="373" t="str">
        <f t="shared" si="57"/>
        <v xml:space="preserve"> </v>
      </c>
      <c r="DO67" s="373" t="str">
        <f t="shared" si="58"/>
        <v xml:space="preserve"> </v>
      </c>
      <c r="DP67" s="375" t="str">
        <f t="shared" si="59"/>
        <v xml:space="preserve"> </v>
      </c>
      <c r="DQ67" t="str">
        <f t="shared" si="96"/>
        <v xml:space="preserve"> </v>
      </c>
      <c r="HD67" t="str">
        <f t="shared" si="97"/>
        <v xml:space="preserve"> </v>
      </c>
      <c r="HE67" t="str">
        <f t="shared" si="98"/>
        <v xml:space="preserve"> </v>
      </c>
      <c r="HF67" t="str">
        <f t="shared" si="99"/>
        <v xml:space="preserve"> </v>
      </c>
    </row>
    <row r="68" spans="1:214">
      <c r="A68" s="415" t="str">
        <f>IF(A67="N/A","N/A",IF(EDATE(A67,1)&gt;Inputs!$K$3,"N/A",EDATE(A67,1)))</f>
        <v>N/A</v>
      </c>
      <c r="B68" s="410" t="str">
        <f t="shared" si="60"/>
        <v xml:space="preserve"> </v>
      </c>
      <c r="C68" s="411" t="str">
        <f t="shared" si="61"/>
        <v xml:space="preserve"> </v>
      </c>
      <c r="D68" s="412" t="str">
        <f t="shared" si="62"/>
        <v xml:space="preserve"> </v>
      </c>
      <c r="E68" s="413" t="str">
        <f>IF($A68="N/A"," ",(C68-'Pricing Inputs'!T101)*D68)</f>
        <v xml:space="preserve"> </v>
      </c>
      <c r="F68" s="414" t="str">
        <f t="shared" si="116"/>
        <v xml:space="preserve"> </v>
      </c>
      <c r="G68" s="414" t="str">
        <f t="shared" si="64"/>
        <v xml:space="preserve"> </v>
      </c>
      <c r="H68" s="416" t="str">
        <f t="shared" si="65"/>
        <v xml:space="preserve"> </v>
      </c>
      <c r="I68" s="213" t="str">
        <f t="shared" ref="I68:I131" si="183">VLOOKUP(A68,ScaledPrice,(IF(AND(Dayrun&gt;=1,Dayrun&lt;=6),2,4)))</f>
        <v xml:space="preserve"> </v>
      </c>
      <c r="J68" s="213" t="str">
        <f t="shared" ref="J68:J131" si="184">IF(A68="N/A"," ",IF(AND(Dayrun&gt;=1,Dayrun&lt;=6),I68,(VLOOKUP(A68,ScaledPrice,2))*(2-(VLOOKUP(A68,ScaledPrice,3)))))</f>
        <v xml:space="preserve"> </v>
      </c>
      <c r="K68" s="213" t="str">
        <f t="shared" ref="K68:K131" si="185">IF(A68="N/A"," ",IF(AND(Dayrun&gt;=1,Dayrun&lt;=3),VLOOKUP(A68,ScaledPrice,9),0))</f>
        <v xml:space="preserve"> </v>
      </c>
      <c r="L68" s="213" t="str">
        <f t="shared" ref="L68:L131" si="186">IF(A68="N/A"," ",IF(OR(Dayrun=2,Dayrun=3,Dayrun=5,Dayrun=6,Dayrun=8,Dayrun=9),VLOOKUP(A68,ScaledPrice,IF(AND(Dayrun&gt;=2,Dayrun&lt;=6),5,6)),0))</f>
        <v xml:space="preserve"> </v>
      </c>
      <c r="M68" s="213" t="str">
        <f t="shared" ref="M68:M131" si="187">IF(A68="N/A"," ",IF(OR(Dayrun=2,Dayrun=3,Dayrun=5,Dayrun=6,Dayrun=8,Dayrun=9),IF(AND(Dayrun&gt;=2,Dayrun&lt;=6),L68,(VLOOKUP(A68,ScaledPrice,5))*(2-(VLOOKUP(A68,ScaledPrice,3)))),0))</f>
        <v xml:space="preserve"> </v>
      </c>
      <c r="N68" s="213" t="str">
        <f t="shared" ref="N68:N131" si="188">IF(A68="N/A"," ",IF(AND(Dayrun&gt;1,Dayrun&lt;=3),VLOOKUP(A68,ScaledPrice,9),0))</f>
        <v xml:space="preserve"> </v>
      </c>
      <c r="O68" s="213" t="str">
        <f t="shared" ref="O68:O131" si="189">IF(A68="N/A"," ",IF(OR(Dayrun=3,Dayrun=6,Dayrun=9),(VLOOKUP(A68,ScaledPrice,IF(AND(Dayrun&gt;=3,Dayrun&lt;=6),7,8))),0))</f>
        <v xml:space="preserve"> </v>
      </c>
      <c r="P68" s="213" t="str">
        <f t="shared" ref="P68:P131" si="190">IF(A68="N/A"," ",IF(OR(Dayrun=3,Dayrun=6,Dayrun=9),IF(AND(Dayrun&gt;=3,Dayrun&lt;=6),O68,(VLOOKUP(A68,ScaledPrice,7))*(2-(VLOOKUP(A68,ScaledPrice,3)))),0))</f>
        <v xml:space="preserve"> </v>
      </c>
      <c r="Q68" s="213" t="str">
        <f t="shared" ref="Q68:Q131" si="191">IF(A68="N/A"," ",IF(AND(Dayrun&gt;2,Dayrun&lt;=3),VLOOKUP(A68,ScaledPrice,9),0))</f>
        <v xml:space="preserve"> </v>
      </c>
      <c r="R68" s="405" t="str">
        <f>IF($A68="N/A"," ",IF(Pricetype=2,MAX(I68-$H68,0),IF(Pricetype=1,(_xll.xSPRDOPT(I68,$E68,$CI68,0,($CD68+IF(Smile=TRUE,VLOOKUP(MAX(-5,$H68-I68),Volsmile,2),0)),$CG68,$CH68,($A68-DateToday)+15,1,0)),I68-$H68)))</f>
        <v xml:space="preserve"> </v>
      </c>
      <c r="S68" s="405" t="str">
        <f>IF($A68="N/A"," ",IF(Pricetype=2,MAX(J68-$H68,0),IF(Pricetype=1,(_xll.xSPRDOPT(J68,$E68,$CI68,0,($CD68+IF(Smile=TRUE,VLOOKUP(MAX(-5,$H68-J68),Volsmile,2),0)),$CG68,$CH68,($A68-DateToday)+15,1,0)),J68-$H68)))</f>
        <v xml:space="preserve"> </v>
      </c>
      <c r="T68" s="406" t="str">
        <f t="shared" ref="T68:T131" si="192">IF($A68="N/A"," ",(IF(Pricetype=2,IF((K68-$H68)&lt;=0,0,(K68-$H68)),IF(K68&lt;&gt;0,(K68-$H68),0))))</f>
        <v xml:space="preserve"> </v>
      </c>
      <c r="U68" s="405" t="str">
        <f>IF($A68="N/A"," ",IF(Pricetype=2,MAX(L68-$H68,0),IF(L68&lt;&gt;0,IF(Pricetype=1,(_xll.xSPRDOPT(L68,$E68,$CI68,0,($CD68+IF(Smile=TRUE,VLOOKUP(MAX(-5,$H68-L68),Volsmile,2),0)),$CG68,$CH68,($A68-DateToday)+15,1,0)),L68-$H68),0)))</f>
        <v xml:space="preserve"> </v>
      </c>
      <c r="V68" s="405" t="str">
        <f>IF($A68="N/A"," ",IF(Pricetype=2,MAX(M68-$H68,0),IF(M68&lt;&gt;0,IF(Pricetype=1,(_xll.xSPRDOPT(M68,$E68,$CI68,0,($CD68+IF(Smile=TRUE,VLOOKUP(MAX(-5,$H68-M68),Volsmile,2),0)),$CG68,$CH68,($A68-DateToday)+15,1,0)),M68-$H68),0)))</f>
        <v xml:space="preserve"> </v>
      </c>
      <c r="W68" s="406" t="str">
        <f t="shared" ref="W68:W131" si="193">IF($A68="N/A"," ",(IF(Pricetype=2,IF((N68-$H68)&lt;=0,0,(N68-$H68)),IF(N68&lt;&gt;0,(N68-$H68),0))))</f>
        <v xml:space="preserve"> </v>
      </c>
      <c r="X68" s="405" t="str">
        <f>IF($A68="N/A"," ",IF(Pricetype=2,MAX(O68-$H68,0),IF(O68&lt;&gt;0,IF(Pricetype=1,(_xll.xSPRDOPT(O68,$E68,$CI68,0,($CD68+IF(Smile=TRUE,VLOOKUP(MAX(-5,$H68-O68),Volsmile,2),0)),$CG68,$CH68,($A68-DateToday)+15,1,0)),O68-$H68),0)))</f>
        <v xml:space="preserve"> </v>
      </c>
      <c r="Y68" s="405" t="str">
        <f>IF($A68="N/A"," ",IF(Pricetype=2,MAX(P68-$H68,0),IF(P68&lt;&gt;0,IF(Pricetype=1,(_xll.xSPRDOPT(P68,$E68,$CI68,0,($CD68+IF(Smile=TRUE,VLOOKUP(MAX(-5,$H68-P68),Volsmile,2),0)),$CG68,$CH68,($A68-DateToday)+15,1,0)),P68-$H68),0)))</f>
        <v xml:space="preserve"> </v>
      </c>
      <c r="Z68" s="406" t="str">
        <f t="shared" ref="Z68:Z131" si="194">IF($A68="N/A"," ",(IF(Pricetype=2,IF((Q68-$H68)&lt;=0,0,(Q68-$H68)),IF(Q68&lt;&gt;0,(Q68-$H68),0))))</f>
        <v xml:space="preserve"> </v>
      </c>
      <c r="AA68" s="254" t="str">
        <f>IF($A68="N/A"," ",IF(VLOOKUP(MONTH(A68),ManualTable,2)=1,(IF(0&lt;&gt;R68,IF(Pricetype=1,(_xll.xSPRDOPT(I68,$E68,$CI68,0,($CD68+IF(Smile=TRUE,VLOOKUP(MAX(-5,$H68-I68),Volsmile,2),0)),$CG68,$CH68,($A68-DateToday)+15,1,1))*(8*$HD68),8*$HD68),0)),0))</f>
        <v xml:space="preserve"> </v>
      </c>
      <c r="AB68" s="254" t="str">
        <f>IF($A68="N/A"," ",IF(VLOOKUP(MONTH(A68),ManualTable,3)=1,(IF(S68&lt;&gt;0,IF(Pricetype=1,(_xll.xSPRDOPT(J68,$E68,$CI68,0,($CD68+IF(Smile=TRUE,VLOOKUP(MAX(-5,$H68-J68),Volsmile,2),0)),$CG68,$CH68,($A68-DateToday)+15,1,1))*(8*$HD68),8*$HD68),0)),0))</f>
        <v xml:space="preserve"> </v>
      </c>
      <c r="AC68" s="254" t="str">
        <f t="shared" si="66"/>
        <v xml:space="preserve"> </v>
      </c>
      <c r="AD68" s="254" t="str">
        <f>IF($A68="N/A"," ",IF(VLOOKUP(MONTH(A68),ManualTable,5)=1,(IF(U68&lt;&gt;0,IF(Pricetype=1,(_xll.xSPRDOPT(L68,$E68,$CI68,0,($CD68+IF(Smile=TRUE,VLOOKUP(MAX(-5,$H68-L68),Volsmile,2),0)),$CG68,$CH68,($A68-DateToday)+15,1,1))*(8*$HE68),8*$HE68),0)),0))</f>
        <v xml:space="preserve"> </v>
      </c>
      <c r="AE68" s="254" t="str">
        <f>IF($A68="N/A"," ",IF(VLOOKUP(MONTH(A68),ManualTable,6)=1,(IF(V68&lt;&gt;0,IF(Pricetype=1,(_xll.xSPRDOPT(M68,$E68,$CI68,0,($CD68+IF(Smile=TRUE,VLOOKUP(MAX(-5,$H68-M68),Volsmile,2),0)),$CG68,$CH68,($A68-DateToday)+15,1,1))*(8*$HE68),8*$HE68),0)),0))</f>
        <v xml:space="preserve"> </v>
      </c>
      <c r="AF68" s="254" t="str">
        <f t="shared" si="67"/>
        <v xml:space="preserve"> </v>
      </c>
      <c r="AG68" s="254" t="str">
        <f>IF($A68="N/A"," ",IF(VLOOKUP(MONTH(A68),ManualTable,8)=1,(IF(X68&lt;&gt;0,IF(Pricetype=1,(_xll.xSPRDOPT(O68,$E68,$CI68,0,($CD68+IF(Smile=TRUE,VLOOKUP(MAX(-5,$H68-O68),Volsmile,2),0)),$CG68,$CH68,($A68-DateToday)+15,1,1))*(8*$HF68),8*$HF68),0)),0))</f>
        <v xml:space="preserve"> </v>
      </c>
      <c r="AH68" s="254" t="str">
        <f>IF($A68="N/A"," ",IF(VLOOKUP(MONTH(A68),ManualTable,9)=1,(IF(Y68&lt;&gt;0,IF(Pricetype=1,(_xll.xSPRDOPT(P68,$E68,$CI68,0,($CD68+IF(Smile=TRUE,VLOOKUP(MAX(-5,$H68-P68),Volsmile,2),0)),$CG68,$CH68,($A68-DateToday)+15,1,1))*(8*$HF68),8*$HF68),0)),0))</f>
        <v xml:space="preserve"> </v>
      </c>
      <c r="AI68" s="254" t="str">
        <f t="shared" si="68"/>
        <v xml:space="preserve"> </v>
      </c>
      <c r="AJ68" s="227" t="str">
        <f t="shared" si="176"/>
        <v xml:space="preserve"> </v>
      </c>
      <c r="AK68" s="228" t="str">
        <f t="shared" si="177"/>
        <v xml:space="preserve"> </v>
      </c>
      <c r="AL68" s="228" t="str">
        <f t="shared" si="177"/>
        <v xml:space="preserve"> </v>
      </c>
      <c r="AM68" s="228" t="str">
        <f t="shared" si="178"/>
        <v xml:space="preserve"> </v>
      </c>
      <c r="AN68" s="228" t="str">
        <f t="shared" si="179"/>
        <v xml:space="preserve"> </v>
      </c>
      <c r="AO68" s="228" t="str">
        <f t="shared" si="179"/>
        <v xml:space="preserve"> </v>
      </c>
      <c r="AP68" s="228" t="str">
        <f t="shared" si="180"/>
        <v xml:space="preserve"> </v>
      </c>
      <c r="AQ68" s="228" t="str">
        <f t="shared" si="181"/>
        <v xml:space="preserve"> </v>
      </c>
      <c r="AR68" s="229" t="str">
        <f t="shared" si="182"/>
        <v xml:space="preserve"> </v>
      </c>
      <c r="AS68" s="262" t="str">
        <f t="shared" si="102"/>
        <v xml:space="preserve"> </v>
      </c>
      <c r="AT68" s="263" t="str">
        <f t="shared" si="103"/>
        <v xml:space="preserve"> </v>
      </c>
      <c r="AU68" s="263" t="str">
        <f t="shared" si="103"/>
        <v xml:space="preserve"> </v>
      </c>
      <c r="AV68" s="263" t="str">
        <f t="shared" si="104"/>
        <v xml:space="preserve"> </v>
      </c>
      <c r="AW68" s="263" t="str">
        <f t="shared" si="105"/>
        <v xml:space="preserve"> </v>
      </c>
      <c r="AX68" s="263" t="str">
        <f t="shared" si="105"/>
        <v xml:space="preserve"> </v>
      </c>
      <c r="AY68" s="263" t="str">
        <f t="shared" si="106"/>
        <v xml:space="preserve"> </v>
      </c>
      <c r="AZ68" s="263" t="str">
        <f t="shared" si="107"/>
        <v xml:space="preserve"> </v>
      </c>
      <c r="BA68" s="263" t="str">
        <f t="shared" si="108"/>
        <v xml:space="preserve"> </v>
      </c>
      <c r="BB68" s="229"/>
      <c r="BC68" s="266" t="str">
        <f t="shared" si="169"/>
        <v xml:space="preserve"> </v>
      </c>
      <c r="BD68" s="269" t="str">
        <f t="shared" si="170"/>
        <v xml:space="preserve"> </v>
      </c>
      <c r="BE68" s="269" t="str">
        <f t="shared" si="170"/>
        <v xml:space="preserve"> </v>
      </c>
      <c r="BF68" s="269" t="str">
        <f t="shared" si="171"/>
        <v xml:space="preserve"> </v>
      </c>
      <c r="BG68" s="269" t="str">
        <f t="shared" si="172"/>
        <v xml:space="preserve"> </v>
      </c>
      <c r="BH68" s="269" t="str">
        <f t="shared" si="172"/>
        <v xml:space="preserve"> </v>
      </c>
      <c r="BI68" s="269" t="str">
        <f t="shared" si="173"/>
        <v xml:space="preserve"> </v>
      </c>
      <c r="BJ68" s="269" t="str">
        <f t="shared" si="174"/>
        <v xml:space="preserve"> </v>
      </c>
      <c r="BK68" s="269" t="str">
        <f t="shared" si="175"/>
        <v xml:space="preserve"> </v>
      </c>
      <c r="BL68" s="229"/>
      <c r="BM68" s="220" t="str">
        <f>IF($A68="N/A"," ",(IF(MONTH(A68)&gt;=4,IF(MONTH(A68)&lt;=10,Inputs!$F$13-Inputs!$G$13,Inputs!$F$14-Inputs!$G$14),Inputs!$F$14-Inputs!$G$14))*$CK68*Availability)</f>
        <v xml:space="preserve"> </v>
      </c>
      <c r="BN68" s="221" t="str">
        <f t="shared" si="79"/>
        <v xml:space="preserve"> </v>
      </c>
      <c r="BO68" s="221" t="str">
        <f t="shared" si="80"/>
        <v xml:space="preserve"> </v>
      </c>
      <c r="BP68" s="221" t="str">
        <f t="shared" si="81"/>
        <v xml:space="preserve"> </v>
      </c>
      <c r="BQ68" s="221" t="str">
        <f t="shared" si="82"/>
        <v xml:space="preserve"> </v>
      </c>
      <c r="BR68" s="221" t="str">
        <f t="shared" si="83"/>
        <v xml:space="preserve"> </v>
      </c>
      <c r="BS68" s="221" t="str">
        <f t="shared" si="84"/>
        <v xml:space="preserve"> </v>
      </c>
      <c r="BT68" s="221" t="str">
        <f t="shared" si="85"/>
        <v xml:space="preserve"> </v>
      </c>
      <c r="BU68" s="221" t="str">
        <f t="shared" si="86"/>
        <v xml:space="preserve"> </v>
      </c>
      <c r="BV68" s="221" t="str">
        <f t="shared" si="87"/>
        <v xml:space="preserve"> </v>
      </c>
      <c r="BW68" s="221" t="str">
        <f t="shared" si="88"/>
        <v xml:space="preserve"> </v>
      </c>
      <c r="BX68" s="421" t="str">
        <f t="shared" si="89"/>
        <v xml:space="preserve"> </v>
      </c>
      <c r="BY68" s="417" t="str">
        <f t="shared" si="90"/>
        <v xml:space="preserve"> </v>
      </c>
      <c r="BZ68" s="417" t="str">
        <f t="shared" si="91"/>
        <v xml:space="preserve"> </v>
      </c>
      <c r="CA68" s="422" t="str">
        <f t="shared" si="92"/>
        <v xml:space="preserve"> </v>
      </c>
      <c r="CB68" s="347" t="str">
        <f t="shared" ref="CB68:CB131" si="195">IF(A68="N/A"," ",(VLOOKUP(A68,PowerVolTable,(IF(BMO=2,7,IF(BMO=1,6,8))),FALSE)))</f>
        <v xml:space="preserve"> </v>
      </c>
      <c r="CC68" s="347" t="str">
        <f t="shared" si="93"/>
        <v xml:space="preserve"> </v>
      </c>
      <c r="CD68" s="348" t="str">
        <f t="shared" ref="CD68:CD131" si="196">IF($A68="N/A"," ",(IF(DateToday&gt;$A68,$CC68,((($CB68^2)*((($A68-1)-DateToday)/((EOMONTH($A68,0)+1)-DateToday-15)))+((($CC68)^2)*((15)/((EOMONTH($A68,0)+1)-DateToday-15))))^0.5)))</f>
        <v xml:space="preserve"> </v>
      </c>
      <c r="CE68" s="347" t="str">
        <f t="shared" ref="CE68:CE131" si="197">IF($A68="N/A"," ",(VLOOKUP($A68,GasVolTable,(IF(BMO=2,6,IF(BMO=1,7,5))),FALSE)))</f>
        <v xml:space="preserve"> </v>
      </c>
      <c r="CF68" s="347" t="str">
        <f t="shared" ref="CF68:CF131" si="198">IF($A68="N/A"," ",(VLOOKUP($A68,OmicronVol,(IF(BMO=2,3,IF(BMO=1,4,2))),FALSE)))</f>
        <v xml:space="preserve"> </v>
      </c>
      <c r="CG68" s="348" t="str">
        <f t="shared" ref="CG68:CG131" si="199">IF($A68="N/A"," ",(IF(DateToday&gt;$A68,$CF68,((($CE68^2)*((($A68-1)-DateToday)/((EOMONTH($A68,0)+1)-DateToday-15)))+((($CF68)^2)*((15)/((EOMONTH($A68,0)+1)-DateToday-15))))^0.5)))</f>
        <v xml:space="preserve"> </v>
      </c>
      <c r="CH68" s="347" t="str">
        <f t="shared" si="94"/>
        <v xml:space="preserve"> </v>
      </c>
      <c r="CI68" s="349" t="str">
        <f>IF($A68="N/A"," ",F68+G68+(D68*('Pricing Inputs'!T101)))</f>
        <v xml:space="preserve"> </v>
      </c>
      <c r="CJ68" s="347" t="str">
        <f>IF($A68="N/A"," ",IF(PV=1,0,'Pricing Inputs'!U101))</f>
        <v xml:space="preserve"> </v>
      </c>
      <c r="CK68" s="350" t="str">
        <f t="shared" ref="CK68:CK131" si="200">IF($A68="N/A"," ",(1+CJ68/2)^(-2*((EOMONTH(A68,0)+20)-DateToday)/365.25))</f>
        <v xml:space="preserve"> </v>
      </c>
      <c r="CL68" s="365" t="str">
        <f t="shared" ref="CL68:CL131" si="201">IF(A68="N/A"," ",IF(CC=2,(VLOOKUP(MONTH($A68),Hrtable,3))/1000,0))</f>
        <v xml:space="preserve"> </v>
      </c>
      <c r="CM68" s="380" t="str">
        <f t="shared" si="95"/>
        <v xml:space="preserve"> </v>
      </c>
      <c r="CN68" s="378" t="str">
        <f t="shared" ref="CN68:CN131" si="202">IF($A68="N/A"," ",IF(CC=2,(VLOOKUP(A68,ScaledPrice,(IF(AND(Dayrun&gt;=1,Dayrun&lt;=6),2,4)))-((IF(R68&lt;&gt;0,$D68,$CL68)*$C68)+$F68+$G68)),0))</f>
        <v xml:space="preserve"> </v>
      </c>
      <c r="CO68" s="378" t="str">
        <f t="shared" ref="CO68:CO131" si="203">IF($A68="N/A"," ",IF(CC=2,(IF(AND(Dayrun&gt;=1,Dayrun&lt;=6),I68,(VLOOKUP(A68,ScaledPrice,2))*(2-(VLOOKUP(A68,ScaledPrice,3))))-((IF(S68&lt;&gt;0,$D68,$CL68)*$C68)+$F68+$G68)),0))</f>
        <v xml:space="preserve"> </v>
      </c>
      <c r="CP68" s="378" t="str">
        <f t="shared" ref="CP68:CP131" si="204">IF(A68="N/A"," ",IF(CC=2,(VLOOKUP(A68,ScaledPrice,9)-((IF(T68&lt;&gt;0,$D68,$CL68)*$C68)+$F68+$G68)),0))</f>
        <v xml:space="preserve"> </v>
      </c>
      <c r="CQ68" s="378" t="str">
        <f t="shared" ref="CQ68:CQ131" si="205">IF(A68="N/A"," ",IF(CC=2,(IF(OR(Dayrun=2,Dayrun=3,Dayrun=5,Dayrun=6,Dayrun=8,Dayrun=9),VLOOKUP(A68,ScaledPrice,IF(AND(Dayrun&gt;=2,Dayrun&lt;=6),5,6)),0)-((IF(U68&lt;&gt;0,$D68,$CL68)*$C68)+$F68+$G68)),0))</f>
        <v xml:space="preserve"> </v>
      </c>
      <c r="CR68" s="378" t="str">
        <f t="shared" ref="CR68:CR131" si="206">IF(A68="N/A"," ",IF(CC=2,(IF(OR(Dayrun=2,Dayrun=3,Dayrun=5,Dayrun=6,Dayrun=8,Dayrun=9),IF(AND(Dayrun&gt;=2,Dayrun&lt;=6),L68,(VLOOKUP(A68,ScaledPrice,5))*(2-(VLOOKUP(A68,ScaledPrice,3)))),0)-((IF(V68&lt;&gt;0,$D68,$CL68)*$C68)+$F68+$G68)),0))</f>
        <v xml:space="preserve"> </v>
      </c>
      <c r="CS68" s="378" t="str">
        <f t="shared" ref="CS68:CS131" si="207">IF(A68="N/A"," ",IF(CC=2,(VLOOKUP(A68,ScaledPrice,9)-((IF(W68&lt;&gt;0,$D68,$CL68)*$C68)+$F68+$G68)),0))</f>
        <v xml:space="preserve"> </v>
      </c>
      <c r="CT68" s="378" t="str">
        <f t="shared" ref="CT68:CT131" si="208">IF(A68="N/A"," ",IF(CC=2,(IF(OR(Dayrun=3,Dayrun=6,Dayrun=9),(VLOOKUP(A68,ScaledPrice,IF(AND(Dayrun&gt;=3,Dayrun&lt;=6),7,8))),0)-((IF(X68&lt;&gt;0,$D68,$CL68)*$C68)+$F68+$G68)),0))</f>
        <v xml:space="preserve"> </v>
      </c>
      <c r="CU68" s="378" t="str">
        <f t="shared" ref="CU68:CU131" si="209">IF(A68="N/A"," ",IF(CC=2,(IF(OR(Dayrun=3,Dayrun=6,Dayrun=9),IF(AND(Dayrun&gt;=3,Dayrun&lt;=6),O68,(VLOOKUP(A68,ScaledPrice,7))*(2-(VLOOKUP(A68,ScaledPrice,3)))),0)-((IF(Y68&lt;&gt;0,$D68,$CL68)*$C68)+$F68+$G68)),0))</f>
        <v xml:space="preserve"> </v>
      </c>
      <c r="CV68" s="378" t="str">
        <f t="shared" ref="CV68:CV131" si="210">IF(A68="N/A"," ",IF(CC=2,(VLOOKUP(A68,ScaledPrice,9)-((IF(Z68&lt;&gt;0,$D68,$CL68)*$C68)+$F68+$G68)),0))</f>
        <v xml:space="preserve"> </v>
      </c>
      <c r="CW68" s="254" t="str">
        <f t="shared" ref="CW68:CW131" si="211">IF($A68="N/A"," ",IF(0&lt;&gt;CN68,IF(CC=2,8*$HD68,0),0))</f>
        <v xml:space="preserve"> </v>
      </c>
      <c r="CX68" s="254" t="str">
        <f t="shared" ref="CX68:CX131" si="212">IF($A68="N/A"," ",IF(0&lt;&gt;CO68,IF(CC=2,8*$HD68,0),0))</f>
        <v xml:space="preserve"> </v>
      </c>
      <c r="CY68" s="254" t="str">
        <f t="shared" ref="CY68:CY131" si="213">IF($A68="N/A"," ",IF(0&lt;&gt;CP68,IF(CC=2,8*$HD68,0),0))</f>
        <v xml:space="preserve"> </v>
      </c>
      <c r="CZ68" s="254" t="str">
        <f t="shared" ref="CZ68:CZ131" si="214">IF($A68="N/A"," ",IF(0&lt;&gt;CQ68,IF(CC=2,8*$HE68,0),0))</f>
        <v xml:space="preserve"> </v>
      </c>
      <c r="DA68" s="254" t="str">
        <f t="shared" ref="DA68:DA131" si="215">IF($A68="N/A"," ",IF(0&lt;&gt;CR68,IF(CC=2,8*$HE68,0),0))</f>
        <v xml:space="preserve"> </v>
      </c>
      <c r="DB68" s="254" t="str">
        <f t="shared" ref="DB68:DB131" si="216">IF($A68="N/A"," ",IF(0&lt;&gt;CS68,IF(CC=2,8*$HE68,0),0))</f>
        <v xml:space="preserve"> </v>
      </c>
      <c r="DC68" s="254" t="str">
        <f t="shared" ref="DC68:DC131" si="217">IF($A68="N/A"," ",IF(0&lt;&gt;CT68,IF(CC=2,8*$HF68,0),0))</f>
        <v xml:space="preserve"> </v>
      </c>
      <c r="DD68" s="254" t="str">
        <f t="shared" ref="DD68:DD131" si="218">IF($A68="N/A"," ",IF(0&lt;&gt;CU68,IF(CC=2,8*$HF68,0),0))</f>
        <v xml:space="preserve"> </v>
      </c>
      <c r="DE68" s="254" t="str">
        <f t="shared" ref="DE68:DE131" si="219">IF($A68="N/A"," ",IF(0&lt;&gt;CV68,IF(CC=2,8*$HF68,0),0))</f>
        <v xml:space="preserve"> </v>
      </c>
      <c r="DF68" s="374" t="str">
        <f>IF($A68="N/A"," ",IF(CC=2,(IF(MONTH(A68)&gt;=4,IF(MONTH(A68)&lt;=10,Inputs!$G$13,Inputs!$G$14),Inputs!$G$14))*$CK68,0))</f>
        <v xml:space="preserve"> </v>
      </c>
      <c r="DG68" s="373" t="str">
        <f t="shared" ref="DG68:DG131" si="220">IF($A68="N/A"," ",IF(CC=2,$DF68*CW68*CN68,0))</f>
        <v xml:space="preserve"> </v>
      </c>
      <c r="DH68" s="373" t="str">
        <f t="shared" ref="DH68:DH131" si="221">IF($A68="N/A"," ",IF(CC=2,$DF68*CX68*CO68,0))</f>
        <v xml:space="preserve"> </v>
      </c>
      <c r="DI68" s="373" t="str">
        <f t="shared" ref="DI68:DI131" si="222">IF($A68="N/A"," ",IF(CC=2,$DF68*CY68*CP68,0))</f>
        <v xml:space="preserve"> </v>
      </c>
      <c r="DJ68" s="373" t="str">
        <f t="shared" ref="DJ68:DJ131" si="223">IF($A68="N/A"," ",IF(CC=2,$DF68*CZ68*CQ68,0))</f>
        <v xml:space="preserve"> </v>
      </c>
      <c r="DK68" s="373" t="str">
        <f t="shared" ref="DK68:DK131" si="224">IF($A68="N/A"," ",IF(CC=2,$DF68*DA68*CR68,0))</f>
        <v xml:space="preserve"> </v>
      </c>
      <c r="DL68" s="373" t="str">
        <f t="shared" ref="DL68:DL131" si="225">IF($A68="N/A"," ",IF(CC=2,$DF68*DB68*CS68,0))</f>
        <v xml:space="preserve"> </v>
      </c>
      <c r="DM68" s="373" t="str">
        <f t="shared" ref="DM68:DM131" si="226">IF($A68="N/A"," ",IF(CC=2,$DF68*DC68*CT68,0))</f>
        <v xml:space="preserve"> </v>
      </c>
      <c r="DN68" s="373" t="str">
        <f t="shared" ref="DN68:DN131" si="227">IF($A68="N/A"," ",IF(CC=2,$DF68*DD68*CU68,0))</f>
        <v xml:space="preserve"> </v>
      </c>
      <c r="DO68" s="373" t="str">
        <f t="shared" ref="DO68:DO131" si="228">IF($A68="N/A"," ",IF(CC=2,$DF68*DE68*CV68,0))</f>
        <v xml:space="preserve"> </v>
      </c>
      <c r="DP68" s="375" t="str">
        <f t="shared" ref="DP68:DP131" si="229">IF($A68="N/A"," ",IF(CC=2,SUM(DG68:DO68),0))</f>
        <v xml:space="preserve"> </v>
      </c>
      <c r="DQ68" t="str">
        <f t="shared" si="96"/>
        <v xml:space="preserve"> </v>
      </c>
      <c r="HD68" t="str">
        <f t="shared" si="97"/>
        <v xml:space="preserve"> </v>
      </c>
      <c r="HE68" t="str">
        <f t="shared" si="98"/>
        <v xml:space="preserve"> </v>
      </c>
      <c r="HF68" t="str">
        <f t="shared" si="99"/>
        <v xml:space="preserve"> </v>
      </c>
    </row>
    <row r="69" spans="1:214">
      <c r="A69" s="415" t="str">
        <f>IF(A68="N/A","N/A",IF(EDATE(A68,1)&gt;Inputs!$K$3,"N/A",EDATE(A68,1)))</f>
        <v>N/A</v>
      </c>
      <c r="B69" s="410" t="str">
        <f t="shared" ref="B69:B132" si="230">IF(A69="N/A"," ",YEAR(A69))</f>
        <v xml:space="preserve"> </v>
      </c>
      <c r="C69" s="411" t="str">
        <f t="shared" ref="C69:C132" si="231">IF(A69="N/A"," ",VLOOKUP(A69,ScaledPrice,10))</f>
        <v xml:space="preserve"> </v>
      </c>
      <c r="D69" s="412" t="str">
        <f t="shared" ref="D69:D132" si="232">IF(A69="N/A"," ",(VLOOKUP(MONTH($A69),Hrtable,2))/1000)</f>
        <v xml:space="preserve"> </v>
      </c>
      <c r="E69" s="413" t="str">
        <f>IF($A69="N/A"," ",(C69-'Pricing Inputs'!T102)*D69)</f>
        <v xml:space="preserve"> </v>
      </c>
      <c r="F69" s="414" t="str">
        <f t="shared" si="116"/>
        <v xml:space="preserve"> </v>
      </c>
      <c r="G69" s="414" t="str">
        <f t="shared" ref="G69:G132" si="233">IF(A69="N/A"," ",Perstart/IF(AND(Dayrun&gt;=4,Dayrun&lt;=6),16,IF(AND(Dayrun&gt;=7,Dayrun&lt;=9),8,24))/(BM69/CK69))</f>
        <v xml:space="preserve"> </v>
      </c>
      <c r="H69" s="416" t="str">
        <f t="shared" ref="H69:H132" si="234">IF(A69="N/A"," ",(C69*D69)+F69+G69)</f>
        <v xml:space="preserve"> </v>
      </c>
      <c r="I69" s="213" t="str">
        <f t="shared" si="183"/>
        <v xml:space="preserve"> </v>
      </c>
      <c r="J69" s="213" t="str">
        <f t="shared" si="184"/>
        <v xml:space="preserve"> </v>
      </c>
      <c r="K69" s="213" t="str">
        <f t="shared" si="185"/>
        <v xml:space="preserve"> </v>
      </c>
      <c r="L69" s="213" t="str">
        <f t="shared" si="186"/>
        <v xml:space="preserve"> </v>
      </c>
      <c r="M69" s="213" t="str">
        <f t="shared" si="187"/>
        <v xml:space="preserve"> </v>
      </c>
      <c r="N69" s="213" t="str">
        <f t="shared" si="188"/>
        <v xml:space="preserve"> </v>
      </c>
      <c r="O69" s="213" t="str">
        <f t="shared" si="189"/>
        <v xml:space="preserve"> </v>
      </c>
      <c r="P69" s="213" t="str">
        <f t="shared" si="190"/>
        <v xml:space="preserve"> </v>
      </c>
      <c r="Q69" s="213" t="str">
        <f t="shared" si="191"/>
        <v xml:space="preserve"> </v>
      </c>
      <c r="R69" s="405" t="str">
        <f>IF($A69="N/A"," ",IF(Pricetype=2,MAX(I69-$H69,0),IF(Pricetype=1,(_xll.xSPRDOPT(I69,$E69,$CI69,0,($CD69+IF(Smile=TRUE,VLOOKUP(MAX(-5,$H69-I69),Volsmile,2),0)),$CG69,$CH69,($A69-DateToday)+15,1,0)),I69-$H69)))</f>
        <v xml:space="preserve"> </v>
      </c>
      <c r="S69" s="405" t="str">
        <f>IF($A69="N/A"," ",IF(Pricetype=2,MAX(J69-$H69,0),IF(Pricetype=1,(_xll.xSPRDOPT(J69,$E69,$CI69,0,($CD69+IF(Smile=TRUE,VLOOKUP(MAX(-5,$H69-J69),Volsmile,2),0)),$CG69,$CH69,($A69-DateToday)+15,1,0)),J69-$H69)))</f>
        <v xml:space="preserve"> </v>
      </c>
      <c r="T69" s="406" t="str">
        <f t="shared" si="192"/>
        <v xml:space="preserve"> </v>
      </c>
      <c r="U69" s="405" t="str">
        <f>IF($A69="N/A"," ",IF(Pricetype=2,MAX(L69-$H69,0),IF(L69&lt;&gt;0,IF(Pricetype=1,(_xll.xSPRDOPT(L69,$E69,$CI69,0,($CD69+IF(Smile=TRUE,VLOOKUP(MAX(-5,$H69-L69),Volsmile,2),0)),$CG69,$CH69,($A69-DateToday)+15,1,0)),L69-$H69),0)))</f>
        <v xml:space="preserve"> </v>
      </c>
      <c r="V69" s="405" t="str">
        <f>IF($A69="N/A"," ",IF(Pricetype=2,MAX(M69-$H69,0),IF(M69&lt;&gt;0,IF(Pricetype=1,(_xll.xSPRDOPT(M69,$E69,$CI69,0,($CD69+IF(Smile=TRUE,VLOOKUP(MAX(-5,$H69-M69),Volsmile,2),0)),$CG69,$CH69,($A69-DateToday)+15,1,0)),M69-$H69),0)))</f>
        <v xml:space="preserve"> </v>
      </c>
      <c r="W69" s="406" t="str">
        <f t="shared" si="193"/>
        <v xml:space="preserve"> </v>
      </c>
      <c r="X69" s="405" t="str">
        <f>IF($A69="N/A"," ",IF(Pricetype=2,MAX(O69-$H69,0),IF(O69&lt;&gt;0,IF(Pricetype=1,(_xll.xSPRDOPT(O69,$E69,$CI69,0,($CD69+IF(Smile=TRUE,VLOOKUP(MAX(-5,$H69-O69),Volsmile,2),0)),$CG69,$CH69,($A69-DateToday)+15,1,0)),O69-$H69),0)))</f>
        <v xml:space="preserve"> </v>
      </c>
      <c r="Y69" s="405" t="str">
        <f>IF($A69="N/A"," ",IF(Pricetype=2,MAX(P69-$H69,0),IF(P69&lt;&gt;0,IF(Pricetype=1,(_xll.xSPRDOPT(P69,$E69,$CI69,0,($CD69+IF(Smile=TRUE,VLOOKUP(MAX(-5,$H69-P69),Volsmile,2),0)),$CG69,$CH69,($A69-DateToday)+15,1,0)),P69-$H69),0)))</f>
        <v xml:space="preserve"> </v>
      </c>
      <c r="Z69" s="406" t="str">
        <f t="shared" si="194"/>
        <v xml:space="preserve"> </v>
      </c>
      <c r="AA69" s="254" t="str">
        <f>IF($A69="N/A"," ",IF(VLOOKUP(MONTH(A69),ManualTable,2)=1,(IF(0&lt;&gt;R69,IF(Pricetype=1,(_xll.xSPRDOPT(I69,$E69,$CI69,0,($CD69+IF(Smile=TRUE,VLOOKUP(MAX(-5,$H69-I69),Volsmile,2),0)),$CG69,$CH69,($A69-DateToday)+15,1,1))*(8*$HD69),8*$HD69),0)),0))</f>
        <v xml:space="preserve"> </v>
      </c>
      <c r="AB69" s="254" t="str">
        <f>IF($A69="N/A"," ",IF(VLOOKUP(MONTH(A69),ManualTable,3)=1,(IF(S69&lt;&gt;0,IF(Pricetype=1,(_xll.xSPRDOPT(J69,$E69,$CI69,0,($CD69+IF(Smile=TRUE,VLOOKUP(MAX(-5,$H69-J69),Volsmile,2),0)),$CG69,$CH69,($A69-DateToday)+15,1,1))*(8*$HD69),8*$HD69),0)),0))</f>
        <v xml:space="preserve"> </v>
      </c>
      <c r="AC69" s="254" t="str">
        <f t="shared" ref="AC69:AC132" si="235">IF($A69="N/A"," ",IF(VLOOKUP(MONTH(A69),ManualTable,4)=1,(IF(T69&lt;&gt;0,(8*$HD69),0)),0))</f>
        <v xml:space="preserve"> </v>
      </c>
      <c r="AD69" s="254" t="str">
        <f>IF($A69="N/A"," ",IF(VLOOKUP(MONTH(A69),ManualTable,5)=1,(IF(U69&lt;&gt;0,IF(Pricetype=1,(_xll.xSPRDOPT(L69,$E69,$CI69,0,($CD69+IF(Smile=TRUE,VLOOKUP(MAX(-5,$H69-L69),Volsmile,2),0)),$CG69,$CH69,($A69-DateToday)+15,1,1))*(8*$HE69),8*$HE69),0)),0))</f>
        <v xml:space="preserve"> </v>
      </c>
      <c r="AE69" s="254" t="str">
        <f>IF($A69="N/A"," ",IF(VLOOKUP(MONTH(A69),ManualTable,6)=1,(IF(V69&lt;&gt;0,IF(Pricetype=1,(_xll.xSPRDOPT(M69,$E69,$CI69,0,($CD69+IF(Smile=TRUE,VLOOKUP(MAX(-5,$H69-M69),Volsmile,2),0)),$CG69,$CH69,($A69-DateToday)+15,1,1))*(8*$HE69),8*$HE69),0)),0))</f>
        <v xml:space="preserve"> </v>
      </c>
      <c r="AF69" s="254" t="str">
        <f t="shared" ref="AF69:AF132" si="236">IF($A69="N/A"," ",IF(VLOOKUP(MONTH(A69),ManualTable,7)=1,(IF(W69&lt;&gt;0,(8*$HE69),0)),0))</f>
        <v xml:space="preserve"> </v>
      </c>
      <c r="AG69" s="254" t="str">
        <f>IF($A69="N/A"," ",IF(VLOOKUP(MONTH(A69),ManualTable,8)=1,(IF(X69&lt;&gt;0,IF(Pricetype=1,(_xll.xSPRDOPT(O69,$E69,$CI69,0,($CD69+IF(Smile=TRUE,VLOOKUP(MAX(-5,$H69-O69),Volsmile,2),0)),$CG69,$CH69,($A69-DateToday)+15,1,1))*(8*$HF69),8*$HF69),0)),0))</f>
        <v xml:space="preserve"> </v>
      </c>
      <c r="AH69" s="254" t="str">
        <f>IF($A69="N/A"," ",IF(VLOOKUP(MONTH(A69),ManualTable,9)=1,(IF(Y69&lt;&gt;0,IF(Pricetype=1,(_xll.xSPRDOPT(P69,$E69,$CI69,0,($CD69+IF(Smile=TRUE,VLOOKUP(MAX(-5,$H69-P69),Volsmile,2),0)),$CG69,$CH69,($A69-DateToday)+15,1,1))*(8*$HF69),8*$HF69),0)),0))</f>
        <v xml:space="preserve"> </v>
      </c>
      <c r="AI69" s="254" t="str">
        <f t="shared" ref="AI69:AI132" si="237">IF($A69="N/A"," ",IF(VLOOKUP(MONTH(A69),ManualTable,10)=1,(IF(Z69&lt;&gt;0,(8*($HF69)),0)),0))</f>
        <v xml:space="preserve"> </v>
      </c>
      <c r="AJ69" s="227" t="str">
        <f t="shared" si="176"/>
        <v xml:space="preserve"> </v>
      </c>
      <c r="AK69" s="228" t="str">
        <f t="shared" si="177"/>
        <v xml:space="preserve"> </v>
      </c>
      <c r="AL69" s="228" t="str">
        <f t="shared" si="177"/>
        <v xml:space="preserve"> </v>
      </c>
      <c r="AM69" s="228" t="str">
        <f t="shared" si="178"/>
        <v xml:space="preserve"> </v>
      </c>
      <c r="AN69" s="228" t="str">
        <f t="shared" si="179"/>
        <v xml:space="preserve"> </v>
      </c>
      <c r="AO69" s="228" t="str">
        <f t="shared" si="179"/>
        <v xml:space="preserve"> </v>
      </c>
      <c r="AP69" s="228" t="str">
        <f t="shared" si="180"/>
        <v xml:space="preserve"> </v>
      </c>
      <c r="AQ69" s="228" t="str">
        <f t="shared" si="181"/>
        <v xml:space="preserve"> </v>
      </c>
      <c r="AR69" s="229" t="str">
        <f t="shared" si="182"/>
        <v xml:space="preserve"> </v>
      </c>
      <c r="AS69" s="262" t="str">
        <f t="shared" si="102"/>
        <v xml:space="preserve"> </v>
      </c>
      <c r="AT69" s="263" t="str">
        <f t="shared" si="103"/>
        <v xml:space="preserve"> </v>
      </c>
      <c r="AU69" s="263" t="str">
        <f t="shared" si="103"/>
        <v xml:space="preserve"> </v>
      </c>
      <c r="AV69" s="263" t="str">
        <f t="shared" si="104"/>
        <v xml:space="preserve"> </v>
      </c>
      <c r="AW69" s="263" t="str">
        <f t="shared" si="105"/>
        <v xml:space="preserve"> </v>
      </c>
      <c r="AX69" s="263" t="str">
        <f t="shared" si="105"/>
        <v xml:space="preserve"> </v>
      </c>
      <c r="AY69" s="263" t="str">
        <f t="shared" si="106"/>
        <v xml:space="preserve"> </v>
      </c>
      <c r="AZ69" s="263" t="str">
        <f t="shared" si="107"/>
        <v xml:space="preserve"> </v>
      </c>
      <c r="BA69" s="263" t="str">
        <f t="shared" si="108"/>
        <v xml:space="preserve"> </v>
      </c>
      <c r="BB69" s="229"/>
      <c r="BC69" s="266" t="str">
        <f t="shared" si="169"/>
        <v xml:space="preserve"> </v>
      </c>
      <c r="BD69" s="269" t="str">
        <f t="shared" si="170"/>
        <v xml:space="preserve"> </v>
      </c>
      <c r="BE69" s="269" t="str">
        <f t="shared" si="170"/>
        <v xml:space="preserve"> </v>
      </c>
      <c r="BF69" s="269" t="str">
        <f t="shared" si="171"/>
        <v xml:space="preserve"> </v>
      </c>
      <c r="BG69" s="269" t="str">
        <f t="shared" si="172"/>
        <v xml:space="preserve"> </v>
      </c>
      <c r="BH69" s="269" t="str">
        <f t="shared" si="172"/>
        <v xml:space="preserve"> </v>
      </c>
      <c r="BI69" s="269" t="str">
        <f t="shared" si="173"/>
        <v xml:space="preserve"> </v>
      </c>
      <c r="BJ69" s="269" t="str">
        <f t="shared" si="174"/>
        <v xml:space="preserve"> </v>
      </c>
      <c r="BK69" s="269" t="str">
        <f t="shared" si="175"/>
        <v xml:space="preserve"> </v>
      </c>
      <c r="BL69" s="229"/>
      <c r="BM69" s="220" t="str">
        <f>IF($A69="N/A"," ",(IF(MONTH(A69)&gt;=4,IF(MONTH(A69)&lt;=10,Inputs!$F$13-Inputs!$G$13,Inputs!$F$14-Inputs!$G$14),Inputs!$F$14-Inputs!$G$14))*$CK69*Availability)</f>
        <v xml:space="preserve"> </v>
      </c>
      <c r="BN69" s="221" t="str">
        <f t="shared" ref="BN69:BN132" si="238">IF($A69="N/A"," ",(IF(AS69&gt;0,($BM69*(8*($HD69))*R69),0)+IF(BC69&gt;0,($BM69*((BC69/AA69)*8*$HD69)*R69),0)))</f>
        <v xml:space="preserve"> </v>
      </c>
      <c r="BO69" s="221" t="str">
        <f t="shared" ref="BO69:BO132" si="239">IF($A69="N/A"," ",(IF(AT69&gt;0,($BM69*(8*($HD69))*S69),0)+IF(BD69&gt;0,($BM69*((BD69/AB69)*8*$HD69)*S69),0)))</f>
        <v xml:space="preserve"> </v>
      </c>
      <c r="BP69" s="221" t="str">
        <f t="shared" ref="BP69:BP132" si="240">IF($A69="N/A"," ",(IF(AU69&gt;0,($BM69*(8*($HD69))*T69),0)+IF(BE69&gt;0,($BM69*((BE69))*T69),0)))</f>
        <v xml:space="preserve"> </v>
      </c>
      <c r="BQ69" s="221" t="str">
        <f t="shared" ref="BQ69:BQ132" si="241">IF($A69="N/A"," ",(IF(AV69&gt;0,($BM69*(8*($HE69))*U69),0)+IF(BF69&gt;0,($BM69*((BF69/AD69)*8*$HE69)*U69),0)))</f>
        <v xml:space="preserve"> </v>
      </c>
      <c r="BR69" s="221" t="str">
        <f t="shared" ref="BR69:BR132" si="242">IF($A69="N/A"," ",(IF(AW69&gt;0,($BM69*(8*($HE69))*V69),0)+IF(BG69&gt;0,($BM69*((BG69/AE69)*8*$HE69)*V69),0)))</f>
        <v xml:space="preserve"> </v>
      </c>
      <c r="BS69" s="221" t="str">
        <f t="shared" ref="BS69:BS132" si="243">IF($A69="N/A"," ",(IF(AX69&gt;0,($BM69*(8*($HE69))*W69),0)+IF(BH69&gt;0,($BM69*((BH69))*W69),0)))</f>
        <v xml:space="preserve"> </v>
      </c>
      <c r="BT69" s="221" t="str">
        <f t="shared" ref="BT69:BT132" si="244">IF($A69="N/A"," ",(IF(AY69&gt;0,($BM69*(8*($HF69))*X69),0)+IF(BI69&gt;0,($BM69*((BI69/AG69)*8*$HF69)*X69),0)))</f>
        <v xml:space="preserve"> </v>
      </c>
      <c r="BU69" s="221" t="str">
        <f t="shared" ref="BU69:BU132" si="245">IF($A69="N/A"," ",(IF(AZ69&gt;0,($BM69*(8*($HF69))*Y69),0)+IF(BJ69&gt;0,($BM69*((BJ69/AH69)*8*$HF69)*Y69),0)))</f>
        <v xml:space="preserve"> </v>
      </c>
      <c r="BV69" s="221" t="str">
        <f t="shared" ref="BV69:BV132" si="246">IF($A69="N/A"," ",(IF(BA69&gt;0,($BM69*(8*($HF69))*Z69),0)+IF(BK69&gt;0,($BM69*((BK69))*Z69),0)))</f>
        <v xml:space="preserve"> </v>
      </c>
      <c r="BW69" s="221" t="str">
        <f t="shared" ref="BW69:BW132" si="247">IF($A69="N/A"," ",SUM(BN69:BV69))</f>
        <v xml:space="preserve"> </v>
      </c>
      <c r="BX69" s="421" t="str">
        <f t="shared" ref="BX69:BX132" si="248">IF($A69="N/A"," ",(H69*(SUM(AS69:BA69)+SUM(BC69:BK69))*BM69))</f>
        <v xml:space="preserve"> </v>
      </c>
      <c r="BY69" s="417" t="str">
        <f t="shared" ref="BY69:BY132" si="249">IF($A69="N/A"," ",((C69*D69)*(SUM($AS69:$BA69)+SUM($BC69:$BK69))*$BM69))</f>
        <v xml:space="preserve"> </v>
      </c>
      <c r="BZ69" s="417" t="str">
        <f t="shared" ref="BZ69:BZ132" si="250">IF($A69="N/A"," ",(F69*(SUM($AS69:$BA69)+SUM($BC69:$BK69))*$BM69))</f>
        <v xml:space="preserve"> </v>
      </c>
      <c r="CA69" s="422" t="str">
        <f t="shared" ref="CA69:CA132" si="251">IF($A69="N/A"," ",(G69*(SUM($AS69:$BA69)+SUM($BC69:$BK69))*$BM69))</f>
        <v xml:space="preserve"> </v>
      </c>
      <c r="CB69" s="347" t="str">
        <f t="shared" si="195"/>
        <v xml:space="preserve"> </v>
      </c>
      <c r="CC69" s="347" t="str">
        <f t="shared" ref="CC69:CC132" si="252">IF(A69="N/A"," ",(VLOOKUP(A69,IntraPowerVol,(IF(BMO=2,3,IF(BMO=1,2,4))),FALSE)*VLOOKUP(MONTH($A69),Volscale,2)))</f>
        <v xml:space="preserve"> </v>
      </c>
      <c r="CD69" s="348" t="str">
        <f t="shared" si="196"/>
        <v xml:space="preserve"> </v>
      </c>
      <c r="CE69" s="347" t="str">
        <f t="shared" si="197"/>
        <v xml:space="preserve"> </v>
      </c>
      <c r="CF69" s="347" t="str">
        <f t="shared" si="198"/>
        <v xml:space="preserve"> </v>
      </c>
      <c r="CG69" s="348" t="str">
        <f t="shared" si="199"/>
        <v xml:space="preserve"> </v>
      </c>
      <c r="CH69" s="347" t="str">
        <f t="shared" ref="CH69:CH132" si="253">IF($A69="N/A"," ",VLOOKUP($A69,CorrelationTable,2,FALSE))</f>
        <v xml:space="preserve"> </v>
      </c>
      <c r="CI69" s="349" t="str">
        <f>IF($A69="N/A"," ",F69+G69+(D69*('Pricing Inputs'!T102)))</f>
        <v xml:space="preserve"> </v>
      </c>
      <c r="CJ69" s="347" t="str">
        <f>IF($A69="N/A"," ",IF(PV=1,0,'Pricing Inputs'!U102))</f>
        <v xml:space="preserve"> </v>
      </c>
      <c r="CK69" s="350" t="str">
        <f t="shared" si="200"/>
        <v xml:space="preserve"> </v>
      </c>
      <c r="CL69" s="365" t="str">
        <f t="shared" si="201"/>
        <v xml:space="preserve"> </v>
      </c>
      <c r="CM69" s="380" t="str">
        <f t="shared" ref="CM69:CM132" si="254">IF(A69="N/A"," ",IF(CC=2,(CL69*C69)+F69,0))</f>
        <v xml:space="preserve"> </v>
      </c>
      <c r="CN69" s="378" t="str">
        <f t="shared" si="202"/>
        <v xml:space="preserve"> </v>
      </c>
      <c r="CO69" s="378" t="str">
        <f t="shared" si="203"/>
        <v xml:space="preserve"> </v>
      </c>
      <c r="CP69" s="378" t="str">
        <f t="shared" si="204"/>
        <v xml:space="preserve"> </v>
      </c>
      <c r="CQ69" s="378" t="str">
        <f t="shared" si="205"/>
        <v xml:space="preserve"> </v>
      </c>
      <c r="CR69" s="378" t="str">
        <f t="shared" si="206"/>
        <v xml:space="preserve"> </v>
      </c>
      <c r="CS69" s="378" t="str">
        <f t="shared" si="207"/>
        <v xml:space="preserve"> </v>
      </c>
      <c r="CT69" s="378" t="str">
        <f t="shared" si="208"/>
        <v xml:space="preserve"> </v>
      </c>
      <c r="CU69" s="378" t="str">
        <f t="shared" si="209"/>
        <v xml:space="preserve"> </v>
      </c>
      <c r="CV69" s="378" t="str">
        <f t="shared" si="210"/>
        <v xml:space="preserve"> </v>
      </c>
      <c r="CW69" s="254" t="str">
        <f t="shared" si="211"/>
        <v xml:space="preserve"> </v>
      </c>
      <c r="CX69" s="254" t="str">
        <f t="shared" si="212"/>
        <v xml:space="preserve"> </v>
      </c>
      <c r="CY69" s="254" t="str">
        <f t="shared" si="213"/>
        <v xml:space="preserve"> </v>
      </c>
      <c r="CZ69" s="254" t="str">
        <f t="shared" si="214"/>
        <v xml:space="preserve"> </v>
      </c>
      <c r="DA69" s="254" t="str">
        <f t="shared" si="215"/>
        <v xml:space="preserve"> </v>
      </c>
      <c r="DB69" s="254" t="str">
        <f t="shared" si="216"/>
        <v xml:space="preserve"> </v>
      </c>
      <c r="DC69" s="254" t="str">
        <f t="shared" si="217"/>
        <v xml:space="preserve"> </v>
      </c>
      <c r="DD69" s="254" t="str">
        <f t="shared" si="218"/>
        <v xml:space="preserve"> </v>
      </c>
      <c r="DE69" s="254" t="str">
        <f t="shared" si="219"/>
        <v xml:space="preserve"> </v>
      </c>
      <c r="DF69" s="374" t="str">
        <f>IF($A69="N/A"," ",IF(CC=2,(IF(MONTH(A69)&gt;=4,IF(MONTH(A69)&lt;=10,Inputs!$G$13,Inputs!$G$14),Inputs!$G$14))*$CK69,0))</f>
        <v xml:space="preserve"> </v>
      </c>
      <c r="DG69" s="373" t="str">
        <f t="shared" si="220"/>
        <v xml:space="preserve"> </v>
      </c>
      <c r="DH69" s="373" t="str">
        <f t="shared" si="221"/>
        <v xml:space="preserve"> </v>
      </c>
      <c r="DI69" s="373" t="str">
        <f t="shared" si="222"/>
        <v xml:space="preserve"> </v>
      </c>
      <c r="DJ69" s="373" t="str">
        <f t="shared" si="223"/>
        <v xml:space="preserve"> </v>
      </c>
      <c r="DK69" s="373" t="str">
        <f t="shared" si="224"/>
        <v xml:space="preserve"> </v>
      </c>
      <c r="DL69" s="373" t="str">
        <f t="shared" si="225"/>
        <v xml:space="preserve"> </v>
      </c>
      <c r="DM69" s="373" t="str">
        <f t="shared" si="226"/>
        <v xml:space="preserve"> </v>
      </c>
      <c r="DN69" s="373" t="str">
        <f t="shared" si="227"/>
        <v xml:space="preserve"> </v>
      </c>
      <c r="DO69" s="373" t="str">
        <f t="shared" si="228"/>
        <v xml:space="preserve"> </v>
      </c>
      <c r="DP69" s="375" t="str">
        <f t="shared" si="229"/>
        <v xml:space="preserve"> </v>
      </c>
      <c r="DQ69" t="str">
        <f t="shared" ref="DQ69:DQ132" si="255">IF(A69="N/A"," ",Perstart)</f>
        <v xml:space="preserve"> </v>
      </c>
      <c r="HD69" t="str">
        <f t="shared" si="97"/>
        <v xml:space="preserve"> </v>
      </c>
      <c r="HE69" t="str">
        <f t="shared" si="98"/>
        <v xml:space="preserve"> </v>
      </c>
      <c r="HF69" t="str">
        <f t="shared" si="99"/>
        <v xml:space="preserve"> </v>
      </c>
    </row>
    <row r="70" spans="1:214">
      <c r="A70" s="415" t="str">
        <f>IF(A69="N/A","N/A",IF(EDATE(A69,1)&gt;Inputs!$K$3,"N/A",EDATE(A69,1)))</f>
        <v>N/A</v>
      </c>
      <c r="B70" s="410" t="str">
        <f t="shared" si="230"/>
        <v xml:space="preserve"> </v>
      </c>
      <c r="C70" s="411" t="str">
        <f t="shared" si="231"/>
        <v xml:space="preserve"> </v>
      </c>
      <c r="D70" s="412" t="str">
        <f t="shared" si="232"/>
        <v xml:space="preserve"> </v>
      </c>
      <c r="E70" s="413" t="str">
        <f>IF($A70="N/A"," ",(C70-'Pricing Inputs'!T103)*D70)</f>
        <v xml:space="preserve"> </v>
      </c>
      <c r="F70" s="414" t="str">
        <f t="shared" si="116"/>
        <v xml:space="preserve"> </v>
      </c>
      <c r="G70" s="414" t="str">
        <f t="shared" si="233"/>
        <v xml:space="preserve"> </v>
      </c>
      <c r="H70" s="416" t="str">
        <f t="shared" si="234"/>
        <v xml:space="preserve"> </v>
      </c>
      <c r="I70" s="213" t="str">
        <f t="shared" si="183"/>
        <v xml:space="preserve"> </v>
      </c>
      <c r="J70" s="213" t="str">
        <f t="shared" si="184"/>
        <v xml:space="preserve"> </v>
      </c>
      <c r="K70" s="213" t="str">
        <f t="shared" si="185"/>
        <v xml:space="preserve"> </v>
      </c>
      <c r="L70" s="213" t="str">
        <f t="shared" si="186"/>
        <v xml:space="preserve"> </v>
      </c>
      <c r="M70" s="213" t="str">
        <f t="shared" si="187"/>
        <v xml:space="preserve"> </v>
      </c>
      <c r="N70" s="213" t="str">
        <f t="shared" si="188"/>
        <v xml:space="preserve"> </v>
      </c>
      <c r="O70" s="213" t="str">
        <f t="shared" si="189"/>
        <v xml:space="preserve"> </v>
      </c>
      <c r="P70" s="213" t="str">
        <f t="shared" si="190"/>
        <v xml:space="preserve"> </v>
      </c>
      <c r="Q70" s="213" t="str">
        <f t="shared" si="191"/>
        <v xml:space="preserve"> </v>
      </c>
      <c r="R70" s="405" t="str">
        <f>IF($A70="N/A"," ",IF(Pricetype=2,MAX(I70-$H70,0),IF(Pricetype=1,(_xll.xSPRDOPT(I70,$E70,$CI70,0,($CD70+IF(Smile=TRUE,VLOOKUP(MAX(-5,$H70-I70),Volsmile,2),0)),$CG70,$CH70,($A70-DateToday)+15,1,0)),I70-$H70)))</f>
        <v xml:space="preserve"> </v>
      </c>
      <c r="S70" s="405" t="str">
        <f>IF($A70="N/A"," ",IF(Pricetype=2,MAX(J70-$H70,0),IF(Pricetype=1,(_xll.xSPRDOPT(J70,$E70,$CI70,0,($CD70+IF(Smile=TRUE,VLOOKUP(MAX(-5,$H70-J70),Volsmile,2),0)),$CG70,$CH70,($A70-DateToday)+15,1,0)),J70-$H70)))</f>
        <v xml:space="preserve"> </v>
      </c>
      <c r="T70" s="406" t="str">
        <f t="shared" si="192"/>
        <v xml:space="preserve"> </v>
      </c>
      <c r="U70" s="405" t="str">
        <f>IF($A70="N/A"," ",IF(Pricetype=2,MAX(L70-$H70,0),IF(L70&lt;&gt;0,IF(Pricetype=1,(_xll.xSPRDOPT(L70,$E70,$CI70,0,($CD70+IF(Smile=TRUE,VLOOKUP(MAX(-5,$H70-L70),Volsmile,2),0)),$CG70,$CH70,($A70-DateToday)+15,1,0)),L70-$H70),0)))</f>
        <v xml:space="preserve"> </v>
      </c>
      <c r="V70" s="405" t="str">
        <f>IF($A70="N/A"," ",IF(Pricetype=2,MAX(M70-$H70,0),IF(M70&lt;&gt;0,IF(Pricetype=1,(_xll.xSPRDOPT(M70,$E70,$CI70,0,($CD70+IF(Smile=TRUE,VLOOKUP(MAX(-5,$H70-M70),Volsmile,2),0)),$CG70,$CH70,($A70-DateToday)+15,1,0)),M70-$H70),0)))</f>
        <v xml:space="preserve"> </v>
      </c>
      <c r="W70" s="406" t="str">
        <f t="shared" si="193"/>
        <v xml:space="preserve"> </v>
      </c>
      <c r="X70" s="405" t="str">
        <f>IF($A70="N/A"," ",IF(Pricetype=2,MAX(O70-$H70,0),IF(O70&lt;&gt;0,IF(Pricetype=1,(_xll.xSPRDOPT(O70,$E70,$CI70,0,($CD70+IF(Smile=TRUE,VLOOKUP(MAX(-5,$H70-O70),Volsmile,2),0)),$CG70,$CH70,($A70-DateToday)+15,1,0)),O70-$H70),0)))</f>
        <v xml:space="preserve"> </v>
      </c>
      <c r="Y70" s="405" t="str">
        <f>IF($A70="N/A"," ",IF(Pricetype=2,MAX(P70-$H70,0),IF(P70&lt;&gt;0,IF(Pricetype=1,(_xll.xSPRDOPT(P70,$E70,$CI70,0,($CD70+IF(Smile=TRUE,VLOOKUP(MAX(-5,$H70-P70),Volsmile,2),0)),$CG70,$CH70,($A70-DateToday)+15,1,0)),P70-$H70),0)))</f>
        <v xml:space="preserve"> </v>
      </c>
      <c r="Z70" s="406" t="str">
        <f t="shared" si="194"/>
        <v xml:space="preserve"> </v>
      </c>
      <c r="AA70" s="254" t="str">
        <f>IF($A70="N/A"," ",IF(VLOOKUP(MONTH(A70),ManualTable,2)=1,(IF(0&lt;&gt;R70,IF(Pricetype=1,(_xll.xSPRDOPT(I70,$E70,$CI70,0,($CD70+IF(Smile=TRUE,VLOOKUP(MAX(-5,$H70-I70),Volsmile,2),0)),$CG70,$CH70,($A70-DateToday)+15,1,1))*(8*$HD70),8*$HD70),0)),0))</f>
        <v xml:space="preserve"> </v>
      </c>
      <c r="AB70" s="254" t="str">
        <f>IF($A70="N/A"," ",IF(VLOOKUP(MONTH(A70),ManualTable,3)=1,(IF(S70&lt;&gt;0,IF(Pricetype=1,(_xll.xSPRDOPT(J70,$E70,$CI70,0,($CD70+IF(Smile=TRUE,VLOOKUP(MAX(-5,$H70-J70),Volsmile,2),0)),$CG70,$CH70,($A70-DateToday)+15,1,1))*(8*$HD70),8*$HD70),0)),0))</f>
        <v xml:space="preserve"> </v>
      </c>
      <c r="AC70" s="254" t="str">
        <f t="shared" si="235"/>
        <v xml:space="preserve"> </v>
      </c>
      <c r="AD70" s="254" t="str">
        <f>IF($A70="N/A"," ",IF(VLOOKUP(MONTH(A70),ManualTable,5)=1,(IF(U70&lt;&gt;0,IF(Pricetype=1,(_xll.xSPRDOPT(L70,$E70,$CI70,0,($CD70+IF(Smile=TRUE,VLOOKUP(MAX(-5,$H70-L70),Volsmile,2),0)),$CG70,$CH70,($A70-DateToday)+15,1,1))*(8*$HE70),8*$HE70),0)),0))</f>
        <v xml:space="preserve"> </v>
      </c>
      <c r="AE70" s="254" t="str">
        <f>IF($A70="N/A"," ",IF(VLOOKUP(MONTH(A70),ManualTable,6)=1,(IF(V70&lt;&gt;0,IF(Pricetype=1,(_xll.xSPRDOPT(M70,$E70,$CI70,0,($CD70+IF(Smile=TRUE,VLOOKUP(MAX(-5,$H70-M70),Volsmile,2),0)),$CG70,$CH70,($A70-DateToday)+15,1,1))*(8*$HE70),8*$HE70),0)),0))</f>
        <v xml:space="preserve"> </v>
      </c>
      <c r="AF70" s="254" t="str">
        <f t="shared" si="236"/>
        <v xml:space="preserve"> </v>
      </c>
      <c r="AG70" s="254" t="str">
        <f>IF($A70="N/A"," ",IF(VLOOKUP(MONTH(A70),ManualTable,8)=1,(IF(X70&lt;&gt;0,IF(Pricetype=1,(_xll.xSPRDOPT(O70,$E70,$CI70,0,($CD70+IF(Smile=TRUE,VLOOKUP(MAX(-5,$H70-O70),Volsmile,2),0)),$CG70,$CH70,($A70-DateToday)+15,1,1))*(8*$HF70),8*$HF70),0)),0))</f>
        <v xml:space="preserve"> </v>
      </c>
      <c r="AH70" s="254" t="str">
        <f>IF($A70="N/A"," ",IF(VLOOKUP(MONTH(A70),ManualTable,9)=1,(IF(Y70&lt;&gt;0,IF(Pricetype=1,(_xll.xSPRDOPT(P70,$E70,$CI70,0,($CD70+IF(Smile=TRUE,VLOOKUP(MAX(-5,$H70-P70),Volsmile,2),0)),$CG70,$CH70,($A70-DateToday)+15,1,1))*(8*$HF70),8*$HF70),0)),0))</f>
        <v xml:space="preserve"> </v>
      </c>
      <c r="AI70" s="254" t="str">
        <f t="shared" si="237"/>
        <v xml:space="preserve"> </v>
      </c>
      <c r="AJ70" s="227" t="str">
        <f t="shared" si="176"/>
        <v xml:space="preserve"> </v>
      </c>
      <c r="AK70" s="228" t="str">
        <f t="shared" si="177"/>
        <v xml:space="preserve"> </v>
      </c>
      <c r="AL70" s="228" t="str">
        <f t="shared" si="177"/>
        <v xml:space="preserve"> </v>
      </c>
      <c r="AM70" s="228" t="str">
        <f t="shared" si="178"/>
        <v xml:space="preserve"> </v>
      </c>
      <c r="AN70" s="228" t="str">
        <f t="shared" si="179"/>
        <v xml:space="preserve"> </v>
      </c>
      <c r="AO70" s="228" t="str">
        <f t="shared" si="179"/>
        <v xml:space="preserve"> </v>
      </c>
      <c r="AP70" s="228" t="str">
        <f t="shared" si="180"/>
        <v xml:space="preserve"> </v>
      </c>
      <c r="AQ70" s="228" t="str">
        <f t="shared" si="181"/>
        <v xml:space="preserve"> </v>
      </c>
      <c r="AR70" s="229" t="str">
        <f t="shared" si="182"/>
        <v xml:space="preserve"> </v>
      </c>
      <c r="AS70" s="262" t="str">
        <f t="shared" si="102"/>
        <v xml:space="preserve"> </v>
      </c>
      <c r="AT70" s="263" t="str">
        <f t="shared" si="103"/>
        <v xml:space="preserve"> </v>
      </c>
      <c r="AU70" s="263" t="str">
        <f t="shared" si="103"/>
        <v xml:space="preserve"> </v>
      </c>
      <c r="AV70" s="263" t="str">
        <f t="shared" si="104"/>
        <v xml:space="preserve"> </v>
      </c>
      <c r="AW70" s="263" t="str">
        <f t="shared" si="105"/>
        <v xml:space="preserve"> </v>
      </c>
      <c r="AX70" s="263" t="str">
        <f t="shared" si="105"/>
        <v xml:space="preserve"> </v>
      </c>
      <c r="AY70" s="263" t="str">
        <f t="shared" si="106"/>
        <v xml:space="preserve"> </v>
      </c>
      <c r="AZ70" s="263" t="str">
        <f t="shared" si="107"/>
        <v xml:space="preserve"> </v>
      </c>
      <c r="BA70" s="263" t="str">
        <f t="shared" si="108"/>
        <v xml:space="preserve"> </v>
      </c>
      <c r="BB70" s="229"/>
      <c r="BC70" s="266" t="str">
        <f t="shared" si="169"/>
        <v xml:space="preserve"> </v>
      </c>
      <c r="BD70" s="269" t="str">
        <f t="shared" si="170"/>
        <v xml:space="preserve"> </v>
      </c>
      <c r="BE70" s="269" t="str">
        <f t="shared" si="170"/>
        <v xml:space="preserve"> </v>
      </c>
      <c r="BF70" s="269" t="str">
        <f t="shared" si="171"/>
        <v xml:space="preserve"> </v>
      </c>
      <c r="BG70" s="269" t="str">
        <f t="shared" si="172"/>
        <v xml:space="preserve"> </v>
      </c>
      <c r="BH70" s="269" t="str">
        <f t="shared" si="172"/>
        <v xml:space="preserve"> </v>
      </c>
      <c r="BI70" s="269" t="str">
        <f t="shared" si="173"/>
        <v xml:space="preserve"> </v>
      </c>
      <c r="BJ70" s="269" t="str">
        <f t="shared" si="174"/>
        <v xml:space="preserve"> </v>
      </c>
      <c r="BK70" s="269" t="str">
        <f t="shared" si="175"/>
        <v xml:space="preserve"> </v>
      </c>
      <c r="BL70" s="229"/>
      <c r="BM70" s="220" t="str">
        <f>IF($A70="N/A"," ",(IF(MONTH(A70)&gt;=4,IF(MONTH(A70)&lt;=10,Inputs!$F$13-Inputs!$G$13,Inputs!$F$14-Inputs!$G$14),Inputs!$F$14-Inputs!$G$14))*$CK70*Availability)</f>
        <v xml:space="preserve"> </v>
      </c>
      <c r="BN70" s="221" t="str">
        <f t="shared" si="238"/>
        <v xml:space="preserve"> </v>
      </c>
      <c r="BO70" s="221" t="str">
        <f t="shared" si="239"/>
        <v xml:space="preserve"> </v>
      </c>
      <c r="BP70" s="221" t="str">
        <f t="shared" si="240"/>
        <v xml:space="preserve"> </v>
      </c>
      <c r="BQ70" s="221" t="str">
        <f t="shared" si="241"/>
        <v xml:space="preserve"> </v>
      </c>
      <c r="BR70" s="221" t="str">
        <f t="shared" si="242"/>
        <v xml:space="preserve"> </v>
      </c>
      <c r="BS70" s="221" t="str">
        <f t="shared" si="243"/>
        <v xml:space="preserve"> </v>
      </c>
      <c r="BT70" s="221" t="str">
        <f t="shared" si="244"/>
        <v xml:space="preserve"> </v>
      </c>
      <c r="BU70" s="221" t="str">
        <f t="shared" si="245"/>
        <v xml:space="preserve"> </v>
      </c>
      <c r="BV70" s="221" t="str">
        <f t="shared" si="246"/>
        <v xml:space="preserve"> </v>
      </c>
      <c r="BW70" s="221" t="str">
        <f t="shared" si="247"/>
        <v xml:space="preserve"> </v>
      </c>
      <c r="BX70" s="421" t="str">
        <f t="shared" si="248"/>
        <v xml:space="preserve"> </v>
      </c>
      <c r="BY70" s="417" t="str">
        <f t="shared" si="249"/>
        <v xml:space="preserve"> </v>
      </c>
      <c r="BZ70" s="417" t="str">
        <f t="shared" si="250"/>
        <v xml:space="preserve"> </v>
      </c>
      <c r="CA70" s="422" t="str">
        <f t="shared" si="251"/>
        <v xml:space="preserve"> </v>
      </c>
      <c r="CB70" s="347" t="str">
        <f t="shared" si="195"/>
        <v xml:space="preserve"> </v>
      </c>
      <c r="CC70" s="347" t="str">
        <f t="shared" si="252"/>
        <v xml:space="preserve"> </v>
      </c>
      <c r="CD70" s="348" t="str">
        <f t="shared" si="196"/>
        <v xml:space="preserve"> </v>
      </c>
      <c r="CE70" s="347" t="str">
        <f t="shared" si="197"/>
        <v xml:space="preserve"> </v>
      </c>
      <c r="CF70" s="347" t="str">
        <f t="shared" si="198"/>
        <v xml:space="preserve"> </v>
      </c>
      <c r="CG70" s="348" t="str">
        <f t="shared" si="199"/>
        <v xml:space="preserve"> </v>
      </c>
      <c r="CH70" s="347" t="str">
        <f t="shared" si="253"/>
        <v xml:space="preserve"> </v>
      </c>
      <c r="CI70" s="349" t="str">
        <f>IF($A70="N/A"," ",F70+G70+(D70*('Pricing Inputs'!T103)))</f>
        <v xml:space="preserve"> </v>
      </c>
      <c r="CJ70" s="347" t="str">
        <f>IF($A70="N/A"," ",IF(PV=1,0,'Pricing Inputs'!U103))</f>
        <v xml:space="preserve"> </v>
      </c>
      <c r="CK70" s="350" t="str">
        <f t="shared" si="200"/>
        <v xml:space="preserve"> </v>
      </c>
      <c r="CL70" s="365" t="str">
        <f t="shared" si="201"/>
        <v xml:space="preserve"> </v>
      </c>
      <c r="CM70" s="380" t="str">
        <f t="shared" si="254"/>
        <v xml:space="preserve"> </v>
      </c>
      <c r="CN70" s="378" t="str">
        <f t="shared" si="202"/>
        <v xml:space="preserve"> </v>
      </c>
      <c r="CO70" s="378" t="str">
        <f t="shared" si="203"/>
        <v xml:space="preserve"> </v>
      </c>
      <c r="CP70" s="378" t="str">
        <f t="shared" si="204"/>
        <v xml:space="preserve"> </v>
      </c>
      <c r="CQ70" s="378" t="str">
        <f t="shared" si="205"/>
        <v xml:space="preserve"> </v>
      </c>
      <c r="CR70" s="378" t="str">
        <f t="shared" si="206"/>
        <v xml:space="preserve"> </v>
      </c>
      <c r="CS70" s="378" t="str">
        <f t="shared" si="207"/>
        <v xml:space="preserve"> </v>
      </c>
      <c r="CT70" s="378" t="str">
        <f t="shared" si="208"/>
        <v xml:space="preserve"> </v>
      </c>
      <c r="CU70" s="378" t="str">
        <f t="shared" si="209"/>
        <v xml:space="preserve"> </v>
      </c>
      <c r="CV70" s="378" t="str">
        <f t="shared" si="210"/>
        <v xml:space="preserve"> </v>
      </c>
      <c r="CW70" s="254" t="str">
        <f t="shared" si="211"/>
        <v xml:space="preserve"> </v>
      </c>
      <c r="CX70" s="254" t="str">
        <f t="shared" si="212"/>
        <v xml:space="preserve"> </v>
      </c>
      <c r="CY70" s="254" t="str">
        <f t="shared" si="213"/>
        <v xml:space="preserve"> </v>
      </c>
      <c r="CZ70" s="254" t="str">
        <f t="shared" si="214"/>
        <v xml:space="preserve"> </v>
      </c>
      <c r="DA70" s="254" t="str">
        <f t="shared" si="215"/>
        <v xml:space="preserve"> </v>
      </c>
      <c r="DB70" s="254" t="str">
        <f t="shared" si="216"/>
        <v xml:space="preserve"> </v>
      </c>
      <c r="DC70" s="254" t="str">
        <f t="shared" si="217"/>
        <v xml:space="preserve"> </v>
      </c>
      <c r="DD70" s="254" t="str">
        <f t="shared" si="218"/>
        <v xml:space="preserve"> </v>
      </c>
      <c r="DE70" s="254" t="str">
        <f t="shared" si="219"/>
        <v xml:space="preserve"> </v>
      </c>
      <c r="DF70" s="374" t="str">
        <f>IF($A70="N/A"," ",IF(CC=2,(IF(MONTH(A70)&gt;=4,IF(MONTH(A70)&lt;=10,Inputs!$G$13,Inputs!$G$14),Inputs!$G$14))*$CK70,0))</f>
        <v xml:space="preserve"> </v>
      </c>
      <c r="DG70" s="373" t="str">
        <f t="shared" si="220"/>
        <v xml:space="preserve"> </v>
      </c>
      <c r="DH70" s="373" t="str">
        <f t="shared" si="221"/>
        <v xml:space="preserve"> </v>
      </c>
      <c r="DI70" s="373" t="str">
        <f t="shared" si="222"/>
        <v xml:space="preserve"> </v>
      </c>
      <c r="DJ70" s="373" t="str">
        <f t="shared" si="223"/>
        <v xml:space="preserve"> </v>
      </c>
      <c r="DK70" s="373" t="str">
        <f t="shared" si="224"/>
        <v xml:space="preserve"> </v>
      </c>
      <c r="DL70" s="373" t="str">
        <f t="shared" si="225"/>
        <v xml:space="preserve"> </v>
      </c>
      <c r="DM70" s="373" t="str">
        <f t="shared" si="226"/>
        <v xml:space="preserve"> </v>
      </c>
      <c r="DN70" s="373" t="str">
        <f t="shared" si="227"/>
        <v xml:space="preserve"> </v>
      </c>
      <c r="DO70" s="373" t="str">
        <f t="shared" si="228"/>
        <v xml:space="preserve"> </v>
      </c>
      <c r="DP70" s="375" t="str">
        <f t="shared" si="229"/>
        <v xml:space="preserve"> </v>
      </c>
      <c r="DQ70" t="str">
        <f t="shared" si="255"/>
        <v xml:space="preserve"> </v>
      </c>
      <c r="HD70" t="str">
        <f t="shared" ref="HD70:HD133" si="256">IF($A70="N/A"," ",VLOOKUP($A70,NumberofDaysTable,2))</f>
        <v xml:space="preserve"> </v>
      </c>
      <c r="HE70" t="str">
        <f t="shared" ref="HE70:HE133" si="257">IF($A70="N/A"," ",VLOOKUP($A70,NumberofDaysTable,3))</f>
        <v xml:space="preserve"> </v>
      </c>
      <c r="HF70" t="str">
        <f t="shared" ref="HF70:HF133" si="258">IF($A70="N/A"," ",VLOOKUP($A70,NumberofDaysTable,4))</f>
        <v xml:space="preserve"> </v>
      </c>
    </row>
    <row r="71" spans="1:214">
      <c r="A71" s="415" t="str">
        <f>IF(A70="N/A","N/A",IF(EDATE(A70,1)&gt;Inputs!$K$3,"N/A",EDATE(A70,1)))</f>
        <v>N/A</v>
      </c>
      <c r="B71" s="410" t="str">
        <f t="shared" si="230"/>
        <v xml:space="preserve"> </v>
      </c>
      <c r="C71" s="411" t="str">
        <f t="shared" si="231"/>
        <v xml:space="preserve"> </v>
      </c>
      <c r="D71" s="412" t="str">
        <f t="shared" si="232"/>
        <v xml:space="preserve"> </v>
      </c>
      <c r="E71" s="413" t="str">
        <f>IF($A71="N/A"," ",(C71-'Pricing Inputs'!T104)*D71)</f>
        <v xml:space="preserve"> </v>
      </c>
      <c r="F71" s="414" t="str">
        <f t="shared" si="116"/>
        <v xml:space="preserve"> </v>
      </c>
      <c r="G71" s="414" t="str">
        <f t="shared" si="233"/>
        <v xml:space="preserve"> </v>
      </c>
      <c r="H71" s="416" t="str">
        <f t="shared" si="234"/>
        <v xml:space="preserve"> </v>
      </c>
      <c r="I71" s="213" t="str">
        <f t="shared" si="183"/>
        <v xml:space="preserve"> </v>
      </c>
      <c r="J71" s="213" t="str">
        <f t="shared" si="184"/>
        <v xml:space="preserve"> </v>
      </c>
      <c r="K71" s="213" t="str">
        <f t="shared" si="185"/>
        <v xml:space="preserve"> </v>
      </c>
      <c r="L71" s="213" t="str">
        <f t="shared" si="186"/>
        <v xml:space="preserve"> </v>
      </c>
      <c r="M71" s="213" t="str">
        <f t="shared" si="187"/>
        <v xml:space="preserve"> </v>
      </c>
      <c r="N71" s="213" t="str">
        <f t="shared" si="188"/>
        <v xml:space="preserve"> </v>
      </c>
      <c r="O71" s="213" t="str">
        <f t="shared" si="189"/>
        <v xml:space="preserve"> </v>
      </c>
      <c r="P71" s="213" t="str">
        <f t="shared" si="190"/>
        <v xml:space="preserve"> </v>
      </c>
      <c r="Q71" s="213" t="str">
        <f t="shared" si="191"/>
        <v xml:space="preserve"> </v>
      </c>
      <c r="R71" s="405" t="str">
        <f>IF($A71="N/A"," ",IF(Pricetype=2,MAX(I71-$H71,0),IF(Pricetype=1,(_xll.xSPRDOPT(I71,$E71,$CI71,0,($CD71+IF(Smile=TRUE,VLOOKUP(MAX(-5,$H71-I71),Volsmile,2),0)),$CG71,$CH71,($A71-DateToday)+15,1,0)),I71-$H71)))</f>
        <v xml:space="preserve"> </v>
      </c>
      <c r="S71" s="405" t="str">
        <f>IF($A71="N/A"," ",IF(Pricetype=2,MAX(J71-$H71,0),IF(Pricetype=1,(_xll.xSPRDOPT(J71,$E71,$CI71,0,($CD71+IF(Smile=TRUE,VLOOKUP(MAX(-5,$H71-J71),Volsmile,2),0)),$CG71,$CH71,($A71-DateToday)+15,1,0)),J71-$H71)))</f>
        <v xml:space="preserve"> </v>
      </c>
      <c r="T71" s="406" t="str">
        <f t="shared" si="192"/>
        <v xml:space="preserve"> </v>
      </c>
      <c r="U71" s="405" t="str">
        <f>IF($A71="N/A"," ",IF(Pricetype=2,MAX(L71-$H71,0),IF(L71&lt;&gt;0,IF(Pricetype=1,(_xll.xSPRDOPT(L71,$E71,$CI71,0,($CD71+IF(Smile=TRUE,VLOOKUP(MAX(-5,$H71-L71),Volsmile,2),0)),$CG71,$CH71,($A71-DateToday)+15,1,0)),L71-$H71),0)))</f>
        <v xml:space="preserve"> </v>
      </c>
      <c r="V71" s="405" t="str">
        <f>IF($A71="N/A"," ",IF(Pricetype=2,MAX(M71-$H71,0),IF(M71&lt;&gt;0,IF(Pricetype=1,(_xll.xSPRDOPT(M71,$E71,$CI71,0,($CD71+IF(Smile=TRUE,VLOOKUP(MAX(-5,$H71-M71),Volsmile,2),0)),$CG71,$CH71,($A71-DateToday)+15,1,0)),M71-$H71),0)))</f>
        <v xml:space="preserve"> </v>
      </c>
      <c r="W71" s="406" t="str">
        <f t="shared" si="193"/>
        <v xml:space="preserve"> </v>
      </c>
      <c r="X71" s="405" t="str">
        <f>IF($A71="N/A"," ",IF(Pricetype=2,MAX(O71-$H71,0),IF(O71&lt;&gt;0,IF(Pricetype=1,(_xll.xSPRDOPT(O71,$E71,$CI71,0,($CD71+IF(Smile=TRUE,VLOOKUP(MAX(-5,$H71-O71),Volsmile,2),0)),$CG71,$CH71,($A71-DateToday)+15,1,0)),O71-$H71),0)))</f>
        <v xml:space="preserve"> </v>
      </c>
      <c r="Y71" s="405" t="str">
        <f>IF($A71="N/A"," ",IF(Pricetype=2,MAX(P71-$H71,0),IF(P71&lt;&gt;0,IF(Pricetype=1,(_xll.xSPRDOPT(P71,$E71,$CI71,0,($CD71+IF(Smile=TRUE,VLOOKUP(MAX(-5,$H71-P71),Volsmile,2),0)),$CG71,$CH71,($A71-DateToday)+15,1,0)),P71-$H71),0)))</f>
        <v xml:space="preserve"> </v>
      </c>
      <c r="Z71" s="406" t="str">
        <f t="shared" si="194"/>
        <v xml:space="preserve"> </v>
      </c>
      <c r="AA71" s="254" t="str">
        <f>IF($A71="N/A"," ",IF(VLOOKUP(MONTH(A71),ManualTable,2)=1,(IF(0&lt;&gt;R71,IF(Pricetype=1,(_xll.xSPRDOPT(I71,$E71,$CI71,0,($CD71+IF(Smile=TRUE,VLOOKUP(MAX(-5,$H71-I71),Volsmile,2),0)),$CG71,$CH71,($A71-DateToday)+15,1,1))*(8*$HD71),8*$HD71),0)),0))</f>
        <v xml:space="preserve"> </v>
      </c>
      <c r="AB71" s="254" t="str">
        <f>IF($A71="N/A"," ",IF(VLOOKUP(MONTH(A71),ManualTable,3)=1,(IF(S71&lt;&gt;0,IF(Pricetype=1,(_xll.xSPRDOPT(J71,$E71,$CI71,0,($CD71+IF(Smile=TRUE,VLOOKUP(MAX(-5,$H71-J71),Volsmile,2),0)),$CG71,$CH71,($A71-DateToday)+15,1,1))*(8*$HD71),8*$HD71),0)),0))</f>
        <v xml:space="preserve"> </v>
      </c>
      <c r="AC71" s="254" t="str">
        <f t="shared" si="235"/>
        <v xml:space="preserve"> </v>
      </c>
      <c r="AD71" s="254" t="str">
        <f>IF($A71="N/A"," ",IF(VLOOKUP(MONTH(A71),ManualTable,5)=1,(IF(U71&lt;&gt;0,IF(Pricetype=1,(_xll.xSPRDOPT(L71,$E71,$CI71,0,($CD71+IF(Smile=TRUE,VLOOKUP(MAX(-5,$H71-L71),Volsmile,2),0)),$CG71,$CH71,($A71-DateToday)+15,1,1))*(8*$HE71),8*$HE71),0)),0))</f>
        <v xml:space="preserve"> </v>
      </c>
      <c r="AE71" s="254" t="str">
        <f>IF($A71="N/A"," ",IF(VLOOKUP(MONTH(A71),ManualTable,6)=1,(IF(V71&lt;&gt;0,IF(Pricetype=1,(_xll.xSPRDOPT(M71,$E71,$CI71,0,($CD71+IF(Smile=TRUE,VLOOKUP(MAX(-5,$H71-M71),Volsmile,2),0)),$CG71,$CH71,($A71-DateToday)+15,1,1))*(8*$HE71),8*$HE71),0)),0))</f>
        <v xml:space="preserve"> </v>
      </c>
      <c r="AF71" s="254" t="str">
        <f t="shared" si="236"/>
        <v xml:space="preserve"> </v>
      </c>
      <c r="AG71" s="254" t="str">
        <f>IF($A71="N/A"," ",IF(VLOOKUP(MONTH(A71),ManualTable,8)=1,(IF(X71&lt;&gt;0,IF(Pricetype=1,(_xll.xSPRDOPT(O71,$E71,$CI71,0,($CD71+IF(Smile=TRUE,VLOOKUP(MAX(-5,$H71-O71),Volsmile,2),0)),$CG71,$CH71,($A71-DateToday)+15,1,1))*(8*$HF71),8*$HF71),0)),0))</f>
        <v xml:space="preserve"> </v>
      </c>
      <c r="AH71" s="254" t="str">
        <f>IF($A71="N/A"," ",IF(VLOOKUP(MONTH(A71),ManualTable,9)=1,(IF(Y71&lt;&gt;0,IF(Pricetype=1,(_xll.xSPRDOPT(P71,$E71,$CI71,0,($CD71+IF(Smile=TRUE,VLOOKUP(MAX(-5,$H71-P71),Volsmile,2),0)),$CG71,$CH71,($A71-DateToday)+15,1,1))*(8*$HF71),8*$HF71),0)),0))</f>
        <v xml:space="preserve"> </v>
      </c>
      <c r="AI71" s="254" t="str">
        <f t="shared" si="237"/>
        <v xml:space="preserve"> </v>
      </c>
      <c r="AJ71" s="227" t="str">
        <f t="shared" si="176"/>
        <v xml:space="preserve"> </v>
      </c>
      <c r="AK71" s="228" t="str">
        <f t="shared" si="177"/>
        <v xml:space="preserve"> </v>
      </c>
      <c r="AL71" s="228" t="str">
        <f t="shared" si="177"/>
        <v xml:space="preserve"> </v>
      </c>
      <c r="AM71" s="228" t="str">
        <f t="shared" si="178"/>
        <v xml:space="preserve"> </v>
      </c>
      <c r="AN71" s="228" t="str">
        <f t="shared" si="179"/>
        <v xml:space="preserve"> </v>
      </c>
      <c r="AO71" s="228" t="str">
        <f t="shared" si="179"/>
        <v xml:space="preserve"> </v>
      </c>
      <c r="AP71" s="228" t="str">
        <f t="shared" si="180"/>
        <v xml:space="preserve"> </v>
      </c>
      <c r="AQ71" s="228" t="str">
        <f t="shared" si="181"/>
        <v xml:space="preserve"> </v>
      </c>
      <c r="AR71" s="229" t="str">
        <f t="shared" si="182"/>
        <v xml:space="preserve"> </v>
      </c>
      <c r="AS71" s="262" t="str">
        <f t="shared" si="102"/>
        <v xml:space="preserve"> </v>
      </c>
      <c r="AT71" s="263" t="str">
        <f t="shared" si="103"/>
        <v xml:space="preserve"> </v>
      </c>
      <c r="AU71" s="263" t="str">
        <f t="shared" si="103"/>
        <v xml:space="preserve"> </v>
      </c>
      <c r="AV71" s="263" t="str">
        <f t="shared" si="104"/>
        <v xml:space="preserve"> </v>
      </c>
      <c r="AW71" s="263" t="str">
        <f t="shared" si="105"/>
        <v xml:space="preserve"> </v>
      </c>
      <c r="AX71" s="263" t="str">
        <f t="shared" si="105"/>
        <v xml:space="preserve"> </v>
      </c>
      <c r="AY71" s="263" t="str">
        <f t="shared" si="106"/>
        <v xml:space="preserve"> </v>
      </c>
      <c r="AZ71" s="263" t="str">
        <f t="shared" si="107"/>
        <v xml:space="preserve"> </v>
      </c>
      <c r="BA71" s="263" t="str">
        <f t="shared" si="108"/>
        <v xml:space="preserve"> </v>
      </c>
      <c r="BB71" s="229"/>
      <c r="BC71" s="266" t="str">
        <f t="shared" si="169"/>
        <v xml:space="preserve"> </v>
      </c>
      <c r="BD71" s="269" t="str">
        <f t="shared" si="170"/>
        <v xml:space="preserve"> </v>
      </c>
      <c r="BE71" s="269" t="str">
        <f t="shared" si="170"/>
        <v xml:space="preserve"> </v>
      </c>
      <c r="BF71" s="269" t="str">
        <f t="shared" si="171"/>
        <v xml:space="preserve"> </v>
      </c>
      <c r="BG71" s="269" t="str">
        <f t="shared" si="172"/>
        <v xml:space="preserve"> </v>
      </c>
      <c r="BH71" s="269" t="str">
        <f t="shared" si="172"/>
        <v xml:space="preserve"> </v>
      </c>
      <c r="BI71" s="269" t="str">
        <f t="shared" si="173"/>
        <v xml:space="preserve"> </v>
      </c>
      <c r="BJ71" s="269" t="str">
        <f t="shared" si="174"/>
        <v xml:space="preserve"> </v>
      </c>
      <c r="BK71" s="269" t="str">
        <f t="shared" si="175"/>
        <v xml:space="preserve"> </v>
      </c>
      <c r="BL71" s="229"/>
      <c r="BM71" s="220" t="str">
        <f>IF($A71="N/A"," ",(IF(MONTH(A71)&gt;=4,IF(MONTH(A71)&lt;=10,Inputs!$F$13-Inputs!$G$13,Inputs!$F$14-Inputs!$G$14),Inputs!$F$14-Inputs!$G$14))*$CK71*Availability)</f>
        <v xml:space="preserve"> </v>
      </c>
      <c r="BN71" s="221" t="str">
        <f t="shared" si="238"/>
        <v xml:space="preserve"> </v>
      </c>
      <c r="BO71" s="221" t="str">
        <f t="shared" si="239"/>
        <v xml:space="preserve"> </v>
      </c>
      <c r="BP71" s="221" t="str">
        <f t="shared" si="240"/>
        <v xml:space="preserve"> </v>
      </c>
      <c r="BQ71" s="221" t="str">
        <f t="shared" si="241"/>
        <v xml:space="preserve"> </v>
      </c>
      <c r="BR71" s="221" t="str">
        <f t="shared" si="242"/>
        <v xml:space="preserve"> </v>
      </c>
      <c r="BS71" s="221" t="str">
        <f t="shared" si="243"/>
        <v xml:space="preserve"> </v>
      </c>
      <c r="BT71" s="221" t="str">
        <f t="shared" si="244"/>
        <v xml:space="preserve"> </v>
      </c>
      <c r="BU71" s="221" t="str">
        <f t="shared" si="245"/>
        <v xml:space="preserve"> </v>
      </c>
      <c r="BV71" s="221" t="str">
        <f t="shared" si="246"/>
        <v xml:space="preserve"> </v>
      </c>
      <c r="BW71" s="221" t="str">
        <f t="shared" si="247"/>
        <v xml:space="preserve"> </v>
      </c>
      <c r="BX71" s="421" t="str">
        <f t="shared" si="248"/>
        <v xml:space="preserve"> </v>
      </c>
      <c r="BY71" s="417" t="str">
        <f t="shared" si="249"/>
        <v xml:space="preserve"> </v>
      </c>
      <c r="BZ71" s="417" t="str">
        <f t="shared" si="250"/>
        <v xml:space="preserve"> </v>
      </c>
      <c r="CA71" s="422" t="str">
        <f t="shared" si="251"/>
        <v xml:space="preserve"> </v>
      </c>
      <c r="CB71" s="347" t="str">
        <f t="shared" si="195"/>
        <v xml:space="preserve"> </v>
      </c>
      <c r="CC71" s="347" t="str">
        <f t="shared" si="252"/>
        <v xml:space="preserve"> </v>
      </c>
      <c r="CD71" s="348" t="str">
        <f t="shared" si="196"/>
        <v xml:space="preserve"> </v>
      </c>
      <c r="CE71" s="347" t="str">
        <f t="shared" si="197"/>
        <v xml:space="preserve"> </v>
      </c>
      <c r="CF71" s="347" t="str">
        <f t="shared" si="198"/>
        <v xml:space="preserve"> </v>
      </c>
      <c r="CG71" s="348" t="str">
        <f t="shared" si="199"/>
        <v xml:space="preserve"> </v>
      </c>
      <c r="CH71" s="347" t="str">
        <f t="shared" si="253"/>
        <v xml:space="preserve"> </v>
      </c>
      <c r="CI71" s="349" t="str">
        <f>IF($A71="N/A"," ",F71+G71+(D71*('Pricing Inputs'!T104)))</f>
        <v xml:space="preserve"> </v>
      </c>
      <c r="CJ71" s="347" t="str">
        <f>IF($A71="N/A"," ",IF(PV=1,0,'Pricing Inputs'!U104))</f>
        <v xml:space="preserve"> </v>
      </c>
      <c r="CK71" s="350" t="str">
        <f t="shared" si="200"/>
        <v xml:space="preserve"> </v>
      </c>
      <c r="CL71" s="365" t="str">
        <f t="shared" si="201"/>
        <v xml:space="preserve"> </v>
      </c>
      <c r="CM71" s="380" t="str">
        <f t="shared" si="254"/>
        <v xml:space="preserve"> </v>
      </c>
      <c r="CN71" s="378" t="str">
        <f t="shared" si="202"/>
        <v xml:space="preserve"> </v>
      </c>
      <c r="CO71" s="378" t="str">
        <f t="shared" si="203"/>
        <v xml:space="preserve"> </v>
      </c>
      <c r="CP71" s="378" t="str">
        <f t="shared" si="204"/>
        <v xml:space="preserve"> </v>
      </c>
      <c r="CQ71" s="378" t="str">
        <f t="shared" si="205"/>
        <v xml:space="preserve"> </v>
      </c>
      <c r="CR71" s="378" t="str">
        <f t="shared" si="206"/>
        <v xml:space="preserve"> </v>
      </c>
      <c r="CS71" s="378" t="str">
        <f t="shared" si="207"/>
        <v xml:space="preserve"> </v>
      </c>
      <c r="CT71" s="378" t="str">
        <f t="shared" si="208"/>
        <v xml:space="preserve"> </v>
      </c>
      <c r="CU71" s="378" t="str">
        <f t="shared" si="209"/>
        <v xml:space="preserve"> </v>
      </c>
      <c r="CV71" s="378" t="str">
        <f t="shared" si="210"/>
        <v xml:space="preserve"> </v>
      </c>
      <c r="CW71" s="254" t="str">
        <f t="shared" si="211"/>
        <v xml:space="preserve"> </v>
      </c>
      <c r="CX71" s="254" t="str">
        <f t="shared" si="212"/>
        <v xml:space="preserve"> </v>
      </c>
      <c r="CY71" s="254" t="str">
        <f t="shared" si="213"/>
        <v xml:space="preserve"> </v>
      </c>
      <c r="CZ71" s="254" t="str">
        <f t="shared" si="214"/>
        <v xml:space="preserve"> </v>
      </c>
      <c r="DA71" s="254" t="str">
        <f t="shared" si="215"/>
        <v xml:space="preserve"> </v>
      </c>
      <c r="DB71" s="254" t="str">
        <f t="shared" si="216"/>
        <v xml:space="preserve"> </v>
      </c>
      <c r="DC71" s="254" t="str">
        <f t="shared" si="217"/>
        <v xml:space="preserve"> </v>
      </c>
      <c r="DD71" s="254" t="str">
        <f t="shared" si="218"/>
        <v xml:space="preserve"> </v>
      </c>
      <c r="DE71" s="254" t="str">
        <f t="shared" si="219"/>
        <v xml:space="preserve"> </v>
      </c>
      <c r="DF71" s="374" t="str">
        <f>IF($A71="N/A"," ",IF(CC=2,(IF(MONTH(A71)&gt;=4,IF(MONTH(A71)&lt;=10,Inputs!$G$13,Inputs!$G$14),Inputs!$G$14))*$CK71,0))</f>
        <v xml:space="preserve"> </v>
      </c>
      <c r="DG71" s="373" t="str">
        <f t="shared" si="220"/>
        <v xml:space="preserve"> </v>
      </c>
      <c r="DH71" s="373" t="str">
        <f t="shared" si="221"/>
        <v xml:space="preserve"> </v>
      </c>
      <c r="DI71" s="373" t="str">
        <f t="shared" si="222"/>
        <v xml:space="preserve"> </v>
      </c>
      <c r="DJ71" s="373" t="str">
        <f t="shared" si="223"/>
        <v xml:space="preserve"> </v>
      </c>
      <c r="DK71" s="373" t="str">
        <f t="shared" si="224"/>
        <v xml:space="preserve"> </v>
      </c>
      <c r="DL71" s="373" t="str">
        <f t="shared" si="225"/>
        <v xml:space="preserve"> </v>
      </c>
      <c r="DM71" s="373" t="str">
        <f t="shared" si="226"/>
        <v xml:space="preserve"> </v>
      </c>
      <c r="DN71" s="373" t="str">
        <f t="shared" si="227"/>
        <v xml:space="preserve"> </v>
      </c>
      <c r="DO71" s="373" t="str">
        <f t="shared" si="228"/>
        <v xml:space="preserve"> </v>
      </c>
      <c r="DP71" s="375" t="str">
        <f t="shared" si="229"/>
        <v xml:space="preserve"> </v>
      </c>
      <c r="DQ71" t="str">
        <f t="shared" si="255"/>
        <v xml:space="preserve"> </v>
      </c>
      <c r="HD71" t="str">
        <f t="shared" si="256"/>
        <v xml:space="preserve"> </v>
      </c>
      <c r="HE71" t="str">
        <f t="shared" si="257"/>
        <v xml:space="preserve"> </v>
      </c>
      <c r="HF71" t="str">
        <f t="shared" si="258"/>
        <v xml:space="preserve"> </v>
      </c>
    </row>
    <row r="72" spans="1:214">
      <c r="A72" s="415" t="str">
        <f>IF(A71="N/A","N/A",IF(EDATE(A71,1)&gt;Inputs!$K$3,"N/A",EDATE(A71,1)))</f>
        <v>N/A</v>
      </c>
      <c r="B72" s="410" t="str">
        <f t="shared" si="230"/>
        <v xml:space="preserve"> </v>
      </c>
      <c r="C72" s="411" t="str">
        <f t="shared" si="231"/>
        <v xml:space="preserve"> </v>
      </c>
      <c r="D72" s="412" t="str">
        <f t="shared" si="232"/>
        <v xml:space="preserve"> </v>
      </c>
      <c r="E72" s="413" t="str">
        <f>IF($A72="N/A"," ",(C72-'Pricing Inputs'!T105)*D72)</f>
        <v xml:space="preserve"> </v>
      </c>
      <c r="F72" s="414" t="str">
        <f t="shared" si="116"/>
        <v xml:space="preserve"> </v>
      </c>
      <c r="G72" s="414" t="str">
        <f t="shared" si="233"/>
        <v xml:space="preserve"> </v>
      </c>
      <c r="H72" s="416" t="str">
        <f t="shared" si="234"/>
        <v xml:space="preserve"> </v>
      </c>
      <c r="I72" s="213" t="str">
        <f t="shared" si="183"/>
        <v xml:space="preserve"> </v>
      </c>
      <c r="J72" s="213" t="str">
        <f t="shared" si="184"/>
        <v xml:space="preserve"> </v>
      </c>
      <c r="K72" s="213" t="str">
        <f t="shared" si="185"/>
        <v xml:space="preserve"> </v>
      </c>
      <c r="L72" s="213" t="str">
        <f t="shared" si="186"/>
        <v xml:space="preserve"> </v>
      </c>
      <c r="M72" s="213" t="str">
        <f t="shared" si="187"/>
        <v xml:space="preserve"> </v>
      </c>
      <c r="N72" s="213" t="str">
        <f t="shared" si="188"/>
        <v xml:space="preserve"> </v>
      </c>
      <c r="O72" s="213" t="str">
        <f t="shared" si="189"/>
        <v xml:space="preserve"> </v>
      </c>
      <c r="P72" s="213" t="str">
        <f t="shared" si="190"/>
        <v xml:space="preserve"> </v>
      </c>
      <c r="Q72" s="213" t="str">
        <f t="shared" si="191"/>
        <v xml:space="preserve"> </v>
      </c>
      <c r="R72" s="405" t="str">
        <f>IF($A72="N/A"," ",IF(Pricetype=2,MAX(I72-$H72,0),IF(Pricetype=1,(_xll.xSPRDOPT(I72,$E72,$CI72,0,($CD72+IF(Smile=TRUE,VLOOKUP(MAX(-5,$H72-I72),Volsmile,2),0)),$CG72,$CH72,($A72-DateToday)+15,1,0)),I72-$H72)))</f>
        <v xml:space="preserve"> </v>
      </c>
      <c r="S72" s="405" t="str">
        <f>IF($A72="N/A"," ",IF(Pricetype=2,MAX(J72-$H72,0),IF(Pricetype=1,(_xll.xSPRDOPT(J72,$E72,$CI72,0,($CD72+IF(Smile=TRUE,VLOOKUP(MAX(-5,$H72-J72),Volsmile,2),0)),$CG72,$CH72,($A72-DateToday)+15,1,0)),J72-$H72)))</f>
        <v xml:space="preserve"> </v>
      </c>
      <c r="T72" s="406" t="str">
        <f t="shared" si="192"/>
        <v xml:space="preserve"> </v>
      </c>
      <c r="U72" s="405" t="str">
        <f>IF($A72="N/A"," ",IF(Pricetype=2,MAX(L72-$H72,0),IF(L72&lt;&gt;0,IF(Pricetype=1,(_xll.xSPRDOPT(L72,$E72,$CI72,0,($CD72+IF(Smile=TRUE,VLOOKUP(MAX(-5,$H72-L72),Volsmile,2),0)),$CG72,$CH72,($A72-DateToday)+15,1,0)),L72-$H72),0)))</f>
        <v xml:space="preserve"> </v>
      </c>
      <c r="V72" s="405" t="str">
        <f>IF($A72="N/A"," ",IF(Pricetype=2,MAX(M72-$H72,0),IF(M72&lt;&gt;0,IF(Pricetype=1,(_xll.xSPRDOPT(M72,$E72,$CI72,0,($CD72+IF(Smile=TRUE,VLOOKUP(MAX(-5,$H72-M72),Volsmile,2),0)),$CG72,$CH72,($A72-DateToday)+15,1,0)),M72-$H72),0)))</f>
        <v xml:space="preserve"> </v>
      </c>
      <c r="W72" s="406" t="str">
        <f t="shared" si="193"/>
        <v xml:space="preserve"> </v>
      </c>
      <c r="X72" s="405" t="str">
        <f>IF($A72="N/A"," ",IF(Pricetype=2,MAX(O72-$H72,0),IF(O72&lt;&gt;0,IF(Pricetype=1,(_xll.xSPRDOPT(O72,$E72,$CI72,0,($CD72+IF(Smile=TRUE,VLOOKUP(MAX(-5,$H72-O72),Volsmile,2),0)),$CG72,$CH72,($A72-DateToday)+15,1,0)),O72-$H72),0)))</f>
        <v xml:space="preserve"> </v>
      </c>
      <c r="Y72" s="405" t="str">
        <f>IF($A72="N/A"," ",IF(Pricetype=2,MAX(P72-$H72,0),IF(P72&lt;&gt;0,IF(Pricetype=1,(_xll.xSPRDOPT(P72,$E72,$CI72,0,($CD72+IF(Smile=TRUE,VLOOKUP(MAX(-5,$H72-P72),Volsmile,2),0)),$CG72,$CH72,($A72-DateToday)+15,1,0)),P72-$H72),0)))</f>
        <v xml:space="preserve"> </v>
      </c>
      <c r="Z72" s="406" t="str">
        <f t="shared" si="194"/>
        <v xml:space="preserve"> </v>
      </c>
      <c r="AA72" s="254" t="str">
        <f>IF($A72="N/A"," ",IF(VLOOKUP(MONTH(A72),ManualTable,2)=1,(IF(0&lt;&gt;R72,IF(Pricetype=1,(_xll.xSPRDOPT(I72,$E72,$CI72,0,($CD72+IF(Smile=TRUE,VLOOKUP(MAX(-5,$H72-I72),Volsmile,2),0)),$CG72,$CH72,($A72-DateToday)+15,1,1))*(8*$HD72),8*$HD72),0)),0))</f>
        <v xml:space="preserve"> </v>
      </c>
      <c r="AB72" s="254" t="str">
        <f>IF($A72="N/A"," ",IF(VLOOKUP(MONTH(A72),ManualTable,3)=1,(IF(S72&lt;&gt;0,IF(Pricetype=1,(_xll.xSPRDOPT(J72,$E72,$CI72,0,($CD72+IF(Smile=TRUE,VLOOKUP(MAX(-5,$H72-J72),Volsmile,2),0)),$CG72,$CH72,($A72-DateToday)+15,1,1))*(8*$HD72),8*$HD72),0)),0))</f>
        <v xml:space="preserve"> </v>
      </c>
      <c r="AC72" s="254" t="str">
        <f t="shared" si="235"/>
        <v xml:space="preserve"> </v>
      </c>
      <c r="AD72" s="254" t="str">
        <f>IF($A72="N/A"," ",IF(VLOOKUP(MONTH(A72),ManualTable,5)=1,(IF(U72&lt;&gt;0,IF(Pricetype=1,(_xll.xSPRDOPT(L72,$E72,$CI72,0,($CD72+IF(Smile=TRUE,VLOOKUP(MAX(-5,$H72-L72),Volsmile,2),0)),$CG72,$CH72,($A72-DateToday)+15,1,1))*(8*$HE72),8*$HE72),0)),0))</f>
        <v xml:space="preserve"> </v>
      </c>
      <c r="AE72" s="254" t="str">
        <f>IF($A72="N/A"," ",IF(VLOOKUP(MONTH(A72),ManualTable,6)=1,(IF(V72&lt;&gt;0,IF(Pricetype=1,(_xll.xSPRDOPT(M72,$E72,$CI72,0,($CD72+IF(Smile=TRUE,VLOOKUP(MAX(-5,$H72-M72),Volsmile,2),0)),$CG72,$CH72,($A72-DateToday)+15,1,1))*(8*$HE72),8*$HE72),0)),0))</f>
        <v xml:space="preserve"> </v>
      </c>
      <c r="AF72" s="254" t="str">
        <f t="shared" si="236"/>
        <v xml:space="preserve"> </v>
      </c>
      <c r="AG72" s="254" t="str">
        <f>IF($A72="N/A"," ",IF(VLOOKUP(MONTH(A72),ManualTable,8)=1,(IF(X72&lt;&gt;0,IF(Pricetype=1,(_xll.xSPRDOPT(O72,$E72,$CI72,0,($CD72+IF(Smile=TRUE,VLOOKUP(MAX(-5,$H72-O72),Volsmile,2),0)),$CG72,$CH72,($A72-DateToday)+15,1,1))*(8*$HF72),8*$HF72),0)),0))</f>
        <v xml:space="preserve"> </v>
      </c>
      <c r="AH72" s="254" t="str">
        <f>IF($A72="N/A"," ",IF(VLOOKUP(MONTH(A72),ManualTable,9)=1,(IF(Y72&lt;&gt;0,IF(Pricetype=1,(_xll.xSPRDOPT(P72,$E72,$CI72,0,($CD72+IF(Smile=TRUE,VLOOKUP(MAX(-5,$H72-P72),Volsmile,2),0)),$CG72,$CH72,($A72-DateToday)+15,1,1))*(8*$HF72),8*$HF72),0)),0))</f>
        <v xml:space="preserve"> </v>
      </c>
      <c r="AI72" s="254" t="str">
        <f t="shared" si="237"/>
        <v xml:space="preserve"> </v>
      </c>
      <c r="AJ72" s="227" t="str">
        <f t="shared" si="176"/>
        <v xml:space="preserve"> </v>
      </c>
      <c r="AK72" s="228" t="str">
        <f t="shared" si="177"/>
        <v xml:space="preserve"> </v>
      </c>
      <c r="AL72" s="228" t="str">
        <f t="shared" si="177"/>
        <v xml:space="preserve"> </v>
      </c>
      <c r="AM72" s="228" t="str">
        <f t="shared" si="178"/>
        <v xml:space="preserve"> </v>
      </c>
      <c r="AN72" s="228" t="str">
        <f t="shared" si="179"/>
        <v xml:space="preserve"> </v>
      </c>
      <c r="AO72" s="228" t="str">
        <f t="shared" si="179"/>
        <v xml:space="preserve"> </v>
      </c>
      <c r="AP72" s="228" t="str">
        <f t="shared" si="180"/>
        <v xml:space="preserve"> </v>
      </c>
      <c r="AQ72" s="228" t="str">
        <f t="shared" si="181"/>
        <v xml:space="preserve"> </v>
      </c>
      <c r="AR72" s="229" t="str">
        <f t="shared" si="182"/>
        <v xml:space="preserve"> </v>
      </c>
      <c r="AS72" s="262" t="str">
        <f t="shared" si="102"/>
        <v xml:space="preserve"> </v>
      </c>
      <c r="AT72" s="263" t="str">
        <f t="shared" si="103"/>
        <v xml:space="preserve"> </v>
      </c>
      <c r="AU72" s="263" t="str">
        <f t="shared" si="103"/>
        <v xml:space="preserve"> </v>
      </c>
      <c r="AV72" s="263" t="str">
        <f t="shared" si="104"/>
        <v xml:space="preserve"> </v>
      </c>
      <c r="AW72" s="263" t="str">
        <f t="shared" si="105"/>
        <v xml:space="preserve"> </v>
      </c>
      <c r="AX72" s="263" t="str">
        <f t="shared" si="105"/>
        <v xml:space="preserve"> </v>
      </c>
      <c r="AY72" s="263" t="str">
        <f t="shared" si="106"/>
        <v xml:space="preserve"> </v>
      </c>
      <c r="AZ72" s="263" t="str">
        <f t="shared" si="107"/>
        <v xml:space="preserve"> </v>
      </c>
      <c r="BA72" s="263" t="str">
        <f t="shared" si="108"/>
        <v xml:space="preserve"> </v>
      </c>
      <c r="BB72" s="229"/>
      <c r="BC72" s="266" t="str">
        <f t="shared" si="169"/>
        <v xml:space="preserve"> </v>
      </c>
      <c r="BD72" s="269" t="str">
        <f t="shared" si="170"/>
        <v xml:space="preserve"> </v>
      </c>
      <c r="BE72" s="269" t="str">
        <f t="shared" si="170"/>
        <v xml:space="preserve"> </v>
      </c>
      <c r="BF72" s="269" t="str">
        <f t="shared" si="171"/>
        <v xml:space="preserve"> </v>
      </c>
      <c r="BG72" s="269" t="str">
        <f t="shared" si="172"/>
        <v xml:space="preserve"> </v>
      </c>
      <c r="BH72" s="269" t="str">
        <f t="shared" si="172"/>
        <v xml:space="preserve"> </v>
      </c>
      <c r="BI72" s="269" t="str">
        <f t="shared" si="173"/>
        <v xml:space="preserve"> </v>
      </c>
      <c r="BJ72" s="269" t="str">
        <f t="shared" si="174"/>
        <v xml:space="preserve"> </v>
      </c>
      <c r="BK72" s="269" t="str">
        <f t="shared" si="175"/>
        <v xml:space="preserve"> </v>
      </c>
      <c r="BL72" s="229"/>
      <c r="BM72" s="220" t="str">
        <f>IF($A72="N/A"," ",(IF(MONTH(A72)&gt;=4,IF(MONTH(A72)&lt;=10,Inputs!$F$13-Inputs!$G$13,Inputs!$F$14-Inputs!$G$14),Inputs!$F$14-Inputs!$G$14))*$CK72*Availability)</f>
        <v xml:space="preserve"> </v>
      </c>
      <c r="BN72" s="221" t="str">
        <f t="shared" si="238"/>
        <v xml:space="preserve"> </v>
      </c>
      <c r="BO72" s="221" t="str">
        <f t="shared" si="239"/>
        <v xml:space="preserve"> </v>
      </c>
      <c r="BP72" s="221" t="str">
        <f t="shared" si="240"/>
        <v xml:space="preserve"> </v>
      </c>
      <c r="BQ72" s="221" t="str">
        <f t="shared" si="241"/>
        <v xml:space="preserve"> </v>
      </c>
      <c r="BR72" s="221" t="str">
        <f t="shared" si="242"/>
        <v xml:space="preserve"> </v>
      </c>
      <c r="BS72" s="221" t="str">
        <f t="shared" si="243"/>
        <v xml:space="preserve"> </v>
      </c>
      <c r="BT72" s="221" t="str">
        <f t="shared" si="244"/>
        <v xml:space="preserve"> </v>
      </c>
      <c r="BU72" s="221" t="str">
        <f t="shared" si="245"/>
        <v xml:space="preserve"> </v>
      </c>
      <c r="BV72" s="221" t="str">
        <f t="shared" si="246"/>
        <v xml:space="preserve"> </v>
      </c>
      <c r="BW72" s="221" t="str">
        <f t="shared" si="247"/>
        <v xml:space="preserve"> </v>
      </c>
      <c r="BX72" s="421" t="str">
        <f t="shared" si="248"/>
        <v xml:space="preserve"> </v>
      </c>
      <c r="BY72" s="417" t="str">
        <f t="shared" si="249"/>
        <v xml:space="preserve"> </v>
      </c>
      <c r="BZ72" s="417" t="str">
        <f t="shared" si="250"/>
        <v xml:space="preserve"> </v>
      </c>
      <c r="CA72" s="422" t="str">
        <f t="shared" si="251"/>
        <v xml:space="preserve"> </v>
      </c>
      <c r="CB72" s="347" t="str">
        <f t="shared" si="195"/>
        <v xml:space="preserve"> </v>
      </c>
      <c r="CC72" s="347" t="str">
        <f t="shared" si="252"/>
        <v xml:space="preserve"> </v>
      </c>
      <c r="CD72" s="348" t="str">
        <f t="shared" si="196"/>
        <v xml:space="preserve"> </v>
      </c>
      <c r="CE72" s="347" t="str">
        <f t="shared" si="197"/>
        <v xml:space="preserve"> </v>
      </c>
      <c r="CF72" s="347" t="str">
        <f t="shared" si="198"/>
        <v xml:space="preserve"> </v>
      </c>
      <c r="CG72" s="348" t="str">
        <f t="shared" si="199"/>
        <v xml:space="preserve"> </v>
      </c>
      <c r="CH72" s="347" t="str">
        <f t="shared" si="253"/>
        <v xml:space="preserve"> </v>
      </c>
      <c r="CI72" s="349" t="str">
        <f>IF($A72="N/A"," ",F72+G72+(D72*('Pricing Inputs'!T105)))</f>
        <v xml:space="preserve"> </v>
      </c>
      <c r="CJ72" s="347" t="str">
        <f>IF($A72="N/A"," ",IF(PV=1,0,'Pricing Inputs'!U105))</f>
        <v xml:space="preserve"> </v>
      </c>
      <c r="CK72" s="350" t="str">
        <f t="shared" si="200"/>
        <v xml:space="preserve"> </v>
      </c>
      <c r="CL72" s="365" t="str">
        <f t="shared" si="201"/>
        <v xml:space="preserve"> </v>
      </c>
      <c r="CM72" s="380" t="str">
        <f t="shared" si="254"/>
        <v xml:space="preserve"> </v>
      </c>
      <c r="CN72" s="378" t="str">
        <f t="shared" si="202"/>
        <v xml:space="preserve"> </v>
      </c>
      <c r="CO72" s="378" t="str">
        <f t="shared" si="203"/>
        <v xml:space="preserve"> </v>
      </c>
      <c r="CP72" s="378" t="str">
        <f t="shared" si="204"/>
        <v xml:space="preserve"> </v>
      </c>
      <c r="CQ72" s="378" t="str">
        <f t="shared" si="205"/>
        <v xml:space="preserve"> </v>
      </c>
      <c r="CR72" s="378" t="str">
        <f t="shared" si="206"/>
        <v xml:space="preserve"> </v>
      </c>
      <c r="CS72" s="378" t="str">
        <f t="shared" si="207"/>
        <v xml:space="preserve"> </v>
      </c>
      <c r="CT72" s="378" t="str">
        <f t="shared" si="208"/>
        <v xml:space="preserve"> </v>
      </c>
      <c r="CU72" s="378" t="str">
        <f t="shared" si="209"/>
        <v xml:space="preserve"> </v>
      </c>
      <c r="CV72" s="378" t="str">
        <f t="shared" si="210"/>
        <v xml:space="preserve"> </v>
      </c>
      <c r="CW72" s="254" t="str">
        <f t="shared" si="211"/>
        <v xml:space="preserve"> </v>
      </c>
      <c r="CX72" s="254" t="str">
        <f t="shared" si="212"/>
        <v xml:space="preserve"> </v>
      </c>
      <c r="CY72" s="254" t="str">
        <f t="shared" si="213"/>
        <v xml:space="preserve"> </v>
      </c>
      <c r="CZ72" s="254" t="str">
        <f t="shared" si="214"/>
        <v xml:space="preserve"> </v>
      </c>
      <c r="DA72" s="254" t="str">
        <f t="shared" si="215"/>
        <v xml:space="preserve"> </v>
      </c>
      <c r="DB72" s="254" t="str">
        <f t="shared" si="216"/>
        <v xml:space="preserve"> </v>
      </c>
      <c r="DC72" s="254" t="str">
        <f t="shared" si="217"/>
        <v xml:space="preserve"> </v>
      </c>
      <c r="DD72" s="254" t="str">
        <f t="shared" si="218"/>
        <v xml:space="preserve"> </v>
      </c>
      <c r="DE72" s="254" t="str">
        <f t="shared" si="219"/>
        <v xml:space="preserve"> </v>
      </c>
      <c r="DF72" s="374" t="str">
        <f>IF($A72="N/A"," ",IF(CC=2,(IF(MONTH(A72)&gt;=4,IF(MONTH(A72)&lt;=10,Inputs!$G$13,Inputs!$G$14),Inputs!$G$14))*$CK72,0))</f>
        <v xml:space="preserve"> </v>
      </c>
      <c r="DG72" s="373" t="str">
        <f t="shared" si="220"/>
        <v xml:space="preserve"> </v>
      </c>
      <c r="DH72" s="373" t="str">
        <f t="shared" si="221"/>
        <v xml:space="preserve"> </v>
      </c>
      <c r="DI72" s="373" t="str">
        <f t="shared" si="222"/>
        <v xml:space="preserve"> </v>
      </c>
      <c r="DJ72" s="373" t="str">
        <f t="shared" si="223"/>
        <v xml:space="preserve"> </v>
      </c>
      <c r="DK72" s="373" t="str">
        <f t="shared" si="224"/>
        <v xml:space="preserve"> </v>
      </c>
      <c r="DL72" s="373" t="str">
        <f t="shared" si="225"/>
        <v xml:space="preserve"> </v>
      </c>
      <c r="DM72" s="373" t="str">
        <f t="shared" si="226"/>
        <v xml:space="preserve"> </v>
      </c>
      <c r="DN72" s="373" t="str">
        <f t="shared" si="227"/>
        <v xml:space="preserve"> </v>
      </c>
      <c r="DO72" s="373" t="str">
        <f t="shared" si="228"/>
        <v xml:space="preserve"> </v>
      </c>
      <c r="DP72" s="375" t="str">
        <f t="shared" si="229"/>
        <v xml:space="preserve"> </v>
      </c>
      <c r="DQ72" t="str">
        <f t="shared" si="255"/>
        <v xml:space="preserve"> </v>
      </c>
      <c r="HD72" t="str">
        <f t="shared" si="256"/>
        <v xml:space="preserve"> </v>
      </c>
      <c r="HE72" t="str">
        <f t="shared" si="257"/>
        <v xml:space="preserve"> </v>
      </c>
      <c r="HF72" t="str">
        <f t="shared" si="258"/>
        <v xml:space="preserve"> </v>
      </c>
    </row>
    <row r="73" spans="1:214">
      <c r="A73" s="415" t="str">
        <f>IF(A72="N/A","N/A",IF(EDATE(A72,1)&gt;Inputs!$K$3,"N/A",EDATE(A72,1)))</f>
        <v>N/A</v>
      </c>
      <c r="B73" s="410" t="str">
        <f t="shared" si="230"/>
        <v xml:space="preserve"> </v>
      </c>
      <c r="C73" s="411" t="str">
        <f t="shared" si="231"/>
        <v xml:space="preserve"> </v>
      </c>
      <c r="D73" s="412" t="str">
        <f t="shared" si="232"/>
        <v xml:space="preserve"> </v>
      </c>
      <c r="E73" s="413" t="str">
        <f>IF($A73="N/A"," ",(C73-'Pricing Inputs'!T106)*D73)</f>
        <v xml:space="preserve"> </v>
      </c>
      <c r="F73" s="414" t="str">
        <f t="shared" si="116"/>
        <v xml:space="preserve"> </v>
      </c>
      <c r="G73" s="414" t="str">
        <f t="shared" si="233"/>
        <v xml:space="preserve"> </v>
      </c>
      <c r="H73" s="416" t="str">
        <f t="shared" si="234"/>
        <v xml:space="preserve"> </v>
      </c>
      <c r="I73" s="213" t="str">
        <f t="shared" si="183"/>
        <v xml:space="preserve"> </v>
      </c>
      <c r="J73" s="213" t="str">
        <f t="shared" si="184"/>
        <v xml:space="preserve"> </v>
      </c>
      <c r="K73" s="213" t="str">
        <f t="shared" si="185"/>
        <v xml:space="preserve"> </v>
      </c>
      <c r="L73" s="213" t="str">
        <f t="shared" si="186"/>
        <v xml:space="preserve"> </v>
      </c>
      <c r="M73" s="213" t="str">
        <f t="shared" si="187"/>
        <v xml:space="preserve"> </v>
      </c>
      <c r="N73" s="213" t="str">
        <f t="shared" si="188"/>
        <v xml:space="preserve"> </v>
      </c>
      <c r="O73" s="213" t="str">
        <f t="shared" si="189"/>
        <v xml:space="preserve"> </v>
      </c>
      <c r="P73" s="213" t="str">
        <f t="shared" si="190"/>
        <v xml:space="preserve"> </v>
      </c>
      <c r="Q73" s="213" t="str">
        <f t="shared" si="191"/>
        <v xml:space="preserve"> </v>
      </c>
      <c r="R73" s="405" t="str">
        <f>IF($A73="N/A"," ",IF(Pricetype=2,MAX(I73-$H73,0),IF(Pricetype=1,(_xll.xSPRDOPT(I73,$E73,$CI73,0,($CD73+IF(Smile=TRUE,VLOOKUP(MAX(-5,$H73-I73),Volsmile,2),0)),$CG73,$CH73,($A73-DateToday)+15,1,0)),I73-$H73)))</f>
        <v xml:space="preserve"> </v>
      </c>
      <c r="S73" s="405" t="str">
        <f>IF($A73="N/A"," ",IF(Pricetype=2,MAX(J73-$H73,0),IF(Pricetype=1,(_xll.xSPRDOPT(J73,$E73,$CI73,0,($CD73+IF(Smile=TRUE,VLOOKUP(MAX(-5,$H73-J73),Volsmile,2),0)),$CG73,$CH73,($A73-DateToday)+15,1,0)),J73-$H73)))</f>
        <v xml:space="preserve"> </v>
      </c>
      <c r="T73" s="406" t="str">
        <f t="shared" si="192"/>
        <v xml:space="preserve"> </v>
      </c>
      <c r="U73" s="405" t="str">
        <f>IF($A73="N/A"," ",IF(Pricetype=2,MAX(L73-$H73,0),IF(L73&lt;&gt;0,IF(Pricetype=1,(_xll.xSPRDOPT(L73,$E73,$CI73,0,($CD73+IF(Smile=TRUE,VLOOKUP(MAX(-5,$H73-L73),Volsmile,2),0)),$CG73,$CH73,($A73-DateToday)+15,1,0)),L73-$H73),0)))</f>
        <v xml:space="preserve"> </v>
      </c>
      <c r="V73" s="405" t="str">
        <f>IF($A73="N/A"," ",IF(Pricetype=2,MAX(M73-$H73,0),IF(M73&lt;&gt;0,IF(Pricetype=1,(_xll.xSPRDOPT(M73,$E73,$CI73,0,($CD73+IF(Smile=TRUE,VLOOKUP(MAX(-5,$H73-M73),Volsmile,2),0)),$CG73,$CH73,($A73-DateToday)+15,1,0)),M73-$H73),0)))</f>
        <v xml:space="preserve"> </v>
      </c>
      <c r="W73" s="406" t="str">
        <f t="shared" si="193"/>
        <v xml:space="preserve"> </v>
      </c>
      <c r="X73" s="405" t="str">
        <f>IF($A73="N/A"," ",IF(Pricetype=2,MAX(O73-$H73,0),IF(O73&lt;&gt;0,IF(Pricetype=1,(_xll.xSPRDOPT(O73,$E73,$CI73,0,($CD73+IF(Smile=TRUE,VLOOKUP(MAX(-5,$H73-O73),Volsmile,2),0)),$CG73,$CH73,($A73-DateToday)+15,1,0)),O73-$H73),0)))</f>
        <v xml:space="preserve"> </v>
      </c>
      <c r="Y73" s="405" t="str">
        <f>IF($A73="N/A"," ",IF(Pricetype=2,MAX(P73-$H73,0),IF(P73&lt;&gt;0,IF(Pricetype=1,(_xll.xSPRDOPT(P73,$E73,$CI73,0,($CD73+IF(Smile=TRUE,VLOOKUP(MAX(-5,$H73-P73),Volsmile,2),0)),$CG73,$CH73,($A73-DateToday)+15,1,0)),P73-$H73),0)))</f>
        <v xml:space="preserve"> </v>
      </c>
      <c r="Z73" s="406" t="str">
        <f t="shared" si="194"/>
        <v xml:space="preserve"> </v>
      </c>
      <c r="AA73" s="254" t="str">
        <f>IF($A73="N/A"," ",IF(VLOOKUP(MONTH(A73),ManualTable,2)=1,(IF(0&lt;&gt;R73,IF(Pricetype=1,(_xll.xSPRDOPT(I73,$E73,$CI73,0,($CD73+IF(Smile=TRUE,VLOOKUP(MAX(-5,$H73-I73),Volsmile,2),0)),$CG73,$CH73,($A73-DateToday)+15,1,1))*(8*$HD73),8*$HD73),0)),0))</f>
        <v xml:space="preserve"> </v>
      </c>
      <c r="AB73" s="254" t="str">
        <f>IF($A73="N/A"," ",IF(VLOOKUP(MONTH(A73),ManualTable,3)=1,(IF(S73&lt;&gt;0,IF(Pricetype=1,(_xll.xSPRDOPT(J73,$E73,$CI73,0,($CD73+IF(Smile=TRUE,VLOOKUP(MAX(-5,$H73-J73),Volsmile,2),0)),$CG73,$CH73,($A73-DateToday)+15,1,1))*(8*$HD73),8*$HD73),0)),0))</f>
        <v xml:space="preserve"> </v>
      </c>
      <c r="AC73" s="254" t="str">
        <f t="shared" si="235"/>
        <v xml:space="preserve"> </v>
      </c>
      <c r="AD73" s="254" t="str">
        <f>IF($A73="N/A"," ",IF(VLOOKUP(MONTH(A73),ManualTable,5)=1,(IF(U73&lt;&gt;0,IF(Pricetype=1,(_xll.xSPRDOPT(L73,$E73,$CI73,0,($CD73+IF(Smile=TRUE,VLOOKUP(MAX(-5,$H73-L73),Volsmile,2),0)),$CG73,$CH73,($A73-DateToday)+15,1,1))*(8*$HE73),8*$HE73),0)),0))</f>
        <v xml:space="preserve"> </v>
      </c>
      <c r="AE73" s="254" t="str">
        <f>IF($A73="N/A"," ",IF(VLOOKUP(MONTH(A73),ManualTable,6)=1,(IF(V73&lt;&gt;0,IF(Pricetype=1,(_xll.xSPRDOPT(M73,$E73,$CI73,0,($CD73+IF(Smile=TRUE,VLOOKUP(MAX(-5,$H73-M73),Volsmile,2),0)),$CG73,$CH73,($A73-DateToday)+15,1,1))*(8*$HE73),8*$HE73),0)),0))</f>
        <v xml:space="preserve"> </v>
      </c>
      <c r="AF73" s="254" t="str">
        <f t="shared" si="236"/>
        <v xml:space="preserve"> </v>
      </c>
      <c r="AG73" s="254" t="str">
        <f>IF($A73="N/A"," ",IF(VLOOKUP(MONTH(A73),ManualTable,8)=1,(IF(X73&lt;&gt;0,IF(Pricetype=1,(_xll.xSPRDOPT(O73,$E73,$CI73,0,($CD73+IF(Smile=TRUE,VLOOKUP(MAX(-5,$H73-O73),Volsmile,2),0)),$CG73,$CH73,($A73-DateToday)+15,1,1))*(8*$HF73),8*$HF73),0)),0))</f>
        <v xml:space="preserve"> </v>
      </c>
      <c r="AH73" s="254" t="str">
        <f>IF($A73="N/A"," ",IF(VLOOKUP(MONTH(A73),ManualTable,9)=1,(IF(Y73&lt;&gt;0,IF(Pricetype=1,(_xll.xSPRDOPT(P73,$E73,$CI73,0,($CD73+IF(Smile=TRUE,VLOOKUP(MAX(-5,$H73-P73),Volsmile,2),0)),$CG73,$CH73,($A73-DateToday)+15,1,1))*(8*$HF73),8*$HF73),0)),0))</f>
        <v xml:space="preserve"> </v>
      </c>
      <c r="AI73" s="254" t="str">
        <f t="shared" si="237"/>
        <v xml:space="preserve"> </v>
      </c>
      <c r="AJ73" s="227" t="str">
        <f t="shared" si="176"/>
        <v xml:space="preserve"> </v>
      </c>
      <c r="AK73" s="228" t="str">
        <f t="shared" si="177"/>
        <v xml:space="preserve"> </v>
      </c>
      <c r="AL73" s="228" t="str">
        <f t="shared" si="177"/>
        <v xml:space="preserve"> </v>
      </c>
      <c r="AM73" s="228" t="str">
        <f t="shared" si="178"/>
        <v xml:space="preserve"> </v>
      </c>
      <c r="AN73" s="228" t="str">
        <f t="shared" si="179"/>
        <v xml:space="preserve"> </v>
      </c>
      <c r="AO73" s="228" t="str">
        <f t="shared" si="179"/>
        <v xml:space="preserve"> </v>
      </c>
      <c r="AP73" s="228" t="str">
        <f t="shared" si="180"/>
        <v xml:space="preserve"> </v>
      </c>
      <c r="AQ73" s="228" t="str">
        <f t="shared" si="181"/>
        <v xml:space="preserve"> </v>
      </c>
      <c r="AR73" s="229" t="str">
        <f t="shared" si="182"/>
        <v xml:space="preserve"> </v>
      </c>
      <c r="AS73" s="262" t="str">
        <f t="shared" si="102"/>
        <v xml:space="preserve"> </v>
      </c>
      <c r="AT73" s="263" t="str">
        <f t="shared" si="103"/>
        <v xml:space="preserve"> </v>
      </c>
      <c r="AU73" s="263" t="str">
        <f t="shared" si="103"/>
        <v xml:space="preserve"> </v>
      </c>
      <c r="AV73" s="263" t="str">
        <f t="shared" si="104"/>
        <v xml:space="preserve"> </v>
      </c>
      <c r="AW73" s="263" t="str">
        <f t="shared" si="105"/>
        <v xml:space="preserve"> </v>
      </c>
      <c r="AX73" s="263" t="str">
        <f t="shared" si="105"/>
        <v xml:space="preserve"> </v>
      </c>
      <c r="AY73" s="263" t="str">
        <f t="shared" si="106"/>
        <v xml:space="preserve"> </v>
      </c>
      <c r="AZ73" s="263" t="str">
        <f t="shared" si="107"/>
        <v xml:space="preserve"> </v>
      </c>
      <c r="BA73" s="263" t="str">
        <f t="shared" si="108"/>
        <v xml:space="preserve"> </v>
      </c>
      <c r="BB73" s="234" t="s">
        <v>1271</v>
      </c>
      <c r="BC73" s="266" t="str">
        <f t="shared" si="169"/>
        <v xml:space="preserve"> </v>
      </c>
      <c r="BD73" s="269" t="str">
        <f t="shared" si="170"/>
        <v xml:space="preserve"> </v>
      </c>
      <c r="BE73" s="269" t="str">
        <f t="shared" si="170"/>
        <v xml:space="preserve"> </v>
      </c>
      <c r="BF73" s="269" t="str">
        <f t="shared" si="171"/>
        <v xml:space="preserve"> </v>
      </c>
      <c r="BG73" s="269" t="str">
        <f t="shared" si="172"/>
        <v xml:space="preserve"> </v>
      </c>
      <c r="BH73" s="269" t="str">
        <f t="shared" si="172"/>
        <v xml:space="preserve"> </v>
      </c>
      <c r="BI73" s="269" t="str">
        <f t="shared" si="173"/>
        <v xml:space="preserve"> </v>
      </c>
      <c r="BJ73" s="269" t="str">
        <f t="shared" si="174"/>
        <v xml:space="preserve"> </v>
      </c>
      <c r="BK73" s="269" t="str">
        <f t="shared" si="175"/>
        <v xml:space="preserve"> </v>
      </c>
      <c r="BL73" s="233" t="s">
        <v>1283</v>
      </c>
      <c r="BM73" s="220" t="str">
        <f>IF($A73="N/A"," ",(IF(MONTH(A73)&gt;=4,IF(MONTH(A73)&lt;=10,Inputs!$F$13-Inputs!$G$13,Inputs!$F$14-Inputs!$G$14),Inputs!$F$14-Inputs!$G$14))*$CK73*Availability)</f>
        <v xml:space="preserve"> </v>
      </c>
      <c r="BN73" s="221" t="str">
        <f t="shared" si="238"/>
        <v xml:space="preserve"> </v>
      </c>
      <c r="BO73" s="221" t="str">
        <f t="shared" si="239"/>
        <v xml:space="preserve"> </v>
      </c>
      <c r="BP73" s="221" t="str">
        <f t="shared" si="240"/>
        <v xml:space="preserve"> </v>
      </c>
      <c r="BQ73" s="221" t="str">
        <f t="shared" si="241"/>
        <v xml:space="preserve"> </v>
      </c>
      <c r="BR73" s="221" t="str">
        <f t="shared" si="242"/>
        <v xml:space="preserve"> </v>
      </c>
      <c r="BS73" s="221" t="str">
        <f t="shared" si="243"/>
        <v xml:space="preserve"> </v>
      </c>
      <c r="BT73" s="221" t="str">
        <f t="shared" si="244"/>
        <v xml:space="preserve"> </v>
      </c>
      <c r="BU73" s="221" t="str">
        <f t="shared" si="245"/>
        <v xml:space="preserve"> </v>
      </c>
      <c r="BV73" s="221" t="str">
        <f t="shared" si="246"/>
        <v xml:space="preserve"> </v>
      </c>
      <c r="BW73" s="221" t="str">
        <f t="shared" si="247"/>
        <v xml:space="preserve"> </v>
      </c>
      <c r="BX73" s="421" t="str">
        <f t="shared" si="248"/>
        <v xml:space="preserve"> </v>
      </c>
      <c r="BY73" s="417" t="str">
        <f t="shared" si="249"/>
        <v xml:space="preserve"> </v>
      </c>
      <c r="BZ73" s="417" t="str">
        <f t="shared" si="250"/>
        <v xml:space="preserve"> </v>
      </c>
      <c r="CA73" s="422" t="str">
        <f t="shared" si="251"/>
        <v xml:space="preserve"> </v>
      </c>
      <c r="CB73" s="347" t="str">
        <f t="shared" si="195"/>
        <v xml:space="preserve"> </v>
      </c>
      <c r="CC73" s="347" t="str">
        <f t="shared" si="252"/>
        <v xml:space="preserve"> </v>
      </c>
      <c r="CD73" s="348" t="str">
        <f t="shared" si="196"/>
        <v xml:space="preserve"> </v>
      </c>
      <c r="CE73" s="347" t="str">
        <f t="shared" si="197"/>
        <v xml:space="preserve"> </v>
      </c>
      <c r="CF73" s="347" t="str">
        <f t="shared" si="198"/>
        <v xml:space="preserve"> </v>
      </c>
      <c r="CG73" s="348" t="str">
        <f t="shared" si="199"/>
        <v xml:space="preserve"> </v>
      </c>
      <c r="CH73" s="347" t="str">
        <f t="shared" si="253"/>
        <v xml:space="preserve"> </v>
      </c>
      <c r="CI73" s="349" t="str">
        <f>IF($A73="N/A"," ",F73+G73+(D73*('Pricing Inputs'!T106)))</f>
        <v xml:space="preserve"> </v>
      </c>
      <c r="CJ73" s="347" t="str">
        <f>IF($A73="N/A"," ",IF(PV=1,0,'Pricing Inputs'!U106))</f>
        <v xml:space="preserve"> </v>
      </c>
      <c r="CK73" s="350" t="str">
        <f t="shared" si="200"/>
        <v xml:space="preserve"> </v>
      </c>
      <c r="CL73" s="365" t="str">
        <f t="shared" si="201"/>
        <v xml:space="preserve"> </v>
      </c>
      <c r="CM73" s="380" t="str">
        <f t="shared" si="254"/>
        <v xml:space="preserve"> </v>
      </c>
      <c r="CN73" s="378" t="str">
        <f t="shared" si="202"/>
        <v xml:space="preserve"> </v>
      </c>
      <c r="CO73" s="378" t="str">
        <f t="shared" si="203"/>
        <v xml:space="preserve"> </v>
      </c>
      <c r="CP73" s="378" t="str">
        <f t="shared" si="204"/>
        <v xml:space="preserve"> </v>
      </c>
      <c r="CQ73" s="378" t="str">
        <f t="shared" si="205"/>
        <v xml:space="preserve"> </v>
      </c>
      <c r="CR73" s="378" t="str">
        <f t="shared" si="206"/>
        <v xml:space="preserve"> </v>
      </c>
      <c r="CS73" s="378" t="str">
        <f t="shared" si="207"/>
        <v xml:space="preserve"> </v>
      </c>
      <c r="CT73" s="378" t="str">
        <f t="shared" si="208"/>
        <v xml:space="preserve"> </v>
      </c>
      <c r="CU73" s="378" t="str">
        <f t="shared" si="209"/>
        <v xml:space="preserve"> </v>
      </c>
      <c r="CV73" s="378" t="str">
        <f t="shared" si="210"/>
        <v xml:space="preserve"> </v>
      </c>
      <c r="CW73" s="254" t="str">
        <f t="shared" si="211"/>
        <v xml:space="preserve"> </v>
      </c>
      <c r="CX73" s="254" t="str">
        <f t="shared" si="212"/>
        <v xml:space="preserve"> </v>
      </c>
      <c r="CY73" s="254" t="str">
        <f t="shared" si="213"/>
        <v xml:space="preserve"> </v>
      </c>
      <c r="CZ73" s="254" t="str">
        <f t="shared" si="214"/>
        <v xml:space="preserve"> </v>
      </c>
      <c r="DA73" s="254" t="str">
        <f t="shared" si="215"/>
        <v xml:space="preserve"> </v>
      </c>
      <c r="DB73" s="254" t="str">
        <f t="shared" si="216"/>
        <v xml:space="preserve"> </v>
      </c>
      <c r="DC73" s="254" t="str">
        <f t="shared" si="217"/>
        <v xml:space="preserve"> </v>
      </c>
      <c r="DD73" s="254" t="str">
        <f t="shared" si="218"/>
        <v xml:space="preserve"> </v>
      </c>
      <c r="DE73" s="254" t="str">
        <f t="shared" si="219"/>
        <v xml:space="preserve"> </v>
      </c>
      <c r="DF73" s="374" t="str">
        <f>IF($A73="N/A"," ",IF(CC=2,(IF(MONTH(A73)&gt;=4,IF(MONTH(A73)&lt;=10,Inputs!$G$13,Inputs!$G$14),Inputs!$G$14))*$CK73,0))</f>
        <v xml:space="preserve"> </v>
      </c>
      <c r="DG73" s="373" t="str">
        <f t="shared" si="220"/>
        <v xml:space="preserve"> </v>
      </c>
      <c r="DH73" s="373" t="str">
        <f t="shared" si="221"/>
        <v xml:space="preserve"> </v>
      </c>
      <c r="DI73" s="373" t="str">
        <f t="shared" si="222"/>
        <v xml:space="preserve"> </v>
      </c>
      <c r="DJ73" s="373" t="str">
        <f t="shared" si="223"/>
        <v xml:space="preserve"> </v>
      </c>
      <c r="DK73" s="373" t="str">
        <f t="shared" si="224"/>
        <v xml:space="preserve"> </v>
      </c>
      <c r="DL73" s="373" t="str">
        <f t="shared" si="225"/>
        <v xml:space="preserve"> </v>
      </c>
      <c r="DM73" s="373" t="str">
        <f t="shared" si="226"/>
        <v xml:space="preserve"> </v>
      </c>
      <c r="DN73" s="373" t="str">
        <f t="shared" si="227"/>
        <v xml:space="preserve"> </v>
      </c>
      <c r="DO73" s="373" t="str">
        <f t="shared" si="228"/>
        <v xml:space="preserve"> </v>
      </c>
      <c r="DP73" s="375" t="str">
        <f t="shared" si="229"/>
        <v xml:space="preserve"> </v>
      </c>
      <c r="DQ73" t="str">
        <f t="shared" si="255"/>
        <v xml:space="preserve"> </v>
      </c>
      <c r="HD73" t="str">
        <f t="shared" si="256"/>
        <v xml:space="preserve"> </v>
      </c>
      <c r="HE73" t="str">
        <f t="shared" si="257"/>
        <v xml:space="preserve"> </v>
      </c>
      <c r="HF73" t="str">
        <f t="shared" si="258"/>
        <v xml:space="preserve"> </v>
      </c>
    </row>
    <row r="74" spans="1:214">
      <c r="A74" s="415" t="str">
        <f>IF(A73="N/A","N/A",IF(EDATE(A73,1)&gt;Inputs!$K$3,"N/A",EDATE(A73,1)))</f>
        <v>N/A</v>
      </c>
      <c r="B74" s="410" t="str">
        <f t="shared" si="230"/>
        <v xml:space="preserve"> </v>
      </c>
      <c r="C74" s="411" t="str">
        <f t="shared" si="231"/>
        <v xml:space="preserve"> </v>
      </c>
      <c r="D74" s="412" t="str">
        <f t="shared" si="232"/>
        <v xml:space="preserve"> </v>
      </c>
      <c r="E74" s="413" t="str">
        <f>IF($A74="N/A"," ",(C74-'Pricing Inputs'!T107)*D74)</f>
        <v xml:space="preserve"> </v>
      </c>
      <c r="F74" s="414" t="str">
        <f t="shared" si="116"/>
        <v xml:space="preserve"> </v>
      </c>
      <c r="G74" s="414" t="str">
        <f t="shared" si="233"/>
        <v xml:space="preserve"> </v>
      </c>
      <c r="H74" s="416" t="str">
        <f t="shared" si="234"/>
        <v xml:space="preserve"> </v>
      </c>
      <c r="I74" s="213" t="str">
        <f t="shared" si="183"/>
        <v xml:space="preserve"> </v>
      </c>
      <c r="J74" s="213" t="str">
        <f t="shared" si="184"/>
        <v xml:space="preserve"> </v>
      </c>
      <c r="K74" s="213" t="str">
        <f t="shared" si="185"/>
        <v xml:space="preserve"> </v>
      </c>
      <c r="L74" s="213" t="str">
        <f t="shared" si="186"/>
        <v xml:space="preserve"> </v>
      </c>
      <c r="M74" s="213" t="str">
        <f t="shared" si="187"/>
        <v xml:space="preserve"> </v>
      </c>
      <c r="N74" s="213" t="str">
        <f t="shared" si="188"/>
        <v xml:space="preserve"> </v>
      </c>
      <c r="O74" s="213" t="str">
        <f t="shared" si="189"/>
        <v xml:space="preserve"> </v>
      </c>
      <c r="P74" s="213" t="str">
        <f t="shared" si="190"/>
        <v xml:space="preserve"> </v>
      </c>
      <c r="Q74" s="213" t="str">
        <f t="shared" si="191"/>
        <v xml:space="preserve"> </v>
      </c>
      <c r="R74" s="405" t="str">
        <f>IF($A74="N/A"," ",IF(Pricetype=2,MAX(I74-$H74,0),IF(Pricetype=1,(_xll.xSPRDOPT(I74,$E74,$CI74,0,($CD74+IF(Smile=TRUE,VLOOKUP(MAX(-5,$H74-I74),Volsmile,2),0)),$CG74,$CH74,($A74-DateToday)+15,1,0)),I74-$H74)))</f>
        <v xml:space="preserve"> </v>
      </c>
      <c r="S74" s="405" t="str">
        <f>IF($A74="N/A"," ",IF(Pricetype=2,MAX(J74-$H74,0),IF(Pricetype=1,(_xll.xSPRDOPT(J74,$E74,$CI74,0,($CD74+IF(Smile=TRUE,VLOOKUP(MAX(-5,$H74-J74),Volsmile,2),0)),$CG74,$CH74,($A74-DateToday)+15,1,0)),J74-$H74)))</f>
        <v xml:space="preserve"> </v>
      </c>
      <c r="T74" s="406" t="str">
        <f t="shared" si="192"/>
        <v xml:space="preserve"> </v>
      </c>
      <c r="U74" s="405" t="str">
        <f>IF($A74="N/A"," ",IF(Pricetype=2,MAX(L74-$H74,0),IF(L74&lt;&gt;0,IF(Pricetype=1,(_xll.xSPRDOPT(L74,$E74,$CI74,0,($CD74+IF(Smile=TRUE,VLOOKUP(MAX(-5,$H74-L74),Volsmile,2),0)),$CG74,$CH74,($A74-DateToday)+15,1,0)),L74-$H74),0)))</f>
        <v xml:space="preserve"> </v>
      </c>
      <c r="V74" s="405" t="str">
        <f>IF($A74="N/A"," ",IF(Pricetype=2,MAX(M74-$H74,0),IF(M74&lt;&gt;0,IF(Pricetype=1,(_xll.xSPRDOPT(M74,$E74,$CI74,0,($CD74+IF(Smile=TRUE,VLOOKUP(MAX(-5,$H74-M74),Volsmile,2),0)),$CG74,$CH74,($A74-DateToday)+15,1,0)),M74-$H74),0)))</f>
        <v xml:space="preserve"> </v>
      </c>
      <c r="W74" s="406" t="str">
        <f t="shared" si="193"/>
        <v xml:space="preserve"> </v>
      </c>
      <c r="X74" s="405" t="str">
        <f>IF($A74="N/A"," ",IF(Pricetype=2,MAX(O74-$H74,0),IF(O74&lt;&gt;0,IF(Pricetype=1,(_xll.xSPRDOPT(O74,$E74,$CI74,0,($CD74+IF(Smile=TRUE,VLOOKUP(MAX(-5,$H74-O74),Volsmile,2),0)),$CG74,$CH74,($A74-DateToday)+15,1,0)),O74-$H74),0)))</f>
        <v xml:space="preserve"> </v>
      </c>
      <c r="Y74" s="405" t="str">
        <f>IF($A74="N/A"," ",IF(Pricetype=2,MAX(P74-$H74,0),IF(P74&lt;&gt;0,IF(Pricetype=1,(_xll.xSPRDOPT(P74,$E74,$CI74,0,($CD74+IF(Smile=TRUE,VLOOKUP(MAX(-5,$H74-P74),Volsmile,2),0)),$CG74,$CH74,($A74-DateToday)+15,1,0)),P74-$H74),0)))</f>
        <v xml:space="preserve"> </v>
      </c>
      <c r="Z74" s="406" t="str">
        <f t="shared" si="194"/>
        <v xml:space="preserve"> </v>
      </c>
      <c r="AA74" s="254" t="str">
        <f>IF($A74="N/A"," ",IF(VLOOKUP(MONTH(A74),ManualTable,2)=1,(IF(0&lt;&gt;R74,IF(Pricetype=1,(_xll.xSPRDOPT(I74,$E74,$CI74,0,($CD74+IF(Smile=TRUE,VLOOKUP(MAX(-5,$H74-I74),Volsmile,2),0)),$CG74,$CH74,($A74-DateToday)+15,1,1))*(8*$HD74),8*$HD74),0)),0))</f>
        <v xml:space="preserve"> </v>
      </c>
      <c r="AB74" s="254" t="str">
        <f>IF($A74="N/A"," ",IF(VLOOKUP(MONTH(A74),ManualTable,3)=1,(IF(S74&lt;&gt;0,IF(Pricetype=1,(_xll.xSPRDOPT(J74,$E74,$CI74,0,($CD74+IF(Smile=TRUE,VLOOKUP(MAX(-5,$H74-J74),Volsmile,2),0)),$CG74,$CH74,($A74-DateToday)+15,1,1))*(8*$HD74),8*$HD74),0)),0))</f>
        <v xml:space="preserve"> </v>
      </c>
      <c r="AC74" s="254" t="str">
        <f t="shared" si="235"/>
        <v xml:space="preserve"> </v>
      </c>
      <c r="AD74" s="254" t="str">
        <f>IF($A74="N/A"," ",IF(VLOOKUP(MONTH(A74),ManualTable,5)=1,(IF(U74&lt;&gt;0,IF(Pricetype=1,(_xll.xSPRDOPT(L74,$E74,$CI74,0,($CD74+IF(Smile=TRUE,VLOOKUP(MAX(-5,$H74-L74),Volsmile,2),0)),$CG74,$CH74,($A74-DateToday)+15,1,1))*(8*$HE74),8*$HE74),0)),0))</f>
        <v xml:space="preserve"> </v>
      </c>
      <c r="AE74" s="254" t="str">
        <f>IF($A74="N/A"," ",IF(VLOOKUP(MONTH(A74),ManualTable,6)=1,(IF(V74&lt;&gt;0,IF(Pricetype=1,(_xll.xSPRDOPT(M74,$E74,$CI74,0,($CD74+IF(Smile=TRUE,VLOOKUP(MAX(-5,$H74-M74),Volsmile,2),0)),$CG74,$CH74,($A74-DateToday)+15,1,1))*(8*$HE74),8*$HE74),0)),0))</f>
        <v xml:space="preserve"> </v>
      </c>
      <c r="AF74" s="254" t="str">
        <f t="shared" si="236"/>
        <v xml:space="preserve"> </v>
      </c>
      <c r="AG74" s="254" t="str">
        <f>IF($A74="N/A"," ",IF(VLOOKUP(MONTH(A74),ManualTable,8)=1,(IF(X74&lt;&gt;0,IF(Pricetype=1,(_xll.xSPRDOPT(O74,$E74,$CI74,0,($CD74+IF(Smile=TRUE,VLOOKUP(MAX(-5,$H74-O74),Volsmile,2),0)),$CG74,$CH74,($A74-DateToday)+15,1,1))*(8*$HF74),8*$HF74),0)),0))</f>
        <v xml:space="preserve"> </v>
      </c>
      <c r="AH74" s="254" t="str">
        <f>IF($A74="N/A"," ",IF(VLOOKUP(MONTH(A74),ManualTable,9)=1,(IF(Y74&lt;&gt;0,IF(Pricetype=1,(_xll.xSPRDOPT(P74,$E74,$CI74,0,($CD74+IF(Smile=TRUE,VLOOKUP(MAX(-5,$H74-P74),Volsmile,2),0)),$CG74,$CH74,($A74-DateToday)+15,1,1))*(8*$HF74),8*$HF74),0)),0))</f>
        <v xml:space="preserve"> </v>
      </c>
      <c r="AI74" s="254" t="str">
        <f t="shared" si="237"/>
        <v xml:space="preserve"> </v>
      </c>
      <c r="AJ74" s="227" t="str">
        <f t="shared" si="176"/>
        <v xml:space="preserve"> </v>
      </c>
      <c r="AK74" s="228" t="str">
        <f t="shared" si="177"/>
        <v xml:space="preserve"> </v>
      </c>
      <c r="AL74" s="228" t="str">
        <f t="shared" si="177"/>
        <v xml:space="preserve"> </v>
      </c>
      <c r="AM74" s="228" t="str">
        <f t="shared" si="178"/>
        <v xml:space="preserve"> </v>
      </c>
      <c r="AN74" s="228" t="str">
        <f t="shared" si="179"/>
        <v xml:space="preserve"> </v>
      </c>
      <c r="AO74" s="228" t="str">
        <f t="shared" si="179"/>
        <v xml:space="preserve"> </v>
      </c>
      <c r="AP74" s="228" t="str">
        <f t="shared" si="180"/>
        <v xml:space="preserve"> </v>
      </c>
      <c r="AQ74" s="228" t="str">
        <f t="shared" si="181"/>
        <v xml:space="preserve"> </v>
      </c>
      <c r="AR74" s="229" t="str">
        <f t="shared" si="182"/>
        <v xml:space="preserve"> </v>
      </c>
      <c r="AS74" s="262" t="str">
        <f t="shared" si="102"/>
        <v xml:space="preserve"> </v>
      </c>
      <c r="AT74" s="263" t="str">
        <f t="shared" si="103"/>
        <v xml:space="preserve"> </v>
      </c>
      <c r="AU74" s="263" t="str">
        <f t="shared" si="103"/>
        <v xml:space="preserve"> </v>
      </c>
      <c r="AV74" s="263" t="str">
        <f t="shared" si="104"/>
        <v xml:space="preserve"> </v>
      </c>
      <c r="AW74" s="263" t="str">
        <f t="shared" si="105"/>
        <v xml:space="preserve"> </v>
      </c>
      <c r="AX74" s="263" t="str">
        <f t="shared" si="105"/>
        <v xml:space="preserve"> </v>
      </c>
      <c r="AY74" s="263" t="str">
        <f t="shared" si="106"/>
        <v xml:space="preserve"> </v>
      </c>
      <c r="AZ74" s="263" t="str">
        <f t="shared" si="107"/>
        <v xml:space="preserve"> </v>
      </c>
      <c r="BA74" s="263" t="str">
        <f t="shared" si="108"/>
        <v xml:space="preserve"> </v>
      </c>
      <c r="BB74" s="229">
        <f>SUM(AS64:BA75)</f>
        <v>0</v>
      </c>
      <c r="BC74" s="266" t="str">
        <f t="shared" si="169"/>
        <v xml:space="preserve"> </v>
      </c>
      <c r="BD74" s="269" t="str">
        <f t="shared" si="170"/>
        <v xml:space="preserve"> </v>
      </c>
      <c r="BE74" s="269" t="str">
        <f t="shared" si="170"/>
        <v xml:space="preserve"> </v>
      </c>
      <c r="BF74" s="269" t="str">
        <f t="shared" si="171"/>
        <v xml:space="preserve"> </v>
      </c>
      <c r="BG74" s="269" t="str">
        <f t="shared" si="172"/>
        <v xml:space="preserve"> </v>
      </c>
      <c r="BH74" s="269" t="str">
        <f t="shared" si="172"/>
        <v xml:space="preserve"> </v>
      </c>
      <c r="BI74" s="269" t="str">
        <f t="shared" si="173"/>
        <v xml:space="preserve"> </v>
      </c>
      <c r="BJ74" s="269" t="str">
        <f t="shared" si="174"/>
        <v xml:space="preserve"> </v>
      </c>
      <c r="BK74" s="269" t="str">
        <f t="shared" si="175"/>
        <v xml:space="preserve"> </v>
      </c>
      <c r="BL74" s="229">
        <f>SUM(BC64:BK75)</f>
        <v>0</v>
      </c>
      <c r="BM74" s="220" t="str">
        <f>IF($A74="N/A"," ",(IF(MONTH(A74)&gt;=4,IF(MONTH(A74)&lt;=10,Inputs!$F$13-Inputs!$G$13,Inputs!$F$14-Inputs!$G$14),Inputs!$F$14-Inputs!$G$14))*$CK74*Availability)</f>
        <v xml:space="preserve"> </v>
      </c>
      <c r="BN74" s="221" t="str">
        <f t="shared" si="238"/>
        <v xml:space="preserve"> </v>
      </c>
      <c r="BO74" s="221" t="str">
        <f t="shared" si="239"/>
        <v xml:space="preserve"> </v>
      </c>
      <c r="BP74" s="221" t="str">
        <f t="shared" si="240"/>
        <v xml:space="preserve"> </v>
      </c>
      <c r="BQ74" s="221" t="str">
        <f t="shared" si="241"/>
        <v xml:space="preserve"> </v>
      </c>
      <c r="BR74" s="221" t="str">
        <f t="shared" si="242"/>
        <v xml:space="preserve"> </v>
      </c>
      <c r="BS74" s="221" t="str">
        <f t="shared" si="243"/>
        <v xml:space="preserve"> </v>
      </c>
      <c r="BT74" s="221" t="str">
        <f t="shared" si="244"/>
        <v xml:space="preserve"> </v>
      </c>
      <c r="BU74" s="221" t="str">
        <f t="shared" si="245"/>
        <v xml:space="preserve"> </v>
      </c>
      <c r="BV74" s="221" t="str">
        <f t="shared" si="246"/>
        <v xml:space="preserve"> </v>
      </c>
      <c r="BW74" s="221" t="str">
        <f t="shared" si="247"/>
        <v xml:space="preserve"> </v>
      </c>
      <c r="BX74" s="421" t="str">
        <f t="shared" si="248"/>
        <v xml:space="preserve"> </v>
      </c>
      <c r="BY74" s="417" t="str">
        <f t="shared" si="249"/>
        <v xml:space="preserve"> </v>
      </c>
      <c r="BZ74" s="417" t="str">
        <f t="shared" si="250"/>
        <v xml:space="preserve"> </v>
      </c>
      <c r="CA74" s="422" t="str">
        <f t="shared" si="251"/>
        <v xml:space="preserve"> </v>
      </c>
      <c r="CB74" s="347" t="str">
        <f t="shared" si="195"/>
        <v xml:space="preserve"> </v>
      </c>
      <c r="CC74" s="347" t="str">
        <f t="shared" si="252"/>
        <v xml:space="preserve"> </v>
      </c>
      <c r="CD74" s="348" t="str">
        <f t="shared" si="196"/>
        <v xml:space="preserve"> </v>
      </c>
      <c r="CE74" s="347" t="str">
        <f t="shared" si="197"/>
        <v xml:space="preserve"> </v>
      </c>
      <c r="CF74" s="347" t="str">
        <f t="shared" si="198"/>
        <v xml:space="preserve"> </v>
      </c>
      <c r="CG74" s="348" t="str">
        <f t="shared" si="199"/>
        <v xml:space="preserve"> </v>
      </c>
      <c r="CH74" s="347" t="str">
        <f t="shared" si="253"/>
        <v xml:space="preserve"> </v>
      </c>
      <c r="CI74" s="349" t="str">
        <f>IF($A74="N/A"," ",F74+G74+(D74*('Pricing Inputs'!T107)))</f>
        <v xml:space="preserve"> </v>
      </c>
      <c r="CJ74" s="347" t="str">
        <f>IF($A74="N/A"," ",IF(PV=1,0,'Pricing Inputs'!U107))</f>
        <v xml:space="preserve"> </v>
      </c>
      <c r="CK74" s="350" t="str">
        <f t="shared" si="200"/>
        <v xml:space="preserve"> </v>
      </c>
      <c r="CL74" s="365" t="str">
        <f t="shared" si="201"/>
        <v xml:space="preserve"> </v>
      </c>
      <c r="CM74" s="380" t="str">
        <f t="shared" si="254"/>
        <v xml:space="preserve"> </v>
      </c>
      <c r="CN74" s="378" t="str">
        <f t="shared" si="202"/>
        <v xml:space="preserve"> </v>
      </c>
      <c r="CO74" s="378" t="str">
        <f t="shared" si="203"/>
        <v xml:space="preserve"> </v>
      </c>
      <c r="CP74" s="378" t="str">
        <f t="shared" si="204"/>
        <v xml:space="preserve"> </v>
      </c>
      <c r="CQ74" s="378" t="str">
        <f t="shared" si="205"/>
        <v xml:space="preserve"> </v>
      </c>
      <c r="CR74" s="378" t="str">
        <f t="shared" si="206"/>
        <v xml:space="preserve"> </v>
      </c>
      <c r="CS74" s="378" t="str">
        <f t="shared" si="207"/>
        <v xml:space="preserve"> </v>
      </c>
      <c r="CT74" s="378" t="str">
        <f t="shared" si="208"/>
        <v xml:space="preserve"> </v>
      </c>
      <c r="CU74" s="378" t="str">
        <f t="shared" si="209"/>
        <v xml:space="preserve"> </v>
      </c>
      <c r="CV74" s="378" t="str">
        <f t="shared" si="210"/>
        <v xml:space="preserve"> </v>
      </c>
      <c r="CW74" s="254" t="str">
        <f t="shared" si="211"/>
        <v xml:space="preserve"> </v>
      </c>
      <c r="CX74" s="254" t="str">
        <f t="shared" si="212"/>
        <v xml:space="preserve"> </v>
      </c>
      <c r="CY74" s="254" t="str">
        <f t="shared" si="213"/>
        <v xml:space="preserve"> </v>
      </c>
      <c r="CZ74" s="254" t="str">
        <f t="shared" si="214"/>
        <v xml:space="preserve"> </v>
      </c>
      <c r="DA74" s="254" t="str">
        <f t="shared" si="215"/>
        <v xml:space="preserve"> </v>
      </c>
      <c r="DB74" s="254" t="str">
        <f t="shared" si="216"/>
        <v xml:space="preserve"> </v>
      </c>
      <c r="DC74" s="254" t="str">
        <f t="shared" si="217"/>
        <v xml:space="preserve"> </v>
      </c>
      <c r="DD74" s="254" t="str">
        <f t="shared" si="218"/>
        <v xml:space="preserve"> </v>
      </c>
      <c r="DE74" s="254" t="str">
        <f t="shared" si="219"/>
        <v xml:space="preserve"> </v>
      </c>
      <c r="DF74" s="374" t="str">
        <f>IF($A74="N/A"," ",IF(CC=2,(IF(MONTH(A74)&gt;=4,IF(MONTH(A74)&lt;=10,Inputs!$G$13,Inputs!$G$14),Inputs!$G$14))*$CK74,0))</f>
        <v xml:space="preserve"> </v>
      </c>
      <c r="DG74" s="373" t="str">
        <f t="shared" si="220"/>
        <v xml:space="preserve"> </v>
      </c>
      <c r="DH74" s="373" t="str">
        <f t="shared" si="221"/>
        <v xml:space="preserve"> </v>
      </c>
      <c r="DI74" s="373" t="str">
        <f t="shared" si="222"/>
        <v xml:space="preserve"> </v>
      </c>
      <c r="DJ74" s="373" t="str">
        <f t="shared" si="223"/>
        <v xml:space="preserve"> </v>
      </c>
      <c r="DK74" s="373" t="str">
        <f t="shared" si="224"/>
        <v xml:space="preserve"> </v>
      </c>
      <c r="DL74" s="373" t="str">
        <f t="shared" si="225"/>
        <v xml:space="preserve"> </v>
      </c>
      <c r="DM74" s="373" t="str">
        <f t="shared" si="226"/>
        <v xml:space="preserve"> </v>
      </c>
      <c r="DN74" s="373" t="str">
        <f t="shared" si="227"/>
        <v xml:space="preserve"> </v>
      </c>
      <c r="DO74" s="373" t="str">
        <f t="shared" si="228"/>
        <v xml:space="preserve"> </v>
      </c>
      <c r="DP74" s="375" t="str">
        <f t="shared" si="229"/>
        <v xml:space="preserve"> </v>
      </c>
      <c r="DQ74" t="str">
        <f t="shared" si="255"/>
        <v xml:space="preserve"> </v>
      </c>
      <c r="HD74" t="str">
        <f t="shared" si="256"/>
        <v xml:space="preserve"> </v>
      </c>
      <c r="HE74" t="str">
        <f t="shared" si="257"/>
        <v xml:space="preserve"> </v>
      </c>
      <c r="HF74" t="str">
        <f t="shared" si="258"/>
        <v xml:space="preserve"> </v>
      </c>
    </row>
    <row r="75" spans="1:214">
      <c r="A75" s="415" t="str">
        <f>IF(A74="N/A","N/A",IF(EDATE(A74,1)&gt;Inputs!$K$3,"N/A",EDATE(A74,1)))</f>
        <v>N/A</v>
      </c>
      <c r="B75" s="410" t="str">
        <f t="shared" si="230"/>
        <v xml:space="preserve"> </v>
      </c>
      <c r="C75" s="411" t="str">
        <f t="shared" si="231"/>
        <v xml:space="preserve"> </v>
      </c>
      <c r="D75" s="412" t="str">
        <f t="shared" si="232"/>
        <v xml:space="preserve"> </v>
      </c>
      <c r="E75" s="413" t="str">
        <f>IF($A75="N/A"," ",(C75-'Pricing Inputs'!T108)*D75)</f>
        <v xml:space="preserve"> </v>
      </c>
      <c r="F75" s="414" t="str">
        <f t="shared" si="116"/>
        <v xml:space="preserve"> </v>
      </c>
      <c r="G75" s="414" t="str">
        <f t="shared" si="233"/>
        <v xml:space="preserve"> </v>
      </c>
      <c r="H75" s="416" t="str">
        <f t="shared" si="234"/>
        <v xml:space="preserve"> </v>
      </c>
      <c r="I75" s="213" t="str">
        <f t="shared" si="183"/>
        <v xml:space="preserve"> </v>
      </c>
      <c r="J75" s="213" t="str">
        <f t="shared" si="184"/>
        <v xml:space="preserve"> </v>
      </c>
      <c r="K75" s="213" t="str">
        <f t="shared" si="185"/>
        <v xml:space="preserve"> </v>
      </c>
      <c r="L75" s="213" t="str">
        <f t="shared" si="186"/>
        <v xml:space="preserve"> </v>
      </c>
      <c r="M75" s="213" t="str">
        <f t="shared" si="187"/>
        <v xml:space="preserve"> </v>
      </c>
      <c r="N75" s="213" t="str">
        <f t="shared" si="188"/>
        <v xml:space="preserve"> </v>
      </c>
      <c r="O75" s="213" t="str">
        <f t="shared" si="189"/>
        <v xml:space="preserve"> </v>
      </c>
      <c r="P75" s="213" t="str">
        <f t="shared" si="190"/>
        <v xml:space="preserve"> </v>
      </c>
      <c r="Q75" s="213" t="str">
        <f t="shared" si="191"/>
        <v xml:space="preserve"> </v>
      </c>
      <c r="R75" s="405" t="str">
        <f>IF($A75="N/A"," ",IF(Pricetype=2,MAX(I75-$H75,0),IF(Pricetype=1,(_xll.xSPRDOPT(I75,$E75,$CI75,0,($CD75+IF(Smile=TRUE,VLOOKUP(MAX(-5,$H75-I75),Volsmile,2),0)),$CG75,$CH75,($A75-DateToday)+15,1,0)),I75-$H75)))</f>
        <v xml:space="preserve"> </v>
      </c>
      <c r="S75" s="405" t="str">
        <f>IF($A75="N/A"," ",IF(Pricetype=2,MAX(J75-$H75,0),IF(Pricetype=1,(_xll.xSPRDOPT(J75,$E75,$CI75,0,($CD75+IF(Smile=TRUE,VLOOKUP(MAX(-5,$H75-J75),Volsmile,2),0)),$CG75,$CH75,($A75-DateToday)+15,1,0)),J75-$H75)))</f>
        <v xml:space="preserve"> </v>
      </c>
      <c r="T75" s="406" t="str">
        <f t="shared" si="192"/>
        <v xml:space="preserve"> </v>
      </c>
      <c r="U75" s="405" t="str">
        <f>IF($A75="N/A"," ",IF(Pricetype=2,MAX(L75-$H75,0),IF(L75&lt;&gt;0,IF(Pricetype=1,(_xll.xSPRDOPT(L75,$E75,$CI75,0,($CD75+IF(Smile=TRUE,VLOOKUP(MAX(-5,$H75-L75),Volsmile,2),0)),$CG75,$CH75,($A75-DateToday)+15,1,0)),L75-$H75),0)))</f>
        <v xml:space="preserve"> </v>
      </c>
      <c r="V75" s="405" t="str">
        <f>IF($A75="N/A"," ",IF(Pricetype=2,MAX(M75-$H75,0),IF(M75&lt;&gt;0,IF(Pricetype=1,(_xll.xSPRDOPT(M75,$E75,$CI75,0,($CD75+IF(Smile=TRUE,VLOOKUP(MAX(-5,$H75-M75),Volsmile,2),0)),$CG75,$CH75,($A75-DateToday)+15,1,0)),M75-$H75),0)))</f>
        <v xml:space="preserve"> </v>
      </c>
      <c r="W75" s="406" t="str">
        <f t="shared" si="193"/>
        <v xml:space="preserve"> </v>
      </c>
      <c r="X75" s="405" t="str">
        <f>IF($A75="N/A"," ",IF(Pricetype=2,MAX(O75-$H75,0),IF(O75&lt;&gt;0,IF(Pricetype=1,(_xll.xSPRDOPT(O75,$E75,$CI75,0,($CD75+IF(Smile=TRUE,VLOOKUP(MAX(-5,$H75-O75),Volsmile,2),0)),$CG75,$CH75,($A75-DateToday)+15,1,0)),O75-$H75),0)))</f>
        <v xml:space="preserve"> </v>
      </c>
      <c r="Y75" s="405" t="str">
        <f>IF($A75="N/A"," ",IF(Pricetype=2,MAX(P75-$H75,0),IF(P75&lt;&gt;0,IF(Pricetype=1,(_xll.xSPRDOPT(P75,$E75,$CI75,0,($CD75+IF(Smile=TRUE,VLOOKUP(MAX(-5,$H75-P75),Volsmile,2),0)),$CG75,$CH75,($A75-DateToday)+15,1,0)),P75-$H75),0)))</f>
        <v xml:space="preserve"> </v>
      </c>
      <c r="Z75" s="406" t="str">
        <f t="shared" si="194"/>
        <v xml:space="preserve"> </v>
      </c>
      <c r="AA75" s="254" t="str">
        <f>IF($A75="N/A"," ",IF(VLOOKUP(MONTH(A75),ManualTable,2)=1,(IF(0&lt;&gt;R75,IF(Pricetype=1,(_xll.xSPRDOPT(I75,$E75,$CI75,0,($CD75+IF(Smile=TRUE,VLOOKUP(MAX(-5,$H75-I75),Volsmile,2),0)),$CG75,$CH75,($A75-DateToday)+15,1,1))*(8*$HD75),8*$HD75),0)),0))</f>
        <v xml:space="preserve"> </v>
      </c>
      <c r="AB75" s="254" t="str">
        <f>IF($A75="N/A"," ",IF(VLOOKUP(MONTH(A75),ManualTable,3)=1,(IF(S75&lt;&gt;0,IF(Pricetype=1,(_xll.xSPRDOPT(J75,$E75,$CI75,0,($CD75+IF(Smile=TRUE,VLOOKUP(MAX(-5,$H75-J75),Volsmile,2),0)),$CG75,$CH75,($A75-DateToday)+15,1,1))*(8*$HD75),8*$HD75),0)),0))</f>
        <v xml:space="preserve"> </v>
      </c>
      <c r="AC75" s="254" t="str">
        <f t="shared" si="235"/>
        <v xml:space="preserve"> </v>
      </c>
      <c r="AD75" s="254" t="str">
        <f>IF($A75="N/A"," ",IF(VLOOKUP(MONTH(A75),ManualTable,5)=1,(IF(U75&lt;&gt;0,IF(Pricetype=1,(_xll.xSPRDOPT(L75,$E75,$CI75,0,($CD75+IF(Smile=TRUE,VLOOKUP(MAX(-5,$H75-L75),Volsmile,2),0)),$CG75,$CH75,($A75-DateToday)+15,1,1))*(8*$HE75),8*$HE75),0)),0))</f>
        <v xml:space="preserve"> </v>
      </c>
      <c r="AE75" s="254" t="str">
        <f>IF($A75="N/A"," ",IF(VLOOKUP(MONTH(A75),ManualTable,6)=1,(IF(V75&lt;&gt;0,IF(Pricetype=1,(_xll.xSPRDOPT(M75,$E75,$CI75,0,($CD75+IF(Smile=TRUE,VLOOKUP(MAX(-5,$H75-M75),Volsmile,2),0)),$CG75,$CH75,($A75-DateToday)+15,1,1))*(8*$HE75),8*$HE75),0)),0))</f>
        <v xml:space="preserve"> </v>
      </c>
      <c r="AF75" s="254" t="str">
        <f t="shared" si="236"/>
        <v xml:space="preserve"> </v>
      </c>
      <c r="AG75" s="254" t="str">
        <f>IF($A75="N/A"," ",IF(VLOOKUP(MONTH(A75),ManualTable,8)=1,(IF(X75&lt;&gt;0,IF(Pricetype=1,(_xll.xSPRDOPT(O75,$E75,$CI75,0,($CD75+IF(Smile=TRUE,VLOOKUP(MAX(-5,$H75-O75),Volsmile,2),0)),$CG75,$CH75,($A75-DateToday)+15,1,1))*(8*$HF75),8*$HF75),0)),0))</f>
        <v xml:space="preserve"> </v>
      </c>
      <c r="AH75" s="254" t="str">
        <f>IF($A75="N/A"," ",IF(VLOOKUP(MONTH(A75),ManualTable,9)=1,(IF(Y75&lt;&gt;0,IF(Pricetype=1,(_xll.xSPRDOPT(P75,$E75,$CI75,0,($CD75+IF(Smile=TRUE,VLOOKUP(MAX(-5,$H75-P75),Volsmile,2),0)),$CG75,$CH75,($A75-DateToday)+15,1,1))*(8*$HF75),8*$HF75),0)),0))</f>
        <v xml:space="preserve"> </v>
      </c>
      <c r="AI75" s="254" t="str">
        <f t="shared" si="237"/>
        <v xml:space="preserve"> </v>
      </c>
      <c r="AJ75" s="230" t="str">
        <f t="shared" si="176"/>
        <v xml:space="preserve"> </v>
      </c>
      <c r="AK75" s="231" t="str">
        <f t="shared" si="177"/>
        <v xml:space="preserve"> </v>
      </c>
      <c r="AL75" s="231" t="str">
        <f t="shared" si="177"/>
        <v xml:space="preserve"> </v>
      </c>
      <c r="AM75" s="231" t="str">
        <f t="shared" si="178"/>
        <v xml:space="preserve"> </v>
      </c>
      <c r="AN75" s="231" t="str">
        <f t="shared" si="179"/>
        <v xml:space="preserve"> </v>
      </c>
      <c r="AO75" s="231" t="str">
        <f t="shared" si="179"/>
        <v xml:space="preserve"> </v>
      </c>
      <c r="AP75" s="231" t="str">
        <f t="shared" si="180"/>
        <v xml:space="preserve"> </v>
      </c>
      <c r="AQ75" s="231" t="str">
        <f t="shared" si="181"/>
        <v xml:space="preserve"> </v>
      </c>
      <c r="AR75" s="232" t="str">
        <f t="shared" si="182"/>
        <v xml:space="preserve"> </v>
      </c>
      <c r="AS75" s="264" t="str">
        <f t="shared" si="102"/>
        <v xml:space="preserve"> </v>
      </c>
      <c r="AT75" s="265" t="str">
        <f t="shared" si="103"/>
        <v xml:space="preserve"> </v>
      </c>
      <c r="AU75" s="265" t="str">
        <f t="shared" si="103"/>
        <v xml:space="preserve"> </v>
      </c>
      <c r="AV75" s="265" t="str">
        <f t="shared" si="104"/>
        <v xml:space="preserve"> </v>
      </c>
      <c r="AW75" s="265" t="str">
        <f t="shared" si="105"/>
        <v xml:space="preserve"> </v>
      </c>
      <c r="AX75" s="265" t="str">
        <f t="shared" si="105"/>
        <v xml:space="preserve"> </v>
      </c>
      <c r="AY75" s="265" t="str">
        <f t="shared" si="106"/>
        <v xml:space="preserve"> </v>
      </c>
      <c r="AZ75" s="265" t="str">
        <f t="shared" si="107"/>
        <v xml:space="preserve"> </v>
      </c>
      <c r="BA75" s="265" t="str">
        <f t="shared" si="108"/>
        <v xml:space="preserve"> </v>
      </c>
      <c r="BB75" s="232">
        <f>IF(($AZ$2-BB74)&gt;=0,$AZ$2-BB74,0)</f>
        <v>980</v>
      </c>
      <c r="BC75" s="270" t="str">
        <f t="shared" si="169"/>
        <v xml:space="preserve"> </v>
      </c>
      <c r="BD75" s="271" t="str">
        <f t="shared" si="170"/>
        <v xml:space="preserve"> </v>
      </c>
      <c r="BE75" s="269" t="str">
        <f t="shared" si="170"/>
        <v xml:space="preserve"> </v>
      </c>
      <c r="BF75" s="271" t="str">
        <f t="shared" si="171"/>
        <v xml:space="preserve"> </v>
      </c>
      <c r="BG75" s="271" t="str">
        <f t="shared" si="172"/>
        <v xml:space="preserve"> </v>
      </c>
      <c r="BH75" s="269" t="str">
        <f t="shared" si="172"/>
        <v xml:space="preserve"> </v>
      </c>
      <c r="BI75" s="271" t="str">
        <f t="shared" si="173"/>
        <v xml:space="preserve"> </v>
      </c>
      <c r="BJ75" s="271" t="str">
        <f t="shared" si="174"/>
        <v xml:space="preserve"> </v>
      </c>
      <c r="BK75" s="271" t="str">
        <f t="shared" si="175"/>
        <v xml:space="preserve"> </v>
      </c>
      <c r="BL75" s="235">
        <f>BB74+BL74</f>
        <v>0</v>
      </c>
      <c r="BM75" s="220" t="str">
        <f>IF($A75="N/A"," ",(IF(MONTH(A75)&gt;=4,IF(MONTH(A75)&lt;=10,Inputs!$F$13-Inputs!$G$13,Inputs!$F$14-Inputs!$G$14),Inputs!$F$14-Inputs!$G$14))*$CK75*Availability)</f>
        <v xml:space="preserve"> </v>
      </c>
      <c r="BN75" s="221" t="str">
        <f t="shared" si="238"/>
        <v xml:space="preserve"> </v>
      </c>
      <c r="BO75" s="221" t="str">
        <f t="shared" si="239"/>
        <v xml:space="preserve"> </v>
      </c>
      <c r="BP75" s="221" t="str">
        <f t="shared" si="240"/>
        <v xml:space="preserve"> </v>
      </c>
      <c r="BQ75" s="221" t="str">
        <f t="shared" si="241"/>
        <v xml:space="preserve"> </v>
      </c>
      <c r="BR75" s="221" t="str">
        <f t="shared" si="242"/>
        <v xml:space="preserve"> </v>
      </c>
      <c r="BS75" s="221" t="str">
        <f t="shared" si="243"/>
        <v xml:space="preserve"> </v>
      </c>
      <c r="BT75" s="221" t="str">
        <f t="shared" si="244"/>
        <v xml:space="preserve"> </v>
      </c>
      <c r="BU75" s="221" t="str">
        <f t="shared" si="245"/>
        <v xml:space="preserve"> </v>
      </c>
      <c r="BV75" s="221" t="str">
        <f t="shared" si="246"/>
        <v xml:space="preserve"> </v>
      </c>
      <c r="BW75" s="221" t="str">
        <f t="shared" si="247"/>
        <v xml:space="preserve"> </v>
      </c>
      <c r="BX75" s="421" t="str">
        <f t="shared" si="248"/>
        <v xml:space="preserve"> </v>
      </c>
      <c r="BY75" s="417" t="str">
        <f t="shared" si="249"/>
        <v xml:space="preserve"> </v>
      </c>
      <c r="BZ75" s="417" t="str">
        <f t="shared" si="250"/>
        <v xml:space="preserve"> </v>
      </c>
      <c r="CA75" s="422" t="str">
        <f t="shared" si="251"/>
        <v xml:space="preserve"> </v>
      </c>
      <c r="CB75" s="347" t="str">
        <f t="shared" si="195"/>
        <v xml:space="preserve"> </v>
      </c>
      <c r="CC75" s="347" t="str">
        <f t="shared" si="252"/>
        <v xml:space="preserve"> </v>
      </c>
      <c r="CD75" s="348" t="str">
        <f t="shared" si="196"/>
        <v xml:space="preserve"> </v>
      </c>
      <c r="CE75" s="347" t="str">
        <f t="shared" si="197"/>
        <v xml:space="preserve"> </v>
      </c>
      <c r="CF75" s="347" t="str">
        <f t="shared" si="198"/>
        <v xml:space="preserve"> </v>
      </c>
      <c r="CG75" s="348" t="str">
        <f t="shared" si="199"/>
        <v xml:space="preserve"> </v>
      </c>
      <c r="CH75" s="347" t="str">
        <f t="shared" si="253"/>
        <v xml:space="preserve"> </v>
      </c>
      <c r="CI75" s="349" t="str">
        <f>IF($A75="N/A"," ",F75+G75+(D75*('Pricing Inputs'!T108)))</f>
        <v xml:space="preserve"> </v>
      </c>
      <c r="CJ75" s="347" t="str">
        <f>IF($A75="N/A"," ",IF(PV=1,0,'Pricing Inputs'!U108))</f>
        <v xml:space="preserve"> </v>
      </c>
      <c r="CK75" s="350" t="str">
        <f t="shared" si="200"/>
        <v xml:space="preserve"> </v>
      </c>
      <c r="CL75" s="365" t="str">
        <f t="shared" si="201"/>
        <v xml:space="preserve"> </v>
      </c>
      <c r="CM75" s="380" t="str">
        <f t="shared" si="254"/>
        <v xml:space="preserve"> </v>
      </c>
      <c r="CN75" s="378" t="str">
        <f t="shared" si="202"/>
        <v xml:space="preserve"> </v>
      </c>
      <c r="CO75" s="378" t="str">
        <f t="shared" si="203"/>
        <v xml:space="preserve"> </v>
      </c>
      <c r="CP75" s="378" t="str">
        <f t="shared" si="204"/>
        <v xml:space="preserve"> </v>
      </c>
      <c r="CQ75" s="378" t="str">
        <f t="shared" si="205"/>
        <v xml:space="preserve"> </v>
      </c>
      <c r="CR75" s="378" t="str">
        <f t="shared" si="206"/>
        <v xml:space="preserve"> </v>
      </c>
      <c r="CS75" s="378" t="str">
        <f t="shared" si="207"/>
        <v xml:space="preserve"> </v>
      </c>
      <c r="CT75" s="378" t="str">
        <f t="shared" si="208"/>
        <v xml:space="preserve"> </v>
      </c>
      <c r="CU75" s="378" t="str">
        <f t="shared" si="209"/>
        <v xml:space="preserve"> </v>
      </c>
      <c r="CV75" s="378" t="str">
        <f t="shared" si="210"/>
        <v xml:space="preserve"> </v>
      </c>
      <c r="CW75" s="254" t="str">
        <f t="shared" si="211"/>
        <v xml:space="preserve"> </v>
      </c>
      <c r="CX75" s="254" t="str">
        <f t="shared" si="212"/>
        <v xml:space="preserve"> </v>
      </c>
      <c r="CY75" s="254" t="str">
        <f t="shared" si="213"/>
        <v xml:space="preserve"> </v>
      </c>
      <c r="CZ75" s="254" t="str">
        <f t="shared" si="214"/>
        <v xml:space="preserve"> </v>
      </c>
      <c r="DA75" s="254" t="str">
        <f t="shared" si="215"/>
        <v xml:space="preserve"> </v>
      </c>
      <c r="DB75" s="254" t="str">
        <f t="shared" si="216"/>
        <v xml:space="preserve"> </v>
      </c>
      <c r="DC75" s="254" t="str">
        <f t="shared" si="217"/>
        <v xml:space="preserve"> </v>
      </c>
      <c r="DD75" s="254" t="str">
        <f t="shared" si="218"/>
        <v xml:space="preserve"> </v>
      </c>
      <c r="DE75" s="254" t="str">
        <f t="shared" si="219"/>
        <v xml:space="preserve"> </v>
      </c>
      <c r="DF75" s="374" t="str">
        <f>IF($A75="N/A"," ",IF(CC=2,(IF(MONTH(A75)&gt;=4,IF(MONTH(A75)&lt;=10,Inputs!$G$13,Inputs!$G$14),Inputs!$G$14))*$CK75,0))</f>
        <v xml:space="preserve"> </v>
      </c>
      <c r="DG75" s="373" t="str">
        <f t="shared" si="220"/>
        <v xml:space="preserve"> </v>
      </c>
      <c r="DH75" s="373" t="str">
        <f t="shared" si="221"/>
        <v xml:space="preserve"> </v>
      </c>
      <c r="DI75" s="373" t="str">
        <f t="shared" si="222"/>
        <v xml:space="preserve"> </v>
      </c>
      <c r="DJ75" s="373" t="str">
        <f t="shared" si="223"/>
        <v xml:space="preserve"> </v>
      </c>
      <c r="DK75" s="373" t="str">
        <f t="shared" si="224"/>
        <v xml:space="preserve"> </v>
      </c>
      <c r="DL75" s="373" t="str">
        <f t="shared" si="225"/>
        <v xml:space="preserve"> </v>
      </c>
      <c r="DM75" s="373" t="str">
        <f t="shared" si="226"/>
        <v xml:space="preserve"> </v>
      </c>
      <c r="DN75" s="373" t="str">
        <f t="shared" si="227"/>
        <v xml:space="preserve"> </v>
      </c>
      <c r="DO75" s="373" t="str">
        <f t="shared" si="228"/>
        <v xml:space="preserve"> </v>
      </c>
      <c r="DP75" s="375" t="str">
        <f t="shared" si="229"/>
        <v xml:space="preserve"> </v>
      </c>
      <c r="DQ75" t="str">
        <f t="shared" si="255"/>
        <v xml:space="preserve"> </v>
      </c>
      <c r="HD75" t="str">
        <f t="shared" si="256"/>
        <v xml:space="preserve"> </v>
      </c>
      <c r="HE75" t="str">
        <f t="shared" si="257"/>
        <v xml:space="preserve"> </v>
      </c>
      <c r="HF75" t="str">
        <f t="shared" si="258"/>
        <v xml:space="preserve"> </v>
      </c>
    </row>
    <row r="76" spans="1:214">
      <c r="A76" s="415" t="str">
        <f>IF(A75="N/A","N/A",IF(EDATE(A75,1)&gt;Inputs!$K$3,"N/A",EDATE(A75,1)))</f>
        <v>N/A</v>
      </c>
      <c r="B76" s="410" t="str">
        <f t="shared" si="230"/>
        <v xml:space="preserve"> </v>
      </c>
      <c r="C76" s="411" t="str">
        <f t="shared" si="231"/>
        <v xml:space="preserve"> </v>
      </c>
      <c r="D76" s="412" t="str">
        <f t="shared" si="232"/>
        <v xml:space="preserve"> </v>
      </c>
      <c r="E76" s="413" t="str">
        <f>IF($A76="N/A"," ",(C76-'Pricing Inputs'!T109)*D76)</f>
        <v xml:space="preserve"> </v>
      </c>
      <c r="F76" s="414" t="str">
        <f t="shared" si="116"/>
        <v xml:space="preserve"> </v>
      </c>
      <c r="G76" s="414" t="str">
        <f t="shared" si="233"/>
        <v xml:space="preserve"> </v>
      </c>
      <c r="H76" s="416" t="str">
        <f t="shared" si="234"/>
        <v xml:space="preserve"> </v>
      </c>
      <c r="I76" s="213" t="str">
        <f t="shared" si="183"/>
        <v xml:space="preserve"> </v>
      </c>
      <c r="J76" s="213" t="str">
        <f t="shared" si="184"/>
        <v xml:space="preserve"> </v>
      </c>
      <c r="K76" s="213" t="str">
        <f t="shared" si="185"/>
        <v xml:space="preserve"> </v>
      </c>
      <c r="L76" s="213" t="str">
        <f t="shared" si="186"/>
        <v xml:space="preserve"> </v>
      </c>
      <c r="M76" s="213" t="str">
        <f t="shared" si="187"/>
        <v xml:space="preserve"> </v>
      </c>
      <c r="N76" s="213" t="str">
        <f t="shared" si="188"/>
        <v xml:space="preserve"> </v>
      </c>
      <c r="O76" s="213" t="str">
        <f t="shared" si="189"/>
        <v xml:space="preserve"> </v>
      </c>
      <c r="P76" s="213" t="str">
        <f t="shared" si="190"/>
        <v xml:space="preserve"> </v>
      </c>
      <c r="Q76" s="213" t="str">
        <f t="shared" si="191"/>
        <v xml:space="preserve"> </v>
      </c>
      <c r="R76" s="405" t="str">
        <f>IF($A76="N/A"," ",IF(Pricetype=2,MAX(I76-$H76,0),IF(Pricetype=1,(_xll.xSPRDOPT(I76,$E76,$CI76,0,($CD76+IF(Smile=TRUE,VLOOKUP(MAX(-5,$H76-I76),Volsmile,2),0)),$CG76,$CH76,($A76-DateToday)+15,1,0)),I76-$H76)))</f>
        <v xml:space="preserve"> </v>
      </c>
      <c r="S76" s="405" t="str">
        <f>IF($A76="N/A"," ",IF(Pricetype=2,MAX(J76-$H76,0),IF(Pricetype=1,(_xll.xSPRDOPT(J76,$E76,$CI76,0,($CD76+IF(Smile=TRUE,VLOOKUP(MAX(-5,$H76-J76),Volsmile,2),0)),$CG76,$CH76,($A76-DateToday)+15,1,0)),J76-$H76)))</f>
        <v xml:space="preserve"> </v>
      </c>
      <c r="T76" s="406" t="str">
        <f t="shared" si="192"/>
        <v xml:space="preserve"> </v>
      </c>
      <c r="U76" s="405" t="str">
        <f>IF($A76="N/A"," ",IF(Pricetype=2,MAX(L76-$H76,0),IF(L76&lt;&gt;0,IF(Pricetype=1,(_xll.xSPRDOPT(L76,$E76,$CI76,0,($CD76+IF(Smile=TRUE,VLOOKUP(MAX(-5,$H76-L76),Volsmile,2),0)),$CG76,$CH76,($A76-DateToday)+15,1,0)),L76-$H76),0)))</f>
        <v xml:space="preserve"> </v>
      </c>
      <c r="V76" s="405" t="str">
        <f>IF($A76="N/A"," ",IF(Pricetype=2,MAX(M76-$H76,0),IF(M76&lt;&gt;0,IF(Pricetype=1,(_xll.xSPRDOPT(M76,$E76,$CI76,0,($CD76+IF(Smile=TRUE,VLOOKUP(MAX(-5,$H76-M76),Volsmile,2),0)),$CG76,$CH76,($A76-DateToday)+15,1,0)),M76-$H76),0)))</f>
        <v xml:space="preserve"> </v>
      </c>
      <c r="W76" s="406" t="str">
        <f t="shared" si="193"/>
        <v xml:space="preserve"> </v>
      </c>
      <c r="X76" s="405" t="str">
        <f>IF($A76="N/A"," ",IF(Pricetype=2,MAX(O76-$H76,0),IF(O76&lt;&gt;0,IF(Pricetype=1,(_xll.xSPRDOPT(O76,$E76,$CI76,0,($CD76+IF(Smile=TRUE,VLOOKUP(MAX(-5,$H76-O76),Volsmile,2),0)),$CG76,$CH76,($A76-DateToday)+15,1,0)),O76-$H76),0)))</f>
        <v xml:space="preserve"> </v>
      </c>
      <c r="Y76" s="405" t="str">
        <f>IF($A76="N/A"," ",IF(Pricetype=2,MAX(P76-$H76,0),IF(P76&lt;&gt;0,IF(Pricetype=1,(_xll.xSPRDOPT(P76,$E76,$CI76,0,($CD76+IF(Smile=TRUE,VLOOKUP(MAX(-5,$H76-P76),Volsmile,2),0)),$CG76,$CH76,($A76-DateToday)+15,1,0)),P76-$H76),0)))</f>
        <v xml:space="preserve"> </v>
      </c>
      <c r="Z76" s="406" t="str">
        <f t="shared" si="194"/>
        <v xml:space="preserve"> </v>
      </c>
      <c r="AA76" s="254" t="str">
        <f>IF($A76="N/A"," ",IF(VLOOKUP(MONTH(A76),ManualTable,2)=1,(IF(0&lt;&gt;R76,IF(Pricetype=1,(_xll.xSPRDOPT(I76,$E76,$CI76,0,($CD76+IF(Smile=TRUE,VLOOKUP(MAX(-5,$H76-I76),Volsmile,2),0)),$CG76,$CH76,($A76-DateToday)+15,1,1))*(8*$HD76),8*$HD76),0)),0))</f>
        <v xml:space="preserve"> </v>
      </c>
      <c r="AB76" s="254" t="str">
        <f>IF($A76="N/A"," ",IF(VLOOKUP(MONTH(A76),ManualTable,3)=1,(IF(S76&lt;&gt;0,IF(Pricetype=1,(_xll.xSPRDOPT(J76,$E76,$CI76,0,($CD76+IF(Smile=TRUE,VLOOKUP(MAX(-5,$H76-J76),Volsmile,2),0)),$CG76,$CH76,($A76-DateToday)+15,1,1))*(8*$HD76),8*$HD76),0)),0))</f>
        <v xml:space="preserve"> </v>
      </c>
      <c r="AC76" s="254" t="str">
        <f t="shared" si="235"/>
        <v xml:space="preserve"> </v>
      </c>
      <c r="AD76" s="254" t="str">
        <f>IF($A76="N/A"," ",IF(VLOOKUP(MONTH(A76),ManualTable,5)=1,(IF(U76&lt;&gt;0,IF(Pricetype=1,(_xll.xSPRDOPT(L76,$E76,$CI76,0,($CD76+IF(Smile=TRUE,VLOOKUP(MAX(-5,$H76-L76),Volsmile,2),0)),$CG76,$CH76,($A76-DateToday)+15,1,1))*(8*$HE76),8*$HE76),0)),0))</f>
        <v xml:space="preserve"> </v>
      </c>
      <c r="AE76" s="254" t="str">
        <f>IF($A76="N/A"," ",IF(VLOOKUP(MONTH(A76),ManualTable,6)=1,(IF(V76&lt;&gt;0,IF(Pricetype=1,(_xll.xSPRDOPT(M76,$E76,$CI76,0,($CD76+IF(Smile=TRUE,VLOOKUP(MAX(-5,$H76-M76),Volsmile,2),0)),$CG76,$CH76,($A76-DateToday)+15,1,1))*(8*$HE76),8*$HE76),0)),0))</f>
        <v xml:space="preserve"> </v>
      </c>
      <c r="AF76" s="254" t="str">
        <f t="shared" si="236"/>
        <v xml:space="preserve"> </v>
      </c>
      <c r="AG76" s="254" t="str">
        <f>IF($A76="N/A"," ",IF(VLOOKUP(MONTH(A76),ManualTable,8)=1,(IF(X76&lt;&gt;0,IF(Pricetype=1,(_xll.xSPRDOPT(O76,$E76,$CI76,0,($CD76+IF(Smile=TRUE,VLOOKUP(MAX(-5,$H76-O76),Volsmile,2),0)),$CG76,$CH76,($A76-DateToday)+15,1,1))*(8*$HF76),8*$HF76),0)),0))</f>
        <v xml:space="preserve"> </v>
      </c>
      <c r="AH76" s="254" t="str">
        <f>IF($A76="N/A"," ",IF(VLOOKUP(MONTH(A76),ManualTable,9)=1,(IF(Y76&lt;&gt;0,IF(Pricetype=1,(_xll.xSPRDOPT(P76,$E76,$CI76,0,($CD76+IF(Smile=TRUE,VLOOKUP(MAX(-5,$H76-P76),Volsmile,2),0)),$CG76,$CH76,($A76-DateToday)+15,1,1))*(8*$HF76),8*$HF76),0)),0))</f>
        <v xml:space="preserve"> </v>
      </c>
      <c r="AI76" s="254" t="str">
        <f t="shared" si="237"/>
        <v xml:space="preserve"> </v>
      </c>
      <c r="AJ76" s="224" t="str">
        <f t="shared" ref="AJ76:AR76" si="259">IF($A76="N/A"," ",RANK(R76,$R$76:$Z$87))</f>
        <v xml:space="preserve"> </v>
      </c>
      <c r="AK76" s="225" t="str">
        <f t="shared" si="259"/>
        <v xml:space="preserve"> </v>
      </c>
      <c r="AL76" s="225" t="str">
        <f t="shared" si="259"/>
        <v xml:space="preserve"> </v>
      </c>
      <c r="AM76" s="225" t="str">
        <f t="shared" si="259"/>
        <v xml:space="preserve"> </v>
      </c>
      <c r="AN76" s="225" t="str">
        <f t="shared" si="259"/>
        <v xml:space="preserve"> </v>
      </c>
      <c r="AO76" s="225" t="str">
        <f t="shared" si="259"/>
        <v xml:space="preserve"> </v>
      </c>
      <c r="AP76" s="225" t="str">
        <f t="shared" si="259"/>
        <v xml:space="preserve"> </v>
      </c>
      <c r="AQ76" s="225" t="str">
        <f t="shared" si="259"/>
        <v xml:space="preserve"> </v>
      </c>
      <c r="AR76" s="226" t="str">
        <f t="shared" si="259"/>
        <v xml:space="preserve"> </v>
      </c>
      <c r="AS76" s="260" t="str">
        <f t="shared" si="102"/>
        <v xml:space="preserve"> </v>
      </c>
      <c r="AT76" s="261" t="str">
        <f t="shared" si="103"/>
        <v xml:space="preserve"> </v>
      </c>
      <c r="AU76" s="263" t="str">
        <f t="shared" si="103"/>
        <v xml:space="preserve"> </v>
      </c>
      <c r="AV76" s="263" t="str">
        <f t="shared" si="104"/>
        <v xml:space="preserve"> </v>
      </c>
      <c r="AW76" s="263" t="str">
        <f t="shared" si="105"/>
        <v xml:space="preserve"> </v>
      </c>
      <c r="AX76" s="263" t="str">
        <f t="shared" si="105"/>
        <v xml:space="preserve"> </v>
      </c>
      <c r="AY76" s="261" t="str">
        <f t="shared" si="106"/>
        <v xml:space="preserve"> </v>
      </c>
      <c r="AZ76" s="261" t="str">
        <f t="shared" si="107"/>
        <v xml:space="preserve"> </v>
      </c>
      <c r="BA76" s="261" t="str">
        <f t="shared" si="108"/>
        <v xml:space="preserve"> </v>
      </c>
      <c r="BB76" s="226"/>
      <c r="BC76" s="272" t="str">
        <f t="shared" ref="BC76:BC87" si="260">IF($A76="N/A"," ",IF(AND(AJ76=$AR$2+1,AS76=0),MIN($BB$87,AA76),0))</f>
        <v xml:space="preserve"> </v>
      </c>
      <c r="BD76" s="267" t="str">
        <f t="shared" ref="BD76:BE87" si="261">IF($A76="N/A"," ",IF(AND(AK76=$AR$2+1,AT76=0),MIN($BB$87,AB76),0))</f>
        <v xml:space="preserve"> </v>
      </c>
      <c r="BE76" s="267" t="str">
        <f t="shared" si="261"/>
        <v xml:space="preserve"> </v>
      </c>
      <c r="BF76" s="267" t="str">
        <f t="shared" ref="BF76:BF87" si="262">IF($A76="N/A"," ",IF(AND(AM76=$AR$2+1,AV76=0),MIN($BB$87,AD76),0))</f>
        <v xml:space="preserve"> </v>
      </c>
      <c r="BG76" s="267" t="str">
        <f t="shared" ref="BG76:BH87" si="263">IF($A76="N/A"," ",IF(AND(AN76=$AR$2+1,AW76=0),MIN($BB$87,AE76),0))</f>
        <v xml:space="preserve"> </v>
      </c>
      <c r="BH76" s="267" t="str">
        <f t="shared" si="263"/>
        <v xml:space="preserve"> </v>
      </c>
      <c r="BI76" s="267" t="str">
        <f t="shared" ref="BI76:BI87" si="264">IF($A76="N/A"," ",IF(AND(AP76=$AR$2+1,AY76=0),MIN($BB$87,AG76),0))</f>
        <v xml:space="preserve"> </v>
      </c>
      <c r="BJ76" s="267" t="str">
        <f t="shared" ref="BJ76:BJ87" si="265">IF($A76="N/A"," ",IF(AND(AQ76=$AR$2+1,AZ76=0),MIN($BB$87,AH76),0))</f>
        <v xml:space="preserve"> </v>
      </c>
      <c r="BK76" s="267" t="str">
        <f t="shared" ref="BK76:BK87" si="266">IF($A76="N/A"," ",IF(AND(AR76=$AR$2+1,BA76=0),MIN($BB$87,AI76),0))</f>
        <v xml:space="preserve"> </v>
      </c>
      <c r="BL76" s="226"/>
      <c r="BM76" s="220" t="str">
        <f>IF($A76="N/A"," ",(IF(MONTH(A76)&gt;=4,IF(MONTH(A76)&lt;=10,Inputs!$F$13-Inputs!$G$13,Inputs!$F$14-Inputs!$G$14),Inputs!$F$14-Inputs!$G$14))*$CK76*Availability)</f>
        <v xml:space="preserve"> </v>
      </c>
      <c r="BN76" s="221" t="str">
        <f t="shared" si="238"/>
        <v xml:space="preserve"> </v>
      </c>
      <c r="BO76" s="221" t="str">
        <f t="shared" si="239"/>
        <v xml:space="preserve"> </v>
      </c>
      <c r="BP76" s="221" t="str">
        <f t="shared" si="240"/>
        <v xml:space="preserve"> </v>
      </c>
      <c r="BQ76" s="221" t="str">
        <f t="shared" si="241"/>
        <v xml:space="preserve"> </v>
      </c>
      <c r="BR76" s="221" t="str">
        <f t="shared" si="242"/>
        <v xml:space="preserve"> </v>
      </c>
      <c r="BS76" s="221" t="str">
        <f t="shared" si="243"/>
        <v xml:space="preserve"> </v>
      </c>
      <c r="BT76" s="221" t="str">
        <f t="shared" si="244"/>
        <v xml:space="preserve"> </v>
      </c>
      <c r="BU76" s="221" t="str">
        <f t="shared" si="245"/>
        <v xml:space="preserve"> </v>
      </c>
      <c r="BV76" s="221" t="str">
        <f t="shared" si="246"/>
        <v xml:space="preserve"> </v>
      </c>
      <c r="BW76" s="221" t="str">
        <f t="shared" si="247"/>
        <v xml:space="preserve"> </v>
      </c>
      <c r="BX76" s="421" t="str">
        <f t="shared" si="248"/>
        <v xml:space="preserve"> </v>
      </c>
      <c r="BY76" s="417" t="str">
        <f t="shared" si="249"/>
        <v xml:space="preserve"> </v>
      </c>
      <c r="BZ76" s="417" t="str">
        <f t="shared" si="250"/>
        <v xml:space="preserve"> </v>
      </c>
      <c r="CA76" s="422" t="str">
        <f t="shared" si="251"/>
        <v xml:space="preserve"> </v>
      </c>
      <c r="CB76" s="347" t="str">
        <f t="shared" si="195"/>
        <v xml:space="preserve"> </v>
      </c>
      <c r="CC76" s="347" t="str">
        <f t="shared" si="252"/>
        <v xml:space="preserve"> </v>
      </c>
      <c r="CD76" s="348" t="str">
        <f t="shared" si="196"/>
        <v xml:space="preserve"> </v>
      </c>
      <c r="CE76" s="347" t="str">
        <f t="shared" si="197"/>
        <v xml:space="preserve"> </v>
      </c>
      <c r="CF76" s="347" t="str">
        <f t="shared" si="198"/>
        <v xml:space="preserve"> </v>
      </c>
      <c r="CG76" s="348" t="str">
        <f t="shared" si="199"/>
        <v xml:space="preserve"> </v>
      </c>
      <c r="CH76" s="347" t="str">
        <f t="shared" si="253"/>
        <v xml:space="preserve"> </v>
      </c>
      <c r="CI76" s="349" t="str">
        <f>IF($A76="N/A"," ",F76+G76+(D76*('Pricing Inputs'!T109)))</f>
        <v xml:space="preserve"> </v>
      </c>
      <c r="CJ76" s="347" t="str">
        <f>IF($A76="N/A"," ",IF(PV=1,0,'Pricing Inputs'!U109))</f>
        <v xml:space="preserve"> </v>
      </c>
      <c r="CK76" s="350" t="str">
        <f t="shared" si="200"/>
        <v xml:space="preserve"> </v>
      </c>
      <c r="CL76" s="365" t="str">
        <f t="shared" si="201"/>
        <v xml:space="preserve"> </v>
      </c>
      <c r="CM76" s="380" t="str">
        <f t="shared" si="254"/>
        <v xml:space="preserve"> </v>
      </c>
      <c r="CN76" s="378" t="str">
        <f t="shared" si="202"/>
        <v xml:space="preserve"> </v>
      </c>
      <c r="CO76" s="378" t="str">
        <f t="shared" si="203"/>
        <v xml:space="preserve"> </v>
      </c>
      <c r="CP76" s="378" t="str">
        <f t="shared" si="204"/>
        <v xml:space="preserve"> </v>
      </c>
      <c r="CQ76" s="378" t="str">
        <f t="shared" si="205"/>
        <v xml:space="preserve"> </v>
      </c>
      <c r="CR76" s="378" t="str">
        <f t="shared" si="206"/>
        <v xml:space="preserve"> </v>
      </c>
      <c r="CS76" s="378" t="str">
        <f t="shared" si="207"/>
        <v xml:space="preserve"> </v>
      </c>
      <c r="CT76" s="378" t="str">
        <f t="shared" si="208"/>
        <v xml:space="preserve"> </v>
      </c>
      <c r="CU76" s="378" t="str">
        <f t="shared" si="209"/>
        <v xml:space="preserve"> </v>
      </c>
      <c r="CV76" s="378" t="str">
        <f t="shared" si="210"/>
        <v xml:space="preserve"> </v>
      </c>
      <c r="CW76" s="254" t="str">
        <f t="shared" si="211"/>
        <v xml:space="preserve"> </v>
      </c>
      <c r="CX76" s="254" t="str">
        <f t="shared" si="212"/>
        <v xml:space="preserve"> </v>
      </c>
      <c r="CY76" s="254" t="str">
        <f t="shared" si="213"/>
        <v xml:space="preserve"> </v>
      </c>
      <c r="CZ76" s="254" t="str">
        <f t="shared" si="214"/>
        <v xml:space="preserve"> </v>
      </c>
      <c r="DA76" s="254" t="str">
        <f t="shared" si="215"/>
        <v xml:space="preserve"> </v>
      </c>
      <c r="DB76" s="254" t="str">
        <f t="shared" si="216"/>
        <v xml:space="preserve"> </v>
      </c>
      <c r="DC76" s="254" t="str">
        <f t="shared" si="217"/>
        <v xml:space="preserve"> </v>
      </c>
      <c r="DD76" s="254" t="str">
        <f t="shared" si="218"/>
        <v xml:space="preserve"> </v>
      </c>
      <c r="DE76" s="254" t="str">
        <f t="shared" si="219"/>
        <v xml:space="preserve"> </v>
      </c>
      <c r="DF76" s="374" t="str">
        <f>IF($A76="N/A"," ",IF(CC=2,(IF(MONTH(A76)&gt;=4,IF(MONTH(A76)&lt;=10,Inputs!$G$13,Inputs!$G$14),Inputs!$G$14))*$CK76,0))</f>
        <v xml:space="preserve"> </v>
      </c>
      <c r="DG76" s="373" t="str">
        <f t="shared" si="220"/>
        <v xml:space="preserve"> </v>
      </c>
      <c r="DH76" s="373" t="str">
        <f t="shared" si="221"/>
        <v xml:space="preserve"> </v>
      </c>
      <c r="DI76" s="373" t="str">
        <f t="shared" si="222"/>
        <v xml:space="preserve"> </v>
      </c>
      <c r="DJ76" s="373" t="str">
        <f t="shared" si="223"/>
        <v xml:space="preserve"> </v>
      </c>
      <c r="DK76" s="373" t="str">
        <f t="shared" si="224"/>
        <v xml:space="preserve"> </v>
      </c>
      <c r="DL76" s="373" t="str">
        <f t="shared" si="225"/>
        <v xml:space="preserve"> </v>
      </c>
      <c r="DM76" s="373" t="str">
        <f t="shared" si="226"/>
        <v xml:space="preserve"> </v>
      </c>
      <c r="DN76" s="373" t="str">
        <f t="shared" si="227"/>
        <v xml:space="preserve"> </v>
      </c>
      <c r="DO76" s="373" t="str">
        <f t="shared" si="228"/>
        <v xml:space="preserve"> </v>
      </c>
      <c r="DP76" s="375" t="str">
        <f t="shared" si="229"/>
        <v xml:space="preserve"> </v>
      </c>
      <c r="DQ76" t="str">
        <f t="shared" si="255"/>
        <v xml:space="preserve"> </v>
      </c>
      <c r="HD76" t="str">
        <f t="shared" si="256"/>
        <v xml:space="preserve"> </v>
      </c>
      <c r="HE76" t="str">
        <f t="shared" si="257"/>
        <v xml:space="preserve"> </v>
      </c>
      <c r="HF76" t="str">
        <f t="shared" si="258"/>
        <v xml:space="preserve"> </v>
      </c>
    </row>
    <row r="77" spans="1:214">
      <c r="A77" s="415" t="str">
        <f>IF(A76="N/A","N/A",IF(EDATE(A76,1)&gt;Inputs!$K$3,"N/A",EDATE(A76,1)))</f>
        <v>N/A</v>
      </c>
      <c r="B77" s="410" t="str">
        <f t="shared" si="230"/>
        <v xml:space="preserve"> </v>
      </c>
      <c r="C77" s="411" t="str">
        <f t="shared" si="231"/>
        <v xml:space="preserve"> </v>
      </c>
      <c r="D77" s="412" t="str">
        <f t="shared" si="232"/>
        <v xml:space="preserve"> </v>
      </c>
      <c r="E77" s="413" t="str">
        <f>IF($A77="N/A"," ",(C77-'Pricing Inputs'!T110)*D77)</f>
        <v xml:space="preserve"> </v>
      </c>
      <c r="F77" s="414" t="str">
        <f t="shared" si="116"/>
        <v xml:space="preserve"> </v>
      </c>
      <c r="G77" s="414" t="str">
        <f t="shared" si="233"/>
        <v xml:space="preserve"> </v>
      </c>
      <c r="H77" s="416" t="str">
        <f t="shared" si="234"/>
        <v xml:space="preserve"> </v>
      </c>
      <c r="I77" s="213" t="str">
        <f t="shared" si="183"/>
        <v xml:space="preserve"> </v>
      </c>
      <c r="J77" s="213" t="str">
        <f t="shared" si="184"/>
        <v xml:space="preserve"> </v>
      </c>
      <c r="K77" s="213" t="str">
        <f t="shared" si="185"/>
        <v xml:space="preserve"> </v>
      </c>
      <c r="L77" s="213" t="str">
        <f t="shared" si="186"/>
        <v xml:space="preserve"> </v>
      </c>
      <c r="M77" s="213" t="str">
        <f t="shared" si="187"/>
        <v xml:space="preserve"> </v>
      </c>
      <c r="N77" s="213" t="str">
        <f t="shared" si="188"/>
        <v xml:space="preserve"> </v>
      </c>
      <c r="O77" s="213" t="str">
        <f t="shared" si="189"/>
        <v xml:space="preserve"> </v>
      </c>
      <c r="P77" s="213" t="str">
        <f t="shared" si="190"/>
        <v xml:space="preserve"> </v>
      </c>
      <c r="Q77" s="213" t="str">
        <f t="shared" si="191"/>
        <v xml:space="preserve"> </v>
      </c>
      <c r="R77" s="405" t="str">
        <f>IF($A77="N/A"," ",IF(Pricetype=2,MAX(I77-$H77,0),IF(Pricetype=1,(_xll.xSPRDOPT(I77,$E77,$CI77,0,($CD77+IF(Smile=TRUE,VLOOKUP(MAX(-5,$H77-I77),Volsmile,2),0)),$CG77,$CH77,($A77-DateToday)+15,1,0)),I77-$H77)))</f>
        <v xml:space="preserve"> </v>
      </c>
      <c r="S77" s="405" t="str">
        <f>IF($A77="N/A"," ",IF(Pricetype=2,MAX(J77-$H77,0),IF(Pricetype=1,(_xll.xSPRDOPT(J77,$E77,$CI77,0,($CD77+IF(Smile=TRUE,VLOOKUP(MAX(-5,$H77-J77),Volsmile,2),0)),$CG77,$CH77,($A77-DateToday)+15,1,0)),J77-$H77)))</f>
        <v xml:space="preserve"> </v>
      </c>
      <c r="T77" s="406" t="str">
        <f t="shared" si="192"/>
        <v xml:space="preserve"> </v>
      </c>
      <c r="U77" s="405" t="str">
        <f>IF($A77="N/A"," ",IF(Pricetype=2,MAX(L77-$H77,0),IF(L77&lt;&gt;0,IF(Pricetype=1,(_xll.xSPRDOPT(L77,$E77,$CI77,0,($CD77+IF(Smile=TRUE,VLOOKUP(MAX(-5,$H77-L77),Volsmile,2),0)),$CG77,$CH77,($A77-DateToday)+15,1,0)),L77-$H77),0)))</f>
        <v xml:space="preserve"> </v>
      </c>
      <c r="V77" s="405" t="str">
        <f>IF($A77="N/A"," ",IF(Pricetype=2,MAX(M77-$H77,0),IF(M77&lt;&gt;0,IF(Pricetype=1,(_xll.xSPRDOPT(M77,$E77,$CI77,0,($CD77+IF(Smile=TRUE,VLOOKUP(MAX(-5,$H77-M77),Volsmile,2),0)),$CG77,$CH77,($A77-DateToday)+15,1,0)),M77-$H77),0)))</f>
        <v xml:space="preserve"> </v>
      </c>
      <c r="W77" s="406" t="str">
        <f t="shared" si="193"/>
        <v xml:space="preserve"> </v>
      </c>
      <c r="X77" s="405" t="str">
        <f>IF($A77="N/A"," ",IF(Pricetype=2,MAX(O77-$H77,0),IF(O77&lt;&gt;0,IF(Pricetype=1,(_xll.xSPRDOPT(O77,$E77,$CI77,0,($CD77+IF(Smile=TRUE,VLOOKUP(MAX(-5,$H77-O77),Volsmile,2),0)),$CG77,$CH77,($A77-DateToday)+15,1,0)),O77-$H77),0)))</f>
        <v xml:space="preserve"> </v>
      </c>
      <c r="Y77" s="405" t="str">
        <f>IF($A77="N/A"," ",IF(Pricetype=2,MAX(P77-$H77,0),IF(P77&lt;&gt;0,IF(Pricetype=1,(_xll.xSPRDOPT(P77,$E77,$CI77,0,($CD77+IF(Smile=TRUE,VLOOKUP(MAX(-5,$H77-P77),Volsmile,2),0)),$CG77,$CH77,($A77-DateToday)+15,1,0)),P77-$H77),0)))</f>
        <v xml:space="preserve"> </v>
      </c>
      <c r="Z77" s="406" t="str">
        <f t="shared" si="194"/>
        <v xml:space="preserve"> </v>
      </c>
      <c r="AA77" s="254" t="str">
        <f>IF($A77="N/A"," ",IF(VLOOKUP(MONTH(A77),ManualTable,2)=1,(IF(0&lt;&gt;R77,IF(Pricetype=1,(_xll.xSPRDOPT(I77,$E77,$CI77,0,($CD77+IF(Smile=TRUE,VLOOKUP(MAX(-5,$H77-I77),Volsmile,2),0)),$CG77,$CH77,($A77-DateToday)+15,1,1))*(8*$HD77),8*$HD77),0)),0))</f>
        <v xml:space="preserve"> </v>
      </c>
      <c r="AB77" s="254" t="str">
        <f>IF($A77="N/A"," ",IF(VLOOKUP(MONTH(A77),ManualTable,3)=1,(IF(S77&lt;&gt;0,IF(Pricetype=1,(_xll.xSPRDOPT(J77,$E77,$CI77,0,($CD77+IF(Smile=TRUE,VLOOKUP(MAX(-5,$H77-J77),Volsmile,2),0)),$CG77,$CH77,($A77-DateToday)+15,1,1))*(8*$HD77),8*$HD77),0)),0))</f>
        <v xml:space="preserve"> </v>
      </c>
      <c r="AC77" s="254" t="str">
        <f t="shared" si="235"/>
        <v xml:space="preserve"> </v>
      </c>
      <c r="AD77" s="254" t="str">
        <f>IF($A77="N/A"," ",IF(VLOOKUP(MONTH(A77),ManualTable,5)=1,(IF(U77&lt;&gt;0,IF(Pricetype=1,(_xll.xSPRDOPT(L77,$E77,$CI77,0,($CD77+IF(Smile=TRUE,VLOOKUP(MAX(-5,$H77-L77),Volsmile,2),0)),$CG77,$CH77,($A77-DateToday)+15,1,1))*(8*$HE77),8*$HE77),0)),0))</f>
        <v xml:space="preserve"> </v>
      </c>
      <c r="AE77" s="254" t="str">
        <f>IF($A77="N/A"," ",IF(VLOOKUP(MONTH(A77),ManualTable,6)=1,(IF(V77&lt;&gt;0,IF(Pricetype=1,(_xll.xSPRDOPT(M77,$E77,$CI77,0,($CD77+IF(Smile=TRUE,VLOOKUP(MAX(-5,$H77-M77),Volsmile,2),0)),$CG77,$CH77,($A77-DateToday)+15,1,1))*(8*$HE77),8*$HE77),0)),0))</f>
        <v xml:space="preserve"> </v>
      </c>
      <c r="AF77" s="254" t="str">
        <f t="shared" si="236"/>
        <v xml:space="preserve"> </v>
      </c>
      <c r="AG77" s="254" t="str">
        <f>IF($A77="N/A"," ",IF(VLOOKUP(MONTH(A77),ManualTable,8)=1,(IF(X77&lt;&gt;0,IF(Pricetype=1,(_xll.xSPRDOPT(O77,$E77,$CI77,0,($CD77+IF(Smile=TRUE,VLOOKUP(MAX(-5,$H77-O77),Volsmile,2),0)),$CG77,$CH77,($A77-DateToday)+15,1,1))*(8*$HF77),8*$HF77),0)),0))</f>
        <v xml:space="preserve"> </v>
      </c>
      <c r="AH77" s="254" t="str">
        <f>IF($A77="N/A"," ",IF(VLOOKUP(MONTH(A77),ManualTable,9)=1,(IF(Y77&lt;&gt;0,IF(Pricetype=1,(_xll.xSPRDOPT(P77,$E77,$CI77,0,($CD77+IF(Smile=TRUE,VLOOKUP(MAX(-5,$H77-P77),Volsmile,2),0)),$CG77,$CH77,($A77-DateToday)+15,1,1))*(8*$HF77),8*$HF77),0)),0))</f>
        <v xml:space="preserve"> </v>
      </c>
      <c r="AI77" s="254" t="str">
        <f t="shared" si="237"/>
        <v xml:space="preserve"> </v>
      </c>
      <c r="AJ77" s="227" t="str">
        <f t="shared" ref="AJ77:AJ87" si="267">IF($A77="N/A"," ",RANK(R77,$R$76:$Z$87))</f>
        <v xml:space="preserve"> </v>
      </c>
      <c r="AK77" s="228" t="str">
        <f t="shared" ref="AK77:AL87" si="268">IF($A77="N/A"," ",RANK(S77,$R$76:$Z$87))</f>
        <v xml:space="preserve"> </v>
      </c>
      <c r="AL77" s="228" t="str">
        <f t="shared" si="268"/>
        <v xml:space="preserve"> </v>
      </c>
      <c r="AM77" s="228" t="str">
        <f t="shared" ref="AM77:AM87" si="269">IF($A77="N/A"," ",RANK(U77,$R$76:$Z$87))</f>
        <v xml:space="preserve"> </v>
      </c>
      <c r="AN77" s="228" t="str">
        <f t="shared" ref="AN77:AO87" si="270">IF($A77="N/A"," ",RANK(V77,$R$76:$Z$87))</f>
        <v xml:space="preserve"> </v>
      </c>
      <c r="AO77" s="228" t="str">
        <f t="shared" si="270"/>
        <v xml:space="preserve"> </v>
      </c>
      <c r="AP77" s="228" t="str">
        <f t="shared" ref="AP77:AP87" si="271">IF($A77="N/A"," ",RANK(X77,$R$76:$Z$87))</f>
        <v xml:space="preserve"> </v>
      </c>
      <c r="AQ77" s="228" t="str">
        <f t="shared" ref="AQ77:AQ87" si="272">IF($A77="N/A"," ",RANK(Y77,$R$76:$Z$87))</f>
        <v xml:space="preserve"> </v>
      </c>
      <c r="AR77" s="229" t="str">
        <f t="shared" ref="AR77:AR87" si="273">IF($A77="N/A"," ",RANK(Z77,$R$76:$Z$87))</f>
        <v xml:space="preserve"> </v>
      </c>
      <c r="AS77" s="262" t="str">
        <f t="shared" si="102"/>
        <v xml:space="preserve"> </v>
      </c>
      <c r="AT77" s="263" t="str">
        <f t="shared" si="103"/>
        <v xml:space="preserve"> </v>
      </c>
      <c r="AU77" s="263" t="str">
        <f t="shared" si="103"/>
        <v xml:space="preserve"> </v>
      </c>
      <c r="AV77" s="263" t="str">
        <f t="shared" si="104"/>
        <v xml:space="preserve"> </v>
      </c>
      <c r="AW77" s="263" t="str">
        <f t="shared" si="105"/>
        <v xml:space="preserve"> </v>
      </c>
      <c r="AX77" s="263" t="str">
        <f t="shared" si="105"/>
        <v xml:space="preserve"> </v>
      </c>
      <c r="AY77" s="263" t="str">
        <f t="shared" si="106"/>
        <v xml:space="preserve"> </v>
      </c>
      <c r="AZ77" s="263" t="str">
        <f t="shared" si="107"/>
        <v xml:space="preserve"> </v>
      </c>
      <c r="BA77" s="263" t="str">
        <f t="shared" si="108"/>
        <v xml:space="preserve"> </v>
      </c>
      <c r="BB77" s="229"/>
      <c r="BC77" s="266" t="str">
        <f t="shared" si="260"/>
        <v xml:space="preserve"> </v>
      </c>
      <c r="BD77" s="269" t="str">
        <f t="shared" si="261"/>
        <v xml:space="preserve"> </v>
      </c>
      <c r="BE77" s="269" t="str">
        <f t="shared" si="261"/>
        <v xml:space="preserve"> </v>
      </c>
      <c r="BF77" s="269" t="str">
        <f t="shared" si="262"/>
        <v xml:space="preserve"> </v>
      </c>
      <c r="BG77" s="269" t="str">
        <f t="shared" si="263"/>
        <v xml:space="preserve"> </v>
      </c>
      <c r="BH77" s="269" t="str">
        <f t="shared" si="263"/>
        <v xml:space="preserve"> </v>
      </c>
      <c r="BI77" s="269" t="str">
        <f t="shared" si="264"/>
        <v xml:space="preserve"> </v>
      </c>
      <c r="BJ77" s="269" t="str">
        <f t="shared" si="265"/>
        <v xml:space="preserve"> </v>
      </c>
      <c r="BK77" s="269" t="str">
        <f t="shared" si="266"/>
        <v xml:space="preserve"> </v>
      </c>
      <c r="BL77" s="229"/>
      <c r="BM77" s="220" t="str">
        <f>IF($A77="N/A"," ",(IF(MONTH(A77)&gt;=4,IF(MONTH(A77)&lt;=10,Inputs!$F$13-Inputs!$G$13,Inputs!$F$14-Inputs!$G$14),Inputs!$F$14-Inputs!$G$14))*$CK77*Availability)</f>
        <v xml:space="preserve"> </v>
      </c>
      <c r="BN77" s="221" t="str">
        <f t="shared" si="238"/>
        <v xml:space="preserve"> </v>
      </c>
      <c r="BO77" s="221" t="str">
        <f t="shared" si="239"/>
        <v xml:space="preserve"> </v>
      </c>
      <c r="BP77" s="221" t="str">
        <f t="shared" si="240"/>
        <v xml:space="preserve"> </v>
      </c>
      <c r="BQ77" s="221" t="str">
        <f t="shared" si="241"/>
        <v xml:space="preserve"> </v>
      </c>
      <c r="BR77" s="221" t="str">
        <f t="shared" si="242"/>
        <v xml:space="preserve"> </v>
      </c>
      <c r="BS77" s="221" t="str">
        <f t="shared" si="243"/>
        <v xml:space="preserve"> </v>
      </c>
      <c r="BT77" s="221" t="str">
        <f t="shared" si="244"/>
        <v xml:space="preserve"> </v>
      </c>
      <c r="BU77" s="221" t="str">
        <f t="shared" si="245"/>
        <v xml:space="preserve"> </v>
      </c>
      <c r="BV77" s="221" t="str">
        <f t="shared" si="246"/>
        <v xml:space="preserve"> </v>
      </c>
      <c r="BW77" s="221" t="str">
        <f t="shared" si="247"/>
        <v xml:space="preserve"> </v>
      </c>
      <c r="BX77" s="421" t="str">
        <f t="shared" si="248"/>
        <v xml:space="preserve"> </v>
      </c>
      <c r="BY77" s="417" t="str">
        <f t="shared" si="249"/>
        <v xml:space="preserve"> </v>
      </c>
      <c r="BZ77" s="417" t="str">
        <f t="shared" si="250"/>
        <v xml:space="preserve"> </v>
      </c>
      <c r="CA77" s="422" t="str">
        <f t="shared" si="251"/>
        <v xml:space="preserve"> </v>
      </c>
      <c r="CB77" s="347" t="str">
        <f t="shared" si="195"/>
        <v xml:space="preserve"> </v>
      </c>
      <c r="CC77" s="347" t="str">
        <f t="shared" si="252"/>
        <v xml:space="preserve"> </v>
      </c>
      <c r="CD77" s="348" t="str">
        <f t="shared" si="196"/>
        <v xml:space="preserve"> </v>
      </c>
      <c r="CE77" s="347" t="str">
        <f t="shared" si="197"/>
        <v xml:space="preserve"> </v>
      </c>
      <c r="CF77" s="347" t="str">
        <f t="shared" si="198"/>
        <v xml:space="preserve"> </v>
      </c>
      <c r="CG77" s="348" t="str">
        <f t="shared" si="199"/>
        <v xml:space="preserve"> </v>
      </c>
      <c r="CH77" s="347" t="str">
        <f t="shared" si="253"/>
        <v xml:space="preserve"> </v>
      </c>
      <c r="CI77" s="349" t="str">
        <f>IF($A77="N/A"," ",F77+G77+(D77*('Pricing Inputs'!T110)))</f>
        <v xml:space="preserve"> </v>
      </c>
      <c r="CJ77" s="347" t="str">
        <f>IF($A77="N/A"," ",IF(PV=1,0,'Pricing Inputs'!U110))</f>
        <v xml:space="preserve"> </v>
      </c>
      <c r="CK77" s="350" t="str">
        <f t="shared" si="200"/>
        <v xml:space="preserve"> </v>
      </c>
      <c r="CL77" s="365" t="str">
        <f t="shared" si="201"/>
        <v xml:space="preserve"> </v>
      </c>
      <c r="CM77" s="380" t="str">
        <f t="shared" si="254"/>
        <v xml:space="preserve"> </v>
      </c>
      <c r="CN77" s="378" t="str">
        <f t="shared" si="202"/>
        <v xml:space="preserve"> </v>
      </c>
      <c r="CO77" s="378" t="str">
        <f t="shared" si="203"/>
        <v xml:space="preserve"> </v>
      </c>
      <c r="CP77" s="378" t="str">
        <f t="shared" si="204"/>
        <v xml:space="preserve"> </v>
      </c>
      <c r="CQ77" s="378" t="str">
        <f t="shared" si="205"/>
        <v xml:space="preserve"> </v>
      </c>
      <c r="CR77" s="378" t="str">
        <f t="shared" si="206"/>
        <v xml:space="preserve"> </v>
      </c>
      <c r="CS77" s="378" t="str">
        <f t="shared" si="207"/>
        <v xml:space="preserve"> </v>
      </c>
      <c r="CT77" s="378" t="str">
        <f t="shared" si="208"/>
        <v xml:space="preserve"> </v>
      </c>
      <c r="CU77" s="378" t="str">
        <f t="shared" si="209"/>
        <v xml:space="preserve"> </v>
      </c>
      <c r="CV77" s="378" t="str">
        <f t="shared" si="210"/>
        <v xml:space="preserve"> </v>
      </c>
      <c r="CW77" s="254" t="str">
        <f t="shared" si="211"/>
        <v xml:space="preserve"> </v>
      </c>
      <c r="CX77" s="254" t="str">
        <f t="shared" si="212"/>
        <v xml:space="preserve"> </v>
      </c>
      <c r="CY77" s="254" t="str">
        <f t="shared" si="213"/>
        <v xml:space="preserve"> </v>
      </c>
      <c r="CZ77" s="254" t="str">
        <f t="shared" si="214"/>
        <v xml:space="preserve"> </v>
      </c>
      <c r="DA77" s="254" t="str">
        <f t="shared" si="215"/>
        <v xml:space="preserve"> </v>
      </c>
      <c r="DB77" s="254" t="str">
        <f t="shared" si="216"/>
        <v xml:space="preserve"> </v>
      </c>
      <c r="DC77" s="254" t="str">
        <f t="shared" si="217"/>
        <v xml:space="preserve"> </v>
      </c>
      <c r="DD77" s="254" t="str">
        <f t="shared" si="218"/>
        <v xml:space="preserve"> </v>
      </c>
      <c r="DE77" s="254" t="str">
        <f t="shared" si="219"/>
        <v xml:space="preserve"> </v>
      </c>
      <c r="DF77" s="374" t="str">
        <f>IF($A77="N/A"," ",IF(CC=2,(IF(MONTH(A77)&gt;=4,IF(MONTH(A77)&lt;=10,Inputs!$G$13,Inputs!$G$14),Inputs!$G$14))*$CK77,0))</f>
        <v xml:space="preserve"> </v>
      </c>
      <c r="DG77" s="373" t="str">
        <f t="shared" si="220"/>
        <v xml:space="preserve"> </v>
      </c>
      <c r="DH77" s="373" t="str">
        <f t="shared" si="221"/>
        <v xml:space="preserve"> </v>
      </c>
      <c r="DI77" s="373" t="str">
        <f t="shared" si="222"/>
        <v xml:space="preserve"> </v>
      </c>
      <c r="DJ77" s="373" t="str">
        <f t="shared" si="223"/>
        <v xml:space="preserve"> </v>
      </c>
      <c r="DK77" s="373" t="str">
        <f t="shared" si="224"/>
        <v xml:space="preserve"> </v>
      </c>
      <c r="DL77" s="373" t="str">
        <f t="shared" si="225"/>
        <v xml:space="preserve"> </v>
      </c>
      <c r="DM77" s="373" t="str">
        <f t="shared" si="226"/>
        <v xml:space="preserve"> </v>
      </c>
      <c r="DN77" s="373" t="str">
        <f t="shared" si="227"/>
        <v xml:space="preserve"> </v>
      </c>
      <c r="DO77" s="373" t="str">
        <f t="shared" si="228"/>
        <v xml:space="preserve"> </v>
      </c>
      <c r="DP77" s="375" t="str">
        <f t="shared" si="229"/>
        <v xml:space="preserve"> </v>
      </c>
      <c r="DQ77" t="str">
        <f t="shared" si="255"/>
        <v xml:space="preserve"> </v>
      </c>
      <c r="HD77" t="str">
        <f t="shared" si="256"/>
        <v xml:space="preserve"> </v>
      </c>
      <c r="HE77" t="str">
        <f t="shared" si="257"/>
        <v xml:space="preserve"> </v>
      </c>
      <c r="HF77" t="str">
        <f t="shared" si="258"/>
        <v xml:space="preserve"> </v>
      </c>
    </row>
    <row r="78" spans="1:214">
      <c r="A78" s="415" t="str">
        <f>IF(A77="N/A","N/A",IF(EDATE(A77,1)&gt;Inputs!$K$3,"N/A",EDATE(A77,1)))</f>
        <v>N/A</v>
      </c>
      <c r="B78" s="410" t="str">
        <f t="shared" si="230"/>
        <v xml:space="preserve"> </v>
      </c>
      <c r="C78" s="411" t="str">
        <f t="shared" si="231"/>
        <v xml:space="preserve"> </v>
      </c>
      <c r="D78" s="412" t="str">
        <f t="shared" si="232"/>
        <v xml:space="preserve"> </v>
      </c>
      <c r="E78" s="413" t="str">
        <f>IF($A78="N/A"," ",(C78-'Pricing Inputs'!T111)*D78)</f>
        <v xml:space="preserve"> </v>
      </c>
      <c r="F78" s="414" t="str">
        <f t="shared" si="116"/>
        <v xml:space="preserve"> </v>
      </c>
      <c r="G78" s="414" t="str">
        <f t="shared" si="233"/>
        <v xml:space="preserve"> </v>
      </c>
      <c r="H78" s="416" t="str">
        <f t="shared" si="234"/>
        <v xml:space="preserve"> </v>
      </c>
      <c r="I78" s="213" t="str">
        <f t="shared" si="183"/>
        <v xml:space="preserve"> </v>
      </c>
      <c r="J78" s="213" t="str">
        <f t="shared" si="184"/>
        <v xml:space="preserve"> </v>
      </c>
      <c r="K78" s="213" t="str">
        <f t="shared" si="185"/>
        <v xml:space="preserve"> </v>
      </c>
      <c r="L78" s="213" t="str">
        <f t="shared" si="186"/>
        <v xml:space="preserve"> </v>
      </c>
      <c r="M78" s="213" t="str">
        <f t="shared" si="187"/>
        <v xml:space="preserve"> </v>
      </c>
      <c r="N78" s="213" t="str">
        <f t="shared" si="188"/>
        <v xml:space="preserve"> </v>
      </c>
      <c r="O78" s="213" t="str">
        <f t="shared" si="189"/>
        <v xml:space="preserve"> </v>
      </c>
      <c r="P78" s="213" t="str">
        <f t="shared" si="190"/>
        <v xml:space="preserve"> </v>
      </c>
      <c r="Q78" s="213" t="str">
        <f t="shared" si="191"/>
        <v xml:space="preserve"> </v>
      </c>
      <c r="R78" s="405" t="str">
        <f>IF($A78="N/A"," ",IF(Pricetype=2,MAX(I78-$H78,0),IF(Pricetype=1,(_xll.xSPRDOPT(I78,$E78,$CI78,0,($CD78+IF(Smile=TRUE,VLOOKUP(MAX(-5,$H78-I78),Volsmile,2),0)),$CG78,$CH78,($A78-DateToday)+15,1,0)),I78-$H78)))</f>
        <v xml:space="preserve"> </v>
      </c>
      <c r="S78" s="405" t="str">
        <f>IF($A78="N/A"," ",IF(Pricetype=2,MAX(J78-$H78,0),IF(Pricetype=1,(_xll.xSPRDOPT(J78,$E78,$CI78,0,($CD78+IF(Smile=TRUE,VLOOKUP(MAX(-5,$H78-J78),Volsmile,2),0)),$CG78,$CH78,($A78-DateToday)+15,1,0)),J78-$H78)))</f>
        <v xml:space="preserve"> </v>
      </c>
      <c r="T78" s="406" t="str">
        <f t="shared" si="192"/>
        <v xml:space="preserve"> </v>
      </c>
      <c r="U78" s="405" t="str">
        <f>IF($A78="N/A"," ",IF(Pricetype=2,MAX(L78-$H78,0),IF(L78&lt;&gt;0,IF(Pricetype=1,(_xll.xSPRDOPT(L78,$E78,$CI78,0,($CD78+IF(Smile=TRUE,VLOOKUP(MAX(-5,$H78-L78),Volsmile,2),0)),$CG78,$CH78,($A78-DateToday)+15,1,0)),L78-$H78),0)))</f>
        <v xml:space="preserve"> </v>
      </c>
      <c r="V78" s="405" t="str">
        <f>IF($A78="N/A"," ",IF(Pricetype=2,MAX(M78-$H78,0),IF(M78&lt;&gt;0,IF(Pricetype=1,(_xll.xSPRDOPT(M78,$E78,$CI78,0,($CD78+IF(Smile=TRUE,VLOOKUP(MAX(-5,$H78-M78),Volsmile,2),0)),$CG78,$CH78,($A78-DateToday)+15,1,0)),M78-$H78),0)))</f>
        <v xml:space="preserve"> </v>
      </c>
      <c r="W78" s="406" t="str">
        <f t="shared" si="193"/>
        <v xml:space="preserve"> </v>
      </c>
      <c r="X78" s="405" t="str">
        <f>IF($A78="N/A"," ",IF(Pricetype=2,MAX(O78-$H78,0),IF(O78&lt;&gt;0,IF(Pricetype=1,(_xll.xSPRDOPT(O78,$E78,$CI78,0,($CD78+IF(Smile=TRUE,VLOOKUP(MAX(-5,$H78-O78),Volsmile,2),0)),$CG78,$CH78,($A78-DateToday)+15,1,0)),O78-$H78),0)))</f>
        <v xml:space="preserve"> </v>
      </c>
      <c r="Y78" s="405" t="str">
        <f>IF($A78="N/A"," ",IF(Pricetype=2,MAX(P78-$H78,0),IF(P78&lt;&gt;0,IF(Pricetype=1,(_xll.xSPRDOPT(P78,$E78,$CI78,0,($CD78+IF(Smile=TRUE,VLOOKUP(MAX(-5,$H78-P78),Volsmile,2),0)),$CG78,$CH78,($A78-DateToday)+15,1,0)),P78-$H78),0)))</f>
        <v xml:space="preserve"> </v>
      </c>
      <c r="Z78" s="406" t="str">
        <f t="shared" si="194"/>
        <v xml:space="preserve"> </v>
      </c>
      <c r="AA78" s="254" t="str">
        <f>IF($A78="N/A"," ",IF(VLOOKUP(MONTH(A78),ManualTable,2)=1,(IF(0&lt;&gt;R78,IF(Pricetype=1,(_xll.xSPRDOPT(I78,$E78,$CI78,0,($CD78+IF(Smile=TRUE,VLOOKUP(MAX(-5,$H78-I78),Volsmile,2),0)),$CG78,$CH78,($A78-DateToday)+15,1,1))*(8*$HD78),8*$HD78),0)),0))</f>
        <v xml:space="preserve"> </v>
      </c>
      <c r="AB78" s="254" t="str">
        <f>IF($A78="N/A"," ",IF(VLOOKUP(MONTH(A78),ManualTable,3)=1,(IF(S78&lt;&gt;0,IF(Pricetype=1,(_xll.xSPRDOPT(J78,$E78,$CI78,0,($CD78+IF(Smile=TRUE,VLOOKUP(MAX(-5,$H78-J78),Volsmile,2),0)),$CG78,$CH78,($A78-DateToday)+15,1,1))*(8*$HD78),8*$HD78),0)),0))</f>
        <v xml:space="preserve"> </v>
      </c>
      <c r="AC78" s="254" t="str">
        <f t="shared" si="235"/>
        <v xml:space="preserve"> </v>
      </c>
      <c r="AD78" s="254" t="str">
        <f>IF($A78="N/A"," ",IF(VLOOKUP(MONTH(A78),ManualTable,5)=1,(IF(U78&lt;&gt;0,IF(Pricetype=1,(_xll.xSPRDOPT(L78,$E78,$CI78,0,($CD78+IF(Smile=TRUE,VLOOKUP(MAX(-5,$H78-L78),Volsmile,2),0)),$CG78,$CH78,($A78-DateToday)+15,1,1))*(8*$HE78),8*$HE78),0)),0))</f>
        <v xml:space="preserve"> </v>
      </c>
      <c r="AE78" s="254" t="str">
        <f>IF($A78="N/A"," ",IF(VLOOKUP(MONTH(A78),ManualTable,6)=1,(IF(V78&lt;&gt;0,IF(Pricetype=1,(_xll.xSPRDOPT(M78,$E78,$CI78,0,($CD78+IF(Smile=TRUE,VLOOKUP(MAX(-5,$H78-M78),Volsmile,2),0)),$CG78,$CH78,($A78-DateToday)+15,1,1))*(8*$HE78),8*$HE78),0)),0))</f>
        <v xml:space="preserve"> </v>
      </c>
      <c r="AF78" s="254" t="str">
        <f t="shared" si="236"/>
        <v xml:space="preserve"> </v>
      </c>
      <c r="AG78" s="254" t="str">
        <f>IF($A78="N/A"," ",IF(VLOOKUP(MONTH(A78),ManualTable,8)=1,(IF(X78&lt;&gt;0,IF(Pricetype=1,(_xll.xSPRDOPT(O78,$E78,$CI78,0,($CD78+IF(Smile=TRUE,VLOOKUP(MAX(-5,$H78-O78),Volsmile,2),0)),$CG78,$CH78,($A78-DateToday)+15,1,1))*(8*$HF78),8*$HF78),0)),0))</f>
        <v xml:space="preserve"> </v>
      </c>
      <c r="AH78" s="254" t="str">
        <f>IF($A78="N/A"," ",IF(VLOOKUP(MONTH(A78),ManualTable,9)=1,(IF(Y78&lt;&gt;0,IF(Pricetype=1,(_xll.xSPRDOPT(P78,$E78,$CI78,0,($CD78+IF(Smile=TRUE,VLOOKUP(MAX(-5,$H78-P78),Volsmile,2),0)),$CG78,$CH78,($A78-DateToday)+15,1,1))*(8*$HF78),8*$HF78),0)),0))</f>
        <v xml:space="preserve"> </v>
      </c>
      <c r="AI78" s="254" t="str">
        <f t="shared" si="237"/>
        <v xml:space="preserve"> </v>
      </c>
      <c r="AJ78" s="227" t="str">
        <f t="shared" si="267"/>
        <v xml:space="preserve"> </v>
      </c>
      <c r="AK78" s="228" t="str">
        <f t="shared" si="268"/>
        <v xml:space="preserve"> </v>
      </c>
      <c r="AL78" s="228" t="str">
        <f t="shared" si="268"/>
        <v xml:space="preserve"> </v>
      </c>
      <c r="AM78" s="228" t="str">
        <f t="shared" si="269"/>
        <v xml:space="preserve"> </v>
      </c>
      <c r="AN78" s="228" t="str">
        <f t="shared" si="270"/>
        <v xml:space="preserve"> </v>
      </c>
      <c r="AO78" s="228" t="str">
        <f t="shared" si="270"/>
        <v xml:space="preserve"> </v>
      </c>
      <c r="AP78" s="228" t="str">
        <f t="shared" si="271"/>
        <v xml:space="preserve"> </v>
      </c>
      <c r="AQ78" s="228" t="str">
        <f t="shared" si="272"/>
        <v xml:space="preserve"> </v>
      </c>
      <c r="AR78" s="229" t="str">
        <f t="shared" si="273"/>
        <v xml:space="preserve"> </v>
      </c>
      <c r="AS78" s="262" t="str">
        <f t="shared" si="102"/>
        <v xml:space="preserve"> </v>
      </c>
      <c r="AT78" s="263" t="str">
        <f t="shared" si="103"/>
        <v xml:space="preserve"> </v>
      </c>
      <c r="AU78" s="263" t="str">
        <f t="shared" si="103"/>
        <v xml:space="preserve"> </v>
      </c>
      <c r="AV78" s="263" t="str">
        <f t="shared" si="104"/>
        <v xml:space="preserve"> </v>
      </c>
      <c r="AW78" s="263" t="str">
        <f t="shared" si="105"/>
        <v xml:space="preserve"> </v>
      </c>
      <c r="AX78" s="263" t="str">
        <f t="shared" si="105"/>
        <v xml:space="preserve"> </v>
      </c>
      <c r="AY78" s="263" t="str">
        <f t="shared" si="106"/>
        <v xml:space="preserve"> </v>
      </c>
      <c r="AZ78" s="263" t="str">
        <f t="shared" si="107"/>
        <v xml:space="preserve"> </v>
      </c>
      <c r="BA78" s="263" t="str">
        <f t="shared" si="108"/>
        <v xml:space="preserve"> </v>
      </c>
      <c r="BB78" s="229"/>
      <c r="BC78" s="266" t="str">
        <f t="shared" si="260"/>
        <v xml:space="preserve"> </v>
      </c>
      <c r="BD78" s="269" t="str">
        <f t="shared" si="261"/>
        <v xml:space="preserve"> </v>
      </c>
      <c r="BE78" s="269" t="str">
        <f t="shared" si="261"/>
        <v xml:space="preserve"> </v>
      </c>
      <c r="BF78" s="269" t="str">
        <f t="shared" si="262"/>
        <v xml:space="preserve"> </v>
      </c>
      <c r="BG78" s="269" t="str">
        <f t="shared" si="263"/>
        <v xml:space="preserve"> </v>
      </c>
      <c r="BH78" s="269" t="str">
        <f t="shared" si="263"/>
        <v xml:space="preserve"> </v>
      </c>
      <c r="BI78" s="269" t="str">
        <f t="shared" si="264"/>
        <v xml:space="preserve"> </v>
      </c>
      <c r="BJ78" s="269" t="str">
        <f t="shared" si="265"/>
        <v xml:space="preserve"> </v>
      </c>
      <c r="BK78" s="269" t="str">
        <f t="shared" si="266"/>
        <v xml:space="preserve"> </v>
      </c>
      <c r="BL78" s="229"/>
      <c r="BM78" s="220" t="str">
        <f>IF($A78="N/A"," ",(IF(MONTH(A78)&gt;=4,IF(MONTH(A78)&lt;=10,Inputs!$F$13-Inputs!$G$13,Inputs!$F$14-Inputs!$G$14),Inputs!$F$14-Inputs!$G$14))*$CK78*Availability)</f>
        <v xml:space="preserve"> </v>
      </c>
      <c r="BN78" s="221" t="str">
        <f t="shared" si="238"/>
        <v xml:space="preserve"> </v>
      </c>
      <c r="BO78" s="221" t="str">
        <f t="shared" si="239"/>
        <v xml:space="preserve"> </v>
      </c>
      <c r="BP78" s="221" t="str">
        <f t="shared" si="240"/>
        <v xml:space="preserve"> </v>
      </c>
      <c r="BQ78" s="221" t="str">
        <f t="shared" si="241"/>
        <v xml:space="preserve"> </v>
      </c>
      <c r="BR78" s="221" t="str">
        <f t="shared" si="242"/>
        <v xml:space="preserve"> </v>
      </c>
      <c r="BS78" s="221" t="str">
        <f t="shared" si="243"/>
        <v xml:space="preserve"> </v>
      </c>
      <c r="BT78" s="221" t="str">
        <f t="shared" si="244"/>
        <v xml:space="preserve"> </v>
      </c>
      <c r="BU78" s="221" t="str">
        <f t="shared" si="245"/>
        <v xml:space="preserve"> </v>
      </c>
      <c r="BV78" s="221" t="str">
        <f t="shared" si="246"/>
        <v xml:space="preserve"> </v>
      </c>
      <c r="BW78" s="221" t="str">
        <f t="shared" si="247"/>
        <v xml:space="preserve"> </v>
      </c>
      <c r="BX78" s="421" t="str">
        <f t="shared" si="248"/>
        <v xml:space="preserve"> </v>
      </c>
      <c r="BY78" s="417" t="str">
        <f t="shared" si="249"/>
        <v xml:space="preserve"> </v>
      </c>
      <c r="BZ78" s="417" t="str">
        <f t="shared" si="250"/>
        <v xml:space="preserve"> </v>
      </c>
      <c r="CA78" s="422" t="str">
        <f t="shared" si="251"/>
        <v xml:space="preserve"> </v>
      </c>
      <c r="CB78" s="347" t="str">
        <f t="shared" si="195"/>
        <v xml:space="preserve"> </v>
      </c>
      <c r="CC78" s="347" t="str">
        <f t="shared" si="252"/>
        <v xml:space="preserve"> </v>
      </c>
      <c r="CD78" s="348" t="str">
        <f t="shared" si="196"/>
        <v xml:space="preserve"> </v>
      </c>
      <c r="CE78" s="347" t="str">
        <f t="shared" si="197"/>
        <v xml:space="preserve"> </v>
      </c>
      <c r="CF78" s="347" t="str">
        <f t="shared" si="198"/>
        <v xml:space="preserve"> </v>
      </c>
      <c r="CG78" s="348" t="str">
        <f t="shared" si="199"/>
        <v xml:space="preserve"> </v>
      </c>
      <c r="CH78" s="347" t="str">
        <f t="shared" si="253"/>
        <v xml:space="preserve"> </v>
      </c>
      <c r="CI78" s="349" t="str">
        <f>IF($A78="N/A"," ",F78+G78+(D78*('Pricing Inputs'!T111)))</f>
        <v xml:space="preserve"> </v>
      </c>
      <c r="CJ78" s="347" t="str">
        <f>IF($A78="N/A"," ",IF(PV=1,0,'Pricing Inputs'!U111))</f>
        <v xml:space="preserve"> </v>
      </c>
      <c r="CK78" s="350" t="str">
        <f t="shared" si="200"/>
        <v xml:space="preserve"> </v>
      </c>
      <c r="CL78" s="365" t="str">
        <f t="shared" si="201"/>
        <v xml:space="preserve"> </v>
      </c>
      <c r="CM78" s="380" t="str">
        <f t="shared" si="254"/>
        <v xml:space="preserve"> </v>
      </c>
      <c r="CN78" s="378" t="str">
        <f t="shared" si="202"/>
        <v xml:space="preserve"> </v>
      </c>
      <c r="CO78" s="378" t="str">
        <f t="shared" si="203"/>
        <v xml:space="preserve"> </v>
      </c>
      <c r="CP78" s="378" t="str">
        <f t="shared" si="204"/>
        <v xml:space="preserve"> </v>
      </c>
      <c r="CQ78" s="378" t="str">
        <f t="shared" si="205"/>
        <v xml:space="preserve"> </v>
      </c>
      <c r="CR78" s="378" t="str">
        <f t="shared" si="206"/>
        <v xml:space="preserve"> </v>
      </c>
      <c r="CS78" s="378" t="str">
        <f t="shared" si="207"/>
        <v xml:space="preserve"> </v>
      </c>
      <c r="CT78" s="378" t="str">
        <f t="shared" si="208"/>
        <v xml:space="preserve"> </v>
      </c>
      <c r="CU78" s="378" t="str">
        <f t="shared" si="209"/>
        <v xml:space="preserve"> </v>
      </c>
      <c r="CV78" s="378" t="str">
        <f t="shared" si="210"/>
        <v xml:space="preserve"> </v>
      </c>
      <c r="CW78" s="254" t="str">
        <f t="shared" si="211"/>
        <v xml:space="preserve"> </v>
      </c>
      <c r="CX78" s="254" t="str">
        <f t="shared" si="212"/>
        <v xml:space="preserve"> </v>
      </c>
      <c r="CY78" s="254" t="str">
        <f t="shared" si="213"/>
        <v xml:space="preserve"> </v>
      </c>
      <c r="CZ78" s="254" t="str">
        <f t="shared" si="214"/>
        <v xml:space="preserve"> </v>
      </c>
      <c r="DA78" s="254" t="str">
        <f t="shared" si="215"/>
        <v xml:space="preserve"> </v>
      </c>
      <c r="DB78" s="254" t="str">
        <f t="shared" si="216"/>
        <v xml:space="preserve"> </v>
      </c>
      <c r="DC78" s="254" t="str">
        <f t="shared" si="217"/>
        <v xml:space="preserve"> </v>
      </c>
      <c r="DD78" s="254" t="str">
        <f t="shared" si="218"/>
        <v xml:space="preserve"> </v>
      </c>
      <c r="DE78" s="254" t="str">
        <f t="shared" si="219"/>
        <v xml:space="preserve"> </v>
      </c>
      <c r="DF78" s="374" t="str">
        <f>IF($A78="N/A"," ",IF(CC=2,(IF(MONTH(A78)&gt;=4,IF(MONTH(A78)&lt;=10,Inputs!$G$13,Inputs!$G$14),Inputs!$G$14))*$CK78,0))</f>
        <v xml:space="preserve"> </v>
      </c>
      <c r="DG78" s="373" t="str">
        <f t="shared" si="220"/>
        <v xml:space="preserve"> </v>
      </c>
      <c r="DH78" s="373" t="str">
        <f t="shared" si="221"/>
        <v xml:space="preserve"> </v>
      </c>
      <c r="DI78" s="373" t="str">
        <f t="shared" si="222"/>
        <v xml:space="preserve"> </v>
      </c>
      <c r="DJ78" s="373" t="str">
        <f t="shared" si="223"/>
        <v xml:space="preserve"> </v>
      </c>
      <c r="DK78" s="373" t="str">
        <f t="shared" si="224"/>
        <v xml:space="preserve"> </v>
      </c>
      <c r="DL78" s="373" t="str">
        <f t="shared" si="225"/>
        <v xml:space="preserve"> </v>
      </c>
      <c r="DM78" s="373" t="str">
        <f t="shared" si="226"/>
        <v xml:space="preserve"> </v>
      </c>
      <c r="DN78" s="373" t="str">
        <f t="shared" si="227"/>
        <v xml:space="preserve"> </v>
      </c>
      <c r="DO78" s="373" t="str">
        <f t="shared" si="228"/>
        <v xml:space="preserve"> </v>
      </c>
      <c r="DP78" s="375" t="str">
        <f t="shared" si="229"/>
        <v xml:space="preserve"> </v>
      </c>
      <c r="DQ78" t="str">
        <f t="shared" si="255"/>
        <v xml:space="preserve"> </v>
      </c>
      <c r="HD78" t="str">
        <f t="shared" si="256"/>
        <v xml:space="preserve"> </v>
      </c>
      <c r="HE78" t="str">
        <f t="shared" si="257"/>
        <v xml:space="preserve"> </v>
      </c>
      <c r="HF78" t="str">
        <f t="shared" si="258"/>
        <v xml:space="preserve"> </v>
      </c>
    </row>
    <row r="79" spans="1:214">
      <c r="A79" s="415" t="str">
        <f>IF(A78="N/A","N/A",IF(EDATE(A78,1)&gt;Inputs!$K$3,"N/A",EDATE(A78,1)))</f>
        <v>N/A</v>
      </c>
      <c r="B79" s="410" t="str">
        <f t="shared" si="230"/>
        <v xml:space="preserve"> </v>
      </c>
      <c r="C79" s="411" t="str">
        <f t="shared" si="231"/>
        <v xml:space="preserve"> </v>
      </c>
      <c r="D79" s="412" t="str">
        <f t="shared" si="232"/>
        <v xml:space="preserve"> </v>
      </c>
      <c r="E79" s="413" t="str">
        <f>IF($A79="N/A"," ",(C79-'Pricing Inputs'!T112)*D79)</f>
        <v xml:space="preserve"> </v>
      </c>
      <c r="F79" s="414" t="str">
        <f t="shared" si="116"/>
        <v xml:space="preserve"> </v>
      </c>
      <c r="G79" s="414" t="str">
        <f t="shared" si="233"/>
        <v xml:space="preserve"> </v>
      </c>
      <c r="H79" s="416" t="str">
        <f t="shared" si="234"/>
        <v xml:space="preserve"> </v>
      </c>
      <c r="I79" s="213" t="str">
        <f t="shared" si="183"/>
        <v xml:space="preserve"> </v>
      </c>
      <c r="J79" s="213" t="str">
        <f t="shared" si="184"/>
        <v xml:space="preserve"> </v>
      </c>
      <c r="K79" s="213" t="str">
        <f t="shared" si="185"/>
        <v xml:space="preserve"> </v>
      </c>
      <c r="L79" s="213" t="str">
        <f t="shared" si="186"/>
        <v xml:space="preserve"> </v>
      </c>
      <c r="M79" s="213" t="str">
        <f t="shared" si="187"/>
        <v xml:space="preserve"> </v>
      </c>
      <c r="N79" s="213" t="str">
        <f t="shared" si="188"/>
        <v xml:space="preserve"> </v>
      </c>
      <c r="O79" s="213" t="str">
        <f t="shared" si="189"/>
        <v xml:space="preserve"> </v>
      </c>
      <c r="P79" s="213" t="str">
        <f t="shared" si="190"/>
        <v xml:space="preserve"> </v>
      </c>
      <c r="Q79" s="213" t="str">
        <f t="shared" si="191"/>
        <v xml:space="preserve"> </v>
      </c>
      <c r="R79" s="405" t="str">
        <f>IF($A79="N/A"," ",IF(Pricetype=2,MAX(I79-$H79,0),IF(Pricetype=1,(_xll.xSPRDOPT(I79,$E79,$CI79,0,($CD79+IF(Smile=TRUE,VLOOKUP(MAX(-5,$H79-I79),Volsmile,2),0)),$CG79,$CH79,($A79-DateToday)+15,1,0)),I79-$H79)))</f>
        <v xml:space="preserve"> </v>
      </c>
      <c r="S79" s="405" t="str">
        <f>IF($A79="N/A"," ",IF(Pricetype=2,MAX(J79-$H79,0),IF(Pricetype=1,(_xll.xSPRDOPT(J79,$E79,$CI79,0,($CD79+IF(Smile=TRUE,VLOOKUP(MAX(-5,$H79-J79),Volsmile,2),0)),$CG79,$CH79,($A79-DateToday)+15,1,0)),J79-$H79)))</f>
        <v xml:space="preserve"> </v>
      </c>
      <c r="T79" s="406" t="str">
        <f t="shared" si="192"/>
        <v xml:space="preserve"> </v>
      </c>
      <c r="U79" s="405" t="str">
        <f>IF($A79="N/A"," ",IF(Pricetype=2,MAX(L79-$H79,0),IF(L79&lt;&gt;0,IF(Pricetype=1,(_xll.xSPRDOPT(L79,$E79,$CI79,0,($CD79+IF(Smile=TRUE,VLOOKUP(MAX(-5,$H79-L79),Volsmile,2),0)),$CG79,$CH79,($A79-DateToday)+15,1,0)),L79-$H79),0)))</f>
        <v xml:space="preserve"> </v>
      </c>
      <c r="V79" s="405" t="str">
        <f>IF($A79="N/A"," ",IF(Pricetype=2,MAX(M79-$H79,0),IF(M79&lt;&gt;0,IF(Pricetype=1,(_xll.xSPRDOPT(M79,$E79,$CI79,0,($CD79+IF(Smile=TRUE,VLOOKUP(MAX(-5,$H79-M79),Volsmile,2),0)),$CG79,$CH79,($A79-DateToday)+15,1,0)),M79-$H79),0)))</f>
        <v xml:space="preserve"> </v>
      </c>
      <c r="W79" s="406" t="str">
        <f t="shared" si="193"/>
        <v xml:space="preserve"> </v>
      </c>
      <c r="X79" s="405" t="str">
        <f>IF($A79="N/A"," ",IF(Pricetype=2,MAX(O79-$H79,0),IF(O79&lt;&gt;0,IF(Pricetype=1,(_xll.xSPRDOPT(O79,$E79,$CI79,0,($CD79+IF(Smile=TRUE,VLOOKUP(MAX(-5,$H79-O79),Volsmile,2),0)),$CG79,$CH79,($A79-DateToday)+15,1,0)),O79-$H79),0)))</f>
        <v xml:space="preserve"> </v>
      </c>
      <c r="Y79" s="405" t="str">
        <f>IF($A79="N/A"," ",IF(Pricetype=2,MAX(P79-$H79,0),IF(P79&lt;&gt;0,IF(Pricetype=1,(_xll.xSPRDOPT(P79,$E79,$CI79,0,($CD79+IF(Smile=TRUE,VLOOKUP(MAX(-5,$H79-P79),Volsmile,2),0)),$CG79,$CH79,($A79-DateToday)+15,1,0)),P79-$H79),0)))</f>
        <v xml:space="preserve"> </v>
      </c>
      <c r="Z79" s="406" t="str">
        <f t="shared" si="194"/>
        <v xml:space="preserve"> </v>
      </c>
      <c r="AA79" s="254" t="str">
        <f>IF($A79="N/A"," ",IF(VLOOKUP(MONTH(A79),ManualTable,2)=1,(IF(0&lt;&gt;R79,IF(Pricetype=1,(_xll.xSPRDOPT(I79,$E79,$CI79,0,($CD79+IF(Smile=TRUE,VLOOKUP(MAX(-5,$H79-I79),Volsmile,2),0)),$CG79,$CH79,($A79-DateToday)+15,1,1))*(8*$HD79),8*$HD79),0)),0))</f>
        <v xml:space="preserve"> </v>
      </c>
      <c r="AB79" s="254" t="str">
        <f>IF($A79="N/A"," ",IF(VLOOKUP(MONTH(A79),ManualTable,3)=1,(IF(S79&lt;&gt;0,IF(Pricetype=1,(_xll.xSPRDOPT(J79,$E79,$CI79,0,($CD79+IF(Smile=TRUE,VLOOKUP(MAX(-5,$H79-J79),Volsmile,2),0)),$CG79,$CH79,($A79-DateToday)+15,1,1))*(8*$HD79),8*$HD79),0)),0))</f>
        <v xml:space="preserve"> </v>
      </c>
      <c r="AC79" s="254" t="str">
        <f t="shared" si="235"/>
        <v xml:space="preserve"> </v>
      </c>
      <c r="AD79" s="254" t="str">
        <f>IF($A79="N/A"," ",IF(VLOOKUP(MONTH(A79),ManualTable,5)=1,(IF(U79&lt;&gt;0,IF(Pricetype=1,(_xll.xSPRDOPT(L79,$E79,$CI79,0,($CD79+IF(Smile=TRUE,VLOOKUP(MAX(-5,$H79-L79),Volsmile,2),0)),$CG79,$CH79,($A79-DateToday)+15,1,1))*(8*$HE79),8*$HE79),0)),0))</f>
        <v xml:space="preserve"> </v>
      </c>
      <c r="AE79" s="254" t="str">
        <f>IF($A79="N/A"," ",IF(VLOOKUP(MONTH(A79),ManualTable,6)=1,(IF(V79&lt;&gt;0,IF(Pricetype=1,(_xll.xSPRDOPT(M79,$E79,$CI79,0,($CD79+IF(Smile=TRUE,VLOOKUP(MAX(-5,$H79-M79),Volsmile,2),0)),$CG79,$CH79,($A79-DateToday)+15,1,1))*(8*$HE79),8*$HE79),0)),0))</f>
        <v xml:space="preserve"> </v>
      </c>
      <c r="AF79" s="254" t="str">
        <f t="shared" si="236"/>
        <v xml:space="preserve"> </v>
      </c>
      <c r="AG79" s="254" t="str">
        <f>IF($A79="N/A"," ",IF(VLOOKUP(MONTH(A79),ManualTable,8)=1,(IF(X79&lt;&gt;0,IF(Pricetype=1,(_xll.xSPRDOPT(O79,$E79,$CI79,0,($CD79+IF(Smile=TRUE,VLOOKUP(MAX(-5,$H79-O79),Volsmile,2),0)),$CG79,$CH79,($A79-DateToday)+15,1,1))*(8*$HF79),8*$HF79),0)),0))</f>
        <v xml:space="preserve"> </v>
      </c>
      <c r="AH79" s="254" t="str">
        <f>IF($A79="N/A"," ",IF(VLOOKUP(MONTH(A79),ManualTable,9)=1,(IF(Y79&lt;&gt;0,IF(Pricetype=1,(_xll.xSPRDOPT(P79,$E79,$CI79,0,($CD79+IF(Smile=TRUE,VLOOKUP(MAX(-5,$H79-P79),Volsmile,2),0)),$CG79,$CH79,($A79-DateToday)+15,1,1))*(8*$HF79),8*$HF79),0)),0))</f>
        <v xml:space="preserve"> </v>
      </c>
      <c r="AI79" s="254" t="str">
        <f t="shared" si="237"/>
        <v xml:space="preserve"> </v>
      </c>
      <c r="AJ79" s="227" t="str">
        <f t="shared" si="267"/>
        <v xml:space="preserve"> </v>
      </c>
      <c r="AK79" s="228" t="str">
        <f t="shared" si="268"/>
        <v xml:space="preserve"> </v>
      </c>
      <c r="AL79" s="228" t="str">
        <f t="shared" si="268"/>
        <v xml:space="preserve"> </v>
      </c>
      <c r="AM79" s="228" t="str">
        <f t="shared" si="269"/>
        <v xml:space="preserve"> </v>
      </c>
      <c r="AN79" s="228" t="str">
        <f t="shared" si="270"/>
        <v xml:space="preserve"> </v>
      </c>
      <c r="AO79" s="228" t="str">
        <f t="shared" si="270"/>
        <v xml:space="preserve"> </v>
      </c>
      <c r="AP79" s="228" t="str">
        <f t="shared" si="271"/>
        <v xml:space="preserve"> </v>
      </c>
      <c r="AQ79" s="228" t="str">
        <f t="shared" si="272"/>
        <v xml:space="preserve"> </v>
      </c>
      <c r="AR79" s="229" t="str">
        <f t="shared" si="273"/>
        <v xml:space="preserve"> </v>
      </c>
      <c r="AS79" s="262" t="str">
        <f t="shared" si="102"/>
        <v xml:space="preserve"> </v>
      </c>
      <c r="AT79" s="263" t="str">
        <f t="shared" si="103"/>
        <v xml:space="preserve"> </v>
      </c>
      <c r="AU79" s="263" t="str">
        <f t="shared" si="103"/>
        <v xml:space="preserve"> </v>
      </c>
      <c r="AV79" s="263" t="str">
        <f t="shared" si="104"/>
        <v xml:space="preserve"> </v>
      </c>
      <c r="AW79" s="263" t="str">
        <f t="shared" si="105"/>
        <v xml:space="preserve"> </v>
      </c>
      <c r="AX79" s="263" t="str">
        <f t="shared" si="105"/>
        <v xml:space="preserve"> </v>
      </c>
      <c r="AY79" s="263" t="str">
        <f t="shared" si="106"/>
        <v xml:space="preserve"> </v>
      </c>
      <c r="AZ79" s="263" t="str">
        <f t="shared" si="107"/>
        <v xml:space="preserve"> </v>
      </c>
      <c r="BA79" s="263" t="str">
        <f t="shared" si="108"/>
        <v xml:space="preserve"> </v>
      </c>
      <c r="BB79" s="229"/>
      <c r="BC79" s="266" t="str">
        <f t="shared" si="260"/>
        <v xml:space="preserve"> </v>
      </c>
      <c r="BD79" s="269" t="str">
        <f t="shared" si="261"/>
        <v xml:space="preserve"> </v>
      </c>
      <c r="BE79" s="269" t="str">
        <f t="shared" si="261"/>
        <v xml:space="preserve"> </v>
      </c>
      <c r="BF79" s="269" t="str">
        <f t="shared" si="262"/>
        <v xml:space="preserve"> </v>
      </c>
      <c r="BG79" s="269" t="str">
        <f t="shared" si="263"/>
        <v xml:space="preserve"> </v>
      </c>
      <c r="BH79" s="269" t="str">
        <f t="shared" si="263"/>
        <v xml:space="preserve"> </v>
      </c>
      <c r="BI79" s="269" t="str">
        <f t="shared" si="264"/>
        <v xml:space="preserve"> </v>
      </c>
      <c r="BJ79" s="269" t="str">
        <f t="shared" si="265"/>
        <v xml:space="preserve"> </v>
      </c>
      <c r="BK79" s="269" t="str">
        <f t="shared" si="266"/>
        <v xml:space="preserve"> </v>
      </c>
      <c r="BL79" s="229"/>
      <c r="BM79" s="220" t="str">
        <f>IF($A79="N/A"," ",(IF(MONTH(A79)&gt;=4,IF(MONTH(A79)&lt;=10,Inputs!$F$13-Inputs!$G$13,Inputs!$F$14-Inputs!$G$14),Inputs!$F$14-Inputs!$G$14))*$CK79*Availability)</f>
        <v xml:space="preserve"> </v>
      </c>
      <c r="BN79" s="221" t="str">
        <f t="shared" si="238"/>
        <v xml:space="preserve"> </v>
      </c>
      <c r="BO79" s="221" t="str">
        <f t="shared" si="239"/>
        <v xml:space="preserve"> </v>
      </c>
      <c r="BP79" s="221" t="str">
        <f t="shared" si="240"/>
        <v xml:space="preserve"> </v>
      </c>
      <c r="BQ79" s="221" t="str">
        <f t="shared" si="241"/>
        <v xml:space="preserve"> </v>
      </c>
      <c r="BR79" s="221" t="str">
        <f t="shared" si="242"/>
        <v xml:space="preserve"> </v>
      </c>
      <c r="BS79" s="221" t="str">
        <f t="shared" si="243"/>
        <v xml:space="preserve"> </v>
      </c>
      <c r="BT79" s="221" t="str">
        <f t="shared" si="244"/>
        <v xml:space="preserve"> </v>
      </c>
      <c r="BU79" s="221" t="str">
        <f t="shared" si="245"/>
        <v xml:space="preserve"> </v>
      </c>
      <c r="BV79" s="221" t="str">
        <f t="shared" si="246"/>
        <v xml:space="preserve"> </v>
      </c>
      <c r="BW79" s="221" t="str">
        <f t="shared" si="247"/>
        <v xml:space="preserve"> </v>
      </c>
      <c r="BX79" s="421" t="str">
        <f t="shared" si="248"/>
        <v xml:space="preserve"> </v>
      </c>
      <c r="BY79" s="417" t="str">
        <f t="shared" si="249"/>
        <v xml:space="preserve"> </v>
      </c>
      <c r="BZ79" s="417" t="str">
        <f t="shared" si="250"/>
        <v xml:space="preserve"> </v>
      </c>
      <c r="CA79" s="422" t="str">
        <f t="shared" si="251"/>
        <v xml:space="preserve"> </v>
      </c>
      <c r="CB79" s="347" t="str">
        <f t="shared" si="195"/>
        <v xml:space="preserve"> </v>
      </c>
      <c r="CC79" s="347" t="str">
        <f t="shared" si="252"/>
        <v xml:space="preserve"> </v>
      </c>
      <c r="CD79" s="348" t="str">
        <f t="shared" si="196"/>
        <v xml:space="preserve"> </v>
      </c>
      <c r="CE79" s="347" t="str">
        <f t="shared" si="197"/>
        <v xml:space="preserve"> </v>
      </c>
      <c r="CF79" s="347" t="str">
        <f t="shared" si="198"/>
        <v xml:space="preserve"> </v>
      </c>
      <c r="CG79" s="348" t="str">
        <f t="shared" si="199"/>
        <v xml:space="preserve"> </v>
      </c>
      <c r="CH79" s="347" t="str">
        <f t="shared" si="253"/>
        <v xml:space="preserve"> </v>
      </c>
      <c r="CI79" s="349" t="str">
        <f>IF($A79="N/A"," ",F79+G79+(D79*('Pricing Inputs'!T112)))</f>
        <v xml:space="preserve"> </v>
      </c>
      <c r="CJ79" s="347" t="str">
        <f>IF($A79="N/A"," ",IF(PV=1,0,'Pricing Inputs'!U112))</f>
        <v xml:space="preserve"> </v>
      </c>
      <c r="CK79" s="350" t="str">
        <f t="shared" si="200"/>
        <v xml:space="preserve"> </v>
      </c>
      <c r="CL79" s="365" t="str">
        <f t="shared" si="201"/>
        <v xml:space="preserve"> </v>
      </c>
      <c r="CM79" s="380" t="str">
        <f t="shared" si="254"/>
        <v xml:space="preserve"> </v>
      </c>
      <c r="CN79" s="378" t="str">
        <f t="shared" si="202"/>
        <v xml:space="preserve"> </v>
      </c>
      <c r="CO79" s="378" t="str">
        <f t="shared" si="203"/>
        <v xml:space="preserve"> </v>
      </c>
      <c r="CP79" s="378" t="str">
        <f t="shared" si="204"/>
        <v xml:space="preserve"> </v>
      </c>
      <c r="CQ79" s="378" t="str">
        <f t="shared" si="205"/>
        <v xml:space="preserve"> </v>
      </c>
      <c r="CR79" s="378" t="str">
        <f t="shared" si="206"/>
        <v xml:space="preserve"> </v>
      </c>
      <c r="CS79" s="378" t="str">
        <f t="shared" si="207"/>
        <v xml:space="preserve"> </v>
      </c>
      <c r="CT79" s="378" t="str">
        <f t="shared" si="208"/>
        <v xml:space="preserve"> </v>
      </c>
      <c r="CU79" s="378" t="str">
        <f t="shared" si="209"/>
        <v xml:space="preserve"> </v>
      </c>
      <c r="CV79" s="378" t="str">
        <f t="shared" si="210"/>
        <v xml:space="preserve"> </v>
      </c>
      <c r="CW79" s="254" t="str">
        <f t="shared" si="211"/>
        <v xml:space="preserve"> </v>
      </c>
      <c r="CX79" s="254" t="str">
        <f t="shared" si="212"/>
        <v xml:space="preserve"> </v>
      </c>
      <c r="CY79" s="254" t="str">
        <f t="shared" si="213"/>
        <v xml:space="preserve"> </v>
      </c>
      <c r="CZ79" s="254" t="str">
        <f t="shared" si="214"/>
        <v xml:space="preserve"> </v>
      </c>
      <c r="DA79" s="254" t="str">
        <f t="shared" si="215"/>
        <v xml:space="preserve"> </v>
      </c>
      <c r="DB79" s="254" t="str">
        <f t="shared" si="216"/>
        <v xml:space="preserve"> </v>
      </c>
      <c r="DC79" s="254" t="str">
        <f t="shared" si="217"/>
        <v xml:space="preserve"> </v>
      </c>
      <c r="DD79" s="254" t="str">
        <f t="shared" si="218"/>
        <v xml:space="preserve"> </v>
      </c>
      <c r="DE79" s="254" t="str">
        <f t="shared" si="219"/>
        <v xml:space="preserve"> </v>
      </c>
      <c r="DF79" s="374" t="str">
        <f>IF($A79="N/A"," ",IF(CC=2,(IF(MONTH(A79)&gt;=4,IF(MONTH(A79)&lt;=10,Inputs!$G$13,Inputs!$G$14),Inputs!$G$14))*$CK79,0))</f>
        <v xml:space="preserve"> </v>
      </c>
      <c r="DG79" s="373" t="str">
        <f t="shared" si="220"/>
        <v xml:space="preserve"> </v>
      </c>
      <c r="DH79" s="373" t="str">
        <f t="shared" si="221"/>
        <v xml:space="preserve"> </v>
      </c>
      <c r="DI79" s="373" t="str">
        <f t="shared" si="222"/>
        <v xml:space="preserve"> </v>
      </c>
      <c r="DJ79" s="373" t="str">
        <f t="shared" si="223"/>
        <v xml:space="preserve"> </v>
      </c>
      <c r="DK79" s="373" t="str">
        <f t="shared" si="224"/>
        <v xml:space="preserve"> </v>
      </c>
      <c r="DL79" s="373" t="str">
        <f t="shared" si="225"/>
        <v xml:space="preserve"> </v>
      </c>
      <c r="DM79" s="373" t="str">
        <f t="shared" si="226"/>
        <v xml:space="preserve"> </v>
      </c>
      <c r="DN79" s="373" t="str">
        <f t="shared" si="227"/>
        <v xml:space="preserve"> </v>
      </c>
      <c r="DO79" s="373" t="str">
        <f t="shared" si="228"/>
        <v xml:space="preserve"> </v>
      </c>
      <c r="DP79" s="375" t="str">
        <f t="shared" si="229"/>
        <v xml:space="preserve"> </v>
      </c>
      <c r="DQ79" t="str">
        <f t="shared" si="255"/>
        <v xml:space="preserve"> </v>
      </c>
      <c r="HD79" t="str">
        <f t="shared" si="256"/>
        <v xml:space="preserve"> </v>
      </c>
      <c r="HE79" t="str">
        <f t="shared" si="257"/>
        <v xml:space="preserve"> </v>
      </c>
      <c r="HF79" t="str">
        <f t="shared" si="258"/>
        <v xml:space="preserve"> </v>
      </c>
    </row>
    <row r="80" spans="1:214">
      <c r="A80" s="415" t="str">
        <f>IF(A79="N/A","N/A",IF(EDATE(A79,1)&gt;Inputs!$K$3,"N/A",EDATE(A79,1)))</f>
        <v>N/A</v>
      </c>
      <c r="B80" s="410" t="str">
        <f t="shared" si="230"/>
        <v xml:space="preserve"> </v>
      </c>
      <c r="C80" s="411" t="str">
        <f t="shared" si="231"/>
        <v xml:space="preserve"> </v>
      </c>
      <c r="D80" s="412" t="str">
        <f t="shared" si="232"/>
        <v xml:space="preserve"> </v>
      </c>
      <c r="E80" s="413" t="str">
        <f>IF($A80="N/A"," ",(C80-'Pricing Inputs'!T113)*D80)</f>
        <v xml:space="preserve"> </v>
      </c>
      <c r="F80" s="414" t="str">
        <f t="shared" si="116"/>
        <v xml:space="preserve"> </v>
      </c>
      <c r="G80" s="414" t="str">
        <f t="shared" si="233"/>
        <v xml:space="preserve"> </v>
      </c>
      <c r="H80" s="416" t="str">
        <f t="shared" si="234"/>
        <v xml:space="preserve"> </v>
      </c>
      <c r="I80" s="213" t="str">
        <f t="shared" si="183"/>
        <v xml:space="preserve"> </v>
      </c>
      <c r="J80" s="213" t="str">
        <f t="shared" si="184"/>
        <v xml:space="preserve"> </v>
      </c>
      <c r="K80" s="213" t="str">
        <f t="shared" si="185"/>
        <v xml:space="preserve"> </v>
      </c>
      <c r="L80" s="213" t="str">
        <f t="shared" si="186"/>
        <v xml:space="preserve"> </v>
      </c>
      <c r="M80" s="213" t="str">
        <f t="shared" si="187"/>
        <v xml:space="preserve"> </v>
      </c>
      <c r="N80" s="213" t="str">
        <f t="shared" si="188"/>
        <v xml:space="preserve"> </v>
      </c>
      <c r="O80" s="213" t="str">
        <f t="shared" si="189"/>
        <v xml:space="preserve"> </v>
      </c>
      <c r="P80" s="213" t="str">
        <f t="shared" si="190"/>
        <v xml:space="preserve"> </v>
      </c>
      <c r="Q80" s="213" t="str">
        <f t="shared" si="191"/>
        <v xml:space="preserve"> </v>
      </c>
      <c r="R80" s="405" t="str">
        <f>IF($A80="N/A"," ",IF(Pricetype=2,MAX(I80-$H80,0),IF(Pricetype=1,(_xll.xSPRDOPT(I80,$E80,$CI80,0,($CD80+IF(Smile=TRUE,VLOOKUP(MAX(-5,$H80-I80),Volsmile,2),0)),$CG80,$CH80,($A80-DateToday)+15,1,0)),I80-$H80)))</f>
        <v xml:space="preserve"> </v>
      </c>
      <c r="S80" s="405" t="str">
        <f>IF($A80="N/A"," ",IF(Pricetype=2,MAX(J80-$H80,0),IF(Pricetype=1,(_xll.xSPRDOPT(J80,$E80,$CI80,0,($CD80+IF(Smile=TRUE,VLOOKUP(MAX(-5,$H80-J80),Volsmile,2),0)),$CG80,$CH80,($A80-DateToday)+15,1,0)),J80-$H80)))</f>
        <v xml:space="preserve"> </v>
      </c>
      <c r="T80" s="406" t="str">
        <f t="shared" si="192"/>
        <v xml:space="preserve"> </v>
      </c>
      <c r="U80" s="405" t="str">
        <f>IF($A80="N/A"," ",IF(Pricetype=2,MAX(L80-$H80,0),IF(L80&lt;&gt;0,IF(Pricetype=1,(_xll.xSPRDOPT(L80,$E80,$CI80,0,($CD80+IF(Smile=TRUE,VLOOKUP(MAX(-5,$H80-L80),Volsmile,2),0)),$CG80,$CH80,($A80-DateToday)+15,1,0)),L80-$H80),0)))</f>
        <v xml:space="preserve"> </v>
      </c>
      <c r="V80" s="405" t="str">
        <f>IF($A80="N/A"," ",IF(Pricetype=2,MAX(M80-$H80,0),IF(M80&lt;&gt;0,IF(Pricetype=1,(_xll.xSPRDOPT(M80,$E80,$CI80,0,($CD80+IF(Smile=TRUE,VLOOKUP(MAX(-5,$H80-M80),Volsmile,2),0)),$CG80,$CH80,($A80-DateToday)+15,1,0)),M80-$H80),0)))</f>
        <v xml:space="preserve"> </v>
      </c>
      <c r="W80" s="406" t="str">
        <f t="shared" si="193"/>
        <v xml:space="preserve"> </v>
      </c>
      <c r="X80" s="405" t="str">
        <f>IF($A80="N/A"," ",IF(Pricetype=2,MAX(O80-$H80,0),IF(O80&lt;&gt;0,IF(Pricetype=1,(_xll.xSPRDOPT(O80,$E80,$CI80,0,($CD80+IF(Smile=TRUE,VLOOKUP(MAX(-5,$H80-O80),Volsmile,2),0)),$CG80,$CH80,($A80-DateToday)+15,1,0)),O80-$H80),0)))</f>
        <v xml:space="preserve"> </v>
      </c>
      <c r="Y80" s="405" t="str">
        <f>IF($A80="N/A"," ",IF(Pricetype=2,MAX(P80-$H80,0),IF(P80&lt;&gt;0,IF(Pricetype=1,(_xll.xSPRDOPT(P80,$E80,$CI80,0,($CD80+IF(Smile=TRUE,VLOOKUP(MAX(-5,$H80-P80),Volsmile,2),0)),$CG80,$CH80,($A80-DateToday)+15,1,0)),P80-$H80),0)))</f>
        <v xml:space="preserve"> </v>
      </c>
      <c r="Z80" s="406" t="str">
        <f t="shared" si="194"/>
        <v xml:space="preserve"> </v>
      </c>
      <c r="AA80" s="254" t="str">
        <f>IF($A80="N/A"," ",IF(VLOOKUP(MONTH(A80),ManualTable,2)=1,(IF(0&lt;&gt;R80,IF(Pricetype=1,(_xll.xSPRDOPT(I80,$E80,$CI80,0,($CD80+IF(Smile=TRUE,VLOOKUP(MAX(-5,$H80-I80),Volsmile,2),0)),$CG80,$CH80,($A80-DateToday)+15,1,1))*(8*$HD80),8*$HD80),0)),0))</f>
        <v xml:space="preserve"> </v>
      </c>
      <c r="AB80" s="254" t="str">
        <f>IF($A80="N/A"," ",IF(VLOOKUP(MONTH(A80),ManualTable,3)=1,(IF(S80&lt;&gt;0,IF(Pricetype=1,(_xll.xSPRDOPT(J80,$E80,$CI80,0,($CD80+IF(Smile=TRUE,VLOOKUP(MAX(-5,$H80-J80),Volsmile,2),0)),$CG80,$CH80,($A80-DateToday)+15,1,1))*(8*$HD80),8*$HD80),0)),0))</f>
        <v xml:space="preserve"> </v>
      </c>
      <c r="AC80" s="254" t="str">
        <f t="shared" si="235"/>
        <v xml:space="preserve"> </v>
      </c>
      <c r="AD80" s="254" t="str">
        <f>IF($A80="N/A"," ",IF(VLOOKUP(MONTH(A80),ManualTable,5)=1,(IF(U80&lt;&gt;0,IF(Pricetype=1,(_xll.xSPRDOPT(L80,$E80,$CI80,0,($CD80+IF(Smile=TRUE,VLOOKUP(MAX(-5,$H80-L80),Volsmile,2),0)),$CG80,$CH80,($A80-DateToday)+15,1,1))*(8*$HE80),8*$HE80),0)),0))</f>
        <v xml:space="preserve"> </v>
      </c>
      <c r="AE80" s="254" t="str">
        <f>IF($A80="N/A"," ",IF(VLOOKUP(MONTH(A80),ManualTable,6)=1,(IF(V80&lt;&gt;0,IF(Pricetype=1,(_xll.xSPRDOPT(M80,$E80,$CI80,0,($CD80+IF(Smile=TRUE,VLOOKUP(MAX(-5,$H80-M80),Volsmile,2),0)),$CG80,$CH80,($A80-DateToday)+15,1,1))*(8*$HE80),8*$HE80),0)),0))</f>
        <v xml:space="preserve"> </v>
      </c>
      <c r="AF80" s="254" t="str">
        <f t="shared" si="236"/>
        <v xml:space="preserve"> </v>
      </c>
      <c r="AG80" s="254" t="str">
        <f>IF($A80="N/A"," ",IF(VLOOKUP(MONTH(A80),ManualTable,8)=1,(IF(X80&lt;&gt;0,IF(Pricetype=1,(_xll.xSPRDOPT(O80,$E80,$CI80,0,($CD80+IF(Smile=TRUE,VLOOKUP(MAX(-5,$H80-O80),Volsmile,2),0)),$CG80,$CH80,($A80-DateToday)+15,1,1))*(8*$HF80),8*$HF80),0)),0))</f>
        <v xml:space="preserve"> </v>
      </c>
      <c r="AH80" s="254" t="str">
        <f>IF($A80="N/A"," ",IF(VLOOKUP(MONTH(A80),ManualTable,9)=1,(IF(Y80&lt;&gt;0,IF(Pricetype=1,(_xll.xSPRDOPT(P80,$E80,$CI80,0,($CD80+IF(Smile=TRUE,VLOOKUP(MAX(-5,$H80-P80),Volsmile,2),0)),$CG80,$CH80,($A80-DateToday)+15,1,1))*(8*$HF80),8*$HF80),0)),0))</f>
        <v xml:space="preserve"> </v>
      </c>
      <c r="AI80" s="254" t="str">
        <f t="shared" si="237"/>
        <v xml:space="preserve"> </v>
      </c>
      <c r="AJ80" s="227" t="str">
        <f t="shared" si="267"/>
        <v xml:space="preserve"> </v>
      </c>
      <c r="AK80" s="228" t="str">
        <f t="shared" si="268"/>
        <v xml:space="preserve"> </v>
      </c>
      <c r="AL80" s="228" t="str">
        <f t="shared" si="268"/>
        <v xml:space="preserve"> </v>
      </c>
      <c r="AM80" s="228" t="str">
        <f t="shared" si="269"/>
        <v xml:space="preserve"> </v>
      </c>
      <c r="AN80" s="228" t="str">
        <f t="shared" si="270"/>
        <v xml:space="preserve"> </v>
      </c>
      <c r="AO80" s="228" t="str">
        <f t="shared" si="270"/>
        <v xml:space="preserve"> </v>
      </c>
      <c r="AP80" s="228" t="str">
        <f t="shared" si="271"/>
        <v xml:space="preserve"> </v>
      </c>
      <c r="AQ80" s="228" t="str">
        <f t="shared" si="272"/>
        <v xml:space="preserve"> </v>
      </c>
      <c r="AR80" s="229" t="str">
        <f t="shared" si="273"/>
        <v xml:space="preserve"> </v>
      </c>
      <c r="AS80" s="262" t="str">
        <f t="shared" ref="AS80:AS143" si="274">IF($A80="N/A"," ",IF(AJ80&lt;=$AR$2,AA80,0))</f>
        <v xml:space="preserve"> </v>
      </c>
      <c r="AT80" s="263" t="str">
        <f t="shared" ref="AT80:AU143" si="275">IF($A80="N/A"," ",IF(AK80&lt;=$AR$2,AB80,0))</f>
        <v xml:space="preserve"> </v>
      </c>
      <c r="AU80" s="263" t="str">
        <f t="shared" si="275"/>
        <v xml:space="preserve"> </v>
      </c>
      <c r="AV80" s="263" t="str">
        <f t="shared" ref="AV80:AV143" si="276">IF($A80="N/A"," ",IF(AM80&lt;=$AR$2,AD80,0))</f>
        <v xml:space="preserve"> </v>
      </c>
      <c r="AW80" s="263" t="str">
        <f t="shared" ref="AW80:AX143" si="277">IF($A80="N/A"," ",IF(AN80&lt;=$AR$2,AE80,0))</f>
        <v xml:space="preserve"> </v>
      </c>
      <c r="AX80" s="263" t="str">
        <f t="shared" si="277"/>
        <v xml:space="preserve"> </v>
      </c>
      <c r="AY80" s="263" t="str">
        <f t="shared" ref="AY80:AY143" si="278">IF($A80="N/A"," ",IF(AP80&lt;=$AR$2,AG80,0))</f>
        <v xml:space="preserve"> </v>
      </c>
      <c r="AZ80" s="263" t="str">
        <f t="shared" ref="AZ80:AZ143" si="279">IF($A80="N/A"," ",IF(AQ80&lt;=$AR$2,AH80,0))</f>
        <v xml:space="preserve"> </v>
      </c>
      <c r="BA80" s="263" t="str">
        <f t="shared" ref="BA80:BA143" si="280">IF($A80="N/A"," ",IF(AR80&lt;=$AR$2,AI80,0))</f>
        <v xml:space="preserve"> </v>
      </c>
      <c r="BB80" s="229"/>
      <c r="BC80" s="266" t="str">
        <f t="shared" si="260"/>
        <v xml:space="preserve"> </v>
      </c>
      <c r="BD80" s="269" t="str">
        <f t="shared" si="261"/>
        <v xml:space="preserve"> </v>
      </c>
      <c r="BE80" s="269" t="str">
        <f t="shared" si="261"/>
        <v xml:space="preserve"> </v>
      </c>
      <c r="BF80" s="269" t="str">
        <f t="shared" si="262"/>
        <v xml:space="preserve"> </v>
      </c>
      <c r="BG80" s="269" t="str">
        <f t="shared" si="263"/>
        <v xml:space="preserve"> </v>
      </c>
      <c r="BH80" s="269" t="str">
        <f t="shared" si="263"/>
        <v xml:space="preserve"> </v>
      </c>
      <c r="BI80" s="269" t="str">
        <f t="shared" si="264"/>
        <v xml:space="preserve"> </v>
      </c>
      <c r="BJ80" s="269" t="str">
        <f t="shared" si="265"/>
        <v xml:space="preserve"> </v>
      </c>
      <c r="BK80" s="269" t="str">
        <f t="shared" si="266"/>
        <v xml:space="preserve"> </v>
      </c>
      <c r="BL80" s="229"/>
      <c r="BM80" s="220" t="str">
        <f>IF($A80="N/A"," ",(IF(MONTH(A80)&gt;=4,IF(MONTH(A80)&lt;=10,Inputs!$F$13-Inputs!$G$13,Inputs!$F$14-Inputs!$G$14),Inputs!$F$14-Inputs!$G$14))*$CK80*Availability)</f>
        <v xml:space="preserve"> </v>
      </c>
      <c r="BN80" s="221" t="str">
        <f t="shared" si="238"/>
        <v xml:space="preserve"> </v>
      </c>
      <c r="BO80" s="221" t="str">
        <f t="shared" si="239"/>
        <v xml:space="preserve"> </v>
      </c>
      <c r="BP80" s="221" t="str">
        <f t="shared" si="240"/>
        <v xml:space="preserve"> </v>
      </c>
      <c r="BQ80" s="221" t="str">
        <f t="shared" si="241"/>
        <v xml:space="preserve"> </v>
      </c>
      <c r="BR80" s="221" t="str">
        <f t="shared" si="242"/>
        <v xml:space="preserve"> </v>
      </c>
      <c r="BS80" s="221" t="str">
        <f t="shared" si="243"/>
        <v xml:space="preserve"> </v>
      </c>
      <c r="BT80" s="221" t="str">
        <f t="shared" si="244"/>
        <v xml:space="preserve"> </v>
      </c>
      <c r="BU80" s="221" t="str">
        <f t="shared" si="245"/>
        <v xml:space="preserve"> </v>
      </c>
      <c r="BV80" s="221" t="str">
        <f t="shared" si="246"/>
        <v xml:space="preserve"> </v>
      </c>
      <c r="BW80" s="221" t="str">
        <f t="shared" si="247"/>
        <v xml:space="preserve"> </v>
      </c>
      <c r="BX80" s="421" t="str">
        <f t="shared" si="248"/>
        <v xml:space="preserve"> </v>
      </c>
      <c r="BY80" s="417" t="str">
        <f t="shared" si="249"/>
        <v xml:space="preserve"> </v>
      </c>
      <c r="BZ80" s="417" t="str">
        <f t="shared" si="250"/>
        <v xml:space="preserve"> </v>
      </c>
      <c r="CA80" s="422" t="str">
        <f t="shared" si="251"/>
        <v xml:space="preserve"> </v>
      </c>
      <c r="CB80" s="347" t="str">
        <f t="shared" si="195"/>
        <v xml:space="preserve"> </v>
      </c>
      <c r="CC80" s="347" t="str">
        <f t="shared" si="252"/>
        <v xml:space="preserve"> </v>
      </c>
      <c r="CD80" s="348" t="str">
        <f t="shared" si="196"/>
        <v xml:space="preserve"> </v>
      </c>
      <c r="CE80" s="347" t="str">
        <f t="shared" si="197"/>
        <v xml:space="preserve"> </v>
      </c>
      <c r="CF80" s="347" t="str">
        <f t="shared" si="198"/>
        <v xml:space="preserve"> </v>
      </c>
      <c r="CG80" s="348" t="str">
        <f t="shared" si="199"/>
        <v xml:space="preserve"> </v>
      </c>
      <c r="CH80" s="347" t="str">
        <f t="shared" si="253"/>
        <v xml:space="preserve"> </v>
      </c>
      <c r="CI80" s="349" t="str">
        <f>IF($A80="N/A"," ",F80+G80+(D80*('Pricing Inputs'!T113)))</f>
        <v xml:space="preserve"> </v>
      </c>
      <c r="CJ80" s="347" t="str">
        <f>IF($A80="N/A"," ",IF(PV=1,0,'Pricing Inputs'!U113))</f>
        <v xml:space="preserve"> </v>
      </c>
      <c r="CK80" s="350" t="str">
        <f t="shared" si="200"/>
        <v xml:space="preserve"> </v>
      </c>
      <c r="CL80" s="365" t="str">
        <f t="shared" si="201"/>
        <v xml:space="preserve"> </v>
      </c>
      <c r="CM80" s="380" t="str">
        <f t="shared" si="254"/>
        <v xml:space="preserve"> </v>
      </c>
      <c r="CN80" s="378" t="str">
        <f t="shared" si="202"/>
        <v xml:space="preserve"> </v>
      </c>
      <c r="CO80" s="378" t="str">
        <f t="shared" si="203"/>
        <v xml:space="preserve"> </v>
      </c>
      <c r="CP80" s="378" t="str">
        <f t="shared" si="204"/>
        <v xml:space="preserve"> </v>
      </c>
      <c r="CQ80" s="378" t="str">
        <f t="shared" si="205"/>
        <v xml:space="preserve"> </v>
      </c>
      <c r="CR80" s="378" t="str">
        <f t="shared" si="206"/>
        <v xml:space="preserve"> </v>
      </c>
      <c r="CS80" s="378" t="str">
        <f t="shared" si="207"/>
        <v xml:space="preserve"> </v>
      </c>
      <c r="CT80" s="378" t="str">
        <f t="shared" si="208"/>
        <v xml:space="preserve"> </v>
      </c>
      <c r="CU80" s="378" t="str">
        <f t="shared" si="209"/>
        <v xml:space="preserve"> </v>
      </c>
      <c r="CV80" s="378" t="str">
        <f t="shared" si="210"/>
        <v xml:space="preserve"> </v>
      </c>
      <c r="CW80" s="254" t="str">
        <f t="shared" si="211"/>
        <v xml:space="preserve"> </v>
      </c>
      <c r="CX80" s="254" t="str">
        <f t="shared" si="212"/>
        <v xml:space="preserve"> </v>
      </c>
      <c r="CY80" s="254" t="str">
        <f t="shared" si="213"/>
        <v xml:space="preserve"> </v>
      </c>
      <c r="CZ80" s="254" t="str">
        <f t="shared" si="214"/>
        <v xml:space="preserve"> </v>
      </c>
      <c r="DA80" s="254" t="str">
        <f t="shared" si="215"/>
        <v xml:space="preserve"> </v>
      </c>
      <c r="DB80" s="254" t="str">
        <f t="shared" si="216"/>
        <v xml:space="preserve"> </v>
      </c>
      <c r="DC80" s="254" t="str">
        <f t="shared" si="217"/>
        <v xml:space="preserve"> </v>
      </c>
      <c r="DD80" s="254" t="str">
        <f t="shared" si="218"/>
        <v xml:space="preserve"> </v>
      </c>
      <c r="DE80" s="254" t="str">
        <f t="shared" si="219"/>
        <v xml:space="preserve"> </v>
      </c>
      <c r="DF80" s="374" t="str">
        <f>IF($A80="N/A"," ",IF(CC=2,(IF(MONTH(A80)&gt;=4,IF(MONTH(A80)&lt;=10,Inputs!$G$13,Inputs!$G$14),Inputs!$G$14))*$CK80,0))</f>
        <v xml:space="preserve"> </v>
      </c>
      <c r="DG80" s="373" t="str">
        <f t="shared" si="220"/>
        <v xml:space="preserve"> </v>
      </c>
      <c r="DH80" s="373" t="str">
        <f t="shared" si="221"/>
        <v xml:space="preserve"> </v>
      </c>
      <c r="DI80" s="373" t="str">
        <f t="shared" si="222"/>
        <v xml:space="preserve"> </v>
      </c>
      <c r="DJ80" s="373" t="str">
        <f t="shared" si="223"/>
        <v xml:space="preserve"> </v>
      </c>
      <c r="DK80" s="373" t="str">
        <f t="shared" si="224"/>
        <v xml:space="preserve"> </v>
      </c>
      <c r="DL80" s="373" t="str">
        <f t="shared" si="225"/>
        <v xml:space="preserve"> </v>
      </c>
      <c r="DM80" s="373" t="str">
        <f t="shared" si="226"/>
        <v xml:space="preserve"> </v>
      </c>
      <c r="DN80" s="373" t="str">
        <f t="shared" si="227"/>
        <v xml:space="preserve"> </v>
      </c>
      <c r="DO80" s="373" t="str">
        <f t="shared" si="228"/>
        <v xml:space="preserve"> </v>
      </c>
      <c r="DP80" s="375" t="str">
        <f t="shared" si="229"/>
        <v xml:space="preserve"> </v>
      </c>
      <c r="DQ80" t="str">
        <f t="shared" si="255"/>
        <v xml:space="preserve"> </v>
      </c>
      <c r="HD80" t="str">
        <f t="shared" si="256"/>
        <v xml:space="preserve"> </v>
      </c>
      <c r="HE80" t="str">
        <f t="shared" si="257"/>
        <v xml:space="preserve"> </v>
      </c>
      <c r="HF80" t="str">
        <f t="shared" si="258"/>
        <v xml:space="preserve"> </v>
      </c>
    </row>
    <row r="81" spans="1:214">
      <c r="A81" s="415" t="str">
        <f>IF(A80="N/A","N/A",IF(EDATE(A80,1)&gt;Inputs!$K$3,"N/A",EDATE(A80,1)))</f>
        <v>N/A</v>
      </c>
      <c r="B81" s="410" t="str">
        <f t="shared" si="230"/>
        <v xml:space="preserve"> </v>
      </c>
      <c r="C81" s="411" t="str">
        <f t="shared" si="231"/>
        <v xml:space="preserve"> </v>
      </c>
      <c r="D81" s="412" t="str">
        <f t="shared" si="232"/>
        <v xml:space="preserve"> </v>
      </c>
      <c r="E81" s="413" t="str">
        <f>IF($A81="N/A"," ",(C81-'Pricing Inputs'!T114)*D81)</f>
        <v xml:space="preserve"> </v>
      </c>
      <c r="F81" s="414" t="str">
        <f t="shared" ref="F81:F144" si="281">IF(A81="N/A"," ",$F69*(1+VOMesc))</f>
        <v xml:space="preserve"> </v>
      </c>
      <c r="G81" s="414" t="str">
        <f t="shared" si="233"/>
        <v xml:space="preserve"> </v>
      </c>
      <c r="H81" s="416" t="str">
        <f t="shared" si="234"/>
        <v xml:space="preserve"> </v>
      </c>
      <c r="I81" s="213" t="str">
        <f t="shared" si="183"/>
        <v xml:space="preserve"> </v>
      </c>
      <c r="J81" s="213" t="str">
        <f t="shared" si="184"/>
        <v xml:space="preserve"> </v>
      </c>
      <c r="K81" s="213" t="str">
        <f t="shared" si="185"/>
        <v xml:space="preserve"> </v>
      </c>
      <c r="L81" s="213" t="str">
        <f t="shared" si="186"/>
        <v xml:space="preserve"> </v>
      </c>
      <c r="M81" s="213" t="str">
        <f t="shared" si="187"/>
        <v xml:space="preserve"> </v>
      </c>
      <c r="N81" s="213" t="str">
        <f t="shared" si="188"/>
        <v xml:space="preserve"> </v>
      </c>
      <c r="O81" s="213" t="str">
        <f t="shared" si="189"/>
        <v xml:space="preserve"> </v>
      </c>
      <c r="P81" s="213" t="str">
        <f t="shared" si="190"/>
        <v xml:space="preserve"> </v>
      </c>
      <c r="Q81" s="213" t="str">
        <f t="shared" si="191"/>
        <v xml:space="preserve"> </v>
      </c>
      <c r="R81" s="405" t="str">
        <f>IF($A81="N/A"," ",IF(Pricetype=2,MAX(I81-$H81,0),IF(Pricetype=1,(_xll.xSPRDOPT(I81,$E81,$CI81,0,($CD81+IF(Smile=TRUE,VLOOKUP(MAX(-5,$H81-I81),Volsmile,2),0)),$CG81,$CH81,($A81-DateToday)+15,1,0)),I81-$H81)))</f>
        <v xml:space="preserve"> </v>
      </c>
      <c r="S81" s="405" t="str">
        <f>IF($A81="N/A"," ",IF(Pricetype=2,MAX(J81-$H81,0),IF(Pricetype=1,(_xll.xSPRDOPT(J81,$E81,$CI81,0,($CD81+IF(Smile=TRUE,VLOOKUP(MAX(-5,$H81-J81),Volsmile,2),0)),$CG81,$CH81,($A81-DateToday)+15,1,0)),J81-$H81)))</f>
        <v xml:space="preserve"> </v>
      </c>
      <c r="T81" s="406" t="str">
        <f t="shared" si="192"/>
        <v xml:space="preserve"> </v>
      </c>
      <c r="U81" s="405" t="str">
        <f>IF($A81="N/A"," ",IF(Pricetype=2,MAX(L81-$H81,0),IF(L81&lt;&gt;0,IF(Pricetype=1,(_xll.xSPRDOPT(L81,$E81,$CI81,0,($CD81+IF(Smile=TRUE,VLOOKUP(MAX(-5,$H81-L81),Volsmile,2),0)),$CG81,$CH81,($A81-DateToday)+15,1,0)),L81-$H81),0)))</f>
        <v xml:space="preserve"> </v>
      </c>
      <c r="V81" s="405" t="str">
        <f>IF($A81="N/A"," ",IF(Pricetype=2,MAX(M81-$H81,0),IF(M81&lt;&gt;0,IF(Pricetype=1,(_xll.xSPRDOPT(M81,$E81,$CI81,0,($CD81+IF(Smile=TRUE,VLOOKUP(MAX(-5,$H81-M81),Volsmile,2),0)),$CG81,$CH81,($A81-DateToday)+15,1,0)),M81-$H81),0)))</f>
        <v xml:space="preserve"> </v>
      </c>
      <c r="W81" s="406" t="str">
        <f t="shared" si="193"/>
        <v xml:space="preserve"> </v>
      </c>
      <c r="X81" s="405" t="str">
        <f>IF($A81="N/A"," ",IF(Pricetype=2,MAX(O81-$H81,0),IF(O81&lt;&gt;0,IF(Pricetype=1,(_xll.xSPRDOPT(O81,$E81,$CI81,0,($CD81+IF(Smile=TRUE,VLOOKUP(MAX(-5,$H81-O81),Volsmile,2),0)),$CG81,$CH81,($A81-DateToday)+15,1,0)),O81-$H81),0)))</f>
        <v xml:space="preserve"> </v>
      </c>
      <c r="Y81" s="405" t="str">
        <f>IF($A81="N/A"," ",IF(Pricetype=2,MAX(P81-$H81,0),IF(P81&lt;&gt;0,IF(Pricetype=1,(_xll.xSPRDOPT(P81,$E81,$CI81,0,($CD81+IF(Smile=TRUE,VLOOKUP(MAX(-5,$H81-P81),Volsmile,2),0)),$CG81,$CH81,($A81-DateToday)+15,1,0)),P81-$H81),0)))</f>
        <v xml:space="preserve"> </v>
      </c>
      <c r="Z81" s="406" t="str">
        <f t="shared" si="194"/>
        <v xml:space="preserve"> </v>
      </c>
      <c r="AA81" s="254" t="str">
        <f>IF($A81="N/A"," ",IF(VLOOKUP(MONTH(A81),ManualTable,2)=1,(IF(0&lt;&gt;R81,IF(Pricetype=1,(_xll.xSPRDOPT(I81,$E81,$CI81,0,($CD81+IF(Smile=TRUE,VLOOKUP(MAX(-5,$H81-I81),Volsmile,2),0)),$CG81,$CH81,($A81-DateToday)+15,1,1))*(8*$HD81),8*$HD81),0)),0))</f>
        <v xml:space="preserve"> </v>
      </c>
      <c r="AB81" s="254" t="str">
        <f>IF($A81="N/A"," ",IF(VLOOKUP(MONTH(A81),ManualTable,3)=1,(IF(S81&lt;&gt;0,IF(Pricetype=1,(_xll.xSPRDOPT(J81,$E81,$CI81,0,($CD81+IF(Smile=TRUE,VLOOKUP(MAX(-5,$H81-J81),Volsmile,2),0)),$CG81,$CH81,($A81-DateToday)+15,1,1))*(8*$HD81),8*$HD81),0)),0))</f>
        <v xml:space="preserve"> </v>
      </c>
      <c r="AC81" s="254" t="str">
        <f t="shared" si="235"/>
        <v xml:space="preserve"> </v>
      </c>
      <c r="AD81" s="254" t="str">
        <f>IF($A81="N/A"," ",IF(VLOOKUP(MONTH(A81),ManualTable,5)=1,(IF(U81&lt;&gt;0,IF(Pricetype=1,(_xll.xSPRDOPT(L81,$E81,$CI81,0,($CD81+IF(Smile=TRUE,VLOOKUP(MAX(-5,$H81-L81),Volsmile,2),0)),$CG81,$CH81,($A81-DateToday)+15,1,1))*(8*$HE81),8*$HE81),0)),0))</f>
        <v xml:space="preserve"> </v>
      </c>
      <c r="AE81" s="254" t="str">
        <f>IF($A81="N/A"," ",IF(VLOOKUP(MONTH(A81),ManualTable,6)=1,(IF(V81&lt;&gt;0,IF(Pricetype=1,(_xll.xSPRDOPT(M81,$E81,$CI81,0,($CD81+IF(Smile=TRUE,VLOOKUP(MAX(-5,$H81-M81),Volsmile,2),0)),$CG81,$CH81,($A81-DateToday)+15,1,1))*(8*$HE81),8*$HE81),0)),0))</f>
        <v xml:space="preserve"> </v>
      </c>
      <c r="AF81" s="254" t="str">
        <f t="shared" si="236"/>
        <v xml:space="preserve"> </v>
      </c>
      <c r="AG81" s="254" t="str">
        <f>IF($A81="N/A"," ",IF(VLOOKUP(MONTH(A81),ManualTable,8)=1,(IF(X81&lt;&gt;0,IF(Pricetype=1,(_xll.xSPRDOPT(O81,$E81,$CI81,0,($CD81+IF(Smile=TRUE,VLOOKUP(MAX(-5,$H81-O81),Volsmile,2),0)),$CG81,$CH81,($A81-DateToday)+15,1,1))*(8*$HF81),8*$HF81),0)),0))</f>
        <v xml:space="preserve"> </v>
      </c>
      <c r="AH81" s="254" t="str">
        <f>IF($A81="N/A"," ",IF(VLOOKUP(MONTH(A81),ManualTable,9)=1,(IF(Y81&lt;&gt;0,IF(Pricetype=1,(_xll.xSPRDOPT(P81,$E81,$CI81,0,($CD81+IF(Smile=TRUE,VLOOKUP(MAX(-5,$H81-P81),Volsmile,2),0)),$CG81,$CH81,($A81-DateToday)+15,1,1))*(8*$HF81),8*$HF81),0)),0))</f>
        <v xml:space="preserve"> </v>
      </c>
      <c r="AI81" s="254" t="str">
        <f t="shared" si="237"/>
        <v xml:space="preserve"> </v>
      </c>
      <c r="AJ81" s="227" t="str">
        <f t="shared" si="267"/>
        <v xml:space="preserve"> </v>
      </c>
      <c r="AK81" s="228" t="str">
        <f t="shared" si="268"/>
        <v xml:space="preserve"> </v>
      </c>
      <c r="AL81" s="228" t="str">
        <f t="shared" si="268"/>
        <v xml:space="preserve"> </v>
      </c>
      <c r="AM81" s="228" t="str">
        <f t="shared" si="269"/>
        <v xml:space="preserve"> </v>
      </c>
      <c r="AN81" s="228" t="str">
        <f t="shared" si="270"/>
        <v xml:space="preserve"> </v>
      </c>
      <c r="AO81" s="228" t="str">
        <f t="shared" si="270"/>
        <v xml:space="preserve"> </v>
      </c>
      <c r="AP81" s="228" t="str">
        <f t="shared" si="271"/>
        <v xml:space="preserve"> </v>
      </c>
      <c r="AQ81" s="228" t="str">
        <f t="shared" si="272"/>
        <v xml:space="preserve"> </v>
      </c>
      <c r="AR81" s="229" t="str">
        <f t="shared" si="273"/>
        <v xml:space="preserve"> </v>
      </c>
      <c r="AS81" s="262" t="str">
        <f t="shared" si="274"/>
        <v xml:space="preserve"> </v>
      </c>
      <c r="AT81" s="263" t="str">
        <f t="shared" si="275"/>
        <v xml:space="preserve"> </v>
      </c>
      <c r="AU81" s="263" t="str">
        <f t="shared" si="275"/>
        <v xml:space="preserve"> </v>
      </c>
      <c r="AV81" s="263" t="str">
        <f t="shared" si="276"/>
        <v xml:space="preserve"> </v>
      </c>
      <c r="AW81" s="263" t="str">
        <f t="shared" si="277"/>
        <v xml:space="preserve"> </v>
      </c>
      <c r="AX81" s="263" t="str">
        <f t="shared" si="277"/>
        <v xml:space="preserve"> </v>
      </c>
      <c r="AY81" s="263" t="str">
        <f t="shared" si="278"/>
        <v xml:space="preserve"> </v>
      </c>
      <c r="AZ81" s="263" t="str">
        <f t="shared" si="279"/>
        <v xml:space="preserve"> </v>
      </c>
      <c r="BA81" s="263" t="str">
        <f t="shared" si="280"/>
        <v xml:space="preserve"> </v>
      </c>
      <c r="BB81" s="229"/>
      <c r="BC81" s="266" t="str">
        <f t="shared" si="260"/>
        <v xml:space="preserve"> </v>
      </c>
      <c r="BD81" s="269" t="str">
        <f t="shared" si="261"/>
        <v xml:space="preserve"> </v>
      </c>
      <c r="BE81" s="269" t="str">
        <f t="shared" si="261"/>
        <v xml:space="preserve"> </v>
      </c>
      <c r="BF81" s="269" t="str">
        <f t="shared" si="262"/>
        <v xml:space="preserve"> </v>
      </c>
      <c r="BG81" s="269" t="str">
        <f t="shared" si="263"/>
        <v xml:space="preserve"> </v>
      </c>
      <c r="BH81" s="269" t="str">
        <f t="shared" si="263"/>
        <v xml:space="preserve"> </v>
      </c>
      <c r="BI81" s="269" t="str">
        <f t="shared" si="264"/>
        <v xml:space="preserve"> </v>
      </c>
      <c r="BJ81" s="269" t="str">
        <f t="shared" si="265"/>
        <v xml:space="preserve"> </v>
      </c>
      <c r="BK81" s="269" t="str">
        <f t="shared" si="266"/>
        <v xml:space="preserve"> </v>
      </c>
      <c r="BL81" s="229"/>
      <c r="BM81" s="220" t="str">
        <f>IF($A81="N/A"," ",(IF(MONTH(A81)&gt;=4,IF(MONTH(A81)&lt;=10,Inputs!$F$13-Inputs!$G$13,Inputs!$F$14-Inputs!$G$14),Inputs!$F$14-Inputs!$G$14))*$CK81*Availability)</f>
        <v xml:space="preserve"> </v>
      </c>
      <c r="BN81" s="221" t="str">
        <f t="shared" si="238"/>
        <v xml:space="preserve"> </v>
      </c>
      <c r="BO81" s="221" t="str">
        <f t="shared" si="239"/>
        <v xml:space="preserve"> </v>
      </c>
      <c r="BP81" s="221" t="str">
        <f t="shared" si="240"/>
        <v xml:space="preserve"> </v>
      </c>
      <c r="BQ81" s="221" t="str">
        <f t="shared" si="241"/>
        <v xml:space="preserve"> </v>
      </c>
      <c r="BR81" s="221" t="str">
        <f t="shared" si="242"/>
        <v xml:space="preserve"> </v>
      </c>
      <c r="BS81" s="221" t="str">
        <f t="shared" si="243"/>
        <v xml:space="preserve"> </v>
      </c>
      <c r="BT81" s="221" t="str">
        <f t="shared" si="244"/>
        <v xml:space="preserve"> </v>
      </c>
      <c r="BU81" s="221" t="str">
        <f t="shared" si="245"/>
        <v xml:space="preserve"> </v>
      </c>
      <c r="BV81" s="221" t="str">
        <f t="shared" si="246"/>
        <v xml:space="preserve"> </v>
      </c>
      <c r="BW81" s="221" t="str">
        <f t="shared" si="247"/>
        <v xml:space="preserve"> </v>
      </c>
      <c r="BX81" s="421" t="str">
        <f t="shared" si="248"/>
        <v xml:space="preserve"> </v>
      </c>
      <c r="BY81" s="417" t="str">
        <f t="shared" si="249"/>
        <v xml:space="preserve"> </v>
      </c>
      <c r="BZ81" s="417" t="str">
        <f t="shared" si="250"/>
        <v xml:space="preserve"> </v>
      </c>
      <c r="CA81" s="422" t="str">
        <f t="shared" si="251"/>
        <v xml:space="preserve"> </v>
      </c>
      <c r="CB81" s="347" t="str">
        <f t="shared" si="195"/>
        <v xml:space="preserve"> </v>
      </c>
      <c r="CC81" s="347" t="str">
        <f t="shared" si="252"/>
        <v xml:space="preserve"> </v>
      </c>
      <c r="CD81" s="348" t="str">
        <f t="shared" si="196"/>
        <v xml:space="preserve"> </v>
      </c>
      <c r="CE81" s="347" t="str">
        <f t="shared" si="197"/>
        <v xml:space="preserve"> </v>
      </c>
      <c r="CF81" s="347" t="str">
        <f t="shared" si="198"/>
        <v xml:space="preserve"> </v>
      </c>
      <c r="CG81" s="348" t="str">
        <f t="shared" si="199"/>
        <v xml:space="preserve"> </v>
      </c>
      <c r="CH81" s="347" t="str">
        <f t="shared" si="253"/>
        <v xml:space="preserve"> </v>
      </c>
      <c r="CI81" s="349" t="str">
        <f>IF($A81="N/A"," ",F81+G81+(D81*('Pricing Inputs'!T114)))</f>
        <v xml:space="preserve"> </v>
      </c>
      <c r="CJ81" s="347" t="str">
        <f>IF($A81="N/A"," ",IF(PV=1,0,'Pricing Inputs'!U114))</f>
        <v xml:space="preserve"> </v>
      </c>
      <c r="CK81" s="350" t="str">
        <f t="shared" si="200"/>
        <v xml:space="preserve"> </v>
      </c>
      <c r="CL81" s="365" t="str">
        <f t="shared" si="201"/>
        <v xml:space="preserve"> </v>
      </c>
      <c r="CM81" s="380" t="str">
        <f t="shared" si="254"/>
        <v xml:space="preserve"> </v>
      </c>
      <c r="CN81" s="378" t="str">
        <f t="shared" si="202"/>
        <v xml:space="preserve"> </v>
      </c>
      <c r="CO81" s="378" t="str">
        <f t="shared" si="203"/>
        <v xml:space="preserve"> </v>
      </c>
      <c r="CP81" s="378" t="str">
        <f t="shared" si="204"/>
        <v xml:space="preserve"> </v>
      </c>
      <c r="CQ81" s="378" t="str">
        <f t="shared" si="205"/>
        <v xml:space="preserve"> </v>
      </c>
      <c r="CR81" s="378" t="str">
        <f t="shared" si="206"/>
        <v xml:space="preserve"> </v>
      </c>
      <c r="CS81" s="378" t="str">
        <f t="shared" si="207"/>
        <v xml:space="preserve"> </v>
      </c>
      <c r="CT81" s="378" t="str">
        <f t="shared" si="208"/>
        <v xml:space="preserve"> </v>
      </c>
      <c r="CU81" s="378" t="str">
        <f t="shared" si="209"/>
        <v xml:space="preserve"> </v>
      </c>
      <c r="CV81" s="378" t="str">
        <f t="shared" si="210"/>
        <v xml:space="preserve"> </v>
      </c>
      <c r="CW81" s="254" t="str">
        <f t="shared" si="211"/>
        <v xml:space="preserve"> </v>
      </c>
      <c r="CX81" s="254" t="str">
        <f t="shared" si="212"/>
        <v xml:space="preserve"> </v>
      </c>
      <c r="CY81" s="254" t="str">
        <f t="shared" si="213"/>
        <v xml:space="preserve"> </v>
      </c>
      <c r="CZ81" s="254" t="str">
        <f t="shared" si="214"/>
        <v xml:space="preserve"> </v>
      </c>
      <c r="DA81" s="254" t="str">
        <f t="shared" si="215"/>
        <v xml:space="preserve"> </v>
      </c>
      <c r="DB81" s="254" t="str">
        <f t="shared" si="216"/>
        <v xml:space="preserve"> </v>
      </c>
      <c r="DC81" s="254" t="str">
        <f t="shared" si="217"/>
        <v xml:space="preserve"> </v>
      </c>
      <c r="DD81" s="254" t="str">
        <f t="shared" si="218"/>
        <v xml:space="preserve"> </v>
      </c>
      <c r="DE81" s="254" t="str">
        <f t="shared" si="219"/>
        <v xml:space="preserve"> </v>
      </c>
      <c r="DF81" s="374" t="str">
        <f>IF($A81="N/A"," ",IF(CC=2,(IF(MONTH(A81)&gt;=4,IF(MONTH(A81)&lt;=10,Inputs!$G$13,Inputs!$G$14),Inputs!$G$14))*$CK81,0))</f>
        <v xml:space="preserve"> </v>
      </c>
      <c r="DG81" s="373" t="str">
        <f t="shared" si="220"/>
        <v xml:space="preserve"> </v>
      </c>
      <c r="DH81" s="373" t="str">
        <f t="shared" si="221"/>
        <v xml:space="preserve"> </v>
      </c>
      <c r="DI81" s="373" t="str">
        <f t="shared" si="222"/>
        <v xml:space="preserve"> </v>
      </c>
      <c r="DJ81" s="373" t="str">
        <f t="shared" si="223"/>
        <v xml:space="preserve"> </v>
      </c>
      <c r="DK81" s="373" t="str">
        <f t="shared" si="224"/>
        <v xml:space="preserve"> </v>
      </c>
      <c r="DL81" s="373" t="str">
        <f t="shared" si="225"/>
        <v xml:space="preserve"> </v>
      </c>
      <c r="DM81" s="373" t="str">
        <f t="shared" si="226"/>
        <v xml:space="preserve"> </v>
      </c>
      <c r="DN81" s="373" t="str">
        <f t="shared" si="227"/>
        <v xml:space="preserve"> </v>
      </c>
      <c r="DO81" s="373" t="str">
        <f t="shared" si="228"/>
        <v xml:space="preserve"> </v>
      </c>
      <c r="DP81" s="375" t="str">
        <f t="shared" si="229"/>
        <v xml:space="preserve"> </v>
      </c>
      <c r="DQ81" t="str">
        <f t="shared" si="255"/>
        <v xml:space="preserve"> </v>
      </c>
      <c r="HD81" t="str">
        <f t="shared" si="256"/>
        <v xml:space="preserve"> </v>
      </c>
      <c r="HE81" t="str">
        <f t="shared" si="257"/>
        <v xml:space="preserve"> </v>
      </c>
      <c r="HF81" t="str">
        <f t="shared" si="258"/>
        <v xml:space="preserve"> </v>
      </c>
    </row>
    <row r="82" spans="1:214">
      <c r="A82" s="415" t="str">
        <f>IF(A81="N/A","N/A",IF(EDATE(A81,1)&gt;Inputs!$K$3,"N/A",EDATE(A81,1)))</f>
        <v>N/A</v>
      </c>
      <c r="B82" s="410" t="str">
        <f t="shared" si="230"/>
        <v xml:space="preserve"> </v>
      </c>
      <c r="C82" s="411" t="str">
        <f t="shared" si="231"/>
        <v xml:space="preserve"> </v>
      </c>
      <c r="D82" s="412" t="str">
        <f t="shared" si="232"/>
        <v xml:space="preserve"> </v>
      </c>
      <c r="E82" s="413" t="str">
        <f>IF($A82="N/A"," ",(C82-'Pricing Inputs'!T115)*D82)</f>
        <v xml:space="preserve"> </v>
      </c>
      <c r="F82" s="414" t="str">
        <f t="shared" si="281"/>
        <v xml:space="preserve"> </v>
      </c>
      <c r="G82" s="414" t="str">
        <f t="shared" si="233"/>
        <v xml:space="preserve"> </v>
      </c>
      <c r="H82" s="416" t="str">
        <f t="shared" si="234"/>
        <v xml:space="preserve"> </v>
      </c>
      <c r="I82" s="213" t="str">
        <f t="shared" si="183"/>
        <v xml:space="preserve"> </v>
      </c>
      <c r="J82" s="213" t="str">
        <f t="shared" si="184"/>
        <v xml:space="preserve"> </v>
      </c>
      <c r="K82" s="213" t="str">
        <f t="shared" si="185"/>
        <v xml:space="preserve"> </v>
      </c>
      <c r="L82" s="213" t="str">
        <f t="shared" si="186"/>
        <v xml:space="preserve"> </v>
      </c>
      <c r="M82" s="213" t="str">
        <f t="shared" si="187"/>
        <v xml:space="preserve"> </v>
      </c>
      <c r="N82" s="213" t="str">
        <f t="shared" si="188"/>
        <v xml:space="preserve"> </v>
      </c>
      <c r="O82" s="213" t="str">
        <f t="shared" si="189"/>
        <v xml:space="preserve"> </v>
      </c>
      <c r="P82" s="213" t="str">
        <f t="shared" si="190"/>
        <v xml:space="preserve"> </v>
      </c>
      <c r="Q82" s="213" t="str">
        <f t="shared" si="191"/>
        <v xml:space="preserve"> </v>
      </c>
      <c r="R82" s="405" t="str">
        <f>IF($A82="N/A"," ",IF(Pricetype=2,MAX(I82-$H82,0),IF(Pricetype=1,(_xll.xSPRDOPT(I82,$E82,$CI82,0,($CD82+IF(Smile=TRUE,VLOOKUP(MAX(-5,$H82-I82),Volsmile,2),0)),$CG82,$CH82,($A82-DateToday)+15,1,0)),I82-$H82)))</f>
        <v xml:space="preserve"> </v>
      </c>
      <c r="S82" s="405" t="str">
        <f>IF($A82="N/A"," ",IF(Pricetype=2,MAX(J82-$H82,0),IF(Pricetype=1,(_xll.xSPRDOPT(J82,$E82,$CI82,0,($CD82+IF(Smile=TRUE,VLOOKUP(MAX(-5,$H82-J82),Volsmile,2),0)),$CG82,$CH82,($A82-DateToday)+15,1,0)),J82-$H82)))</f>
        <v xml:space="preserve"> </v>
      </c>
      <c r="T82" s="406" t="str">
        <f t="shared" si="192"/>
        <v xml:space="preserve"> </v>
      </c>
      <c r="U82" s="405" t="str">
        <f>IF($A82="N/A"," ",IF(Pricetype=2,MAX(L82-$H82,0),IF(L82&lt;&gt;0,IF(Pricetype=1,(_xll.xSPRDOPT(L82,$E82,$CI82,0,($CD82+IF(Smile=TRUE,VLOOKUP(MAX(-5,$H82-L82),Volsmile,2),0)),$CG82,$CH82,($A82-DateToday)+15,1,0)),L82-$H82),0)))</f>
        <v xml:space="preserve"> </v>
      </c>
      <c r="V82" s="405" t="str">
        <f>IF($A82="N/A"," ",IF(Pricetype=2,MAX(M82-$H82,0),IF(M82&lt;&gt;0,IF(Pricetype=1,(_xll.xSPRDOPT(M82,$E82,$CI82,0,($CD82+IF(Smile=TRUE,VLOOKUP(MAX(-5,$H82-M82),Volsmile,2),0)),$CG82,$CH82,($A82-DateToday)+15,1,0)),M82-$H82),0)))</f>
        <v xml:space="preserve"> </v>
      </c>
      <c r="W82" s="406" t="str">
        <f t="shared" si="193"/>
        <v xml:space="preserve"> </v>
      </c>
      <c r="X82" s="405" t="str">
        <f>IF($A82="N/A"," ",IF(Pricetype=2,MAX(O82-$H82,0),IF(O82&lt;&gt;0,IF(Pricetype=1,(_xll.xSPRDOPT(O82,$E82,$CI82,0,($CD82+IF(Smile=TRUE,VLOOKUP(MAX(-5,$H82-O82),Volsmile,2),0)),$CG82,$CH82,($A82-DateToday)+15,1,0)),O82-$H82),0)))</f>
        <v xml:space="preserve"> </v>
      </c>
      <c r="Y82" s="405" t="str">
        <f>IF($A82="N/A"," ",IF(Pricetype=2,MAX(P82-$H82,0),IF(P82&lt;&gt;0,IF(Pricetype=1,(_xll.xSPRDOPT(P82,$E82,$CI82,0,($CD82+IF(Smile=TRUE,VLOOKUP(MAX(-5,$H82-P82),Volsmile,2),0)),$CG82,$CH82,($A82-DateToday)+15,1,0)),P82-$H82),0)))</f>
        <v xml:space="preserve"> </v>
      </c>
      <c r="Z82" s="406" t="str">
        <f t="shared" si="194"/>
        <v xml:space="preserve"> </v>
      </c>
      <c r="AA82" s="254" t="str">
        <f>IF($A82="N/A"," ",IF(VLOOKUP(MONTH(A82),ManualTable,2)=1,(IF(0&lt;&gt;R82,IF(Pricetype=1,(_xll.xSPRDOPT(I82,$E82,$CI82,0,($CD82+IF(Smile=TRUE,VLOOKUP(MAX(-5,$H82-I82),Volsmile,2),0)),$CG82,$CH82,($A82-DateToday)+15,1,1))*(8*$HD82),8*$HD82),0)),0))</f>
        <v xml:space="preserve"> </v>
      </c>
      <c r="AB82" s="254" t="str">
        <f>IF($A82="N/A"," ",IF(VLOOKUP(MONTH(A82),ManualTable,3)=1,(IF(S82&lt;&gt;0,IF(Pricetype=1,(_xll.xSPRDOPT(J82,$E82,$CI82,0,($CD82+IF(Smile=TRUE,VLOOKUP(MAX(-5,$H82-J82),Volsmile,2),0)),$CG82,$CH82,($A82-DateToday)+15,1,1))*(8*$HD82),8*$HD82),0)),0))</f>
        <v xml:space="preserve"> </v>
      </c>
      <c r="AC82" s="254" t="str">
        <f t="shared" si="235"/>
        <v xml:space="preserve"> </v>
      </c>
      <c r="AD82" s="254" t="str">
        <f>IF($A82="N/A"," ",IF(VLOOKUP(MONTH(A82),ManualTable,5)=1,(IF(U82&lt;&gt;0,IF(Pricetype=1,(_xll.xSPRDOPT(L82,$E82,$CI82,0,($CD82+IF(Smile=TRUE,VLOOKUP(MAX(-5,$H82-L82),Volsmile,2),0)),$CG82,$CH82,($A82-DateToday)+15,1,1))*(8*$HE82),8*$HE82),0)),0))</f>
        <v xml:space="preserve"> </v>
      </c>
      <c r="AE82" s="254" t="str">
        <f>IF($A82="N/A"," ",IF(VLOOKUP(MONTH(A82),ManualTable,6)=1,(IF(V82&lt;&gt;0,IF(Pricetype=1,(_xll.xSPRDOPT(M82,$E82,$CI82,0,($CD82+IF(Smile=TRUE,VLOOKUP(MAX(-5,$H82-M82),Volsmile,2),0)),$CG82,$CH82,($A82-DateToday)+15,1,1))*(8*$HE82),8*$HE82),0)),0))</f>
        <v xml:space="preserve"> </v>
      </c>
      <c r="AF82" s="254" t="str">
        <f t="shared" si="236"/>
        <v xml:space="preserve"> </v>
      </c>
      <c r="AG82" s="254" t="str">
        <f>IF($A82="N/A"," ",IF(VLOOKUP(MONTH(A82),ManualTable,8)=1,(IF(X82&lt;&gt;0,IF(Pricetype=1,(_xll.xSPRDOPT(O82,$E82,$CI82,0,($CD82+IF(Smile=TRUE,VLOOKUP(MAX(-5,$H82-O82),Volsmile,2),0)),$CG82,$CH82,($A82-DateToday)+15,1,1))*(8*$HF82),8*$HF82),0)),0))</f>
        <v xml:space="preserve"> </v>
      </c>
      <c r="AH82" s="254" t="str">
        <f>IF($A82="N/A"," ",IF(VLOOKUP(MONTH(A82),ManualTable,9)=1,(IF(Y82&lt;&gt;0,IF(Pricetype=1,(_xll.xSPRDOPT(P82,$E82,$CI82,0,($CD82+IF(Smile=TRUE,VLOOKUP(MAX(-5,$H82-P82),Volsmile,2),0)),$CG82,$CH82,($A82-DateToday)+15,1,1))*(8*$HF82),8*$HF82),0)),0))</f>
        <v xml:space="preserve"> </v>
      </c>
      <c r="AI82" s="254" t="str">
        <f t="shared" si="237"/>
        <v xml:space="preserve"> </v>
      </c>
      <c r="AJ82" s="227" t="str">
        <f t="shared" si="267"/>
        <v xml:space="preserve"> </v>
      </c>
      <c r="AK82" s="228" t="str">
        <f t="shared" si="268"/>
        <v xml:space="preserve"> </v>
      </c>
      <c r="AL82" s="228" t="str">
        <f t="shared" si="268"/>
        <v xml:space="preserve"> </v>
      </c>
      <c r="AM82" s="228" t="str">
        <f t="shared" si="269"/>
        <v xml:space="preserve"> </v>
      </c>
      <c r="AN82" s="228" t="str">
        <f t="shared" si="270"/>
        <v xml:space="preserve"> </v>
      </c>
      <c r="AO82" s="228" t="str">
        <f t="shared" si="270"/>
        <v xml:space="preserve"> </v>
      </c>
      <c r="AP82" s="228" t="str">
        <f t="shared" si="271"/>
        <v xml:space="preserve"> </v>
      </c>
      <c r="AQ82" s="228" t="str">
        <f t="shared" si="272"/>
        <v xml:space="preserve"> </v>
      </c>
      <c r="AR82" s="229" t="str">
        <f t="shared" si="273"/>
        <v xml:space="preserve"> </v>
      </c>
      <c r="AS82" s="262" t="str">
        <f t="shared" si="274"/>
        <v xml:space="preserve"> </v>
      </c>
      <c r="AT82" s="263" t="str">
        <f t="shared" si="275"/>
        <v xml:space="preserve"> </v>
      </c>
      <c r="AU82" s="263" t="str">
        <f t="shared" si="275"/>
        <v xml:space="preserve"> </v>
      </c>
      <c r="AV82" s="263" t="str">
        <f t="shared" si="276"/>
        <v xml:space="preserve"> </v>
      </c>
      <c r="AW82" s="263" t="str">
        <f t="shared" si="277"/>
        <v xml:space="preserve"> </v>
      </c>
      <c r="AX82" s="263" t="str">
        <f t="shared" si="277"/>
        <v xml:space="preserve"> </v>
      </c>
      <c r="AY82" s="263" t="str">
        <f t="shared" si="278"/>
        <v xml:space="preserve"> </v>
      </c>
      <c r="AZ82" s="263" t="str">
        <f t="shared" si="279"/>
        <v xml:space="preserve"> </v>
      </c>
      <c r="BA82" s="263" t="str">
        <f t="shared" si="280"/>
        <v xml:space="preserve"> </v>
      </c>
      <c r="BB82" s="229"/>
      <c r="BC82" s="266" t="str">
        <f t="shared" si="260"/>
        <v xml:space="preserve"> </v>
      </c>
      <c r="BD82" s="269" t="str">
        <f t="shared" si="261"/>
        <v xml:space="preserve"> </v>
      </c>
      <c r="BE82" s="269" t="str">
        <f t="shared" si="261"/>
        <v xml:space="preserve"> </v>
      </c>
      <c r="BF82" s="269" t="str">
        <f t="shared" si="262"/>
        <v xml:space="preserve"> </v>
      </c>
      <c r="BG82" s="269" t="str">
        <f t="shared" si="263"/>
        <v xml:space="preserve"> </v>
      </c>
      <c r="BH82" s="269" t="str">
        <f t="shared" si="263"/>
        <v xml:space="preserve"> </v>
      </c>
      <c r="BI82" s="269" t="str">
        <f t="shared" si="264"/>
        <v xml:space="preserve"> </v>
      </c>
      <c r="BJ82" s="269" t="str">
        <f t="shared" si="265"/>
        <v xml:space="preserve"> </v>
      </c>
      <c r="BK82" s="269" t="str">
        <f t="shared" si="266"/>
        <v xml:space="preserve"> </v>
      </c>
      <c r="BL82" s="229"/>
      <c r="BM82" s="220" t="str">
        <f>IF($A82="N/A"," ",(IF(MONTH(A82)&gt;=4,IF(MONTH(A82)&lt;=10,Inputs!$F$13-Inputs!$G$13,Inputs!$F$14-Inputs!$G$14),Inputs!$F$14-Inputs!$G$14))*$CK82*Availability)</f>
        <v xml:space="preserve"> </v>
      </c>
      <c r="BN82" s="221" t="str">
        <f t="shared" si="238"/>
        <v xml:space="preserve"> </v>
      </c>
      <c r="BO82" s="221" t="str">
        <f t="shared" si="239"/>
        <v xml:space="preserve"> </v>
      </c>
      <c r="BP82" s="221" t="str">
        <f t="shared" si="240"/>
        <v xml:space="preserve"> </v>
      </c>
      <c r="BQ82" s="221" t="str">
        <f t="shared" si="241"/>
        <v xml:space="preserve"> </v>
      </c>
      <c r="BR82" s="221" t="str">
        <f t="shared" si="242"/>
        <v xml:space="preserve"> </v>
      </c>
      <c r="BS82" s="221" t="str">
        <f t="shared" si="243"/>
        <v xml:space="preserve"> </v>
      </c>
      <c r="BT82" s="221" t="str">
        <f t="shared" si="244"/>
        <v xml:space="preserve"> </v>
      </c>
      <c r="BU82" s="221" t="str">
        <f t="shared" si="245"/>
        <v xml:space="preserve"> </v>
      </c>
      <c r="BV82" s="221" t="str">
        <f t="shared" si="246"/>
        <v xml:space="preserve"> </v>
      </c>
      <c r="BW82" s="221" t="str">
        <f t="shared" si="247"/>
        <v xml:space="preserve"> </v>
      </c>
      <c r="BX82" s="421" t="str">
        <f t="shared" si="248"/>
        <v xml:space="preserve"> </v>
      </c>
      <c r="BY82" s="417" t="str">
        <f t="shared" si="249"/>
        <v xml:space="preserve"> </v>
      </c>
      <c r="BZ82" s="417" t="str">
        <f t="shared" si="250"/>
        <v xml:space="preserve"> </v>
      </c>
      <c r="CA82" s="422" t="str">
        <f t="shared" si="251"/>
        <v xml:space="preserve"> </v>
      </c>
      <c r="CB82" s="347" t="str">
        <f t="shared" si="195"/>
        <v xml:space="preserve"> </v>
      </c>
      <c r="CC82" s="347" t="str">
        <f t="shared" si="252"/>
        <v xml:space="preserve"> </v>
      </c>
      <c r="CD82" s="348" t="str">
        <f t="shared" si="196"/>
        <v xml:space="preserve"> </v>
      </c>
      <c r="CE82" s="347" t="str">
        <f t="shared" si="197"/>
        <v xml:space="preserve"> </v>
      </c>
      <c r="CF82" s="347" t="str">
        <f t="shared" si="198"/>
        <v xml:space="preserve"> </v>
      </c>
      <c r="CG82" s="348" t="str">
        <f t="shared" si="199"/>
        <v xml:space="preserve"> </v>
      </c>
      <c r="CH82" s="347" t="str">
        <f t="shared" si="253"/>
        <v xml:space="preserve"> </v>
      </c>
      <c r="CI82" s="349" t="str">
        <f>IF($A82="N/A"," ",F82+G82+(D82*('Pricing Inputs'!T115)))</f>
        <v xml:space="preserve"> </v>
      </c>
      <c r="CJ82" s="347" t="str">
        <f>IF($A82="N/A"," ",IF(PV=1,0,'Pricing Inputs'!U115))</f>
        <v xml:space="preserve"> </v>
      </c>
      <c r="CK82" s="350" t="str">
        <f t="shared" si="200"/>
        <v xml:space="preserve"> </v>
      </c>
      <c r="CL82" s="365" t="str">
        <f t="shared" si="201"/>
        <v xml:space="preserve"> </v>
      </c>
      <c r="CM82" s="380" t="str">
        <f t="shared" si="254"/>
        <v xml:space="preserve"> </v>
      </c>
      <c r="CN82" s="378" t="str">
        <f t="shared" si="202"/>
        <v xml:space="preserve"> </v>
      </c>
      <c r="CO82" s="378" t="str">
        <f t="shared" si="203"/>
        <v xml:space="preserve"> </v>
      </c>
      <c r="CP82" s="378" t="str">
        <f t="shared" si="204"/>
        <v xml:space="preserve"> </v>
      </c>
      <c r="CQ82" s="378" t="str">
        <f t="shared" si="205"/>
        <v xml:space="preserve"> </v>
      </c>
      <c r="CR82" s="378" t="str">
        <f t="shared" si="206"/>
        <v xml:space="preserve"> </v>
      </c>
      <c r="CS82" s="378" t="str">
        <f t="shared" si="207"/>
        <v xml:space="preserve"> </v>
      </c>
      <c r="CT82" s="378" t="str">
        <f t="shared" si="208"/>
        <v xml:space="preserve"> </v>
      </c>
      <c r="CU82" s="378" t="str">
        <f t="shared" si="209"/>
        <v xml:space="preserve"> </v>
      </c>
      <c r="CV82" s="378" t="str">
        <f t="shared" si="210"/>
        <v xml:space="preserve"> </v>
      </c>
      <c r="CW82" s="254" t="str">
        <f t="shared" si="211"/>
        <v xml:space="preserve"> </v>
      </c>
      <c r="CX82" s="254" t="str">
        <f t="shared" si="212"/>
        <v xml:space="preserve"> </v>
      </c>
      <c r="CY82" s="254" t="str">
        <f t="shared" si="213"/>
        <v xml:space="preserve"> </v>
      </c>
      <c r="CZ82" s="254" t="str">
        <f t="shared" si="214"/>
        <v xml:space="preserve"> </v>
      </c>
      <c r="DA82" s="254" t="str">
        <f t="shared" si="215"/>
        <v xml:space="preserve"> </v>
      </c>
      <c r="DB82" s="254" t="str">
        <f t="shared" si="216"/>
        <v xml:space="preserve"> </v>
      </c>
      <c r="DC82" s="254" t="str">
        <f t="shared" si="217"/>
        <v xml:space="preserve"> </v>
      </c>
      <c r="DD82" s="254" t="str">
        <f t="shared" si="218"/>
        <v xml:space="preserve"> </v>
      </c>
      <c r="DE82" s="254" t="str">
        <f t="shared" si="219"/>
        <v xml:space="preserve"> </v>
      </c>
      <c r="DF82" s="374" t="str">
        <f>IF($A82="N/A"," ",IF(CC=2,(IF(MONTH(A82)&gt;=4,IF(MONTH(A82)&lt;=10,Inputs!$G$13,Inputs!$G$14),Inputs!$G$14))*$CK82,0))</f>
        <v xml:space="preserve"> </v>
      </c>
      <c r="DG82" s="373" t="str">
        <f t="shared" si="220"/>
        <v xml:space="preserve"> </v>
      </c>
      <c r="DH82" s="373" t="str">
        <f t="shared" si="221"/>
        <v xml:space="preserve"> </v>
      </c>
      <c r="DI82" s="373" t="str">
        <f t="shared" si="222"/>
        <v xml:space="preserve"> </v>
      </c>
      <c r="DJ82" s="373" t="str">
        <f t="shared" si="223"/>
        <v xml:space="preserve"> </v>
      </c>
      <c r="DK82" s="373" t="str">
        <f t="shared" si="224"/>
        <v xml:space="preserve"> </v>
      </c>
      <c r="DL82" s="373" t="str">
        <f t="shared" si="225"/>
        <v xml:space="preserve"> </v>
      </c>
      <c r="DM82" s="373" t="str">
        <f t="shared" si="226"/>
        <v xml:space="preserve"> </v>
      </c>
      <c r="DN82" s="373" t="str">
        <f t="shared" si="227"/>
        <v xml:space="preserve"> </v>
      </c>
      <c r="DO82" s="373" t="str">
        <f t="shared" si="228"/>
        <v xml:space="preserve"> </v>
      </c>
      <c r="DP82" s="375" t="str">
        <f t="shared" si="229"/>
        <v xml:space="preserve"> </v>
      </c>
      <c r="DQ82" t="str">
        <f t="shared" si="255"/>
        <v xml:space="preserve"> </v>
      </c>
      <c r="HD82" t="str">
        <f t="shared" si="256"/>
        <v xml:space="preserve"> </v>
      </c>
      <c r="HE82" t="str">
        <f t="shared" si="257"/>
        <v xml:space="preserve"> </v>
      </c>
      <c r="HF82" t="str">
        <f t="shared" si="258"/>
        <v xml:space="preserve"> </v>
      </c>
    </row>
    <row r="83" spans="1:214">
      <c r="A83" s="415" t="str">
        <f>IF(A82="N/A","N/A",IF(EDATE(A82,1)&gt;Inputs!$K$3,"N/A",EDATE(A82,1)))</f>
        <v>N/A</v>
      </c>
      <c r="B83" s="410" t="str">
        <f t="shared" si="230"/>
        <v xml:space="preserve"> </v>
      </c>
      <c r="C83" s="411" t="str">
        <f t="shared" si="231"/>
        <v xml:space="preserve"> </v>
      </c>
      <c r="D83" s="412" t="str">
        <f t="shared" si="232"/>
        <v xml:space="preserve"> </v>
      </c>
      <c r="E83" s="413" t="str">
        <f>IF($A83="N/A"," ",(C83-'Pricing Inputs'!T116)*D83)</f>
        <v xml:space="preserve"> </v>
      </c>
      <c r="F83" s="414" t="str">
        <f t="shared" si="281"/>
        <v xml:space="preserve"> </v>
      </c>
      <c r="G83" s="414" t="str">
        <f t="shared" si="233"/>
        <v xml:space="preserve"> </v>
      </c>
      <c r="H83" s="416" t="str">
        <f t="shared" si="234"/>
        <v xml:space="preserve"> </v>
      </c>
      <c r="I83" s="213" t="str">
        <f t="shared" si="183"/>
        <v xml:space="preserve"> </v>
      </c>
      <c r="J83" s="213" t="str">
        <f t="shared" si="184"/>
        <v xml:space="preserve"> </v>
      </c>
      <c r="K83" s="213" t="str">
        <f t="shared" si="185"/>
        <v xml:space="preserve"> </v>
      </c>
      <c r="L83" s="213" t="str">
        <f t="shared" si="186"/>
        <v xml:space="preserve"> </v>
      </c>
      <c r="M83" s="213" t="str">
        <f t="shared" si="187"/>
        <v xml:space="preserve"> </v>
      </c>
      <c r="N83" s="213" t="str">
        <f t="shared" si="188"/>
        <v xml:space="preserve"> </v>
      </c>
      <c r="O83" s="213" t="str">
        <f t="shared" si="189"/>
        <v xml:space="preserve"> </v>
      </c>
      <c r="P83" s="213" t="str">
        <f t="shared" si="190"/>
        <v xml:space="preserve"> </v>
      </c>
      <c r="Q83" s="213" t="str">
        <f t="shared" si="191"/>
        <v xml:space="preserve"> </v>
      </c>
      <c r="R83" s="405" t="str">
        <f>IF($A83="N/A"," ",IF(Pricetype=2,MAX(I83-$H83,0),IF(Pricetype=1,(_xll.xSPRDOPT(I83,$E83,$CI83,0,($CD83+IF(Smile=TRUE,VLOOKUP(MAX(-5,$H83-I83),Volsmile,2),0)),$CG83,$CH83,($A83-DateToday)+15,1,0)),I83-$H83)))</f>
        <v xml:space="preserve"> </v>
      </c>
      <c r="S83" s="405" t="str">
        <f>IF($A83="N/A"," ",IF(Pricetype=2,MAX(J83-$H83,0),IF(Pricetype=1,(_xll.xSPRDOPT(J83,$E83,$CI83,0,($CD83+IF(Smile=TRUE,VLOOKUP(MAX(-5,$H83-J83),Volsmile,2),0)),$CG83,$CH83,($A83-DateToday)+15,1,0)),J83-$H83)))</f>
        <v xml:space="preserve"> </v>
      </c>
      <c r="T83" s="406" t="str">
        <f t="shared" si="192"/>
        <v xml:space="preserve"> </v>
      </c>
      <c r="U83" s="405" t="str">
        <f>IF($A83="N/A"," ",IF(Pricetype=2,MAX(L83-$H83,0),IF(L83&lt;&gt;0,IF(Pricetype=1,(_xll.xSPRDOPT(L83,$E83,$CI83,0,($CD83+IF(Smile=TRUE,VLOOKUP(MAX(-5,$H83-L83),Volsmile,2),0)),$CG83,$CH83,($A83-DateToday)+15,1,0)),L83-$H83),0)))</f>
        <v xml:space="preserve"> </v>
      </c>
      <c r="V83" s="405" t="str">
        <f>IF($A83="N/A"," ",IF(Pricetype=2,MAX(M83-$H83,0),IF(M83&lt;&gt;0,IF(Pricetype=1,(_xll.xSPRDOPT(M83,$E83,$CI83,0,($CD83+IF(Smile=TRUE,VLOOKUP(MAX(-5,$H83-M83),Volsmile,2),0)),$CG83,$CH83,($A83-DateToday)+15,1,0)),M83-$H83),0)))</f>
        <v xml:space="preserve"> </v>
      </c>
      <c r="W83" s="406" t="str">
        <f t="shared" si="193"/>
        <v xml:space="preserve"> </v>
      </c>
      <c r="X83" s="405" t="str">
        <f>IF($A83="N/A"," ",IF(Pricetype=2,MAX(O83-$H83,0),IF(O83&lt;&gt;0,IF(Pricetype=1,(_xll.xSPRDOPT(O83,$E83,$CI83,0,($CD83+IF(Smile=TRUE,VLOOKUP(MAX(-5,$H83-O83),Volsmile,2),0)),$CG83,$CH83,($A83-DateToday)+15,1,0)),O83-$H83),0)))</f>
        <v xml:space="preserve"> </v>
      </c>
      <c r="Y83" s="405" t="str">
        <f>IF($A83="N/A"," ",IF(Pricetype=2,MAX(P83-$H83,0),IF(P83&lt;&gt;0,IF(Pricetype=1,(_xll.xSPRDOPT(P83,$E83,$CI83,0,($CD83+IF(Smile=TRUE,VLOOKUP(MAX(-5,$H83-P83),Volsmile,2),0)),$CG83,$CH83,($A83-DateToday)+15,1,0)),P83-$H83),0)))</f>
        <v xml:space="preserve"> </v>
      </c>
      <c r="Z83" s="406" t="str">
        <f t="shared" si="194"/>
        <v xml:space="preserve"> </v>
      </c>
      <c r="AA83" s="254" t="str">
        <f>IF($A83="N/A"," ",IF(VLOOKUP(MONTH(A83),ManualTable,2)=1,(IF(0&lt;&gt;R83,IF(Pricetype=1,(_xll.xSPRDOPT(I83,$E83,$CI83,0,($CD83+IF(Smile=TRUE,VLOOKUP(MAX(-5,$H83-I83),Volsmile,2),0)),$CG83,$CH83,($A83-DateToday)+15,1,1))*(8*$HD83),8*$HD83),0)),0))</f>
        <v xml:space="preserve"> </v>
      </c>
      <c r="AB83" s="254" t="str">
        <f>IF($A83="N/A"," ",IF(VLOOKUP(MONTH(A83),ManualTable,3)=1,(IF(S83&lt;&gt;0,IF(Pricetype=1,(_xll.xSPRDOPT(J83,$E83,$CI83,0,($CD83+IF(Smile=TRUE,VLOOKUP(MAX(-5,$H83-J83),Volsmile,2),0)),$CG83,$CH83,($A83-DateToday)+15,1,1))*(8*$HD83),8*$HD83),0)),0))</f>
        <v xml:space="preserve"> </v>
      </c>
      <c r="AC83" s="254" t="str">
        <f t="shared" si="235"/>
        <v xml:space="preserve"> </v>
      </c>
      <c r="AD83" s="254" t="str">
        <f>IF($A83="N/A"," ",IF(VLOOKUP(MONTH(A83),ManualTable,5)=1,(IF(U83&lt;&gt;0,IF(Pricetype=1,(_xll.xSPRDOPT(L83,$E83,$CI83,0,($CD83+IF(Smile=TRUE,VLOOKUP(MAX(-5,$H83-L83),Volsmile,2),0)),$CG83,$CH83,($A83-DateToday)+15,1,1))*(8*$HE83),8*$HE83),0)),0))</f>
        <v xml:space="preserve"> </v>
      </c>
      <c r="AE83" s="254" t="str">
        <f>IF($A83="N/A"," ",IF(VLOOKUP(MONTH(A83),ManualTable,6)=1,(IF(V83&lt;&gt;0,IF(Pricetype=1,(_xll.xSPRDOPT(M83,$E83,$CI83,0,($CD83+IF(Smile=TRUE,VLOOKUP(MAX(-5,$H83-M83),Volsmile,2),0)),$CG83,$CH83,($A83-DateToday)+15,1,1))*(8*$HE83),8*$HE83),0)),0))</f>
        <v xml:space="preserve"> </v>
      </c>
      <c r="AF83" s="254" t="str">
        <f t="shared" si="236"/>
        <v xml:space="preserve"> </v>
      </c>
      <c r="AG83" s="254" t="str">
        <f>IF($A83="N/A"," ",IF(VLOOKUP(MONTH(A83),ManualTable,8)=1,(IF(X83&lt;&gt;0,IF(Pricetype=1,(_xll.xSPRDOPT(O83,$E83,$CI83,0,($CD83+IF(Smile=TRUE,VLOOKUP(MAX(-5,$H83-O83),Volsmile,2),0)),$CG83,$CH83,($A83-DateToday)+15,1,1))*(8*$HF83),8*$HF83),0)),0))</f>
        <v xml:space="preserve"> </v>
      </c>
      <c r="AH83" s="254" t="str">
        <f>IF($A83="N/A"," ",IF(VLOOKUP(MONTH(A83),ManualTable,9)=1,(IF(Y83&lt;&gt;0,IF(Pricetype=1,(_xll.xSPRDOPT(P83,$E83,$CI83,0,($CD83+IF(Smile=TRUE,VLOOKUP(MAX(-5,$H83-P83),Volsmile,2),0)),$CG83,$CH83,($A83-DateToday)+15,1,1))*(8*$HF83),8*$HF83),0)),0))</f>
        <v xml:space="preserve"> </v>
      </c>
      <c r="AI83" s="254" t="str">
        <f t="shared" si="237"/>
        <v xml:space="preserve"> </v>
      </c>
      <c r="AJ83" s="227" t="str">
        <f t="shared" si="267"/>
        <v xml:space="preserve"> </v>
      </c>
      <c r="AK83" s="228" t="str">
        <f t="shared" si="268"/>
        <v xml:space="preserve"> </v>
      </c>
      <c r="AL83" s="228" t="str">
        <f t="shared" si="268"/>
        <v xml:space="preserve"> </v>
      </c>
      <c r="AM83" s="228" t="str">
        <f t="shared" si="269"/>
        <v xml:space="preserve"> </v>
      </c>
      <c r="AN83" s="228" t="str">
        <f t="shared" si="270"/>
        <v xml:space="preserve"> </v>
      </c>
      <c r="AO83" s="228" t="str">
        <f t="shared" si="270"/>
        <v xml:space="preserve"> </v>
      </c>
      <c r="AP83" s="228" t="str">
        <f t="shared" si="271"/>
        <v xml:space="preserve"> </v>
      </c>
      <c r="AQ83" s="228" t="str">
        <f t="shared" si="272"/>
        <v xml:space="preserve"> </v>
      </c>
      <c r="AR83" s="229" t="str">
        <f t="shared" si="273"/>
        <v xml:space="preserve"> </v>
      </c>
      <c r="AS83" s="262" t="str">
        <f t="shared" si="274"/>
        <v xml:space="preserve"> </v>
      </c>
      <c r="AT83" s="263" t="str">
        <f t="shared" si="275"/>
        <v xml:space="preserve"> </v>
      </c>
      <c r="AU83" s="263" t="str">
        <f t="shared" si="275"/>
        <v xml:space="preserve"> </v>
      </c>
      <c r="AV83" s="263" t="str">
        <f t="shared" si="276"/>
        <v xml:space="preserve"> </v>
      </c>
      <c r="AW83" s="263" t="str">
        <f t="shared" si="277"/>
        <v xml:space="preserve"> </v>
      </c>
      <c r="AX83" s="263" t="str">
        <f t="shared" si="277"/>
        <v xml:space="preserve"> </v>
      </c>
      <c r="AY83" s="263" t="str">
        <f t="shared" si="278"/>
        <v xml:space="preserve"> </v>
      </c>
      <c r="AZ83" s="263" t="str">
        <f t="shared" si="279"/>
        <v xml:space="preserve"> </v>
      </c>
      <c r="BA83" s="263" t="str">
        <f t="shared" si="280"/>
        <v xml:space="preserve"> </v>
      </c>
      <c r="BB83" s="229"/>
      <c r="BC83" s="266" t="str">
        <f t="shared" si="260"/>
        <v xml:space="preserve"> </v>
      </c>
      <c r="BD83" s="269" t="str">
        <f t="shared" si="261"/>
        <v xml:space="preserve"> </v>
      </c>
      <c r="BE83" s="269" t="str">
        <f t="shared" si="261"/>
        <v xml:space="preserve"> </v>
      </c>
      <c r="BF83" s="269" t="str">
        <f t="shared" si="262"/>
        <v xml:space="preserve"> </v>
      </c>
      <c r="BG83" s="269" t="str">
        <f t="shared" si="263"/>
        <v xml:space="preserve"> </v>
      </c>
      <c r="BH83" s="269" t="str">
        <f t="shared" si="263"/>
        <v xml:space="preserve"> </v>
      </c>
      <c r="BI83" s="269" t="str">
        <f t="shared" si="264"/>
        <v xml:space="preserve"> </v>
      </c>
      <c r="BJ83" s="269" t="str">
        <f t="shared" si="265"/>
        <v xml:space="preserve"> </v>
      </c>
      <c r="BK83" s="269" t="str">
        <f t="shared" si="266"/>
        <v xml:space="preserve"> </v>
      </c>
      <c r="BL83" s="229"/>
      <c r="BM83" s="220" t="str">
        <f>IF($A83="N/A"," ",(IF(MONTH(A83)&gt;=4,IF(MONTH(A83)&lt;=10,Inputs!$F$13-Inputs!$G$13,Inputs!$F$14-Inputs!$G$14),Inputs!$F$14-Inputs!$G$14))*$CK83*Availability)</f>
        <v xml:space="preserve"> </v>
      </c>
      <c r="BN83" s="221" t="str">
        <f t="shared" si="238"/>
        <v xml:space="preserve"> </v>
      </c>
      <c r="BO83" s="221" t="str">
        <f t="shared" si="239"/>
        <v xml:space="preserve"> </v>
      </c>
      <c r="BP83" s="221" t="str">
        <f t="shared" si="240"/>
        <v xml:space="preserve"> </v>
      </c>
      <c r="BQ83" s="221" t="str">
        <f t="shared" si="241"/>
        <v xml:space="preserve"> </v>
      </c>
      <c r="BR83" s="221" t="str">
        <f t="shared" si="242"/>
        <v xml:space="preserve"> </v>
      </c>
      <c r="BS83" s="221" t="str">
        <f t="shared" si="243"/>
        <v xml:space="preserve"> </v>
      </c>
      <c r="BT83" s="221" t="str">
        <f t="shared" si="244"/>
        <v xml:space="preserve"> </v>
      </c>
      <c r="BU83" s="221" t="str">
        <f t="shared" si="245"/>
        <v xml:space="preserve"> </v>
      </c>
      <c r="BV83" s="221" t="str">
        <f t="shared" si="246"/>
        <v xml:space="preserve"> </v>
      </c>
      <c r="BW83" s="221" t="str">
        <f t="shared" si="247"/>
        <v xml:space="preserve"> </v>
      </c>
      <c r="BX83" s="421" t="str">
        <f t="shared" si="248"/>
        <v xml:space="preserve"> </v>
      </c>
      <c r="BY83" s="417" t="str">
        <f t="shared" si="249"/>
        <v xml:space="preserve"> </v>
      </c>
      <c r="BZ83" s="417" t="str">
        <f t="shared" si="250"/>
        <v xml:space="preserve"> </v>
      </c>
      <c r="CA83" s="422" t="str">
        <f t="shared" si="251"/>
        <v xml:space="preserve"> </v>
      </c>
      <c r="CB83" s="347" t="str">
        <f t="shared" si="195"/>
        <v xml:space="preserve"> </v>
      </c>
      <c r="CC83" s="347" t="str">
        <f t="shared" si="252"/>
        <v xml:space="preserve"> </v>
      </c>
      <c r="CD83" s="348" t="str">
        <f t="shared" si="196"/>
        <v xml:space="preserve"> </v>
      </c>
      <c r="CE83" s="347" t="str">
        <f t="shared" si="197"/>
        <v xml:space="preserve"> </v>
      </c>
      <c r="CF83" s="347" t="str">
        <f t="shared" si="198"/>
        <v xml:space="preserve"> </v>
      </c>
      <c r="CG83" s="348" t="str">
        <f t="shared" si="199"/>
        <v xml:space="preserve"> </v>
      </c>
      <c r="CH83" s="347" t="str">
        <f t="shared" si="253"/>
        <v xml:space="preserve"> </v>
      </c>
      <c r="CI83" s="349" t="str">
        <f>IF($A83="N/A"," ",F83+G83+(D83*('Pricing Inputs'!T116)))</f>
        <v xml:space="preserve"> </v>
      </c>
      <c r="CJ83" s="347" t="str">
        <f>IF($A83="N/A"," ",IF(PV=1,0,'Pricing Inputs'!U116))</f>
        <v xml:space="preserve"> </v>
      </c>
      <c r="CK83" s="350" t="str">
        <f t="shared" si="200"/>
        <v xml:space="preserve"> </v>
      </c>
      <c r="CL83" s="365" t="str">
        <f t="shared" si="201"/>
        <v xml:space="preserve"> </v>
      </c>
      <c r="CM83" s="380" t="str">
        <f t="shared" si="254"/>
        <v xml:space="preserve"> </v>
      </c>
      <c r="CN83" s="378" t="str">
        <f t="shared" si="202"/>
        <v xml:space="preserve"> </v>
      </c>
      <c r="CO83" s="378" t="str">
        <f t="shared" si="203"/>
        <v xml:space="preserve"> </v>
      </c>
      <c r="CP83" s="378" t="str">
        <f t="shared" si="204"/>
        <v xml:space="preserve"> </v>
      </c>
      <c r="CQ83" s="378" t="str">
        <f t="shared" si="205"/>
        <v xml:space="preserve"> </v>
      </c>
      <c r="CR83" s="378" t="str">
        <f t="shared" si="206"/>
        <v xml:space="preserve"> </v>
      </c>
      <c r="CS83" s="378" t="str">
        <f t="shared" si="207"/>
        <v xml:space="preserve"> </v>
      </c>
      <c r="CT83" s="378" t="str">
        <f t="shared" si="208"/>
        <v xml:space="preserve"> </v>
      </c>
      <c r="CU83" s="378" t="str">
        <f t="shared" si="209"/>
        <v xml:space="preserve"> </v>
      </c>
      <c r="CV83" s="378" t="str">
        <f t="shared" si="210"/>
        <v xml:space="preserve"> </v>
      </c>
      <c r="CW83" s="254" t="str">
        <f t="shared" si="211"/>
        <v xml:space="preserve"> </v>
      </c>
      <c r="CX83" s="254" t="str">
        <f t="shared" si="212"/>
        <v xml:space="preserve"> </v>
      </c>
      <c r="CY83" s="254" t="str">
        <f t="shared" si="213"/>
        <v xml:space="preserve"> </v>
      </c>
      <c r="CZ83" s="254" t="str">
        <f t="shared" si="214"/>
        <v xml:space="preserve"> </v>
      </c>
      <c r="DA83" s="254" t="str">
        <f t="shared" si="215"/>
        <v xml:space="preserve"> </v>
      </c>
      <c r="DB83" s="254" t="str">
        <f t="shared" si="216"/>
        <v xml:space="preserve"> </v>
      </c>
      <c r="DC83" s="254" t="str">
        <f t="shared" si="217"/>
        <v xml:space="preserve"> </v>
      </c>
      <c r="DD83" s="254" t="str">
        <f t="shared" si="218"/>
        <v xml:space="preserve"> </v>
      </c>
      <c r="DE83" s="254" t="str">
        <f t="shared" si="219"/>
        <v xml:space="preserve"> </v>
      </c>
      <c r="DF83" s="374" t="str">
        <f>IF($A83="N/A"," ",IF(CC=2,(IF(MONTH(A83)&gt;=4,IF(MONTH(A83)&lt;=10,Inputs!$G$13,Inputs!$G$14),Inputs!$G$14))*$CK83,0))</f>
        <v xml:space="preserve"> </v>
      </c>
      <c r="DG83" s="373" t="str">
        <f t="shared" si="220"/>
        <v xml:space="preserve"> </v>
      </c>
      <c r="DH83" s="373" t="str">
        <f t="shared" si="221"/>
        <v xml:space="preserve"> </v>
      </c>
      <c r="DI83" s="373" t="str">
        <f t="shared" si="222"/>
        <v xml:space="preserve"> </v>
      </c>
      <c r="DJ83" s="373" t="str">
        <f t="shared" si="223"/>
        <v xml:space="preserve"> </v>
      </c>
      <c r="DK83" s="373" t="str">
        <f t="shared" si="224"/>
        <v xml:space="preserve"> </v>
      </c>
      <c r="DL83" s="373" t="str">
        <f t="shared" si="225"/>
        <v xml:space="preserve"> </v>
      </c>
      <c r="DM83" s="373" t="str">
        <f t="shared" si="226"/>
        <v xml:space="preserve"> </v>
      </c>
      <c r="DN83" s="373" t="str">
        <f t="shared" si="227"/>
        <v xml:space="preserve"> </v>
      </c>
      <c r="DO83" s="373" t="str">
        <f t="shared" si="228"/>
        <v xml:space="preserve"> </v>
      </c>
      <c r="DP83" s="375" t="str">
        <f t="shared" si="229"/>
        <v xml:space="preserve"> </v>
      </c>
      <c r="DQ83" t="str">
        <f t="shared" si="255"/>
        <v xml:space="preserve"> </v>
      </c>
      <c r="HD83" t="str">
        <f t="shared" si="256"/>
        <v xml:space="preserve"> </v>
      </c>
      <c r="HE83" t="str">
        <f t="shared" si="257"/>
        <v xml:space="preserve"> </v>
      </c>
      <c r="HF83" t="str">
        <f t="shared" si="258"/>
        <v xml:space="preserve"> </v>
      </c>
    </row>
    <row r="84" spans="1:214">
      <c r="A84" s="415" t="str">
        <f>IF(A83="N/A","N/A",IF(EDATE(A83,1)&gt;Inputs!$K$3,"N/A",EDATE(A83,1)))</f>
        <v>N/A</v>
      </c>
      <c r="B84" s="410" t="str">
        <f t="shared" si="230"/>
        <v xml:space="preserve"> </v>
      </c>
      <c r="C84" s="411" t="str">
        <f t="shared" si="231"/>
        <v xml:space="preserve"> </v>
      </c>
      <c r="D84" s="412" t="str">
        <f t="shared" si="232"/>
        <v xml:space="preserve"> </v>
      </c>
      <c r="E84" s="413" t="str">
        <f>IF($A84="N/A"," ",(C84-'Pricing Inputs'!T117)*D84)</f>
        <v xml:space="preserve"> </v>
      </c>
      <c r="F84" s="414" t="str">
        <f t="shared" si="281"/>
        <v xml:space="preserve"> </v>
      </c>
      <c r="G84" s="414" t="str">
        <f t="shared" si="233"/>
        <v xml:space="preserve"> </v>
      </c>
      <c r="H84" s="416" t="str">
        <f t="shared" si="234"/>
        <v xml:space="preserve"> </v>
      </c>
      <c r="I84" s="213" t="str">
        <f t="shared" si="183"/>
        <v xml:space="preserve"> </v>
      </c>
      <c r="J84" s="213" t="str">
        <f t="shared" si="184"/>
        <v xml:space="preserve"> </v>
      </c>
      <c r="K84" s="213" t="str">
        <f t="shared" si="185"/>
        <v xml:space="preserve"> </v>
      </c>
      <c r="L84" s="213" t="str">
        <f t="shared" si="186"/>
        <v xml:space="preserve"> </v>
      </c>
      <c r="M84" s="213" t="str">
        <f t="shared" si="187"/>
        <v xml:space="preserve"> </v>
      </c>
      <c r="N84" s="213" t="str">
        <f t="shared" si="188"/>
        <v xml:space="preserve"> </v>
      </c>
      <c r="O84" s="213" t="str">
        <f t="shared" si="189"/>
        <v xml:space="preserve"> </v>
      </c>
      <c r="P84" s="213" t="str">
        <f t="shared" si="190"/>
        <v xml:space="preserve"> </v>
      </c>
      <c r="Q84" s="213" t="str">
        <f t="shared" si="191"/>
        <v xml:space="preserve"> </v>
      </c>
      <c r="R84" s="405" t="str">
        <f>IF($A84="N/A"," ",IF(Pricetype=2,MAX(I84-$H84,0),IF(Pricetype=1,(_xll.xSPRDOPT(I84,$E84,$CI84,0,($CD84+IF(Smile=TRUE,VLOOKUP(MAX(-5,$H84-I84),Volsmile,2),0)),$CG84,$CH84,($A84-DateToday)+15,1,0)),I84-$H84)))</f>
        <v xml:space="preserve"> </v>
      </c>
      <c r="S84" s="405" t="str">
        <f>IF($A84="N/A"," ",IF(Pricetype=2,MAX(J84-$H84,0),IF(Pricetype=1,(_xll.xSPRDOPT(J84,$E84,$CI84,0,($CD84+IF(Smile=TRUE,VLOOKUP(MAX(-5,$H84-J84),Volsmile,2),0)),$CG84,$CH84,($A84-DateToday)+15,1,0)),J84-$H84)))</f>
        <v xml:space="preserve"> </v>
      </c>
      <c r="T84" s="406" t="str">
        <f t="shared" si="192"/>
        <v xml:space="preserve"> </v>
      </c>
      <c r="U84" s="405" t="str">
        <f>IF($A84="N/A"," ",IF(Pricetype=2,MAX(L84-$H84,0),IF(L84&lt;&gt;0,IF(Pricetype=1,(_xll.xSPRDOPT(L84,$E84,$CI84,0,($CD84+IF(Smile=TRUE,VLOOKUP(MAX(-5,$H84-L84),Volsmile,2),0)),$CG84,$CH84,($A84-DateToday)+15,1,0)),L84-$H84),0)))</f>
        <v xml:space="preserve"> </v>
      </c>
      <c r="V84" s="405" t="str">
        <f>IF($A84="N/A"," ",IF(Pricetype=2,MAX(M84-$H84,0),IF(M84&lt;&gt;0,IF(Pricetype=1,(_xll.xSPRDOPT(M84,$E84,$CI84,0,($CD84+IF(Smile=TRUE,VLOOKUP(MAX(-5,$H84-M84),Volsmile,2),0)),$CG84,$CH84,($A84-DateToday)+15,1,0)),M84-$H84),0)))</f>
        <v xml:space="preserve"> </v>
      </c>
      <c r="W84" s="406" t="str">
        <f t="shared" si="193"/>
        <v xml:space="preserve"> </v>
      </c>
      <c r="X84" s="405" t="str">
        <f>IF($A84="N/A"," ",IF(Pricetype=2,MAX(O84-$H84,0),IF(O84&lt;&gt;0,IF(Pricetype=1,(_xll.xSPRDOPT(O84,$E84,$CI84,0,($CD84+IF(Smile=TRUE,VLOOKUP(MAX(-5,$H84-O84),Volsmile,2),0)),$CG84,$CH84,($A84-DateToday)+15,1,0)),O84-$H84),0)))</f>
        <v xml:space="preserve"> </v>
      </c>
      <c r="Y84" s="405" t="str">
        <f>IF($A84="N/A"," ",IF(Pricetype=2,MAX(P84-$H84,0),IF(P84&lt;&gt;0,IF(Pricetype=1,(_xll.xSPRDOPT(P84,$E84,$CI84,0,($CD84+IF(Smile=TRUE,VLOOKUP(MAX(-5,$H84-P84),Volsmile,2),0)),$CG84,$CH84,($A84-DateToday)+15,1,0)),P84-$H84),0)))</f>
        <v xml:space="preserve"> </v>
      </c>
      <c r="Z84" s="406" t="str">
        <f t="shared" si="194"/>
        <v xml:space="preserve"> </v>
      </c>
      <c r="AA84" s="254" t="str">
        <f>IF($A84="N/A"," ",IF(VLOOKUP(MONTH(A84),ManualTable,2)=1,(IF(0&lt;&gt;R84,IF(Pricetype=1,(_xll.xSPRDOPT(I84,$E84,$CI84,0,($CD84+IF(Smile=TRUE,VLOOKUP(MAX(-5,$H84-I84),Volsmile,2),0)),$CG84,$CH84,($A84-DateToday)+15,1,1))*(8*$HD84),8*$HD84),0)),0))</f>
        <v xml:space="preserve"> </v>
      </c>
      <c r="AB84" s="254" t="str">
        <f>IF($A84="N/A"," ",IF(VLOOKUP(MONTH(A84),ManualTable,3)=1,(IF(S84&lt;&gt;0,IF(Pricetype=1,(_xll.xSPRDOPT(J84,$E84,$CI84,0,($CD84+IF(Smile=TRUE,VLOOKUP(MAX(-5,$H84-J84),Volsmile,2),0)),$CG84,$CH84,($A84-DateToday)+15,1,1))*(8*$HD84),8*$HD84),0)),0))</f>
        <v xml:space="preserve"> </v>
      </c>
      <c r="AC84" s="254" t="str">
        <f t="shared" si="235"/>
        <v xml:space="preserve"> </v>
      </c>
      <c r="AD84" s="254" t="str">
        <f>IF($A84="N/A"," ",IF(VLOOKUP(MONTH(A84),ManualTable,5)=1,(IF(U84&lt;&gt;0,IF(Pricetype=1,(_xll.xSPRDOPT(L84,$E84,$CI84,0,($CD84+IF(Smile=TRUE,VLOOKUP(MAX(-5,$H84-L84),Volsmile,2),0)),$CG84,$CH84,($A84-DateToday)+15,1,1))*(8*$HE84),8*$HE84),0)),0))</f>
        <v xml:space="preserve"> </v>
      </c>
      <c r="AE84" s="254" t="str">
        <f>IF($A84="N/A"," ",IF(VLOOKUP(MONTH(A84),ManualTable,6)=1,(IF(V84&lt;&gt;0,IF(Pricetype=1,(_xll.xSPRDOPT(M84,$E84,$CI84,0,($CD84+IF(Smile=TRUE,VLOOKUP(MAX(-5,$H84-M84),Volsmile,2),0)),$CG84,$CH84,($A84-DateToday)+15,1,1))*(8*$HE84),8*$HE84),0)),0))</f>
        <v xml:space="preserve"> </v>
      </c>
      <c r="AF84" s="254" t="str">
        <f t="shared" si="236"/>
        <v xml:space="preserve"> </v>
      </c>
      <c r="AG84" s="254" t="str">
        <f>IF($A84="N/A"," ",IF(VLOOKUP(MONTH(A84),ManualTable,8)=1,(IF(X84&lt;&gt;0,IF(Pricetype=1,(_xll.xSPRDOPT(O84,$E84,$CI84,0,($CD84+IF(Smile=TRUE,VLOOKUP(MAX(-5,$H84-O84),Volsmile,2),0)),$CG84,$CH84,($A84-DateToday)+15,1,1))*(8*$HF84),8*$HF84),0)),0))</f>
        <v xml:space="preserve"> </v>
      </c>
      <c r="AH84" s="254" t="str">
        <f>IF($A84="N/A"," ",IF(VLOOKUP(MONTH(A84),ManualTable,9)=1,(IF(Y84&lt;&gt;0,IF(Pricetype=1,(_xll.xSPRDOPT(P84,$E84,$CI84,0,($CD84+IF(Smile=TRUE,VLOOKUP(MAX(-5,$H84-P84),Volsmile,2),0)),$CG84,$CH84,($A84-DateToday)+15,1,1))*(8*$HF84),8*$HF84),0)),0))</f>
        <v xml:space="preserve"> </v>
      </c>
      <c r="AI84" s="254" t="str">
        <f t="shared" si="237"/>
        <v xml:space="preserve"> </v>
      </c>
      <c r="AJ84" s="227" t="str">
        <f t="shared" si="267"/>
        <v xml:space="preserve"> </v>
      </c>
      <c r="AK84" s="228" t="str">
        <f t="shared" si="268"/>
        <v xml:space="preserve"> </v>
      </c>
      <c r="AL84" s="228" t="str">
        <f t="shared" si="268"/>
        <v xml:space="preserve"> </v>
      </c>
      <c r="AM84" s="228" t="str">
        <f t="shared" si="269"/>
        <v xml:space="preserve"> </v>
      </c>
      <c r="AN84" s="228" t="str">
        <f t="shared" si="270"/>
        <v xml:space="preserve"> </v>
      </c>
      <c r="AO84" s="228" t="str">
        <f t="shared" si="270"/>
        <v xml:space="preserve"> </v>
      </c>
      <c r="AP84" s="228" t="str">
        <f t="shared" si="271"/>
        <v xml:space="preserve"> </v>
      </c>
      <c r="AQ84" s="228" t="str">
        <f t="shared" si="272"/>
        <v xml:space="preserve"> </v>
      </c>
      <c r="AR84" s="229" t="str">
        <f t="shared" si="273"/>
        <v xml:space="preserve"> </v>
      </c>
      <c r="AS84" s="262" t="str">
        <f t="shared" si="274"/>
        <v xml:space="preserve"> </v>
      </c>
      <c r="AT84" s="263" t="str">
        <f t="shared" si="275"/>
        <v xml:space="preserve"> </v>
      </c>
      <c r="AU84" s="263" t="str">
        <f t="shared" si="275"/>
        <v xml:space="preserve"> </v>
      </c>
      <c r="AV84" s="263" t="str">
        <f t="shared" si="276"/>
        <v xml:space="preserve"> </v>
      </c>
      <c r="AW84" s="263" t="str">
        <f t="shared" si="277"/>
        <v xml:space="preserve"> </v>
      </c>
      <c r="AX84" s="263" t="str">
        <f t="shared" si="277"/>
        <v xml:space="preserve"> </v>
      </c>
      <c r="AY84" s="263" t="str">
        <f t="shared" si="278"/>
        <v xml:space="preserve"> </v>
      </c>
      <c r="AZ84" s="263" t="str">
        <f t="shared" si="279"/>
        <v xml:space="preserve"> </v>
      </c>
      <c r="BA84" s="263" t="str">
        <f t="shared" si="280"/>
        <v xml:space="preserve"> </v>
      </c>
      <c r="BB84" s="229"/>
      <c r="BC84" s="266" t="str">
        <f t="shared" si="260"/>
        <v xml:space="preserve"> </v>
      </c>
      <c r="BD84" s="269" t="str">
        <f t="shared" si="261"/>
        <v xml:space="preserve"> </v>
      </c>
      <c r="BE84" s="269" t="str">
        <f t="shared" si="261"/>
        <v xml:space="preserve"> </v>
      </c>
      <c r="BF84" s="269" t="str">
        <f t="shared" si="262"/>
        <v xml:space="preserve"> </v>
      </c>
      <c r="BG84" s="269" t="str">
        <f t="shared" si="263"/>
        <v xml:space="preserve"> </v>
      </c>
      <c r="BH84" s="269" t="str">
        <f t="shared" si="263"/>
        <v xml:space="preserve"> </v>
      </c>
      <c r="BI84" s="269" t="str">
        <f t="shared" si="264"/>
        <v xml:space="preserve"> </v>
      </c>
      <c r="BJ84" s="269" t="str">
        <f t="shared" si="265"/>
        <v xml:space="preserve"> </v>
      </c>
      <c r="BK84" s="269" t="str">
        <f t="shared" si="266"/>
        <v xml:space="preserve"> </v>
      </c>
      <c r="BL84" s="229"/>
      <c r="BM84" s="220" t="str">
        <f>IF($A84="N/A"," ",(IF(MONTH(A84)&gt;=4,IF(MONTH(A84)&lt;=10,Inputs!$F$13-Inputs!$G$13,Inputs!$F$14-Inputs!$G$14),Inputs!$F$14-Inputs!$G$14))*$CK84*Availability)</f>
        <v xml:space="preserve"> </v>
      </c>
      <c r="BN84" s="221" t="str">
        <f t="shared" si="238"/>
        <v xml:space="preserve"> </v>
      </c>
      <c r="BO84" s="221" t="str">
        <f t="shared" si="239"/>
        <v xml:space="preserve"> </v>
      </c>
      <c r="BP84" s="221" t="str">
        <f t="shared" si="240"/>
        <v xml:space="preserve"> </v>
      </c>
      <c r="BQ84" s="221" t="str">
        <f t="shared" si="241"/>
        <v xml:space="preserve"> </v>
      </c>
      <c r="BR84" s="221" t="str">
        <f t="shared" si="242"/>
        <v xml:space="preserve"> </v>
      </c>
      <c r="BS84" s="221" t="str">
        <f t="shared" si="243"/>
        <v xml:space="preserve"> </v>
      </c>
      <c r="BT84" s="221" t="str">
        <f t="shared" si="244"/>
        <v xml:space="preserve"> </v>
      </c>
      <c r="BU84" s="221" t="str">
        <f t="shared" si="245"/>
        <v xml:space="preserve"> </v>
      </c>
      <c r="BV84" s="221" t="str">
        <f t="shared" si="246"/>
        <v xml:space="preserve"> </v>
      </c>
      <c r="BW84" s="221" t="str">
        <f t="shared" si="247"/>
        <v xml:space="preserve"> </v>
      </c>
      <c r="BX84" s="421" t="str">
        <f t="shared" si="248"/>
        <v xml:space="preserve"> </v>
      </c>
      <c r="BY84" s="417" t="str">
        <f t="shared" si="249"/>
        <v xml:space="preserve"> </v>
      </c>
      <c r="BZ84" s="417" t="str">
        <f t="shared" si="250"/>
        <v xml:space="preserve"> </v>
      </c>
      <c r="CA84" s="422" t="str">
        <f t="shared" si="251"/>
        <v xml:space="preserve"> </v>
      </c>
      <c r="CB84" s="347" t="str">
        <f t="shared" si="195"/>
        <v xml:space="preserve"> </v>
      </c>
      <c r="CC84" s="347" t="str">
        <f t="shared" si="252"/>
        <v xml:space="preserve"> </v>
      </c>
      <c r="CD84" s="348" t="str">
        <f t="shared" si="196"/>
        <v xml:space="preserve"> </v>
      </c>
      <c r="CE84" s="347" t="str">
        <f t="shared" si="197"/>
        <v xml:space="preserve"> </v>
      </c>
      <c r="CF84" s="347" t="str">
        <f t="shared" si="198"/>
        <v xml:space="preserve"> </v>
      </c>
      <c r="CG84" s="348" t="str">
        <f t="shared" si="199"/>
        <v xml:space="preserve"> </v>
      </c>
      <c r="CH84" s="347" t="str">
        <f t="shared" si="253"/>
        <v xml:space="preserve"> </v>
      </c>
      <c r="CI84" s="349" t="str">
        <f>IF($A84="N/A"," ",F84+G84+(D84*('Pricing Inputs'!T117)))</f>
        <v xml:space="preserve"> </v>
      </c>
      <c r="CJ84" s="347" t="str">
        <f>IF($A84="N/A"," ",IF(PV=1,0,'Pricing Inputs'!U117))</f>
        <v xml:space="preserve"> </v>
      </c>
      <c r="CK84" s="350" t="str">
        <f t="shared" si="200"/>
        <v xml:space="preserve"> </v>
      </c>
      <c r="CL84" s="365" t="str">
        <f t="shared" si="201"/>
        <v xml:space="preserve"> </v>
      </c>
      <c r="CM84" s="380" t="str">
        <f t="shared" si="254"/>
        <v xml:space="preserve"> </v>
      </c>
      <c r="CN84" s="378" t="str">
        <f t="shared" si="202"/>
        <v xml:space="preserve"> </v>
      </c>
      <c r="CO84" s="378" t="str">
        <f t="shared" si="203"/>
        <v xml:space="preserve"> </v>
      </c>
      <c r="CP84" s="378" t="str">
        <f t="shared" si="204"/>
        <v xml:space="preserve"> </v>
      </c>
      <c r="CQ84" s="378" t="str">
        <f t="shared" si="205"/>
        <v xml:space="preserve"> </v>
      </c>
      <c r="CR84" s="378" t="str">
        <f t="shared" si="206"/>
        <v xml:space="preserve"> </v>
      </c>
      <c r="CS84" s="378" t="str">
        <f t="shared" si="207"/>
        <v xml:space="preserve"> </v>
      </c>
      <c r="CT84" s="378" t="str">
        <f t="shared" si="208"/>
        <v xml:space="preserve"> </v>
      </c>
      <c r="CU84" s="378" t="str">
        <f t="shared" si="209"/>
        <v xml:space="preserve"> </v>
      </c>
      <c r="CV84" s="378" t="str">
        <f t="shared" si="210"/>
        <v xml:space="preserve"> </v>
      </c>
      <c r="CW84" s="254" t="str">
        <f t="shared" si="211"/>
        <v xml:space="preserve"> </v>
      </c>
      <c r="CX84" s="254" t="str">
        <f t="shared" si="212"/>
        <v xml:space="preserve"> </v>
      </c>
      <c r="CY84" s="254" t="str">
        <f t="shared" si="213"/>
        <v xml:space="preserve"> </v>
      </c>
      <c r="CZ84" s="254" t="str">
        <f t="shared" si="214"/>
        <v xml:space="preserve"> </v>
      </c>
      <c r="DA84" s="254" t="str">
        <f t="shared" si="215"/>
        <v xml:space="preserve"> </v>
      </c>
      <c r="DB84" s="254" t="str">
        <f t="shared" si="216"/>
        <v xml:space="preserve"> </v>
      </c>
      <c r="DC84" s="254" t="str">
        <f t="shared" si="217"/>
        <v xml:space="preserve"> </v>
      </c>
      <c r="DD84" s="254" t="str">
        <f t="shared" si="218"/>
        <v xml:space="preserve"> </v>
      </c>
      <c r="DE84" s="254" t="str">
        <f t="shared" si="219"/>
        <v xml:space="preserve"> </v>
      </c>
      <c r="DF84" s="374" t="str">
        <f>IF($A84="N/A"," ",IF(CC=2,(IF(MONTH(A84)&gt;=4,IF(MONTH(A84)&lt;=10,Inputs!$G$13,Inputs!$G$14),Inputs!$G$14))*$CK84,0))</f>
        <v xml:space="preserve"> </v>
      </c>
      <c r="DG84" s="373" t="str">
        <f t="shared" si="220"/>
        <v xml:space="preserve"> </v>
      </c>
      <c r="DH84" s="373" t="str">
        <f t="shared" si="221"/>
        <v xml:space="preserve"> </v>
      </c>
      <c r="DI84" s="373" t="str">
        <f t="shared" si="222"/>
        <v xml:space="preserve"> </v>
      </c>
      <c r="DJ84" s="373" t="str">
        <f t="shared" si="223"/>
        <v xml:space="preserve"> </v>
      </c>
      <c r="DK84" s="373" t="str">
        <f t="shared" si="224"/>
        <v xml:space="preserve"> </v>
      </c>
      <c r="DL84" s="373" t="str">
        <f t="shared" si="225"/>
        <v xml:space="preserve"> </v>
      </c>
      <c r="DM84" s="373" t="str">
        <f t="shared" si="226"/>
        <v xml:space="preserve"> </v>
      </c>
      <c r="DN84" s="373" t="str">
        <f t="shared" si="227"/>
        <v xml:space="preserve"> </v>
      </c>
      <c r="DO84" s="373" t="str">
        <f t="shared" si="228"/>
        <v xml:space="preserve"> </v>
      </c>
      <c r="DP84" s="375" t="str">
        <f t="shared" si="229"/>
        <v xml:space="preserve"> </v>
      </c>
      <c r="DQ84" t="str">
        <f t="shared" si="255"/>
        <v xml:space="preserve"> </v>
      </c>
      <c r="HD84" t="str">
        <f t="shared" si="256"/>
        <v xml:space="preserve"> </v>
      </c>
      <c r="HE84" t="str">
        <f t="shared" si="257"/>
        <v xml:space="preserve"> </v>
      </c>
      <c r="HF84" t="str">
        <f t="shared" si="258"/>
        <v xml:space="preserve"> </v>
      </c>
    </row>
    <row r="85" spans="1:214">
      <c r="A85" s="415" t="str">
        <f>IF(A84="N/A","N/A",IF(EDATE(A84,1)&gt;Inputs!$K$3,"N/A",EDATE(A84,1)))</f>
        <v>N/A</v>
      </c>
      <c r="B85" s="410" t="str">
        <f t="shared" si="230"/>
        <v xml:space="preserve"> </v>
      </c>
      <c r="C85" s="411" t="str">
        <f t="shared" si="231"/>
        <v xml:space="preserve"> </v>
      </c>
      <c r="D85" s="412" t="str">
        <f t="shared" si="232"/>
        <v xml:space="preserve"> </v>
      </c>
      <c r="E85" s="413" t="str">
        <f>IF($A85="N/A"," ",(C85-'Pricing Inputs'!T118)*D85)</f>
        <v xml:space="preserve"> </v>
      </c>
      <c r="F85" s="414" t="str">
        <f t="shared" si="281"/>
        <v xml:space="preserve"> </v>
      </c>
      <c r="G85" s="414" t="str">
        <f t="shared" si="233"/>
        <v xml:space="preserve"> </v>
      </c>
      <c r="H85" s="416" t="str">
        <f t="shared" si="234"/>
        <v xml:space="preserve"> </v>
      </c>
      <c r="I85" s="213" t="str">
        <f t="shared" si="183"/>
        <v xml:space="preserve"> </v>
      </c>
      <c r="J85" s="213" t="str">
        <f t="shared" si="184"/>
        <v xml:space="preserve"> </v>
      </c>
      <c r="K85" s="213" t="str">
        <f t="shared" si="185"/>
        <v xml:space="preserve"> </v>
      </c>
      <c r="L85" s="213" t="str">
        <f t="shared" si="186"/>
        <v xml:space="preserve"> </v>
      </c>
      <c r="M85" s="213" t="str">
        <f t="shared" si="187"/>
        <v xml:space="preserve"> </v>
      </c>
      <c r="N85" s="213" t="str">
        <f t="shared" si="188"/>
        <v xml:space="preserve"> </v>
      </c>
      <c r="O85" s="213" t="str">
        <f t="shared" si="189"/>
        <v xml:space="preserve"> </v>
      </c>
      <c r="P85" s="213" t="str">
        <f t="shared" si="190"/>
        <v xml:space="preserve"> </v>
      </c>
      <c r="Q85" s="213" t="str">
        <f t="shared" si="191"/>
        <v xml:space="preserve"> </v>
      </c>
      <c r="R85" s="405" t="str">
        <f>IF($A85="N/A"," ",IF(Pricetype=2,MAX(I85-$H85,0),IF(Pricetype=1,(_xll.xSPRDOPT(I85,$E85,$CI85,0,($CD85+IF(Smile=TRUE,VLOOKUP(MAX(-5,$H85-I85),Volsmile,2),0)),$CG85,$CH85,($A85-DateToday)+15,1,0)),I85-$H85)))</f>
        <v xml:space="preserve"> </v>
      </c>
      <c r="S85" s="405" t="str">
        <f>IF($A85="N/A"," ",IF(Pricetype=2,MAX(J85-$H85,0),IF(Pricetype=1,(_xll.xSPRDOPT(J85,$E85,$CI85,0,($CD85+IF(Smile=TRUE,VLOOKUP(MAX(-5,$H85-J85),Volsmile,2),0)),$CG85,$CH85,($A85-DateToday)+15,1,0)),J85-$H85)))</f>
        <v xml:space="preserve"> </v>
      </c>
      <c r="T85" s="406" t="str">
        <f t="shared" si="192"/>
        <v xml:space="preserve"> </v>
      </c>
      <c r="U85" s="405" t="str">
        <f>IF($A85="N/A"," ",IF(Pricetype=2,MAX(L85-$H85,0),IF(L85&lt;&gt;0,IF(Pricetype=1,(_xll.xSPRDOPT(L85,$E85,$CI85,0,($CD85+IF(Smile=TRUE,VLOOKUP(MAX(-5,$H85-L85),Volsmile,2),0)),$CG85,$CH85,($A85-DateToday)+15,1,0)),L85-$H85),0)))</f>
        <v xml:space="preserve"> </v>
      </c>
      <c r="V85" s="405" t="str">
        <f>IF($A85="N/A"," ",IF(Pricetype=2,MAX(M85-$H85,0),IF(M85&lt;&gt;0,IF(Pricetype=1,(_xll.xSPRDOPT(M85,$E85,$CI85,0,($CD85+IF(Smile=TRUE,VLOOKUP(MAX(-5,$H85-M85),Volsmile,2),0)),$CG85,$CH85,($A85-DateToday)+15,1,0)),M85-$H85),0)))</f>
        <v xml:space="preserve"> </v>
      </c>
      <c r="W85" s="406" t="str">
        <f t="shared" si="193"/>
        <v xml:space="preserve"> </v>
      </c>
      <c r="X85" s="405" t="str">
        <f>IF($A85="N/A"," ",IF(Pricetype=2,MAX(O85-$H85,0),IF(O85&lt;&gt;0,IF(Pricetype=1,(_xll.xSPRDOPT(O85,$E85,$CI85,0,($CD85+IF(Smile=TRUE,VLOOKUP(MAX(-5,$H85-O85),Volsmile,2),0)),$CG85,$CH85,($A85-DateToday)+15,1,0)),O85-$H85),0)))</f>
        <v xml:space="preserve"> </v>
      </c>
      <c r="Y85" s="405" t="str">
        <f>IF($A85="N/A"," ",IF(Pricetype=2,MAX(P85-$H85,0),IF(P85&lt;&gt;0,IF(Pricetype=1,(_xll.xSPRDOPT(P85,$E85,$CI85,0,($CD85+IF(Smile=TRUE,VLOOKUP(MAX(-5,$H85-P85),Volsmile,2),0)),$CG85,$CH85,($A85-DateToday)+15,1,0)),P85-$H85),0)))</f>
        <v xml:space="preserve"> </v>
      </c>
      <c r="Z85" s="406" t="str">
        <f t="shared" si="194"/>
        <v xml:space="preserve"> </v>
      </c>
      <c r="AA85" s="254" t="str">
        <f>IF($A85="N/A"," ",IF(VLOOKUP(MONTH(A85),ManualTable,2)=1,(IF(0&lt;&gt;R85,IF(Pricetype=1,(_xll.xSPRDOPT(I85,$E85,$CI85,0,($CD85+IF(Smile=TRUE,VLOOKUP(MAX(-5,$H85-I85),Volsmile,2),0)),$CG85,$CH85,($A85-DateToday)+15,1,1))*(8*$HD85),8*$HD85),0)),0))</f>
        <v xml:space="preserve"> </v>
      </c>
      <c r="AB85" s="254" t="str">
        <f>IF($A85="N/A"," ",IF(VLOOKUP(MONTH(A85),ManualTable,3)=1,(IF(S85&lt;&gt;0,IF(Pricetype=1,(_xll.xSPRDOPT(J85,$E85,$CI85,0,($CD85+IF(Smile=TRUE,VLOOKUP(MAX(-5,$H85-J85),Volsmile,2),0)),$CG85,$CH85,($A85-DateToday)+15,1,1))*(8*$HD85),8*$HD85),0)),0))</f>
        <v xml:space="preserve"> </v>
      </c>
      <c r="AC85" s="254" t="str">
        <f t="shared" si="235"/>
        <v xml:space="preserve"> </v>
      </c>
      <c r="AD85" s="254" t="str">
        <f>IF($A85="N/A"," ",IF(VLOOKUP(MONTH(A85),ManualTable,5)=1,(IF(U85&lt;&gt;0,IF(Pricetype=1,(_xll.xSPRDOPT(L85,$E85,$CI85,0,($CD85+IF(Smile=TRUE,VLOOKUP(MAX(-5,$H85-L85),Volsmile,2),0)),$CG85,$CH85,($A85-DateToday)+15,1,1))*(8*$HE85),8*$HE85),0)),0))</f>
        <v xml:space="preserve"> </v>
      </c>
      <c r="AE85" s="254" t="str">
        <f>IF($A85="N/A"," ",IF(VLOOKUP(MONTH(A85),ManualTable,6)=1,(IF(V85&lt;&gt;0,IF(Pricetype=1,(_xll.xSPRDOPT(M85,$E85,$CI85,0,($CD85+IF(Smile=TRUE,VLOOKUP(MAX(-5,$H85-M85),Volsmile,2),0)),$CG85,$CH85,($A85-DateToday)+15,1,1))*(8*$HE85),8*$HE85),0)),0))</f>
        <v xml:space="preserve"> </v>
      </c>
      <c r="AF85" s="254" t="str">
        <f t="shared" si="236"/>
        <v xml:space="preserve"> </v>
      </c>
      <c r="AG85" s="254" t="str">
        <f>IF($A85="N/A"," ",IF(VLOOKUP(MONTH(A85),ManualTable,8)=1,(IF(X85&lt;&gt;0,IF(Pricetype=1,(_xll.xSPRDOPT(O85,$E85,$CI85,0,($CD85+IF(Smile=TRUE,VLOOKUP(MAX(-5,$H85-O85),Volsmile,2),0)),$CG85,$CH85,($A85-DateToday)+15,1,1))*(8*$HF85),8*$HF85),0)),0))</f>
        <v xml:space="preserve"> </v>
      </c>
      <c r="AH85" s="254" t="str">
        <f>IF($A85="N/A"," ",IF(VLOOKUP(MONTH(A85),ManualTable,9)=1,(IF(Y85&lt;&gt;0,IF(Pricetype=1,(_xll.xSPRDOPT(P85,$E85,$CI85,0,($CD85+IF(Smile=TRUE,VLOOKUP(MAX(-5,$H85-P85),Volsmile,2),0)),$CG85,$CH85,($A85-DateToday)+15,1,1))*(8*$HF85),8*$HF85),0)),0))</f>
        <v xml:space="preserve"> </v>
      </c>
      <c r="AI85" s="254" t="str">
        <f t="shared" si="237"/>
        <v xml:space="preserve"> </v>
      </c>
      <c r="AJ85" s="227" t="str">
        <f t="shared" si="267"/>
        <v xml:space="preserve"> </v>
      </c>
      <c r="AK85" s="228" t="str">
        <f t="shared" si="268"/>
        <v xml:space="preserve"> </v>
      </c>
      <c r="AL85" s="228" t="str">
        <f t="shared" si="268"/>
        <v xml:space="preserve"> </v>
      </c>
      <c r="AM85" s="228" t="str">
        <f t="shared" si="269"/>
        <v xml:space="preserve"> </v>
      </c>
      <c r="AN85" s="228" t="str">
        <f t="shared" si="270"/>
        <v xml:space="preserve"> </v>
      </c>
      <c r="AO85" s="228" t="str">
        <f t="shared" si="270"/>
        <v xml:space="preserve"> </v>
      </c>
      <c r="AP85" s="228" t="str">
        <f t="shared" si="271"/>
        <v xml:space="preserve"> </v>
      </c>
      <c r="AQ85" s="228" t="str">
        <f t="shared" si="272"/>
        <v xml:space="preserve"> </v>
      </c>
      <c r="AR85" s="229" t="str">
        <f t="shared" si="273"/>
        <v xml:space="preserve"> </v>
      </c>
      <c r="AS85" s="262" t="str">
        <f t="shared" si="274"/>
        <v xml:space="preserve"> </v>
      </c>
      <c r="AT85" s="263" t="str">
        <f t="shared" si="275"/>
        <v xml:space="preserve"> </v>
      </c>
      <c r="AU85" s="263" t="str">
        <f t="shared" si="275"/>
        <v xml:space="preserve"> </v>
      </c>
      <c r="AV85" s="263" t="str">
        <f t="shared" si="276"/>
        <v xml:space="preserve"> </v>
      </c>
      <c r="AW85" s="263" t="str">
        <f t="shared" si="277"/>
        <v xml:space="preserve"> </v>
      </c>
      <c r="AX85" s="263" t="str">
        <f t="shared" si="277"/>
        <v xml:space="preserve"> </v>
      </c>
      <c r="AY85" s="263" t="str">
        <f t="shared" si="278"/>
        <v xml:space="preserve"> </v>
      </c>
      <c r="AZ85" s="263" t="str">
        <f t="shared" si="279"/>
        <v xml:space="preserve"> </v>
      </c>
      <c r="BA85" s="263" t="str">
        <f t="shared" si="280"/>
        <v xml:space="preserve"> </v>
      </c>
      <c r="BB85" s="234" t="s">
        <v>1271</v>
      </c>
      <c r="BC85" s="266" t="str">
        <f t="shared" si="260"/>
        <v xml:space="preserve"> </v>
      </c>
      <c r="BD85" s="269" t="str">
        <f t="shared" si="261"/>
        <v xml:space="preserve"> </v>
      </c>
      <c r="BE85" s="269" t="str">
        <f t="shared" si="261"/>
        <v xml:space="preserve"> </v>
      </c>
      <c r="BF85" s="269" t="str">
        <f t="shared" si="262"/>
        <v xml:space="preserve"> </v>
      </c>
      <c r="BG85" s="269" t="str">
        <f t="shared" si="263"/>
        <v xml:space="preserve"> </v>
      </c>
      <c r="BH85" s="269" t="str">
        <f t="shared" si="263"/>
        <v xml:space="preserve"> </v>
      </c>
      <c r="BI85" s="269" t="str">
        <f t="shared" si="264"/>
        <v xml:space="preserve"> </v>
      </c>
      <c r="BJ85" s="269" t="str">
        <f t="shared" si="265"/>
        <v xml:space="preserve"> </v>
      </c>
      <c r="BK85" s="269" t="str">
        <f t="shared" si="266"/>
        <v xml:space="preserve"> </v>
      </c>
      <c r="BL85" s="233" t="s">
        <v>1283</v>
      </c>
      <c r="BM85" s="220" t="str">
        <f>IF($A85="N/A"," ",(IF(MONTH(A85)&gt;=4,IF(MONTH(A85)&lt;=10,Inputs!$F$13-Inputs!$G$13,Inputs!$F$14-Inputs!$G$14),Inputs!$F$14-Inputs!$G$14))*$CK85*Availability)</f>
        <v xml:space="preserve"> </v>
      </c>
      <c r="BN85" s="221" t="str">
        <f t="shared" si="238"/>
        <v xml:space="preserve"> </v>
      </c>
      <c r="BO85" s="221" t="str">
        <f t="shared" si="239"/>
        <v xml:space="preserve"> </v>
      </c>
      <c r="BP85" s="221" t="str">
        <f t="shared" si="240"/>
        <v xml:space="preserve"> </v>
      </c>
      <c r="BQ85" s="221" t="str">
        <f t="shared" si="241"/>
        <v xml:space="preserve"> </v>
      </c>
      <c r="BR85" s="221" t="str">
        <f t="shared" si="242"/>
        <v xml:space="preserve"> </v>
      </c>
      <c r="BS85" s="221" t="str">
        <f t="shared" si="243"/>
        <v xml:space="preserve"> </v>
      </c>
      <c r="BT85" s="221" t="str">
        <f t="shared" si="244"/>
        <v xml:space="preserve"> </v>
      </c>
      <c r="BU85" s="221" t="str">
        <f t="shared" si="245"/>
        <v xml:space="preserve"> </v>
      </c>
      <c r="BV85" s="221" t="str">
        <f t="shared" si="246"/>
        <v xml:space="preserve"> </v>
      </c>
      <c r="BW85" s="221" t="str">
        <f t="shared" si="247"/>
        <v xml:space="preserve"> </v>
      </c>
      <c r="BX85" s="421" t="str">
        <f t="shared" si="248"/>
        <v xml:space="preserve"> </v>
      </c>
      <c r="BY85" s="417" t="str">
        <f t="shared" si="249"/>
        <v xml:space="preserve"> </v>
      </c>
      <c r="BZ85" s="417" t="str">
        <f t="shared" si="250"/>
        <v xml:space="preserve"> </v>
      </c>
      <c r="CA85" s="422" t="str">
        <f t="shared" si="251"/>
        <v xml:space="preserve"> </v>
      </c>
      <c r="CB85" s="347" t="str">
        <f t="shared" si="195"/>
        <v xml:space="preserve"> </v>
      </c>
      <c r="CC85" s="347" t="str">
        <f t="shared" si="252"/>
        <v xml:space="preserve"> </v>
      </c>
      <c r="CD85" s="348" t="str">
        <f t="shared" si="196"/>
        <v xml:space="preserve"> </v>
      </c>
      <c r="CE85" s="347" t="str">
        <f t="shared" si="197"/>
        <v xml:space="preserve"> </v>
      </c>
      <c r="CF85" s="347" t="str">
        <f t="shared" si="198"/>
        <v xml:space="preserve"> </v>
      </c>
      <c r="CG85" s="348" t="str">
        <f t="shared" si="199"/>
        <v xml:space="preserve"> </v>
      </c>
      <c r="CH85" s="347" t="str">
        <f t="shared" si="253"/>
        <v xml:space="preserve"> </v>
      </c>
      <c r="CI85" s="349" t="str">
        <f>IF($A85="N/A"," ",F85+G85+(D85*('Pricing Inputs'!T118)))</f>
        <v xml:space="preserve"> </v>
      </c>
      <c r="CJ85" s="347" t="str">
        <f>IF($A85="N/A"," ",IF(PV=1,0,'Pricing Inputs'!U118))</f>
        <v xml:space="preserve"> </v>
      </c>
      <c r="CK85" s="350" t="str">
        <f t="shared" si="200"/>
        <v xml:space="preserve"> </v>
      </c>
      <c r="CL85" s="365" t="str">
        <f t="shared" si="201"/>
        <v xml:space="preserve"> </v>
      </c>
      <c r="CM85" s="380" t="str">
        <f t="shared" si="254"/>
        <v xml:space="preserve"> </v>
      </c>
      <c r="CN85" s="378" t="str">
        <f t="shared" si="202"/>
        <v xml:space="preserve"> </v>
      </c>
      <c r="CO85" s="378" t="str">
        <f t="shared" si="203"/>
        <v xml:space="preserve"> </v>
      </c>
      <c r="CP85" s="378" t="str">
        <f t="shared" si="204"/>
        <v xml:space="preserve"> </v>
      </c>
      <c r="CQ85" s="378" t="str">
        <f t="shared" si="205"/>
        <v xml:space="preserve"> </v>
      </c>
      <c r="CR85" s="378" t="str">
        <f t="shared" si="206"/>
        <v xml:space="preserve"> </v>
      </c>
      <c r="CS85" s="378" t="str">
        <f t="shared" si="207"/>
        <v xml:space="preserve"> </v>
      </c>
      <c r="CT85" s="378" t="str">
        <f t="shared" si="208"/>
        <v xml:space="preserve"> </v>
      </c>
      <c r="CU85" s="378" t="str">
        <f t="shared" si="209"/>
        <v xml:space="preserve"> </v>
      </c>
      <c r="CV85" s="378" t="str">
        <f t="shared" si="210"/>
        <v xml:space="preserve"> </v>
      </c>
      <c r="CW85" s="254" t="str">
        <f t="shared" si="211"/>
        <v xml:space="preserve"> </v>
      </c>
      <c r="CX85" s="254" t="str">
        <f t="shared" si="212"/>
        <v xml:space="preserve"> </v>
      </c>
      <c r="CY85" s="254" t="str">
        <f t="shared" si="213"/>
        <v xml:space="preserve"> </v>
      </c>
      <c r="CZ85" s="254" t="str">
        <f t="shared" si="214"/>
        <v xml:space="preserve"> </v>
      </c>
      <c r="DA85" s="254" t="str">
        <f t="shared" si="215"/>
        <v xml:space="preserve"> </v>
      </c>
      <c r="DB85" s="254" t="str">
        <f t="shared" si="216"/>
        <v xml:space="preserve"> </v>
      </c>
      <c r="DC85" s="254" t="str">
        <f t="shared" si="217"/>
        <v xml:space="preserve"> </v>
      </c>
      <c r="DD85" s="254" t="str">
        <f t="shared" si="218"/>
        <v xml:space="preserve"> </v>
      </c>
      <c r="DE85" s="254" t="str">
        <f t="shared" si="219"/>
        <v xml:space="preserve"> </v>
      </c>
      <c r="DF85" s="374" t="str">
        <f>IF($A85="N/A"," ",IF(CC=2,(IF(MONTH(A85)&gt;=4,IF(MONTH(A85)&lt;=10,Inputs!$G$13,Inputs!$G$14),Inputs!$G$14))*$CK85,0))</f>
        <v xml:space="preserve"> </v>
      </c>
      <c r="DG85" s="373" t="str">
        <f t="shared" si="220"/>
        <v xml:space="preserve"> </v>
      </c>
      <c r="DH85" s="373" t="str">
        <f t="shared" si="221"/>
        <v xml:space="preserve"> </v>
      </c>
      <c r="DI85" s="373" t="str">
        <f t="shared" si="222"/>
        <v xml:space="preserve"> </v>
      </c>
      <c r="DJ85" s="373" t="str">
        <f t="shared" si="223"/>
        <v xml:space="preserve"> </v>
      </c>
      <c r="DK85" s="373" t="str">
        <f t="shared" si="224"/>
        <v xml:space="preserve"> </v>
      </c>
      <c r="DL85" s="373" t="str">
        <f t="shared" si="225"/>
        <v xml:space="preserve"> </v>
      </c>
      <c r="DM85" s="373" t="str">
        <f t="shared" si="226"/>
        <v xml:space="preserve"> </v>
      </c>
      <c r="DN85" s="373" t="str">
        <f t="shared" si="227"/>
        <v xml:space="preserve"> </v>
      </c>
      <c r="DO85" s="373" t="str">
        <f t="shared" si="228"/>
        <v xml:space="preserve"> </v>
      </c>
      <c r="DP85" s="375" t="str">
        <f t="shared" si="229"/>
        <v xml:space="preserve"> </v>
      </c>
      <c r="DQ85" t="str">
        <f t="shared" si="255"/>
        <v xml:space="preserve"> </v>
      </c>
      <c r="HD85" t="str">
        <f t="shared" si="256"/>
        <v xml:space="preserve"> </v>
      </c>
      <c r="HE85" t="str">
        <f t="shared" si="257"/>
        <v xml:space="preserve"> </v>
      </c>
      <c r="HF85" t="str">
        <f t="shared" si="258"/>
        <v xml:space="preserve"> </v>
      </c>
    </row>
    <row r="86" spans="1:214">
      <c r="A86" s="415" t="str">
        <f>IF(A85="N/A","N/A",IF(EDATE(A85,1)&gt;Inputs!$K$3,"N/A",EDATE(A85,1)))</f>
        <v>N/A</v>
      </c>
      <c r="B86" s="410" t="str">
        <f t="shared" si="230"/>
        <v xml:space="preserve"> </v>
      </c>
      <c r="C86" s="411" t="str">
        <f t="shared" si="231"/>
        <v xml:space="preserve"> </v>
      </c>
      <c r="D86" s="412" t="str">
        <f t="shared" si="232"/>
        <v xml:space="preserve"> </v>
      </c>
      <c r="E86" s="413" t="str">
        <f>IF($A86="N/A"," ",(C86-'Pricing Inputs'!T119)*D86)</f>
        <v xml:space="preserve"> </v>
      </c>
      <c r="F86" s="414" t="str">
        <f t="shared" si="281"/>
        <v xml:space="preserve"> </v>
      </c>
      <c r="G86" s="414" t="str">
        <f t="shared" si="233"/>
        <v xml:space="preserve"> </v>
      </c>
      <c r="H86" s="416" t="str">
        <f t="shared" si="234"/>
        <v xml:space="preserve"> </v>
      </c>
      <c r="I86" s="213" t="str">
        <f t="shared" si="183"/>
        <v xml:space="preserve"> </v>
      </c>
      <c r="J86" s="213" t="str">
        <f t="shared" si="184"/>
        <v xml:space="preserve"> </v>
      </c>
      <c r="K86" s="213" t="str">
        <f t="shared" si="185"/>
        <v xml:space="preserve"> </v>
      </c>
      <c r="L86" s="213" t="str">
        <f t="shared" si="186"/>
        <v xml:space="preserve"> </v>
      </c>
      <c r="M86" s="213" t="str">
        <f t="shared" si="187"/>
        <v xml:space="preserve"> </v>
      </c>
      <c r="N86" s="213" t="str">
        <f t="shared" si="188"/>
        <v xml:space="preserve"> </v>
      </c>
      <c r="O86" s="213" t="str">
        <f t="shared" si="189"/>
        <v xml:space="preserve"> </v>
      </c>
      <c r="P86" s="213" t="str">
        <f t="shared" si="190"/>
        <v xml:space="preserve"> </v>
      </c>
      <c r="Q86" s="213" t="str">
        <f t="shared" si="191"/>
        <v xml:space="preserve"> </v>
      </c>
      <c r="R86" s="405" t="str">
        <f>IF($A86="N/A"," ",IF(Pricetype=2,MAX(I86-$H86,0),IF(Pricetype=1,(_xll.xSPRDOPT(I86,$E86,$CI86,0,($CD86+IF(Smile=TRUE,VLOOKUP(MAX(-5,$H86-I86),Volsmile,2),0)),$CG86,$CH86,($A86-DateToday)+15,1,0)),I86-$H86)))</f>
        <v xml:space="preserve"> </v>
      </c>
      <c r="S86" s="405" t="str">
        <f>IF($A86="N/A"," ",IF(Pricetype=2,MAX(J86-$H86,0),IF(Pricetype=1,(_xll.xSPRDOPT(J86,$E86,$CI86,0,($CD86+IF(Smile=TRUE,VLOOKUP(MAX(-5,$H86-J86),Volsmile,2),0)),$CG86,$CH86,($A86-DateToday)+15,1,0)),J86-$H86)))</f>
        <v xml:space="preserve"> </v>
      </c>
      <c r="T86" s="406" t="str">
        <f t="shared" si="192"/>
        <v xml:space="preserve"> </v>
      </c>
      <c r="U86" s="405" t="str">
        <f>IF($A86="N/A"," ",IF(Pricetype=2,MAX(L86-$H86,0),IF(L86&lt;&gt;0,IF(Pricetype=1,(_xll.xSPRDOPT(L86,$E86,$CI86,0,($CD86+IF(Smile=TRUE,VLOOKUP(MAX(-5,$H86-L86),Volsmile,2),0)),$CG86,$CH86,($A86-DateToday)+15,1,0)),L86-$H86),0)))</f>
        <v xml:space="preserve"> </v>
      </c>
      <c r="V86" s="405" t="str">
        <f>IF($A86="N/A"," ",IF(Pricetype=2,MAX(M86-$H86,0),IF(M86&lt;&gt;0,IF(Pricetype=1,(_xll.xSPRDOPT(M86,$E86,$CI86,0,($CD86+IF(Smile=TRUE,VLOOKUP(MAX(-5,$H86-M86),Volsmile,2),0)),$CG86,$CH86,($A86-DateToday)+15,1,0)),M86-$H86),0)))</f>
        <v xml:space="preserve"> </v>
      </c>
      <c r="W86" s="406" t="str">
        <f t="shared" si="193"/>
        <v xml:space="preserve"> </v>
      </c>
      <c r="X86" s="405" t="str">
        <f>IF($A86="N/A"," ",IF(Pricetype=2,MAX(O86-$H86,0),IF(O86&lt;&gt;0,IF(Pricetype=1,(_xll.xSPRDOPT(O86,$E86,$CI86,0,($CD86+IF(Smile=TRUE,VLOOKUP(MAX(-5,$H86-O86),Volsmile,2),0)),$CG86,$CH86,($A86-DateToday)+15,1,0)),O86-$H86),0)))</f>
        <v xml:space="preserve"> </v>
      </c>
      <c r="Y86" s="405" t="str">
        <f>IF($A86="N/A"," ",IF(Pricetype=2,MAX(P86-$H86,0),IF(P86&lt;&gt;0,IF(Pricetype=1,(_xll.xSPRDOPT(P86,$E86,$CI86,0,($CD86+IF(Smile=TRUE,VLOOKUP(MAX(-5,$H86-P86),Volsmile,2),0)),$CG86,$CH86,($A86-DateToday)+15,1,0)),P86-$H86),0)))</f>
        <v xml:space="preserve"> </v>
      </c>
      <c r="Z86" s="406" t="str">
        <f t="shared" si="194"/>
        <v xml:space="preserve"> </v>
      </c>
      <c r="AA86" s="254" t="str">
        <f>IF($A86="N/A"," ",IF(VLOOKUP(MONTH(A86),ManualTable,2)=1,(IF(0&lt;&gt;R86,IF(Pricetype=1,(_xll.xSPRDOPT(I86,$E86,$CI86,0,($CD86+IF(Smile=TRUE,VLOOKUP(MAX(-5,$H86-I86),Volsmile,2),0)),$CG86,$CH86,($A86-DateToday)+15,1,1))*(8*$HD86),8*$HD86),0)),0))</f>
        <v xml:space="preserve"> </v>
      </c>
      <c r="AB86" s="254" t="str">
        <f>IF($A86="N/A"," ",IF(VLOOKUP(MONTH(A86),ManualTable,3)=1,(IF(S86&lt;&gt;0,IF(Pricetype=1,(_xll.xSPRDOPT(J86,$E86,$CI86,0,($CD86+IF(Smile=TRUE,VLOOKUP(MAX(-5,$H86-J86),Volsmile,2),0)),$CG86,$CH86,($A86-DateToday)+15,1,1))*(8*$HD86),8*$HD86),0)),0))</f>
        <v xml:space="preserve"> </v>
      </c>
      <c r="AC86" s="254" t="str">
        <f t="shared" si="235"/>
        <v xml:space="preserve"> </v>
      </c>
      <c r="AD86" s="254" t="str">
        <f>IF($A86="N/A"," ",IF(VLOOKUP(MONTH(A86),ManualTable,5)=1,(IF(U86&lt;&gt;0,IF(Pricetype=1,(_xll.xSPRDOPT(L86,$E86,$CI86,0,($CD86+IF(Smile=TRUE,VLOOKUP(MAX(-5,$H86-L86),Volsmile,2),0)),$CG86,$CH86,($A86-DateToday)+15,1,1))*(8*$HE86),8*$HE86),0)),0))</f>
        <v xml:space="preserve"> </v>
      </c>
      <c r="AE86" s="254" t="str">
        <f>IF($A86="N/A"," ",IF(VLOOKUP(MONTH(A86),ManualTable,6)=1,(IF(V86&lt;&gt;0,IF(Pricetype=1,(_xll.xSPRDOPT(M86,$E86,$CI86,0,($CD86+IF(Smile=TRUE,VLOOKUP(MAX(-5,$H86-M86),Volsmile,2),0)),$CG86,$CH86,($A86-DateToday)+15,1,1))*(8*$HE86),8*$HE86),0)),0))</f>
        <v xml:space="preserve"> </v>
      </c>
      <c r="AF86" s="254" t="str">
        <f t="shared" si="236"/>
        <v xml:space="preserve"> </v>
      </c>
      <c r="AG86" s="254" t="str">
        <f>IF($A86="N/A"," ",IF(VLOOKUP(MONTH(A86),ManualTable,8)=1,(IF(X86&lt;&gt;0,IF(Pricetype=1,(_xll.xSPRDOPT(O86,$E86,$CI86,0,($CD86+IF(Smile=TRUE,VLOOKUP(MAX(-5,$H86-O86),Volsmile,2),0)),$CG86,$CH86,($A86-DateToday)+15,1,1))*(8*$HF86),8*$HF86),0)),0))</f>
        <v xml:space="preserve"> </v>
      </c>
      <c r="AH86" s="254" t="str">
        <f>IF($A86="N/A"," ",IF(VLOOKUP(MONTH(A86),ManualTable,9)=1,(IF(Y86&lt;&gt;0,IF(Pricetype=1,(_xll.xSPRDOPT(P86,$E86,$CI86,0,($CD86+IF(Smile=TRUE,VLOOKUP(MAX(-5,$H86-P86),Volsmile,2),0)),$CG86,$CH86,($A86-DateToday)+15,1,1))*(8*$HF86),8*$HF86),0)),0))</f>
        <v xml:space="preserve"> </v>
      </c>
      <c r="AI86" s="254" t="str">
        <f t="shared" si="237"/>
        <v xml:space="preserve"> </v>
      </c>
      <c r="AJ86" s="227" t="str">
        <f t="shared" si="267"/>
        <v xml:space="preserve"> </v>
      </c>
      <c r="AK86" s="228" t="str">
        <f t="shared" si="268"/>
        <v xml:space="preserve"> </v>
      </c>
      <c r="AL86" s="228" t="str">
        <f t="shared" si="268"/>
        <v xml:space="preserve"> </v>
      </c>
      <c r="AM86" s="228" t="str">
        <f t="shared" si="269"/>
        <v xml:space="preserve"> </v>
      </c>
      <c r="AN86" s="228" t="str">
        <f t="shared" si="270"/>
        <v xml:space="preserve"> </v>
      </c>
      <c r="AO86" s="228" t="str">
        <f t="shared" si="270"/>
        <v xml:space="preserve"> </v>
      </c>
      <c r="AP86" s="228" t="str">
        <f t="shared" si="271"/>
        <v xml:space="preserve"> </v>
      </c>
      <c r="AQ86" s="228" t="str">
        <f t="shared" si="272"/>
        <v xml:space="preserve"> </v>
      </c>
      <c r="AR86" s="229" t="str">
        <f t="shared" si="273"/>
        <v xml:space="preserve"> </v>
      </c>
      <c r="AS86" s="262" t="str">
        <f t="shared" si="274"/>
        <v xml:space="preserve"> </v>
      </c>
      <c r="AT86" s="263" t="str">
        <f t="shared" si="275"/>
        <v xml:space="preserve"> </v>
      </c>
      <c r="AU86" s="263" t="str">
        <f t="shared" si="275"/>
        <v xml:space="preserve"> </v>
      </c>
      <c r="AV86" s="263" t="str">
        <f t="shared" si="276"/>
        <v xml:space="preserve"> </v>
      </c>
      <c r="AW86" s="263" t="str">
        <f t="shared" si="277"/>
        <v xml:space="preserve"> </v>
      </c>
      <c r="AX86" s="263" t="str">
        <f t="shared" si="277"/>
        <v xml:space="preserve"> </v>
      </c>
      <c r="AY86" s="263" t="str">
        <f t="shared" si="278"/>
        <v xml:space="preserve"> </v>
      </c>
      <c r="AZ86" s="263" t="str">
        <f t="shared" si="279"/>
        <v xml:space="preserve"> </v>
      </c>
      <c r="BA86" s="263" t="str">
        <f t="shared" si="280"/>
        <v xml:space="preserve"> </v>
      </c>
      <c r="BB86" s="229">
        <f>SUM(AS76:BA87)</f>
        <v>0</v>
      </c>
      <c r="BC86" s="266" t="str">
        <f t="shared" si="260"/>
        <v xml:space="preserve"> </v>
      </c>
      <c r="BD86" s="269" t="str">
        <f t="shared" si="261"/>
        <v xml:space="preserve"> </v>
      </c>
      <c r="BE86" s="269" t="str">
        <f t="shared" si="261"/>
        <v xml:space="preserve"> </v>
      </c>
      <c r="BF86" s="269" t="str">
        <f t="shared" si="262"/>
        <v xml:space="preserve"> </v>
      </c>
      <c r="BG86" s="269" t="str">
        <f t="shared" si="263"/>
        <v xml:space="preserve"> </v>
      </c>
      <c r="BH86" s="269" t="str">
        <f t="shared" si="263"/>
        <v xml:space="preserve"> </v>
      </c>
      <c r="BI86" s="269" t="str">
        <f t="shared" si="264"/>
        <v xml:space="preserve"> </v>
      </c>
      <c r="BJ86" s="269" t="str">
        <f t="shared" si="265"/>
        <v xml:space="preserve"> </v>
      </c>
      <c r="BK86" s="269" t="str">
        <f t="shared" si="266"/>
        <v xml:space="preserve"> </v>
      </c>
      <c r="BL86" s="229">
        <f>SUM(BC76:BK87)</f>
        <v>0</v>
      </c>
      <c r="BM86" s="220" t="str">
        <f>IF($A86="N/A"," ",(IF(MONTH(A86)&gt;=4,IF(MONTH(A86)&lt;=10,Inputs!$F$13-Inputs!$G$13,Inputs!$F$14-Inputs!$G$14),Inputs!$F$14-Inputs!$G$14))*$CK86*Availability)</f>
        <v xml:space="preserve"> </v>
      </c>
      <c r="BN86" s="221" t="str">
        <f t="shared" si="238"/>
        <v xml:space="preserve"> </v>
      </c>
      <c r="BO86" s="221" t="str">
        <f t="shared" si="239"/>
        <v xml:space="preserve"> </v>
      </c>
      <c r="BP86" s="221" t="str">
        <f t="shared" si="240"/>
        <v xml:space="preserve"> </v>
      </c>
      <c r="BQ86" s="221" t="str">
        <f t="shared" si="241"/>
        <v xml:space="preserve"> </v>
      </c>
      <c r="BR86" s="221" t="str">
        <f t="shared" si="242"/>
        <v xml:space="preserve"> </v>
      </c>
      <c r="BS86" s="221" t="str">
        <f t="shared" si="243"/>
        <v xml:space="preserve"> </v>
      </c>
      <c r="BT86" s="221" t="str">
        <f t="shared" si="244"/>
        <v xml:space="preserve"> </v>
      </c>
      <c r="BU86" s="221" t="str">
        <f t="shared" si="245"/>
        <v xml:space="preserve"> </v>
      </c>
      <c r="BV86" s="221" t="str">
        <f t="shared" si="246"/>
        <v xml:space="preserve"> </v>
      </c>
      <c r="BW86" s="221" t="str">
        <f t="shared" si="247"/>
        <v xml:space="preserve"> </v>
      </c>
      <c r="BX86" s="421" t="str">
        <f t="shared" si="248"/>
        <v xml:space="preserve"> </v>
      </c>
      <c r="BY86" s="417" t="str">
        <f t="shared" si="249"/>
        <v xml:space="preserve"> </v>
      </c>
      <c r="BZ86" s="417" t="str">
        <f t="shared" si="250"/>
        <v xml:space="preserve"> </v>
      </c>
      <c r="CA86" s="422" t="str">
        <f t="shared" si="251"/>
        <v xml:space="preserve"> </v>
      </c>
      <c r="CB86" s="347" t="str">
        <f t="shared" si="195"/>
        <v xml:space="preserve"> </v>
      </c>
      <c r="CC86" s="347" t="str">
        <f t="shared" si="252"/>
        <v xml:space="preserve"> </v>
      </c>
      <c r="CD86" s="348" t="str">
        <f t="shared" si="196"/>
        <v xml:space="preserve"> </v>
      </c>
      <c r="CE86" s="347" t="str">
        <f t="shared" si="197"/>
        <v xml:space="preserve"> </v>
      </c>
      <c r="CF86" s="347" t="str">
        <f t="shared" si="198"/>
        <v xml:space="preserve"> </v>
      </c>
      <c r="CG86" s="348" t="str">
        <f t="shared" si="199"/>
        <v xml:space="preserve"> </v>
      </c>
      <c r="CH86" s="347" t="str">
        <f t="shared" si="253"/>
        <v xml:space="preserve"> </v>
      </c>
      <c r="CI86" s="349" t="str">
        <f>IF($A86="N/A"," ",F86+G86+(D86*('Pricing Inputs'!T119)))</f>
        <v xml:space="preserve"> </v>
      </c>
      <c r="CJ86" s="347" t="str">
        <f>IF($A86="N/A"," ",IF(PV=1,0,'Pricing Inputs'!U119))</f>
        <v xml:space="preserve"> </v>
      </c>
      <c r="CK86" s="350" t="str">
        <f t="shared" si="200"/>
        <v xml:space="preserve"> </v>
      </c>
      <c r="CL86" s="365" t="str">
        <f t="shared" si="201"/>
        <v xml:space="preserve"> </v>
      </c>
      <c r="CM86" s="380" t="str">
        <f t="shared" si="254"/>
        <v xml:space="preserve"> </v>
      </c>
      <c r="CN86" s="378" t="str">
        <f t="shared" si="202"/>
        <v xml:space="preserve"> </v>
      </c>
      <c r="CO86" s="378" t="str">
        <f t="shared" si="203"/>
        <v xml:space="preserve"> </v>
      </c>
      <c r="CP86" s="378" t="str">
        <f t="shared" si="204"/>
        <v xml:space="preserve"> </v>
      </c>
      <c r="CQ86" s="378" t="str">
        <f t="shared" si="205"/>
        <v xml:space="preserve"> </v>
      </c>
      <c r="CR86" s="378" t="str">
        <f t="shared" si="206"/>
        <v xml:space="preserve"> </v>
      </c>
      <c r="CS86" s="378" t="str">
        <f t="shared" si="207"/>
        <v xml:space="preserve"> </v>
      </c>
      <c r="CT86" s="378" t="str">
        <f t="shared" si="208"/>
        <v xml:space="preserve"> </v>
      </c>
      <c r="CU86" s="378" t="str">
        <f t="shared" si="209"/>
        <v xml:space="preserve"> </v>
      </c>
      <c r="CV86" s="378" t="str">
        <f t="shared" si="210"/>
        <v xml:space="preserve"> </v>
      </c>
      <c r="CW86" s="254" t="str">
        <f t="shared" si="211"/>
        <v xml:space="preserve"> </v>
      </c>
      <c r="CX86" s="254" t="str">
        <f t="shared" si="212"/>
        <v xml:space="preserve"> </v>
      </c>
      <c r="CY86" s="254" t="str">
        <f t="shared" si="213"/>
        <v xml:space="preserve"> </v>
      </c>
      <c r="CZ86" s="254" t="str">
        <f t="shared" si="214"/>
        <v xml:space="preserve"> </v>
      </c>
      <c r="DA86" s="254" t="str">
        <f t="shared" si="215"/>
        <v xml:space="preserve"> </v>
      </c>
      <c r="DB86" s="254" t="str">
        <f t="shared" si="216"/>
        <v xml:space="preserve"> </v>
      </c>
      <c r="DC86" s="254" t="str">
        <f t="shared" si="217"/>
        <v xml:space="preserve"> </v>
      </c>
      <c r="DD86" s="254" t="str">
        <f t="shared" si="218"/>
        <v xml:space="preserve"> </v>
      </c>
      <c r="DE86" s="254" t="str">
        <f t="shared" si="219"/>
        <v xml:space="preserve"> </v>
      </c>
      <c r="DF86" s="374" t="str">
        <f>IF($A86="N/A"," ",IF(CC=2,(IF(MONTH(A86)&gt;=4,IF(MONTH(A86)&lt;=10,Inputs!$G$13,Inputs!$G$14),Inputs!$G$14))*$CK86,0))</f>
        <v xml:space="preserve"> </v>
      </c>
      <c r="DG86" s="373" t="str">
        <f t="shared" si="220"/>
        <v xml:space="preserve"> </v>
      </c>
      <c r="DH86" s="373" t="str">
        <f t="shared" si="221"/>
        <v xml:space="preserve"> </v>
      </c>
      <c r="DI86" s="373" t="str">
        <f t="shared" si="222"/>
        <v xml:space="preserve"> </v>
      </c>
      <c r="DJ86" s="373" t="str">
        <f t="shared" si="223"/>
        <v xml:space="preserve"> </v>
      </c>
      <c r="DK86" s="373" t="str">
        <f t="shared" si="224"/>
        <v xml:space="preserve"> </v>
      </c>
      <c r="DL86" s="373" t="str">
        <f t="shared" si="225"/>
        <v xml:space="preserve"> </v>
      </c>
      <c r="DM86" s="373" t="str">
        <f t="shared" si="226"/>
        <v xml:space="preserve"> </v>
      </c>
      <c r="DN86" s="373" t="str">
        <f t="shared" si="227"/>
        <v xml:space="preserve"> </v>
      </c>
      <c r="DO86" s="373" t="str">
        <f t="shared" si="228"/>
        <v xml:space="preserve"> </v>
      </c>
      <c r="DP86" s="375" t="str">
        <f t="shared" si="229"/>
        <v xml:space="preserve"> </v>
      </c>
      <c r="DQ86" t="str">
        <f t="shared" si="255"/>
        <v xml:space="preserve"> </v>
      </c>
      <c r="HD86" t="str">
        <f t="shared" si="256"/>
        <v xml:space="preserve"> </v>
      </c>
      <c r="HE86" t="str">
        <f t="shared" si="257"/>
        <v xml:space="preserve"> </v>
      </c>
      <c r="HF86" t="str">
        <f t="shared" si="258"/>
        <v xml:space="preserve"> </v>
      </c>
    </row>
    <row r="87" spans="1:214">
      <c r="A87" s="415" t="str">
        <f>IF(A86="N/A","N/A",IF(EDATE(A86,1)&gt;Inputs!$K$3,"N/A",EDATE(A86,1)))</f>
        <v>N/A</v>
      </c>
      <c r="B87" s="410" t="str">
        <f t="shared" si="230"/>
        <v xml:space="preserve"> </v>
      </c>
      <c r="C87" s="411" t="str">
        <f t="shared" si="231"/>
        <v xml:space="preserve"> </v>
      </c>
      <c r="D87" s="412" t="str">
        <f t="shared" si="232"/>
        <v xml:space="preserve"> </v>
      </c>
      <c r="E87" s="413" t="str">
        <f>IF($A87="N/A"," ",(C87-'Pricing Inputs'!T120)*D87)</f>
        <v xml:space="preserve"> </v>
      </c>
      <c r="F87" s="414" t="str">
        <f t="shared" si="281"/>
        <v xml:space="preserve"> </v>
      </c>
      <c r="G87" s="414" t="str">
        <f t="shared" si="233"/>
        <v xml:space="preserve"> </v>
      </c>
      <c r="H87" s="416" t="str">
        <f t="shared" si="234"/>
        <v xml:space="preserve"> </v>
      </c>
      <c r="I87" s="213" t="str">
        <f t="shared" si="183"/>
        <v xml:space="preserve"> </v>
      </c>
      <c r="J87" s="213" t="str">
        <f t="shared" si="184"/>
        <v xml:space="preserve"> </v>
      </c>
      <c r="K87" s="213" t="str">
        <f t="shared" si="185"/>
        <v xml:space="preserve"> </v>
      </c>
      <c r="L87" s="213" t="str">
        <f t="shared" si="186"/>
        <v xml:space="preserve"> </v>
      </c>
      <c r="M87" s="213" t="str">
        <f t="shared" si="187"/>
        <v xml:space="preserve"> </v>
      </c>
      <c r="N87" s="213" t="str">
        <f t="shared" si="188"/>
        <v xml:space="preserve"> </v>
      </c>
      <c r="O87" s="213" t="str">
        <f t="shared" si="189"/>
        <v xml:space="preserve"> </v>
      </c>
      <c r="P87" s="213" t="str">
        <f t="shared" si="190"/>
        <v xml:space="preserve"> </v>
      </c>
      <c r="Q87" s="213" t="str">
        <f t="shared" si="191"/>
        <v xml:space="preserve"> </v>
      </c>
      <c r="R87" s="405" t="str">
        <f>IF($A87="N/A"," ",IF(Pricetype=2,MAX(I87-$H87,0),IF(Pricetype=1,(_xll.xSPRDOPT(I87,$E87,$CI87,0,($CD87+IF(Smile=TRUE,VLOOKUP(MAX(-5,$H87-I87),Volsmile,2),0)),$CG87,$CH87,($A87-DateToday)+15,1,0)),I87-$H87)))</f>
        <v xml:space="preserve"> </v>
      </c>
      <c r="S87" s="405" t="str">
        <f>IF($A87="N/A"," ",IF(Pricetype=2,MAX(J87-$H87,0),IF(Pricetype=1,(_xll.xSPRDOPT(J87,$E87,$CI87,0,($CD87+IF(Smile=TRUE,VLOOKUP(MAX(-5,$H87-J87),Volsmile,2),0)),$CG87,$CH87,($A87-DateToday)+15,1,0)),J87-$H87)))</f>
        <v xml:space="preserve"> </v>
      </c>
      <c r="T87" s="406" t="str">
        <f t="shared" si="192"/>
        <v xml:space="preserve"> </v>
      </c>
      <c r="U87" s="405" t="str">
        <f>IF($A87="N/A"," ",IF(Pricetype=2,MAX(L87-$H87,0),IF(L87&lt;&gt;0,IF(Pricetype=1,(_xll.xSPRDOPT(L87,$E87,$CI87,0,($CD87+IF(Smile=TRUE,VLOOKUP(MAX(-5,$H87-L87),Volsmile,2),0)),$CG87,$CH87,($A87-DateToday)+15,1,0)),L87-$H87),0)))</f>
        <v xml:space="preserve"> </v>
      </c>
      <c r="V87" s="405" t="str">
        <f>IF($A87="N/A"," ",IF(Pricetype=2,MAX(M87-$H87,0),IF(M87&lt;&gt;0,IF(Pricetype=1,(_xll.xSPRDOPT(M87,$E87,$CI87,0,($CD87+IF(Smile=TRUE,VLOOKUP(MAX(-5,$H87-M87),Volsmile,2),0)),$CG87,$CH87,($A87-DateToday)+15,1,0)),M87-$H87),0)))</f>
        <v xml:space="preserve"> </v>
      </c>
      <c r="W87" s="406" t="str">
        <f t="shared" si="193"/>
        <v xml:space="preserve"> </v>
      </c>
      <c r="X87" s="405" t="str">
        <f>IF($A87="N/A"," ",IF(Pricetype=2,MAX(O87-$H87,0),IF(O87&lt;&gt;0,IF(Pricetype=1,(_xll.xSPRDOPT(O87,$E87,$CI87,0,($CD87+IF(Smile=TRUE,VLOOKUP(MAX(-5,$H87-O87),Volsmile,2),0)),$CG87,$CH87,($A87-DateToday)+15,1,0)),O87-$H87),0)))</f>
        <v xml:space="preserve"> </v>
      </c>
      <c r="Y87" s="405" t="str">
        <f>IF($A87="N/A"," ",IF(Pricetype=2,MAX(P87-$H87,0),IF(P87&lt;&gt;0,IF(Pricetype=1,(_xll.xSPRDOPT(P87,$E87,$CI87,0,($CD87+IF(Smile=TRUE,VLOOKUP(MAX(-5,$H87-P87),Volsmile,2),0)),$CG87,$CH87,($A87-DateToday)+15,1,0)),P87-$H87),0)))</f>
        <v xml:space="preserve"> </v>
      </c>
      <c r="Z87" s="406" t="str">
        <f t="shared" si="194"/>
        <v xml:space="preserve"> </v>
      </c>
      <c r="AA87" s="254" t="str">
        <f>IF($A87="N/A"," ",IF(VLOOKUP(MONTH(A87),ManualTable,2)=1,(IF(0&lt;&gt;R87,IF(Pricetype=1,(_xll.xSPRDOPT(I87,$E87,$CI87,0,($CD87+IF(Smile=TRUE,VLOOKUP(MAX(-5,$H87-I87),Volsmile,2),0)),$CG87,$CH87,($A87-DateToday)+15,1,1))*(8*$HD87),8*$HD87),0)),0))</f>
        <v xml:space="preserve"> </v>
      </c>
      <c r="AB87" s="254" t="str">
        <f>IF($A87="N/A"," ",IF(VLOOKUP(MONTH(A87),ManualTable,3)=1,(IF(S87&lt;&gt;0,IF(Pricetype=1,(_xll.xSPRDOPT(J87,$E87,$CI87,0,($CD87+IF(Smile=TRUE,VLOOKUP(MAX(-5,$H87-J87),Volsmile,2),0)),$CG87,$CH87,($A87-DateToday)+15,1,1))*(8*$HD87),8*$HD87),0)),0))</f>
        <v xml:space="preserve"> </v>
      </c>
      <c r="AC87" s="254" t="str">
        <f t="shared" si="235"/>
        <v xml:space="preserve"> </v>
      </c>
      <c r="AD87" s="254" t="str">
        <f>IF($A87="N/A"," ",IF(VLOOKUP(MONTH(A87),ManualTable,5)=1,(IF(U87&lt;&gt;0,IF(Pricetype=1,(_xll.xSPRDOPT(L87,$E87,$CI87,0,($CD87+IF(Smile=TRUE,VLOOKUP(MAX(-5,$H87-L87),Volsmile,2),0)),$CG87,$CH87,($A87-DateToday)+15,1,1))*(8*$HE87),8*$HE87),0)),0))</f>
        <v xml:space="preserve"> </v>
      </c>
      <c r="AE87" s="254" t="str">
        <f>IF($A87="N/A"," ",IF(VLOOKUP(MONTH(A87),ManualTable,6)=1,(IF(V87&lt;&gt;0,IF(Pricetype=1,(_xll.xSPRDOPT(M87,$E87,$CI87,0,($CD87+IF(Smile=TRUE,VLOOKUP(MAX(-5,$H87-M87),Volsmile,2),0)),$CG87,$CH87,($A87-DateToday)+15,1,1))*(8*$HE87),8*$HE87),0)),0))</f>
        <v xml:space="preserve"> </v>
      </c>
      <c r="AF87" s="254" t="str">
        <f t="shared" si="236"/>
        <v xml:space="preserve"> </v>
      </c>
      <c r="AG87" s="254" t="str">
        <f>IF($A87="N/A"," ",IF(VLOOKUP(MONTH(A87),ManualTable,8)=1,(IF(X87&lt;&gt;0,IF(Pricetype=1,(_xll.xSPRDOPT(O87,$E87,$CI87,0,($CD87+IF(Smile=TRUE,VLOOKUP(MAX(-5,$H87-O87),Volsmile,2),0)),$CG87,$CH87,($A87-DateToday)+15,1,1))*(8*$HF87),8*$HF87),0)),0))</f>
        <v xml:space="preserve"> </v>
      </c>
      <c r="AH87" s="254" t="str">
        <f>IF($A87="N/A"," ",IF(VLOOKUP(MONTH(A87),ManualTable,9)=1,(IF(Y87&lt;&gt;0,IF(Pricetype=1,(_xll.xSPRDOPT(P87,$E87,$CI87,0,($CD87+IF(Smile=TRUE,VLOOKUP(MAX(-5,$H87-P87),Volsmile,2),0)),$CG87,$CH87,($A87-DateToday)+15,1,1))*(8*$HF87),8*$HF87),0)),0))</f>
        <v xml:space="preserve"> </v>
      </c>
      <c r="AI87" s="254" t="str">
        <f t="shared" si="237"/>
        <v xml:space="preserve"> </v>
      </c>
      <c r="AJ87" s="230" t="str">
        <f t="shared" si="267"/>
        <v xml:space="preserve"> </v>
      </c>
      <c r="AK87" s="231" t="str">
        <f t="shared" si="268"/>
        <v xml:space="preserve"> </v>
      </c>
      <c r="AL87" s="231" t="str">
        <f t="shared" si="268"/>
        <v xml:space="preserve"> </v>
      </c>
      <c r="AM87" s="231" t="str">
        <f t="shared" si="269"/>
        <v xml:space="preserve"> </v>
      </c>
      <c r="AN87" s="231" t="str">
        <f t="shared" si="270"/>
        <v xml:space="preserve"> </v>
      </c>
      <c r="AO87" s="231" t="str">
        <f t="shared" si="270"/>
        <v xml:space="preserve"> </v>
      </c>
      <c r="AP87" s="231" t="str">
        <f t="shared" si="271"/>
        <v xml:space="preserve"> </v>
      </c>
      <c r="AQ87" s="231" t="str">
        <f t="shared" si="272"/>
        <v xml:space="preserve"> </v>
      </c>
      <c r="AR87" s="232" t="str">
        <f t="shared" si="273"/>
        <v xml:space="preserve"> </v>
      </c>
      <c r="AS87" s="264" t="str">
        <f t="shared" si="274"/>
        <v xml:space="preserve"> </v>
      </c>
      <c r="AT87" s="265" t="str">
        <f t="shared" si="275"/>
        <v xml:space="preserve"> </v>
      </c>
      <c r="AU87" s="265" t="str">
        <f t="shared" si="275"/>
        <v xml:space="preserve"> </v>
      </c>
      <c r="AV87" s="265" t="str">
        <f t="shared" si="276"/>
        <v xml:space="preserve"> </v>
      </c>
      <c r="AW87" s="265" t="str">
        <f t="shared" si="277"/>
        <v xml:space="preserve"> </v>
      </c>
      <c r="AX87" s="265" t="str">
        <f t="shared" si="277"/>
        <v xml:space="preserve"> </v>
      </c>
      <c r="AY87" s="265" t="str">
        <f t="shared" si="278"/>
        <v xml:space="preserve"> </v>
      </c>
      <c r="AZ87" s="265" t="str">
        <f t="shared" si="279"/>
        <v xml:space="preserve"> </v>
      </c>
      <c r="BA87" s="265" t="str">
        <f t="shared" si="280"/>
        <v xml:space="preserve"> </v>
      </c>
      <c r="BB87" s="232">
        <f>IF(($AZ$2-BB86)&gt;=0,$AZ$2-BB86,0)</f>
        <v>980</v>
      </c>
      <c r="BC87" s="270" t="str">
        <f t="shared" si="260"/>
        <v xml:space="preserve"> </v>
      </c>
      <c r="BD87" s="271" t="str">
        <f t="shared" si="261"/>
        <v xml:space="preserve"> </v>
      </c>
      <c r="BE87" s="269" t="str">
        <f t="shared" si="261"/>
        <v xml:space="preserve"> </v>
      </c>
      <c r="BF87" s="271" t="str">
        <f t="shared" si="262"/>
        <v xml:space="preserve"> </v>
      </c>
      <c r="BG87" s="271" t="str">
        <f t="shared" si="263"/>
        <v xml:space="preserve"> </v>
      </c>
      <c r="BH87" s="269" t="str">
        <f t="shared" si="263"/>
        <v xml:space="preserve"> </v>
      </c>
      <c r="BI87" s="271" t="str">
        <f t="shared" si="264"/>
        <v xml:space="preserve"> </v>
      </c>
      <c r="BJ87" s="271" t="str">
        <f t="shared" si="265"/>
        <v xml:space="preserve"> </v>
      </c>
      <c r="BK87" s="271" t="str">
        <f t="shared" si="266"/>
        <v xml:space="preserve"> </v>
      </c>
      <c r="BL87" s="235">
        <f>BB86+BL86</f>
        <v>0</v>
      </c>
      <c r="BM87" s="220" t="str">
        <f>IF($A87="N/A"," ",(IF(MONTH(A87)&gt;=4,IF(MONTH(A87)&lt;=10,Inputs!$F$13-Inputs!$G$13,Inputs!$F$14-Inputs!$G$14),Inputs!$F$14-Inputs!$G$14))*$CK87*Availability)</f>
        <v xml:space="preserve"> </v>
      </c>
      <c r="BN87" s="221" t="str">
        <f t="shared" si="238"/>
        <v xml:space="preserve"> </v>
      </c>
      <c r="BO87" s="221" t="str">
        <f t="shared" si="239"/>
        <v xml:space="preserve"> </v>
      </c>
      <c r="BP87" s="221" t="str">
        <f t="shared" si="240"/>
        <v xml:space="preserve"> </v>
      </c>
      <c r="BQ87" s="221" t="str">
        <f t="shared" si="241"/>
        <v xml:space="preserve"> </v>
      </c>
      <c r="BR87" s="221" t="str">
        <f t="shared" si="242"/>
        <v xml:space="preserve"> </v>
      </c>
      <c r="BS87" s="221" t="str">
        <f t="shared" si="243"/>
        <v xml:space="preserve"> </v>
      </c>
      <c r="BT87" s="221" t="str">
        <f t="shared" si="244"/>
        <v xml:space="preserve"> </v>
      </c>
      <c r="BU87" s="221" t="str">
        <f t="shared" si="245"/>
        <v xml:space="preserve"> </v>
      </c>
      <c r="BV87" s="221" t="str">
        <f t="shared" si="246"/>
        <v xml:space="preserve"> </v>
      </c>
      <c r="BW87" s="221" t="str">
        <f t="shared" si="247"/>
        <v xml:space="preserve"> </v>
      </c>
      <c r="BX87" s="421" t="str">
        <f t="shared" si="248"/>
        <v xml:space="preserve"> </v>
      </c>
      <c r="BY87" s="417" t="str">
        <f t="shared" si="249"/>
        <v xml:space="preserve"> </v>
      </c>
      <c r="BZ87" s="417" t="str">
        <f t="shared" si="250"/>
        <v xml:space="preserve"> </v>
      </c>
      <c r="CA87" s="422" t="str">
        <f t="shared" si="251"/>
        <v xml:space="preserve"> </v>
      </c>
      <c r="CB87" s="347" t="str">
        <f t="shared" si="195"/>
        <v xml:space="preserve"> </v>
      </c>
      <c r="CC87" s="347" t="str">
        <f t="shared" si="252"/>
        <v xml:space="preserve"> </v>
      </c>
      <c r="CD87" s="348" t="str">
        <f t="shared" si="196"/>
        <v xml:space="preserve"> </v>
      </c>
      <c r="CE87" s="347" t="str">
        <f t="shared" si="197"/>
        <v xml:space="preserve"> </v>
      </c>
      <c r="CF87" s="347" t="str">
        <f t="shared" si="198"/>
        <v xml:space="preserve"> </v>
      </c>
      <c r="CG87" s="348" t="str">
        <f t="shared" si="199"/>
        <v xml:space="preserve"> </v>
      </c>
      <c r="CH87" s="347" t="str">
        <f t="shared" si="253"/>
        <v xml:space="preserve"> </v>
      </c>
      <c r="CI87" s="349" t="str">
        <f>IF($A87="N/A"," ",F87+G87+(D87*('Pricing Inputs'!T120)))</f>
        <v xml:space="preserve"> </v>
      </c>
      <c r="CJ87" s="347" t="str">
        <f>IF($A87="N/A"," ",IF(PV=1,0,'Pricing Inputs'!U120))</f>
        <v xml:space="preserve"> </v>
      </c>
      <c r="CK87" s="350" t="str">
        <f t="shared" si="200"/>
        <v xml:space="preserve"> </v>
      </c>
      <c r="CL87" s="365" t="str">
        <f t="shared" si="201"/>
        <v xml:space="preserve"> </v>
      </c>
      <c r="CM87" s="380" t="str">
        <f t="shared" si="254"/>
        <v xml:space="preserve"> </v>
      </c>
      <c r="CN87" s="378" t="str">
        <f t="shared" si="202"/>
        <v xml:space="preserve"> </v>
      </c>
      <c r="CO87" s="378" t="str">
        <f t="shared" si="203"/>
        <v xml:space="preserve"> </v>
      </c>
      <c r="CP87" s="378" t="str">
        <f t="shared" si="204"/>
        <v xml:space="preserve"> </v>
      </c>
      <c r="CQ87" s="378" t="str">
        <f t="shared" si="205"/>
        <v xml:space="preserve"> </v>
      </c>
      <c r="CR87" s="378" t="str">
        <f t="shared" si="206"/>
        <v xml:space="preserve"> </v>
      </c>
      <c r="CS87" s="378" t="str">
        <f t="shared" si="207"/>
        <v xml:space="preserve"> </v>
      </c>
      <c r="CT87" s="378" t="str">
        <f t="shared" si="208"/>
        <v xml:space="preserve"> </v>
      </c>
      <c r="CU87" s="378" t="str">
        <f t="shared" si="209"/>
        <v xml:space="preserve"> </v>
      </c>
      <c r="CV87" s="378" t="str">
        <f t="shared" si="210"/>
        <v xml:space="preserve"> </v>
      </c>
      <c r="CW87" s="254" t="str">
        <f t="shared" si="211"/>
        <v xml:space="preserve"> </v>
      </c>
      <c r="CX87" s="254" t="str">
        <f t="shared" si="212"/>
        <v xml:space="preserve"> </v>
      </c>
      <c r="CY87" s="254" t="str">
        <f t="shared" si="213"/>
        <v xml:space="preserve"> </v>
      </c>
      <c r="CZ87" s="254" t="str">
        <f t="shared" si="214"/>
        <v xml:space="preserve"> </v>
      </c>
      <c r="DA87" s="254" t="str">
        <f t="shared" si="215"/>
        <v xml:space="preserve"> </v>
      </c>
      <c r="DB87" s="254" t="str">
        <f t="shared" si="216"/>
        <v xml:space="preserve"> </v>
      </c>
      <c r="DC87" s="254" t="str">
        <f t="shared" si="217"/>
        <v xml:space="preserve"> </v>
      </c>
      <c r="DD87" s="254" t="str">
        <f t="shared" si="218"/>
        <v xml:space="preserve"> </v>
      </c>
      <c r="DE87" s="254" t="str">
        <f t="shared" si="219"/>
        <v xml:space="preserve"> </v>
      </c>
      <c r="DF87" s="374" t="str">
        <f>IF($A87="N/A"," ",IF(CC=2,(IF(MONTH(A87)&gt;=4,IF(MONTH(A87)&lt;=10,Inputs!$G$13,Inputs!$G$14),Inputs!$G$14))*$CK87,0))</f>
        <v xml:space="preserve"> </v>
      </c>
      <c r="DG87" s="373" t="str">
        <f t="shared" si="220"/>
        <v xml:space="preserve"> </v>
      </c>
      <c r="DH87" s="373" t="str">
        <f t="shared" si="221"/>
        <v xml:space="preserve"> </v>
      </c>
      <c r="DI87" s="373" t="str">
        <f t="shared" si="222"/>
        <v xml:space="preserve"> </v>
      </c>
      <c r="DJ87" s="373" t="str">
        <f t="shared" si="223"/>
        <v xml:space="preserve"> </v>
      </c>
      <c r="DK87" s="373" t="str">
        <f t="shared" si="224"/>
        <v xml:space="preserve"> </v>
      </c>
      <c r="DL87" s="373" t="str">
        <f t="shared" si="225"/>
        <v xml:space="preserve"> </v>
      </c>
      <c r="DM87" s="373" t="str">
        <f t="shared" si="226"/>
        <v xml:space="preserve"> </v>
      </c>
      <c r="DN87" s="373" t="str">
        <f t="shared" si="227"/>
        <v xml:space="preserve"> </v>
      </c>
      <c r="DO87" s="373" t="str">
        <f t="shared" si="228"/>
        <v xml:space="preserve"> </v>
      </c>
      <c r="DP87" s="375" t="str">
        <f t="shared" si="229"/>
        <v xml:space="preserve"> </v>
      </c>
      <c r="DQ87" t="str">
        <f t="shared" si="255"/>
        <v xml:space="preserve"> </v>
      </c>
      <c r="HD87" t="str">
        <f t="shared" si="256"/>
        <v xml:space="preserve"> </v>
      </c>
      <c r="HE87" t="str">
        <f t="shared" si="257"/>
        <v xml:space="preserve"> </v>
      </c>
      <c r="HF87" t="str">
        <f t="shared" si="258"/>
        <v xml:space="preserve"> </v>
      </c>
    </row>
    <row r="88" spans="1:214">
      <c r="A88" s="415" t="str">
        <f>IF(A87="N/A","N/A",IF(EDATE(A87,1)&gt;Inputs!$K$3,"N/A",EDATE(A87,1)))</f>
        <v>N/A</v>
      </c>
      <c r="B88" s="410" t="str">
        <f t="shared" si="230"/>
        <v xml:space="preserve"> </v>
      </c>
      <c r="C88" s="411" t="str">
        <f t="shared" si="231"/>
        <v xml:space="preserve"> </v>
      </c>
      <c r="D88" s="412" t="str">
        <f t="shared" si="232"/>
        <v xml:space="preserve"> </v>
      </c>
      <c r="E88" s="413" t="str">
        <f>IF($A88="N/A"," ",(C88-'Pricing Inputs'!T121)*D88)</f>
        <v xml:space="preserve"> </v>
      </c>
      <c r="F88" s="414" t="str">
        <f t="shared" si="281"/>
        <v xml:space="preserve"> </v>
      </c>
      <c r="G88" s="414" t="str">
        <f t="shared" si="233"/>
        <v xml:space="preserve"> </v>
      </c>
      <c r="H88" s="416" t="str">
        <f t="shared" si="234"/>
        <v xml:space="preserve"> </v>
      </c>
      <c r="I88" s="213" t="str">
        <f t="shared" si="183"/>
        <v xml:space="preserve"> </v>
      </c>
      <c r="J88" s="213" t="str">
        <f t="shared" si="184"/>
        <v xml:space="preserve"> </v>
      </c>
      <c r="K88" s="213" t="str">
        <f t="shared" si="185"/>
        <v xml:space="preserve"> </v>
      </c>
      <c r="L88" s="213" t="str">
        <f t="shared" si="186"/>
        <v xml:space="preserve"> </v>
      </c>
      <c r="M88" s="213" t="str">
        <f t="shared" si="187"/>
        <v xml:space="preserve"> </v>
      </c>
      <c r="N88" s="213" t="str">
        <f t="shared" si="188"/>
        <v xml:space="preserve"> </v>
      </c>
      <c r="O88" s="213" t="str">
        <f t="shared" si="189"/>
        <v xml:space="preserve"> </v>
      </c>
      <c r="P88" s="213" t="str">
        <f t="shared" si="190"/>
        <v xml:space="preserve"> </v>
      </c>
      <c r="Q88" s="213" t="str">
        <f t="shared" si="191"/>
        <v xml:space="preserve"> </v>
      </c>
      <c r="R88" s="405" t="str">
        <f>IF($A88="N/A"," ",IF(Pricetype=2,MAX(I88-$H88,0),IF(Pricetype=1,(_xll.xSPRDOPT(I88,$E88,$CI88,0,($CD88+IF(Smile=TRUE,VLOOKUP(MAX(-5,$H88-I88),Volsmile,2),0)),$CG88,$CH88,($A88-DateToday)+15,1,0)),I88-$H88)))</f>
        <v xml:space="preserve"> </v>
      </c>
      <c r="S88" s="405" t="str">
        <f>IF($A88="N/A"," ",IF(Pricetype=2,MAX(J88-$H88,0),IF(Pricetype=1,(_xll.xSPRDOPT(J88,$E88,$CI88,0,($CD88+IF(Smile=TRUE,VLOOKUP(MAX(-5,$H88-J88),Volsmile,2),0)),$CG88,$CH88,($A88-DateToday)+15,1,0)),J88-$H88)))</f>
        <v xml:space="preserve"> </v>
      </c>
      <c r="T88" s="406" t="str">
        <f t="shared" si="192"/>
        <v xml:space="preserve"> </v>
      </c>
      <c r="U88" s="405" t="str">
        <f>IF($A88="N/A"," ",IF(Pricetype=2,MAX(L88-$H88,0),IF(L88&lt;&gt;0,IF(Pricetype=1,(_xll.xSPRDOPT(L88,$E88,$CI88,0,($CD88+IF(Smile=TRUE,VLOOKUP(MAX(-5,$H88-L88),Volsmile,2),0)),$CG88,$CH88,($A88-DateToday)+15,1,0)),L88-$H88),0)))</f>
        <v xml:space="preserve"> </v>
      </c>
      <c r="V88" s="405" t="str">
        <f>IF($A88="N/A"," ",IF(Pricetype=2,MAX(M88-$H88,0),IF(M88&lt;&gt;0,IF(Pricetype=1,(_xll.xSPRDOPT(M88,$E88,$CI88,0,($CD88+IF(Smile=TRUE,VLOOKUP(MAX(-5,$H88-M88),Volsmile,2),0)),$CG88,$CH88,($A88-DateToday)+15,1,0)),M88-$H88),0)))</f>
        <v xml:space="preserve"> </v>
      </c>
      <c r="W88" s="406" t="str">
        <f t="shared" si="193"/>
        <v xml:space="preserve"> </v>
      </c>
      <c r="X88" s="405" t="str">
        <f>IF($A88="N/A"," ",IF(Pricetype=2,MAX(O88-$H88,0),IF(O88&lt;&gt;0,IF(Pricetype=1,(_xll.xSPRDOPT(O88,$E88,$CI88,0,($CD88+IF(Smile=TRUE,VLOOKUP(MAX(-5,$H88-O88),Volsmile,2),0)),$CG88,$CH88,($A88-DateToday)+15,1,0)),O88-$H88),0)))</f>
        <v xml:space="preserve"> </v>
      </c>
      <c r="Y88" s="405" t="str">
        <f>IF($A88="N/A"," ",IF(Pricetype=2,MAX(P88-$H88,0),IF(P88&lt;&gt;0,IF(Pricetype=1,(_xll.xSPRDOPT(P88,$E88,$CI88,0,($CD88+IF(Smile=TRUE,VLOOKUP(MAX(-5,$H88-P88),Volsmile,2),0)),$CG88,$CH88,($A88-DateToday)+15,1,0)),P88-$H88),0)))</f>
        <v xml:space="preserve"> </v>
      </c>
      <c r="Z88" s="406" t="str">
        <f t="shared" si="194"/>
        <v xml:space="preserve"> </v>
      </c>
      <c r="AA88" s="254" t="str">
        <f>IF($A88="N/A"," ",IF(VLOOKUP(MONTH(A88),ManualTable,2)=1,(IF(0&lt;&gt;R88,IF(Pricetype=1,(_xll.xSPRDOPT(I88,$E88,$CI88,0,($CD88+IF(Smile=TRUE,VLOOKUP(MAX(-5,$H88-I88),Volsmile,2),0)),$CG88,$CH88,($A88-DateToday)+15,1,1))*(8*$HD88),8*$HD88),0)),0))</f>
        <v xml:space="preserve"> </v>
      </c>
      <c r="AB88" s="254" t="str">
        <f>IF($A88="N/A"," ",IF(VLOOKUP(MONTH(A88),ManualTable,3)=1,(IF(S88&lt;&gt;0,IF(Pricetype=1,(_xll.xSPRDOPT(J88,$E88,$CI88,0,($CD88+IF(Smile=TRUE,VLOOKUP(MAX(-5,$H88-J88),Volsmile,2),0)),$CG88,$CH88,($A88-DateToday)+15,1,1))*(8*$HD88),8*$HD88),0)),0))</f>
        <v xml:space="preserve"> </v>
      </c>
      <c r="AC88" s="254" t="str">
        <f t="shared" si="235"/>
        <v xml:space="preserve"> </v>
      </c>
      <c r="AD88" s="254" t="str">
        <f>IF($A88="N/A"," ",IF(VLOOKUP(MONTH(A88),ManualTable,5)=1,(IF(U88&lt;&gt;0,IF(Pricetype=1,(_xll.xSPRDOPT(L88,$E88,$CI88,0,($CD88+IF(Smile=TRUE,VLOOKUP(MAX(-5,$H88-L88),Volsmile,2),0)),$CG88,$CH88,($A88-DateToday)+15,1,1))*(8*$HE88),8*$HE88),0)),0))</f>
        <v xml:space="preserve"> </v>
      </c>
      <c r="AE88" s="254" t="str">
        <f>IF($A88="N/A"," ",IF(VLOOKUP(MONTH(A88),ManualTable,6)=1,(IF(V88&lt;&gt;0,IF(Pricetype=1,(_xll.xSPRDOPT(M88,$E88,$CI88,0,($CD88+IF(Smile=TRUE,VLOOKUP(MAX(-5,$H88-M88),Volsmile,2),0)),$CG88,$CH88,($A88-DateToday)+15,1,1))*(8*$HE88),8*$HE88),0)),0))</f>
        <v xml:space="preserve"> </v>
      </c>
      <c r="AF88" s="254" t="str">
        <f t="shared" si="236"/>
        <v xml:space="preserve"> </v>
      </c>
      <c r="AG88" s="254" t="str">
        <f>IF($A88="N/A"," ",IF(VLOOKUP(MONTH(A88),ManualTable,8)=1,(IF(X88&lt;&gt;0,IF(Pricetype=1,(_xll.xSPRDOPT(O88,$E88,$CI88,0,($CD88+IF(Smile=TRUE,VLOOKUP(MAX(-5,$H88-O88),Volsmile,2),0)),$CG88,$CH88,($A88-DateToday)+15,1,1))*(8*$HF88),8*$HF88),0)),0))</f>
        <v xml:space="preserve"> </v>
      </c>
      <c r="AH88" s="254" t="str">
        <f>IF($A88="N/A"," ",IF(VLOOKUP(MONTH(A88),ManualTable,9)=1,(IF(Y88&lt;&gt;0,IF(Pricetype=1,(_xll.xSPRDOPT(P88,$E88,$CI88,0,($CD88+IF(Smile=TRUE,VLOOKUP(MAX(-5,$H88-P88),Volsmile,2),0)),$CG88,$CH88,($A88-DateToday)+15,1,1))*(8*$HF88),8*$HF88),0)),0))</f>
        <v xml:space="preserve"> </v>
      </c>
      <c r="AI88" s="254" t="str">
        <f t="shared" si="237"/>
        <v xml:space="preserve"> </v>
      </c>
      <c r="AJ88" s="224" t="str">
        <f t="shared" ref="AJ88:AR88" si="282">IF($A88="N/A"," ",RANK(R88,$R$88:$Z$99))</f>
        <v xml:space="preserve"> </v>
      </c>
      <c r="AK88" s="225" t="str">
        <f t="shared" si="282"/>
        <v xml:space="preserve"> </v>
      </c>
      <c r="AL88" s="225" t="str">
        <f t="shared" si="282"/>
        <v xml:space="preserve"> </v>
      </c>
      <c r="AM88" s="225" t="str">
        <f t="shared" si="282"/>
        <v xml:space="preserve"> </v>
      </c>
      <c r="AN88" s="225" t="str">
        <f t="shared" si="282"/>
        <v xml:space="preserve"> </v>
      </c>
      <c r="AO88" s="225" t="str">
        <f t="shared" si="282"/>
        <v xml:space="preserve"> </v>
      </c>
      <c r="AP88" s="225" t="str">
        <f t="shared" si="282"/>
        <v xml:space="preserve"> </v>
      </c>
      <c r="AQ88" s="225" t="str">
        <f t="shared" si="282"/>
        <v xml:space="preserve"> </v>
      </c>
      <c r="AR88" s="226" t="str">
        <f t="shared" si="282"/>
        <v xml:space="preserve"> </v>
      </c>
      <c r="AS88" s="260" t="str">
        <f t="shared" si="274"/>
        <v xml:space="preserve"> </v>
      </c>
      <c r="AT88" s="261" t="str">
        <f t="shared" si="275"/>
        <v xml:space="preserve"> </v>
      </c>
      <c r="AU88" s="263" t="str">
        <f t="shared" si="275"/>
        <v xml:space="preserve"> </v>
      </c>
      <c r="AV88" s="263" t="str">
        <f t="shared" si="276"/>
        <v xml:space="preserve"> </v>
      </c>
      <c r="AW88" s="263" t="str">
        <f t="shared" si="277"/>
        <v xml:space="preserve"> </v>
      </c>
      <c r="AX88" s="263" t="str">
        <f t="shared" si="277"/>
        <v xml:space="preserve"> </v>
      </c>
      <c r="AY88" s="261" t="str">
        <f t="shared" si="278"/>
        <v xml:space="preserve"> </v>
      </c>
      <c r="AZ88" s="261" t="str">
        <f t="shared" si="279"/>
        <v xml:space="preserve"> </v>
      </c>
      <c r="BA88" s="261" t="str">
        <f t="shared" si="280"/>
        <v xml:space="preserve"> </v>
      </c>
      <c r="BB88" s="226"/>
      <c r="BC88" s="272" t="str">
        <f t="shared" ref="BC88:BC99" si="283">IF($A88="N/A"," ",IF(AND(AJ88=$AR$2+1,AS88=0),MIN($BB$99,AA88),0))</f>
        <v xml:space="preserve"> </v>
      </c>
      <c r="BD88" s="267" t="str">
        <f t="shared" ref="BD88:BE99" si="284">IF($A88="N/A"," ",IF(AND(AK88=$AR$2+1,AT88=0),MIN($BB$99,AB88),0))</f>
        <v xml:space="preserve"> </v>
      </c>
      <c r="BE88" s="267" t="str">
        <f t="shared" si="284"/>
        <v xml:space="preserve"> </v>
      </c>
      <c r="BF88" s="267" t="str">
        <f t="shared" ref="BF88:BF99" si="285">IF($A88="N/A"," ",IF(AND(AM88=$AR$2+1,AV88=0),MIN($BB$99,AD88),0))</f>
        <v xml:space="preserve"> </v>
      </c>
      <c r="BG88" s="267" t="str">
        <f t="shared" ref="BG88:BH99" si="286">IF($A88="N/A"," ",IF(AND(AN88=$AR$2+1,AW88=0),MIN($BB$99,AE88),0))</f>
        <v xml:space="preserve"> </v>
      </c>
      <c r="BH88" s="267" t="str">
        <f t="shared" si="286"/>
        <v xml:space="preserve"> </v>
      </c>
      <c r="BI88" s="267" t="str">
        <f t="shared" ref="BI88:BI99" si="287">IF($A88="N/A"," ",IF(AND(AP88=$AR$2+1,AY88=0),MIN($BB$99,AG88),0))</f>
        <v xml:space="preserve"> </v>
      </c>
      <c r="BJ88" s="267" t="str">
        <f t="shared" ref="BJ88:BJ99" si="288">IF($A88="N/A"," ",IF(AND(AQ88=$AR$2+1,AZ88=0),MIN($BB$99,AH88),0))</f>
        <v xml:space="preserve"> </v>
      </c>
      <c r="BK88" s="267" t="str">
        <f t="shared" ref="BK88:BK99" si="289">IF($A88="N/A"," ",IF(AND(AR88=$AR$2+1,BA88=0),MIN($BB$99,AI88),0))</f>
        <v xml:space="preserve"> </v>
      </c>
      <c r="BL88" s="226"/>
      <c r="BM88" s="220" t="str">
        <f>IF($A88="N/A"," ",(IF(MONTH(A88)&gt;=4,IF(MONTH(A88)&lt;=10,Inputs!$F$13-Inputs!$G$13,Inputs!$F$14-Inputs!$G$14),Inputs!$F$14-Inputs!$G$14))*$CK88*Availability)</f>
        <v xml:space="preserve"> </v>
      </c>
      <c r="BN88" s="221" t="str">
        <f t="shared" si="238"/>
        <v xml:space="preserve"> </v>
      </c>
      <c r="BO88" s="221" t="str">
        <f t="shared" si="239"/>
        <v xml:space="preserve"> </v>
      </c>
      <c r="BP88" s="221" t="str">
        <f t="shared" si="240"/>
        <v xml:space="preserve"> </v>
      </c>
      <c r="BQ88" s="221" t="str">
        <f t="shared" si="241"/>
        <v xml:space="preserve"> </v>
      </c>
      <c r="BR88" s="221" t="str">
        <f t="shared" si="242"/>
        <v xml:space="preserve"> </v>
      </c>
      <c r="BS88" s="221" t="str">
        <f t="shared" si="243"/>
        <v xml:space="preserve"> </v>
      </c>
      <c r="BT88" s="221" t="str">
        <f t="shared" si="244"/>
        <v xml:space="preserve"> </v>
      </c>
      <c r="BU88" s="221" t="str">
        <f t="shared" si="245"/>
        <v xml:space="preserve"> </v>
      </c>
      <c r="BV88" s="221" t="str">
        <f t="shared" si="246"/>
        <v xml:space="preserve"> </v>
      </c>
      <c r="BW88" s="221" t="str">
        <f t="shared" si="247"/>
        <v xml:space="preserve"> </v>
      </c>
      <c r="BX88" s="421" t="str">
        <f t="shared" si="248"/>
        <v xml:space="preserve"> </v>
      </c>
      <c r="BY88" s="417" t="str">
        <f t="shared" si="249"/>
        <v xml:space="preserve"> </v>
      </c>
      <c r="BZ88" s="417" t="str">
        <f t="shared" si="250"/>
        <v xml:space="preserve"> </v>
      </c>
      <c r="CA88" s="422" t="str">
        <f t="shared" si="251"/>
        <v xml:space="preserve"> </v>
      </c>
      <c r="CB88" s="347" t="str">
        <f t="shared" si="195"/>
        <v xml:space="preserve"> </v>
      </c>
      <c r="CC88" s="347" t="str">
        <f t="shared" si="252"/>
        <v xml:space="preserve"> </v>
      </c>
      <c r="CD88" s="348" t="str">
        <f t="shared" si="196"/>
        <v xml:space="preserve"> </v>
      </c>
      <c r="CE88" s="347" t="str">
        <f t="shared" si="197"/>
        <v xml:space="preserve"> </v>
      </c>
      <c r="CF88" s="347" t="str">
        <f t="shared" si="198"/>
        <v xml:space="preserve"> </v>
      </c>
      <c r="CG88" s="348" t="str">
        <f t="shared" si="199"/>
        <v xml:space="preserve"> </v>
      </c>
      <c r="CH88" s="347" t="str">
        <f t="shared" si="253"/>
        <v xml:space="preserve"> </v>
      </c>
      <c r="CI88" s="349" t="str">
        <f>IF($A88="N/A"," ",F88+G88+(D88*('Pricing Inputs'!T121)))</f>
        <v xml:space="preserve"> </v>
      </c>
      <c r="CJ88" s="347" t="str">
        <f>IF($A88="N/A"," ",IF(PV=1,0,'Pricing Inputs'!U121))</f>
        <v xml:space="preserve"> </v>
      </c>
      <c r="CK88" s="350" t="str">
        <f t="shared" si="200"/>
        <v xml:space="preserve"> </v>
      </c>
      <c r="CL88" s="365" t="str">
        <f t="shared" si="201"/>
        <v xml:space="preserve"> </v>
      </c>
      <c r="CM88" s="380" t="str">
        <f t="shared" si="254"/>
        <v xml:space="preserve"> </v>
      </c>
      <c r="CN88" s="378" t="str">
        <f t="shared" si="202"/>
        <v xml:space="preserve"> </v>
      </c>
      <c r="CO88" s="378" t="str">
        <f t="shared" si="203"/>
        <v xml:space="preserve"> </v>
      </c>
      <c r="CP88" s="378" t="str">
        <f t="shared" si="204"/>
        <v xml:space="preserve"> </v>
      </c>
      <c r="CQ88" s="378" t="str">
        <f t="shared" si="205"/>
        <v xml:space="preserve"> </v>
      </c>
      <c r="CR88" s="378" t="str">
        <f t="shared" si="206"/>
        <v xml:space="preserve"> </v>
      </c>
      <c r="CS88" s="378" t="str">
        <f t="shared" si="207"/>
        <v xml:space="preserve"> </v>
      </c>
      <c r="CT88" s="378" t="str">
        <f t="shared" si="208"/>
        <v xml:space="preserve"> </v>
      </c>
      <c r="CU88" s="378" t="str">
        <f t="shared" si="209"/>
        <v xml:space="preserve"> </v>
      </c>
      <c r="CV88" s="378" t="str">
        <f t="shared" si="210"/>
        <v xml:space="preserve"> </v>
      </c>
      <c r="CW88" s="254" t="str">
        <f t="shared" si="211"/>
        <v xml:space="preserve"> </v>
      </c>
      <c r="CX88" s="254" t="str">
        <f t="shared" si="212"/>
        <v xml:space="preserve"> </v>
      </c>
      <c r="CY88" s="254" t="str">
        <f t="shared" si="213"/>
        <v xml:space="preserve"> </v>
      </c>
      <c r="CZ88" s="254" t="str">
        <f t="shared" si="214"/>
        <v xml:space="preserve"> </v>
      </c>
      <c r="DA88" s="254" t="str">
        <f t="shared" si="215"/>
        <v xml:space="preserve"> </v>
      </c>
      <c r="DB88" s="254" t="str">
        <f t="shared" si="216"/>
        <v xml:space="preserve"> </v>
      </c>
      <c r="DC88" s="254" t="str">
        <f t="shared" si="217"/>
        <v xml:space="preserve"> </v>
      </c>
      <c r="DD88" s="254" t="str">
        <f t="shared" si="218"/>
        <v xml:space="preserve"> </v>
      </c>
      <c r="DE88" s="254" t="str">
        <f t="shared" si="219"/>
        <v xml:space="preserve"> </v>
      </c>
      <c r="DF88" s="374" t="str">
        <f>IF($A88="N/A"," ",IF(CC=2,(IF(MONTH(A88)&gt;=4,IF(MONTH(A88)&lt;=10,Inputs!$G$13,Inputs!$G$14),Inputs!$G$14))*$CK88,0))</f>
        <v xml:space="preserve"> </v>
      </c>
      <c r="DG88" s="373" t="str">
        <f t="shared" si="220"/>
        <v xml:space="preserve"> </v>
      </c>
      <c r="DH88" s="373" t="str">
        <f t="shared" si="221"/>
        <v xml:space="preserve"> </v>
      </c>
      <c r="DI88" s="373" t="str">
        <f t="shared" si="222"/>
        <v xml:space="preserve"> </v>
      </c>
      <c r="DJ88" s="373" t="str">
        <f t="shared" si="223"/>
        <v xml:space="preserve"> </v>
      </c>
      <c r="DK88" s="373" t="str">
        <f t="shared" si="224"/>
        <v xml:space="preserve"> </v>
      </c>
      <c r="DL88" s="373" t="str">
        <f t="shared" si="225"/>
        <v xml:space="preserve"> </v>
      </c>
      <c r="DM88" s="373" t="str">
        <f t="shared" si="226"/>
        <v xml:space="preserve"> </v>
      </c>
      <c r="DN88" s="373" t="str">
        <f t="shared" si="227"/>
        <v xml:space="preserve"> </v>
      </c>
      <c r="DO88" s="373" t="str">
        <f t="shared" si="228"/>
        <v xml:space="preserve"> </v>
      </c>
      <c r="DP88" s="375" t="str">
        <f t="shared" si="229"/>
        <v xml:space="preserve"> </v>
      </c>
      <c r="DQ88" t="str">
        <f t="shared" si="255"/>
        <v xml:space="preserve"> </v>
      </c>
      <c r="HD88" t="str">
        <f t="shared" si="256"/>
        <v xml:space="preserve"> </v>
      </c>
      <c r="HE88" t="str">
        <f t="shared" si="257"/>
        <v xml:space="preserve"> </v>
      </c>
      <c r="HF88" t="str">
        <f t="shared" si="258"/>
        <v xml:space="preserve"> </v>
      </c>
    </row>
    <row r="89" spans="1:214">
      <c r="A89" s="415" t="str">
        <f>IF(A88="N/A","N/A",IF(EDATE(A88,1)&gt;Inputs!$K$3,"N/A",EDATE(A88,1)))</f>
        <v>N/A</v>
      </c>
      <c r="B89" s="410" t="str">
        <f t="shared" si="230"/>
        <v xml:space="preserve"> </v>
      </c>
      <c r="C89" s="411" t="str">
        <f t="shared" si="231"/>
        <v xml:space="preserve"> </v>
      </c>
      <c r="D89" s="412" t="str">
        <f t="shared" si="232"/>
        <v xml:space="preserve"> </v>
      </c>
      <c r="E89" s="413" t="str">
        <f>IF($A89="N/A"," ",(C89-'Pricing Inputs'!T122)*D89)</f>
        <v xml:space="preserve"> </v>
      </c>
      <c r="F89" s="414" t="str">
        <f t="shared" si="281"/>
        <v xml:space="preserve"> </v>
      </c>
      <c r="G89" s="414" t="str">
        <f t="shared" si="233"/>
        <v xml:space="preserve"> </v>
      </c>
      <c r="H89" s="416" t="str">
        <f t="shared" si="234"/>
        <v xml:space="preserve"> </v>
      </c>
      <c r="I89" s="213" t="str">
        <f t="shared" si="183"/>
        <v xml:space="preserve"> </v>
      </c>
      <c r="J89" s="213" t="str">
        <f t="shared" si="184"/>
        <v xml:space="preserve"> </v>
      </c>
      <c r="K89" s="213" t="str">
        <f t="shared" si="185"/>
        <v xml:space="preserve"> </v>
      </c>
      <c r="L89" s="213" t="str">
        <f t="shared" si="186"/>
        <v xml:space="preserve"> </v>
      </c>
      <c r="M89" s="213" t="str">
        <f t="shared" si="187"/>
        <v xml:space="preserve"> </v>
      </c>
      <c r="N89" s="213" t="str">
        <f t="shared" si="188"/>
        <v xml:space="preserve"> </v>
      </c>
      <c r="O89" s="213" t="str">
        <f t="shared" si="189"/>
        <v xml:space="preserve"> </v>
      </c>
      <c r="P89" s="213" t="str">
        <f t="shared" si="190"/>
        <v xml:space="preserve"> </v>
      </c>
      <c r="Q89" s="213" t="str">
        <f t="shared" si="191"/>
        <v xml:space="preserve"> </v>
      </c>
      <c r="R89" s="405" t="str">
        <f>IF($A89="N/A"," ",IF(Pricetype=2,MAX(I89-$H89,0),IF(Pricetype=1,(_xll.xSPRDOPT(I89,$E89,$CI89,0,($CD89+IF(Smile=TRUE,VLOOKUP(MAX(-5,$H89-I89),Volsmile,2),0)),$CG89,$CH89,($A89-DateToday)+15,1,0)),I89-$H89)))</f>
        <v xml:space="preserve"> </v>
      </c>
      <c r="S89" s="405" t="str">
        <f>IF($A89="N/A"," ",IF(Pricetype=2,MAX(J89-$H89,0),IF(Pricetype=1,(_xll.xSPRDOPT(J89,$E89,$CI89,0,($CD89+IF(Smile=TRUE,VLOOKUP(MAX(-5,$H89-J89),Volsmile,2),0)),$CG89,$CH89,($A89-DateToday)+15,1,0)),J89-$H89)))</f>
        <v xml:space="preserve"> </v>
      </c>
      <c r="T89" s="406" t="str">
        <f t="shared" si="192"/>
        <v xml:space="preserve"> </v>
      </c>
      <c r="U89" s="405" t="str">
        <f>IF($A89="N/A"," ",IF(Pricetype=2,MAX(L89-$H89,0),IF(L89&lt;&gt;0,IF(Pricetype=1,(_xll.xSPRDOPT(L89,$E89,$CI89,0,($CD89+IF(Smile=TRUE,VLOOKUP(MAX(-5,$H89-L89),Volsmile,2),0)),$CG89,$CH89,($A89-DateToday)+15,1,0)),L89-$H89),0)))</f>
        <v xml:space="preserve"> </v>
      </c>
      <c r="V89" s="405" t="str">
        <f>IF($A89="N/A"," ",IF(Pricetype=2,MAX(M89-$H89,0),IF(M89&lt;&gt;0,IF(Pricetype=1,(_xll.xSPRDOPT(M89,$E89,$CI89,0,($CD89+IF(Smile=TRUE,VLOOKUP(MAX(-5,$H89-M89),Volsmile,2),0)),$CG89,$CH89,($A89-DateToday)+15,1,0)),M89-$H89),0)))</f>
        <v xml:space="preserve"> </v>
      </c>
      <c r="W89" s="406" t="str">
        <f t="shared" si="193"/>
        <v xml:space="preserve"> </v>
      </c>
      <c r="X89" s="405" t="str">
        <f>IF($A89="N/A"," ",IF(Pricetype=2,MAX(O89-$H89,0),IF(O89&lt;&gt;0,IF(Pricetype=1,(_xll.xSPRDOPT(O89,$E89,$CI89,0,($CD89+IF(Smile=TRUE,VLOOKUP(MAX(-5,$H89-O89),Volsmile,2),0)),$CG89,$CH89,($A89-DateToday)+15,1,0)),O89-$H89),0)))</f>
        <v xml:space="preserve"> </v>
      </c>
      <c r="Y89" s="405" t="str">
        <f>IF($A89="N/A"," ",IF(Pricetype=2,MAX(P89-$H89,0),IF(P89&lt;&gt;0,IF(Pricetype=1,(_xll.xSPRDOPT(P89,$E89,$CI89,0,($CD89+IF(Smile=TRUE,VLOOKUP(MAX(-5,$H89-P89),Volsmile,2),0)),$CG89,$CH89,($A89-DateToday)+15,1,0)),P89-$H89),0)))</f>
        <v xml:space="preserve"> </v>
      </c>
      <c r="Z89" s="406" t="str">
        <f t="shared" si="194"/>
        <v xml:space="preserve"> </v>
      </c>
      <c r="AA89" s="254" t="str">
        <f>IF($A89="N/A"," ",IF(VLOOKUP(MONTH(A89),ManualTable,2)=1,(IF(0&lt;&gt;R89,IF(Pricetype=1,(_xll.xSPRDOPT(I89,$E89,$CI89,0,($CD89+IF(Smile=TRUE,VLOOKUP(MAX(-5,$H89-I89),Volsmile,2),0)),$CG89,$CH89,($A89-DateToday)+15,1,1))*(8*$HD89),8*$HD89),0)),0))</f>
        <v xml:space="preserve"> </v>
      </c>
      <c r="AB89" s="254" t="str">
        <f>IF($A89="N/A"," ",IF(VLOOKUP(MONTH(A89),ManualTable,3)=1,(IF(S89&lt;&gt;0,IF(Pricetype=1,(_xll.xSPRDOPT(J89,$E89,$CI89,0,($CD89+IF(Smile=TRUE,VLOOKUP(MAX(-5,$H89-J89),Volsmile,2),0)),$CG89,$CH89,($A89-DateToday)+15,1,1))*(8*$HD89),8*$HD89),0)),0))</f>
        <v xml:space="preserve"> </v>
      </c>
      <c r="AC89" s="254" t="str">
        <f t="shared" si="235"/>
        <v xml:space="preserve"> </v>
      </c>
      <c r="AD89" s="254" t="str">
        <f>IF($A89="N/A"," ",IF(VLOOKUP(MONTH(A89),ManualTable,5)=1,(IF(U89&lt;&gt;0,IF(Pricetype=1,(_xll.xSPRDOPT(L89,$E89,$CI89,0,($CD89+IF(Smile=TRUE,VLOOKUP(MAX(-5,$H89-L89),Volsmile,2),0)),$CG89,$CH89,($A89-DateToday)+15,1,1))*(8*$HE89),8*$HE89),0)),0))</f>
        <v xml:space="preserve"> </v>
      </c>
      <c r="AE89" s="254" t="str">
        <f>IF($A89="N/A"," ",IF(VLOOKUP(MONTH(A89),ManualTable,6)=1,(IF(V89&lt;&gt;0,IF(Pricetype=1,(_xll.xSPRDOPT(M89,$E89,$CI89,0,($CD89+IF(Smile=TRUE,VLOOKUP(MAX(-5,$H89-M89),Volsmile,2),0)),$CG89,$CH89,($A89-DateToday)+15,1,1))*(8*$HE89),8*$HE89),0)),0))</f>
        <v xml:space="preserve"> </v>
      </c>
      <c r="AF89" s="254" t="str">
        <f t="shared" si="236"/>
        <v xml:space="preserve"> </v>
      </c>
      <c r="AG89" s="254" t="str">
        <f>IF($A89="N/A"," ",IF(VLOOKUP(MONTH(A89),ManualTable,8)=1,(IF(X89&lt;&gt;0,IF(Pricetype=1,(_xll.xSPRDOPT(O89,$E89,$CI89,0,($CD89+IF(Smile=TRUE,VLOOKUP(MAX(-5,$H89-O89),Volsmile,2),0)),$CG89,$CH89,($A89-DateToday)+15,1,1))*(8*$HF89),8*$HF89),0)),0))</f>
        <v xml:space="preserve"> </v>
      </c>
      <c r="AH89" s="254" t="str">
        <f>IF($A89="N/A"," ",IF(VLOOKUP(MONTH(A89),ManualTable,9)=1,(IF(Y89&lt;&gt;0,IF(Pricetype=1,(_xll.xSPRDOPT(P89,$E89,$CI89,0,($CD89+IF(Smile=TRUE,VLOOKUP(MAX(-5,$H89-P89),Volsmile,2),0)),$CG89,$CH89,($A89-DateToday)+15,1,1))*(8*$HF89),8*$HF89),0)),0))</f>
        <v xml:space="preserve"> </v>
      </c>
      <c r="AI89" s="254" t="str">
        <f t="shared" si="237"/>
        <v xml:space="preserve"> </v>
      </c>
      <c r="AJ89" s="227" t="str">
        <f t="shared" ref="AJ89:AJ99" si="290">IF($A89="N/A"," ",RANK(R89,$R$88:$Z$99))</f>
        <v xml:space="preserve"> </v>
      </c>
      <c r="AK89" s="228" t="str">
        <f t="shared" ref="AK89:AL99" si="291">IF($A89="N/A"," ",RANK(S89,$R$88:$Z$99))</f>
        <v xml:space="preserve"> </v>
      </c>
      <c r="AL89" s="228" t="str">
        <f t="shared" si="291"/>
        <v xml:space="preserve"> </v>
      </c>
      <c r="AM89" s="228" t="str">
        <f t="shared" ref="AM89:AM99" si="292">IF($A89="N/A"," ",RANK(U89,$R$88:$Z$99))</f>
        <v xml:space="preserve"> </v>
      </c>
      <c r="AN89" s="228" t="str">
        <f t="shared" ref="AN89:AO99" si="293">IF($A89="N/A"," ",RANK(V89,$R$88:$Z$99))</f>
        <v xml:space="preserve"> </v>
      </c>
      <c r="AO89" s="228" t="str">
        <f t="shared" si="293"/>
        <v xml:space="preserve"> </v>
      </c>
      <c r="AP89" s="228" t="str">
        <f t="shared" ref="AP89:AP99" si="294">IF($A89="N/A"," ",RANK(X89,$R$88:$Z$99))</f>
        <v xml:space="preserve"> </v>
      </c>
      <c r="AQ89" s="228" t="str">
        <f t="shared" ref="AQ89:AQ99" si="295">IF($A89="N/A"," ",RANK(Y89,$R$88:$Z$99))</f>
        <v xml:space="preserve"> </v>
      </c>
      <c r="AR89" s="229" t="str">
        <f t="shared" ref="AR89:AR99" si="296">IF($A89="N/A"," ",RANK(Z89,$R$88:$Z$99))</f>
        <v xml:space="preserve"> </v>
      </c>
      <c r="AS89" s="262" t="str">
        <f t="shared" si="274"/>
        <v xml:space="preserve"> </v>
      </c>
      <c r="AT89" s="263" t="str">
        <f t="shared" si="275"/>
        <v xml:space="preserve"> </v>
      </c>
      <c r="AU89" s="263" t="str">
        <f t="shared" si="275"/>
        <v xml:space="preserve"> </v>
      </c>
      <c r="AV89" s="263" t="str">
        <f t="shared" si="276"/>
        <v xml:space="preserve"> </v>
      </c>
      <c r="AW89" s="263" t="str">
        <f t="shared" si="277"/>
        <v xml:space="preserve"> </v>
      </c>
      <c r="AX89" s="263" t="str">
        <f t="shared" si="277"/>
        <v xml:space="preserve"> </v>
      </c>
      <c r="AY89" s="263" t="str">
        <f t="shared" si="278"/>
        <v xml:space="preserve"> </v>
      </c>
      <c r="AZ89" s="263" t="str">
        <f t="shared" si="279"/>
        <v xml:space="preserve"> </v>
      </c>
      <c r="BA89" s="263" t="str">
        <f t="shared" si="280"/>
        <v xml:space="preserve"> </v>
      </c>
      <c r="BB89" s="229"/>
      <c r="BC89" s="266" t="str">
        <f t="shared" si="283"/>
        <v xml:space="preserve"> </v>
      </c>
      <c r="BD89" s="269" t="str">
        <f t="shared" si="284"/>
        <v xml:space="preserve"> </v>
      </c>
      <c r="BE89" s="269" t="str">
        <f t="shared" si="284"/>
        <v xml:space="preserve"> </v>
      </c>
      <c r="BF89" s="269" t="str">
        <f t="shared" si="285"/>
        <v xml:space="preserve"> </v>
      </c>
      <c r="BG89" s="269" t="str">
        <f t="shared" si="286"/>
        <v xml:space="preserve"> </v>
      </c>
      <c r="BH89" s="269" t="str">
        <f t="shared" si="286"/>
        <v xml:space="preserve"> </v>
      </c>
      <c r="BI89" s="269" t="str">
        <f t="shared" si="287"/>
        <v xml:space="preserve"> </v>
      </c>
      <c r="BJ89" s="269" t="str">
        <f t="shared" si="288"/>
        <v xml:space="preserve"> </v>
      </c>
      <c r="BK89" s="269" t="str">
        <f t="shared" si="289"/>
        <v xml:space="preserve"> </v>
      </c>
      <c r="BL89" s="229"/>
      <c r="BM89" s="220" t="str">
        <f>IF($A89="N/A"," ",(IF(MONTH(A89)&gt;=4,IF(MONTH(A89)&lt;=10,Inputs!$F$13-Inputs!$G$13,Inputs!$F$14-Inputs!$G$14),Inputs!$F$14-Inputs!$G$14))*$CK89*Availability)</f>
        <v xml:space="preserve"> </v>
      </c>
      <c r="BN89" s="221" t="str">
        <f t="shared" si="238"/>
        <v xml:space="preserve"> </v>
      </c>
      <c r="BO89" s="221" t="str">
        <f t="shared" si="239"/>
        <v xml:space="preserve"> </v>
      </c>
      <c r="BP89" s="221" t="str">
        <f t="shared" si="240"/>
        <v xml:space="preserve"> </v>
      </c>
      <c r="BQ89" s="221" t="str">
        <f t="shared" si="241"/>
        <v xml:space="preserve"> </v>
      </c>
      <c r="BR89" s="221" t="str">
        <f t="shared" si="242"/>
        <v xml:space="preserve"> </v>
      </c>
      <c r="BS89" s="221" t="str">
        <f t="shared" si="243"/>
        <v xml:space="preserve"> </v>
      </c>
      <c r="BT89" s="221" t="str">
        <f t="shared" si="244"/>
        <v xml:space="preserve"> </v>
      </c>
      <c r="BU89" s="221" t="str">
        <f t="shared" si="245"/>
        <v xml:space="preserve"> </v>
      </c>
      <c r="BV89" s="221" t="str">
        <f t="shared" si="246"/>
        <v xml:space="preserve"> </v>
      </c>
      <c r="BW89" s="221" t="str">
        <f t="shared" si="247"/>
        <v xml:space="preserve"> </v>
      </c>
      <c r="BX89" s="421" t="str">
        <f t="shared" si="248"/>
        <v xml:space="preserve"> </v>
      </c>
      <c r="BY89" s="417" t="str">
        <f t="shared" si="249"/>
        <v xml:space="preserve"> </v>
      </c>
      <c r="BZ89" s="417" t="str">
        <f t="shared" si="250"/>
        <v xml:space="preserve"> </v>
      </c>
      <c r="CA89" s="422" t="str">
        <f t="shared" si="251"/>
        <v xml:space="preserve"> </v>
      </c>
      <c r="CB89" s="347" t="str">
        <f t="shared" si="195"/>
        <v xml:space="preserve"> </v>
      </c>
      <c r="CC89" s="347" t="str">
        <f t="shared" si="252"/>
        <v xml:space="preserve"> </v>
      </c>
      <c r="CD89" s="348" t="str">
        <f t="shared" si="196"/>
        <v xml:space="preserve"> </v>
      </c>
      <c r="CE89" s="347" t="str">
        <f t="shared" si="197"/>
        <v xml:space="preserve"> </v>
      </c>
      <c r="CF89" s="347" t="str">
        <f t="shared" si="198"/>
        <v xml:space="preserve"> </v>
      </c>
      <c r="CG89" s="348" t="str">
        <f t="shared" si="199"/>
        <v xml:space="preserve"> </v>
      </c>
      <c r="CH89" s="347" t="str">
        <f t="shared" si="253"/>
        <v xml:space="preserve"> </v>
      </c>
      <c r="CI89" s="349" t="str">
        <f>IF($A89="N/A"," ",F89+G89+(D89*('Pricing Inputs'!T122)))</f>
        <v xml:space="preserve"> </v>
      </c>
      <c r="CJ89" s="347" t="str">
        <f>IF($A89="N/A"," ",IF(PV=1,0,'Pricing Inputs'!U122))</f>
        <v xml:space="preserve"> </v>
      </c>
      <c r="CK89" s="350" t="str">
        <f t="shared" si="200"/>
        <v xml:space="preserve"> </v>
      </c>
      <c r="CL89" s="365" t="str">
        <f t="shared" si="201"/>
        <v xml:space="preserve"> </v>
      </c>
      <c r="CM89" s="380" t="str">
        <f t="shared" si="254"/>
        <v xml:space="preserve"> </v>
      </c>
      <c r="CN89" s="378" t="str">
        <f t="shared" si="202"/>
        <v xml:space="preserve"> </v>
      </c>
      <c r="CO89" s="378" t="str">
        <f t="shared" si="203"/>
        <v xml:space="preserve"> </v>
      </c>
      <c r="CP89" s="378" t="str">
        <f t="shared" si="204"/>
        <v xml:space="preserve"> </v>
      </c>
      <c r="CQ89" s="378" t="str">
        <f t="shared" si="205"/>
        <v xml:space="preserve"> </v>
      </c>
      <c r="CR89" s="378" t="str">
        <f t="shared" si="206"/>
        <v xml:space="preserve"> </v>
      </c>
      <c r="CS89" s="378" t="str">
        <f t="shared" si="207"/>
        <v xml:space="preserve"> </v>
      </c>
      <c r="CT89" s="378" t="str">
        <f t="shared" si="208"/>
        <v xml:space="preserve"> </v>
      </c>
      <c r="CU89" s="378" t="str">
        <f t="shared" si="209"/>
        <v xml:space="preserve"> </v>
      </c>
      <c r="CV89" s="378" t="str">
        <f t="shared" si="210"/>
        <v xml:space="preserve"> </v>
      </c>
      <c r="CW89" s="254" t="str">
        <f t="shared" si="211"/>
        <v xml:space="preserve"> </v>
      </c>
      <c r="CX89" s="254" t="str">
        <f t="shared" si="212"/>
        <v xml:space="preserve"> </v>
      </c>
      <c r="CY89" s="254" t="str">
        <f t="shared" si="213"/>
        <v xml:space="preserve"> </v>
      </c>
      <c r="CZ89" s="254" t="str">
        <f t="shared" si="214"/>
        <v xml:space="preserve"> </v>
      </c>
      <c r="DA89" s="254" t="str">
        <f t="shared" si="215"/>
        <v xml:space="preserve"> </v>
      </c>
      <c r="DB89" s="254" t="str">
        <f t="shared" si="216"/>
        <v xml:space="preserve"> </v>
      </c>
      <c r="DC89" s="254" t="str">
        <f t="shared" si="217"/>
        <v xml:space="preserve"> </v>
      </c>
      <c r="DD89" s="254" t="str">
        <f t="shared" si="218"/>
        <v xml:space="preserve"> </v>
      </c>
      <c r="DE89" s="254" t="str">
        <f t="shared" si="219"/>
        <v xml:space="preserve"> </v>
      </c>
      <c r="DF89" s="374" t="str">
        <f>IF($A89="N/A"," ",IF(CC=2,(IF(MONTH(A89)&gt;=4,IF(MONTH(A89)&lt;=10,Inputs!$G$13,Inputs!$G$14),Inputs!$G$14))*$CK89,0))</f>
        <v xml:space="preserve"> </v>
      </c>
      <c r="DG89" s="373" t="str">
        <f t="shared" si="220"/>
        <v xml:space="preserve"> </v>
      </c>
      <c r="DH89" s="373" t="str">
        <f t="shared" si="221"/>
        <v xml:space="preserve"> </v>
      </c>
      <c r="DI89" s="373" t="str">
        <f t="shared" si="222"/>
        <v xml:space="preserve"> </v>
      </c>
      <c r="DJ89" s="373" t="str">
        <f t="shared" si="223"/>
        <v xml:space="preserve"> </v>
      </c>
      <c r="DK89" s="373" t="str">
        <f t="shared" si="224"/>
        <v xml:space="preserve"> </v>
      </c>
      <c r="DL89" s="373" t="str">
        <f t="shared" si="225"/>
        <v xml:space="preserve"> </v>
      </c>
      <c r="DM89" s="373" t="str">
        <f t="shared" si="226"/>
        <v xml:space="preserve"> </v>
      </c>
      <c r="DN89" s="373" t="str">
        <f t="shared" si="227"/>
        <v xml:space="preserve"> </v>
      </c>
      <c r="DO89" s="373" t="str">
        <f t="shared" si="228"/>
        <v xml:space="preserve"> </v>
      </c>
      <c r="DP89" s="375" t="str">
        <f t="shared" si="229"/>
        <v xml:space="preserve"> </v>
      </c>
      <c r="DQ89" t="str">
        <f t="shared" si="255"/>
        <v xml:space="preserve"> </v>
      </c>
      <c r="HD89" t="str">
        <f t="shared" si="256"/>
        <v xml:space="preserve"> </v>
      </c>
      <c r="HE89" t="str">
        <f t="shared" si="257"/>
        <v xml:space="preserve"> </v>
      </c>
      <c r="HF89" t="str">
        <f t="shared" si="258"/>
        <v xml:space="preserve"> </v>
      </c>
    </row>
    <row r="90" spans="1:214">
      <c r="A90" s="415" t="str">
        <f>IF(A89="N/A","N/A",IF(EDATE(A89,1)&gt;Inputs!$K$3,"N/A",EDATE(A89,1)))</f>
        <v>N/A</v>
      </c>
      <c r="B90" s="410" t="str">
        <f t="shared" si="230"/>
        <v xml:space="preserve"> </v>
      </c>
      <c r="C90" s="411" t="str">
        <f t="shared" si="231"/>
        <v xml:space="preserve"> </v>
      </c>
      <c r="D90" s="412" t="str">
        <f t="shared" si="232"/>
        <v xml:space="preserve"> </v>
      </c>
      <c r="E90" s="413" t="str">
        <f>IF($A90="N/A"," ",(C90-'Pricing Inputs'!T123)*D90)</f>
        <v xml:space="preserve"> </v>
      </c>
      <c r="F90" s="414" t="str">
        <f t="shared" si="281"/>
        <v xml:space="preserve"> </v>
      </c>
      <c r="G90" s="414" t="str">
        <f t="shared" si="233"/>
        <v xml:space="preserve"> </v>
      </c>
      <c r="H90" s="416" t="str">
        <f t="shared" si="234"/>
        <v xml:space="preserve"> </v>
      </c>
      <c r="I90" s="213" t="str">
        <f t="shared" si="183"/>
        <v xml:space="preserve"> </v>
      </c>
      <c r="J90" s="213" t="str">
        <f t="shared" si="184"/>
        <v xml:space="preserve"> </v>
      </c>
      <c r="K90" s="213" t="str">
        <f t="shared" si="185"/>
        <v xml:space="preserve"> </v>
      </c>
      <c r="L90" s="213" t="str">
        <f t="shared" si="186"/>
        <v xml:space="preserve"> </v>
      </c>
      <c r="M90" s="213" t="str">
        <f t="shared" si="187"/>
        <v xml:space="preserve"> </v>
      </c>
      <c r="N90" s="213" t="str">
        <f t="shared" si="188"/>
        <v xml:space="preserve"> </v>
      </c>
      <c r="O90" s="213" t="str">
        <f t="shared" si="189"/>
        <v xml:space="preserve"> </v>
      </c>
      <c r="P90" s="213" t="str">
        <f t="shared" si="190"/>
        <v xml:space="preserve"> </v>
      </c>
      <c r="Q90" s="213" t="str">
        <f t="shared" si="191"/>
        <v xml:space="preserve"> </v>
      </c>
      <c r="R90" s="405" t="str">
        <f>IF($A90="N/A"," ",IF(Pricetype=2,MAX(I90-$H90,0),IF(Pricetype=1,(_xll.xSPRDOPT(I90,$E90,$CI90,0,($CD90+IF(Smile=TRUE,VLOOKUP(MAX(-5,$H90-I90),Volsmile,2),0)),$CG90,$CH90,($A90-DateToday)+15,1,0)),I90-$H90)))</f>
        <v xml:space="preserve"> </v>
      </c>
      <c r="S90" s="405" t="str">
        <f>IF($A90="N/A"," ",IF(Pricetype=2,MAX(J90-$H90,0),IF(Pricetype=1,(_xll.xSPRDOPT(J90,$E90,$CI90,0,($CD90+IF(Smile=TRUE,VLOOKUP(MAX(-5,$H90-J90),Volsmile,2),0)),$CG90,$CH90,($A90-DateToday)+15,1,0)),J90-$H90)))</f>
        <v xml:space="preserve"> </v>
      </c>
      <c r="T90" s="406" t="str">
        <f t="shared" si="192"/>
        <v xml:space="preserve"> </v>
      </c>
      <c r="U90" s="405" t="str">
        <f>IF($A90="N/A"," ",IF(Pricetype=2,MAX(L90-$H90,0),IF(L90&lt;&gt;0,IF(Pricetype=1,(_xll.xSPRDOPT(L90,$E90,$CI90,0,($CD90+IF(Smile=TRUE,VLOOKUP(MAX(-5,$H90-L90),Volsmile,2),0)),$CG90,$CH90,($A90-DateToday)+15,1,0)),L90-$H90),0)))</f>
        <v xml:space="preserve"> </v>
      </c>
      <c r="V90" s="405" t="str">
        <f>IF($A90="N/A"," ",IF(Pricetype=2,MAX(M90-$H90,0),IF(M90&lt;&gt;0,IF(Pricetype=1,(_xll.xSPRDOPT(M90,$E90,$CI90,0,($CD90+IF(Smile=TRUE,VLOOKUP(MAX(-5,$H90-M90),Volsmile,2),0)),$CG90,$CH90,($A90-DateToday)+15,1,0)),M90-$H90),0)))</f>
        <v xml:space="preserve"> </v>
      </c>
      <c r="W90" s="406" t="str">
        <f t="shared" si="193"/>
        <v xml:space="preserve"> </v>
      </c>
      <c r="X90" s="405" t="str">
        <f>IF($A90="N/A"," ",IF(Pricetype=2,MAX(O90-$H90,0),IF(O90&lt;&gt;0,IF(Pricetype=1,(_xll.xSPRDOPT(O90,$E90,$CI90,0,($CD90+IF(Smile=TRUE,VLOOKUP(MAX(-5,$H90-O90),Volsmile,2),0)),$CG90,$CH90,($A90-DateToday)+15,1,0)),O90-$H90),0)))</f>
        <v xml:space="preserve"> </v>
      </c>
      <c r="Y90" s="405" t="str">
        <f>IF($A90="N/A"," ",IF(Pricetype=2,MAX(P90-$H90,0),IF(P90&lt;&gt;0,IF(Pricetype=1,(_xll.xSPRDOPT(P90,$E90,$CI90,0,($CD90+IF(Smile=TRUE,VLOOKUP(MAX(-5,$H90-P90),Volsmile,2),0)),$CG90,$CH90,($A90-DateToday)+15,1,0)),P90-$H90),0)))</f>
        <v xml:space="preserve"> </v>
      </c>
      <c r="Z90" s="406" t="str">
        <f t="shared" si="194"/>
        <v xml:space="preserve"> </v>
      </c>
      <c r="AA90" s="254" t="str">
        <f>IF($A90="N/A"," ",IF(VLOOKUP(MONTH(A90),ManualTable,2)=1,(IF(0&lt;&gt;R90,IF(Pricetype=1,(_xll.xSPRDOPT(I90,$E90,$CI90,0,($CD90+IF(Smile=TRUE,VLOOKUP(MAX(-5,$H90-I90),Volsmile,2),0)),$CG90,$CH90,($A90-DateToday)+15,1,1))*(8*$HD90),8*$HD90),0)),0))</f>
        <v xml:space="preserve"> </v>
      </c>
      <c r="AB90" s="254" t="str">
        <f>IF($A90="N/A"," ",IF(VLOOKUP(MONTH(A90),ManualTable,3)=1,(IF(S90&lt;&gt;0,IF(Pricetype=1,(_xll.xSPRDOPT(J90,$E90,$CI90,0,($CD90+IF(Smile=TRUE,VLOOKUP(MAX(-5,$H90-J90),Volsmile,2),0)),$CG90,$CH90,($A90-DateToday)+15,1,1))*(8*$HD90),8*$HD90),0)),0))</f>
        <v xml:space="preserve"> </v>
      </c>
      <c r="AC90" s="254" t="str">
        <f t="shared" si="235"/>
        <v xml:space="preserve"> </v>
      </c>
      <c r="AD90" s="254" t="str">
        <f>IF($A90="N/A"," ",IF(VLOOKUP(MONTH(A90),ManualTable,5)=1,(IF(U90&lt;&gt;0,IF(Pricetype=1,(_xll.xSPRDOPT(L90,$E90,$CI90,0,($CD90+IF(Smile=TRUE,VLOOKUP(MAX(-5,$H90-L90),Volsmile,2),0)),$CG90,$CH90,($A90-DateToday)+15,1,1))*(8*$HE90),8*$HE90),0)),0))</f>
        <v xml:space="preserve"> </v>
      </c>
      <c r="AE90" s="254" t="str">
        <f>IF($A90="N/A"," ",IF(VLOOKUP(MONTH(A90),ManualTable,6)=1,(IF(V90&lt;&gt;0,IF(Pricetype=1,(_xll.xSPRDOPT(M90,$E90,$CI90,0,($CD90+IF(Smile=TRUE,VLOOKUP(MAX(-5,$H90-M90),Volsmile,2),0)),$CG90,$CH90,($A90-DateToday)+15,1,1))*(8*$HE90),8*$HE90),0)),0))</f>
        <v xml:space="preserve"> </v>
      </c>
      <c r="AF90" s="254" t="str">
        <f t="shared" si="236"/>
        <v xml:space="preserve"> </v>
      </c>
      <c r="AG90" s="254" t="str">
        <f>IF($A90="N/A"," ",IF(VLOOKUP(MONTH(A90),ManualTable,8)=1,(IF(X90&lt;&gt;0,IF(Pricetype=1,(_xll.xSPRDOPT(O90,$E90,$CI90,0,($CD90+IF(Smile=TRUE,VLOOKUP(MAX(-5,$H90-O90),Volsmile,2),0)),$CG90,$CH90,($A90-DateToday)+15,1,1))*(8*$HF90),8*$HF90),0)),0))</f>
        <v xml:space="preserve"> </v>
      </c>
      <c r="AH90" s="254" t="str">
        <f>IF($A90="N/A"," ",IF(VLOOKUP(MONTH(A90),ManualTable,9)=1,(IF(Y90&lt;&gt;0,IF(Pricetype=1,(_xll.xSPRDOPT(P90,$E90,$CI90,0,($CD90+IF(Smile=TRUE,VLOOKUP(MAX(-5,$H90-P90),Volsmile,2),0)),$CG90,$CH90,($A90-DateToday)+15,1,1))*(8*$HF90),8*$HF90),0)),0))</f>
        <v xml:space="preserve"> </v>
      </c>
      <c r="AI90" s="254" t="str">
        <f t="shared" si="237"/>
        <v xml:space="preserve"> </v>
      </c>
      <c r="AJ90" s="227" t="str">
        <f t="shared" si="290"/>
        <v xml:space="preserve"> </v>
      </c>
      <c r="AK90" s="228" t="str">
        <f t="shared" si="291"/>
        <v xml:space="preserve"> </v>
      </c>
      <c r="AL90" s="228" t="str">
        <f t="shared" si="291"/>
        <v xml:space="preserve"> </v>
      </c>
      <c r="AM90" s="228" t="str">
        <f t="shared" si="292"/>
        <v xml:space="preserve"> </v>
      </c>
      <c r="AN90" s="228" t="str">
        <f t="shared" si="293"/>
        <v xml:space="preserve"> </v>
      </c>
      <c r="AO90" s="228" t="str">
        <f t="shared" si="293"/>
        <v xml:space="preserve"> </v>
      </c>
      <c r="AP90" s="228" t="str">
        <f t="shared" si="294"/>
        <v xml:space="preserve"> </v>
      </c>
      <c r="AQ90" s="228" t="str">
        <f t="shared" si="295"/>
        <v xml:space="preserve"> </v>
      </c>
      <c r="AR90" s="229" t="str">
        <f t="shared" si="296"/>
        <v xml:space="preserve"> </v>
      </c>
      <c r="AS90" s="262" t="str">
        <f t="shared" si="274"/>
        <v xml:space="preserve"> </v>
      </c>
      <c r="AT90" s="263" t="str">
        <f t="shared" si="275"/>
        <v xml:space="preserve"> </v>
      </c>
      <c r="AU90" s="263" t="str">
        <f t="shared" si="275"/>
        <v xml:space="preserve"> </v>
      </c>
      <c r="AV90" s="263" t="str">
        <f t="shared" si="276"/>
        <v xml:space="preserve"> </v>
      </c>
      <c r="AW90" s="263" t="str">
        <f t="shared" si="277"/>
        <v xml:space="preserve"> </v>
      </c>
      <c r="AX90" s="263" t="str">
        <f t="shared" si="277"/>
        <v xml:space="preserve"> </v>
      </c>
      <c r="AY90" s="263" t="str">
        <f t="shared" si="278"/>
        <v xml:space="preserve"> </v>
      </c>
      <c r="AZ90" s="263" t="str">
        <f t="shared" si="279"/>
        <v xml:space="preserve"> </v>
      </c>
      <c r="BA90" s="263" t="str">
        <f t="shared" si="280"/>
        <v xml:space="preserve"> </v>
      </c>
      <c r="BB90" s="229"/>
      <c r="BC90" s="266" t="str">
        <f t="shared" si="283"/>
        <v xml:space="preserve"> </v>
      </c>
      <c r="BD90" s="269" t="str">
        <f t="shared" si="284"/>
        <v xml:space="preserve"> </v>
      </c>
      <c r="BE90" s="269" t="str">
        <f t="shared" si="284"/>
        <v xml:space="preserve"> </v>
      </c>
      <c r="BF90" s="269" t="str">
        <f t="shared" si="285"/>
        <v xml:space="preserve"> </v>
      </c>
      <c r="BG90" s="269" t="str">
        <f t="shared" si="286"/>
        <v xml:space="preserve"> </v>
      </c>
      <c r="BH90" s="269" t="str">
        <f t="shared" si="286"/>
        <v xml:space="preserve"> </v>
      </c>
      <c r="BI90" s="269" t="str">
        <f t="shared" si="287"/>
        <v xml:space="preserve"> </v>
      </c>
      <c r="BJ90" s="269" t="str">
        <f t="shared" si="288"/>
        <v xml:space="preserve"> </v>
      </c>
      <c r="BK90" s="269" t="str">
        <f t="shared" si="289"/>
        <v xml:space="preserve"> </v>
      </c>
      <c r="BL90" s="229"/>
      <c r="BM90" s="220" t="str">
        <f>IF($A90="N/A"," ",(IF(MONTH(A90)&gt;=4,IF(MONTH(A90)&lt;=10,Inputs!$F$13-Inputs!$G$13,Inputs!$F$14-Inputs!$G$14),Inputs!$F$14-Inputs!$G$14))*$CK90*Availability)</f>
        <v xml:space="preserve"> </v>
      </c>
      <c r="BN90" s="221" t="str">
        <f t="shared" si="238"/>
        <v xml:space="preserve"> </v>
      </c>
      <c r="BO90" s="221" t="str">
        <f t="shared" si="239"/>
        <v xml:space="preserve"> </v>
      </c>
      <c r="BP90" s="221" t="str">
        <f t="shared" si="240"/>
        <v xml:space="preserve"> </v>
      </c>
      <c r="BQ90" s="221" t="str">
        <f t="shared" si="241"/>
        <v xml:space="preserve"> </v>
      </c>
      <c r="BR90" s="221" t="str">
        <f t="shared" si="242"/>
        <v xml:space="preserve"> </v>
      </c>
      <c r="BS90" s="221" t="str">
        <f t="shared" si="243"/>
        <v xml:space="preserve"> </v>
      </c>
      <c r="BT90" s="221" t="str">
        <f t="shared" si="244"/>
        <v xml:space="preserve"> </v>
      </c>
      <c r="BU90" s="221" t="str">
        <f t="shared" si="245"/>
        <v xml:space="preserve"> </v>
      </c>
      <c r="BV90" s="221" t="str">
        <f t="shared" si="246"/>
        <v xml:space="preserve"> </v>
      </c>
      <c r="BW90" s="221" t="str">
        <f t="shared" si="247"/>
        <v xml:space="preserve"> </v>
      </c>
      <c r="BX90" s="421" t="str">
        <f t="shared" si="248"/>
        <v xml:space="preserve"> </v>
      </c>
      <c r="BY90" s="417" t="str">
        <f t="shared" si="249"/>
        <v xml:space="preserve"> </v>
      </c>
      <c r="BZ90" s="417" t="str">
        <f t="shared" si="250"/>
        <v xml:space="preserve"> </v>
      </c>
      <c r="CA90" s="422" t="str">
        <f t="shared" si="251"/>
        <v xml:space="preserve"> </v>
      </c>
      <c r="CB90" s="347" t="str">
        <f t="shared" si="195"/>
        <v xml:space="preserve"> </v>
      </c>
      <c r="CC90" s="347" t="str">
        <f t="shared" si="252"/>
        <v xml:space="preserve"> </v>
      </c>
      <c r="CD90" s="348" t="str">
        <f t="shared" si="196"/>
        <v xml:space="preserve"> </v>
      </c>
      <c r="CE90" s="347" t="str">
        <f t="shared" si="197"/>
        <v xml:space="preserve"> </v>
      </c>
      <c r="CF90" s="347" t="str">
        <f t="shared" si="198"/>
        <v xml:space="preserve"> </v>
      </c>
      <c r="CG90" s="348" t="str">
        <f t="shared" si="199"/>
        <v xml:space="preserve"> </v>
      </c>
      <c r="CH90" s="347" t="str">
        <f t="shared" si="253"/>
        <v xml:space="preserve"> </v>
      </c>
      <c r="CI90" s="349" t="str">
        <f>IF($A90="N/A"," ",F90+G90+(D90*('Pricing Inputs'!T123)))</f>
        <v xml:space="preserve"> </v>
      </c>
      <c r="CJ90" s="347" t="str">
        <f>IF($A90="N/A"," ",IF(PV=1,0,'Pricing Inputs'!U123))</f>
        <v xml:space="preserve"> </v>
      </c>
      <c r="CK90" s="350" t="str">
        <f t="shared" si="200"/>
        <v xml:space="preserve"> </v>
      </c>
      <c r="CL90" s="365" t="str">
        <f t="shared" si="201"/>
        <v xml:space="preserve"> </v>
      </c>
      <c r="CM90" s="380" t="str">
        <f t="shared" si="254"/>
        <v xml:space="preserve"> </v>
      </c>
      <c r="CN90" s="378" t="str">
        <f t="shared" si="202"/>
        <v xml:space="preserve"> </v>
      </c>
      <c r="CO90" s="378" t="str">
        <f t="shared" si="203"/>
        <v xml:space="preserve"> </v>
      </c>
      <c r="CP90" s="378" t="str">
        <f t="shared" si="204"/>
        <v xml:space="preserve"> </v>
      </c>
      <c r="CQ90" s="378" t="str">
        <f t="shared" si="205"/>
        <v xml:space="preserve"> </v>
      </c>
      <c r="CR90" s="378" t="str">
        <f t="shared" si="206"/>
        <v xml:space="preserve"> </v>
      </c>
      <c r="CS90" s="378" t="str">
        <f t="shared" si="207"/>
        <v xml:space="preserve"> </v>
      </c>
      <c r="CT90" s="378" t="str">
        <f t="shared" si="208"/>
        <v xml:space="preserve"> </v>
      </c>
      <c r="CU90" s="378" t="str">
        <f t="shared" si="209"/>
        <v xml:space="preserve"> </v>
      </c>
      <c r="CV90" s="378" t="str">
        <f t="shared" si="210"/>
        <v xml:space="preserve"> </v>
      </c>
      <c r="CW90" s="254" t="str">
        <f t="shared" si="211"/>
        <v xml:space="preserve"> </v>
      </c>
      <c r="CX90" s="254" t="str">
        <f t="shared" si="212"/>
        <v xml:space="preserve"> </v>
      </c>
      <c r="CY90" s="254" t="str">
        <f t="shared" si="213"/>
        <v xml:space="preserve"> </v>
      </c>
      <c r="CZ90" s="254" t="str">
        <f t="shared" si="214"/>
        <v xml:space="preserve"> </v>
      </c>
      <c r="DA90" s="254" t="str">
        <f t="shared" si="215"/>
        <v xml:space="preserve"> </v>
      </c>
      <c r="DB90" s="254" t="str">
        <f t="shared" si="216"/>
        <v xml:space="preserve"> </v>
      </c>
      <c r="DC90" s="254" t="str">
        <f t="shared" si="217"/>
        <v xml:space="preserve"> </v>
      </c>
      <c r="DD90" s="254" t="str">
        <f t="shared" si="218"/>
        <v xml:space="preserve"> </v>
      </c>
      <c r="DE90" s="254" t="str">
        <f t="shared" si="219"/>
        <v xml:space="preserve"> </v>
      </c>
      <c r="DF90" s="374" t="str">
        <f>IF($A90="N/A"," ",IF(CC=2,(IF(MONTH(A90)&gt;=4,IF(MONTH(A90)&lt;=10,Inputs!$G$13,Inputs!$G$14),Inputs!$G$14))*$CK90,0))</f>
        <v xml:space="preserve"> </v>
      </c>
      <c r="DG90" s="373" t="str">
        <f t="shared" si="220"/>
        <v xml:space="preserve"> </v>
      </c>
      <c r="DH90" s="373" t="str">
        <f t="shared" si="221"/>
        <v xml:space="preserve"> </v>
      </c>
      <c r="DI90" s="373" t="str">
        <f t="shared" si="222"/>
        <v xml:space="preserve"> </v>
      </c>
      <c r="DJ90" s="373" t="str">
        <f t="shared" si="223"/>
        <v xml:space="preserve"> </v>
      </c>
      <c r="DK90" s="373" t="str">
        <f t="shared" si="224"/>
        <v xml:space="preserve"> </v>
      </c>
      <c r="DL90" s="373" t="str">
        <f t="shared" si="225"/>
        <v xml:space="preserve"> </v>
      </c>
      <c r="DM90" s="373" t="str">
        <f t="shared" si="226"/>
        <v xml:space="preserve"> </v>
      </c>
      <c r="DN90" s="373" t="str">
        <f t="shared" si="227"/>
        <v xml:space="preserve"> </v>
      </c>
      <c r="DO90" s="373" t="str">
        <f t="shared" si="228"/>
        <v xml:space="preserve"> </v>
      </c>
      <c r="DP90" s="375" t="str">
        <f t="shared" si="229"/>
        <v xml:space="preserve"> </v>
      </c>
      <c r="DQ90" t="str">
        <f t="shared" si="255"/>
        <v xml:space="preserve"> </v>
      </c>
      <c r="HD90" t="str">
        <f t="shared" si="256"/>
        <v xml:space="preserve"> </v>
      </c>
      <c r="HE90" t="str">
        <f t="shared" si="257"/>
        <v xml:space="preserve"> </v>
      </c>
      <c r="HF90" t="str">
        <f t="shared" si="258"/>
        <v xml:space="preserve"> </v>
      </c>
    </row>
    <row r="91" spans="1:214">
      <c r="A91" s="415" t="str">
        <f>IF(A90="N/A","N/A",IF(EDATE(A90,1)&gt;Inputs!$K$3,"N/A",EDATE(A90,1)))</f>
        <v>N/A</v>
      </c>
      <c r="B91" s="410" t="str">
        <f t="shared" si="230"/>
        <v xml:space="preserve"> </v>
      </c>
      <c r="C91" s="411" t="str">
        <f t="shared" si="231"/>
        <v xml:space="preserve"> </v>
      </c>
      <c r="D91" s="412" t="str">
        <f t="shared" si="232"/>
        <v xml:space="preserve"> </v>
      </c>
      <c r="E91" s="413" t="str">
        <f>IF($A91="N/A"," ",(C91-'Pricing Inputs'!T124)*D91)</f>
        <v xml:space="preserve"> </v>
      </c>
      <c r="F91" s="414" t="str">
        <f t="shared" si="281"/>
        <v xml:space="preserve"> </v>
      </c>
      <c r="G91" s="414" t="str">
        <f t="shared" si="233"/>
        <v xml:space="preserve"> </v>
      </c>
      <c r="H91" s="416" t="str">
        <f t="shared" si="234"/>
        <v xml:space="preserve"> </v>
      </c>
      <c r="I91" s="213" t="str">
        <f t="shared" si="183"/>
        <v xml:space="preserve"> </v>
      </c>
      <c r="J91" s="213" t="str">
        <f t="shared" si="184"/>
        <v xml:space="preserve"> </v>
      </c>
      <c r="K91" s="213" t="str">
        <f t="shared" si="185"/>
        <v xml:space="preserve"> </v>
      </c>
      <c r="L91" s="213" t="str">
        <f t="shared" si="186"/>
        <v xml:space="preserve"> </v>
      </c>
      <c r="M91" s="213" t="str">
        <f t="shared" si="187"/>
        <v xml:space="preserve"> </v>
      </c>
      <c r="N91" s="213" t="str">
        <f t="shared" si="188"/>
        <v xml:space="preserve"> </v>
      </c>
      <c r="O91" s="213" t="str">
        <f t="shared" si="189"/>
        <v xml:space="preserve"> </v>
      </c>
      <c r="P91" s="213" t="str">
        <f t="shared" si="190"/>
        <v xml:space="preserve"> </v>
      </c>
      <c r="Q91" s="213" t="str">
        <f t="shared" si="191"/>
        <v xml:space="preserve"> </v>
      </c>
      <c r="R91" s="405" t="str">
        <f>IF($A91="N/A"," ",IF(Pricetype=2,MAX(I91-$H91,0),IF(Pricetype=1,(_xll.xSPRDOPT(I91,$E91,$CI91,0,($CD91+IF(Smile=TRUE,VLOOKUP(MAX(-5,$H91-I91),Volsmile,2),0)),$CG91,$CH91,($A91-DateToday)+15,1,0)),I91-$H91)))</f>
        <v xml:space="preserve"> </v>
      </c>
      <c r="S91" s="405" t="str">
        <f>IF($A91="N/A"," ",IF(Pricetype=2,MAX(J91-$H91,0),IF(Pricetype=1,(_xll.xSPRDOPT(J91,$E91,$CI91,0,($CD91+IF(Smile=TRUE,VLOOKUP(MAX(-5,$H91-J91),Volsmile,2),0)),$CG91,$CH91,($A91-DateToday)+15,1,0)),J91-$H91)))</f>
        <v xml:space="preserve"> </v>
      </c>
      <c r="T91" s="406" t="str">
        <f t="shared" si="192"/>
        <v xml:space="preserve"> </v>
      </c>
      <c r="U91" s="405" t="str">
        <f>IF($A91="N/A"," ",IF(Pricetype=2,MAX(L91-$H91,0),IF(L91&lt;&gt;0,IF(Pricetype=1,(_xll.xSPRDOPT(L91,$E91,$CI91,0,($CD91+IF(Smile=TRUE,VLOOKUP(MAX(-5,$H91-L91),Volsmile,2),0)),$CG91,$CH91,($A91-DateToday)+15,1,0)),L91-$H91),0)))</f>
        <v xml:space="preserve"> </v>
      </c>
      <c r="V91" s="405" t="str">
        <f>IF($A91="N/A"," ",IF(Pricetype=2,MAX(M91-$H91,0),IF(M91&lt;&gt;0,IF(Pricetype=1,(_xll.xSPRDOPT(M91,$E91,$CI91,0,($CD91+IF(Smile=TRUE,VLOOKUP(MAX(-5,$H91-M91),Volsmile,2),0)),$CG91,$CH91,($A91-DateToday)+15,1,0)),M91-$H91),0)))</f>
        <v xml:space="preserve"> </v>
      </c>
      <c r="W91" s="406" t="str">
        <f t="shared" si="193"/>
        <v xml:space="preserve"> </v>
      </c>
      <c r="X91" s="405" t="str">
        <f>IF($A91="N/A"," ",IF(Pricetype=2,MAX(O91-$H91,0),IF(O91&lt;&gt;0,IF(Pricetype=1,(_xll.xSPRDOPT(O91,$E91,$CI91,0,($CD91+IF(Smile=TRUE,VLOOKUP(MAX(-5,$H91-O91),Volsmile,2),0)),$CG91,$CH91,($A91-DateToday)+15,1,0)),O91-$H91),0)))</f>
        <v xml:space="preserve"> </v>
      </c>
      <c r="Y91" s="405" t="str">
        <f>IF($A91="N/A"," ",IF(Pricetype=2,MAX(P91-$H91,0),IF(P91&lt;&gt;0,IF(Pricetype=1,(_xll.xSPRDOPT(P91,$E91,$CI91,0,($CD91+IF(Smile=TRUE,VLOOKUP(MAX(-5,$H91-P91),Volsmile,2),0)),$CG91,$CH91,($A91-DateToday)+15,1,0)),P91-$H91),0)))</f>
        <v xml:space="preserve"> </v>
      </c>
      <c r="Z91" s="406" t="str">
        <f t="shared" si="194"/>
        <v xml:space="preserve"> </v>
      </c>
      <c r="AA91" s="254" t="str">
        <f>IF($A91="N/A"," ",IF(VLOOKUP(MONTH(A91),ManualTable,2)=1,(IF(0&lt;&gt;R91,IF(Pricetype=1,(_xll.xSPRDOPT(I91,$E91,$CI91,0,($CD91+IF(Smile=TRUE,VLOOKUP(MAX(-5,$H91-I91),Volsmile,2),0)),$CG91,$CH91,($A91-DateToday)+15,1,1))*(8*$HD91),8*$HD91),0)),0))</f>
        <v xml:space="preserve"> </v>
      </c>
      <c r="AB91" s="254" t="str">
        <f>IF($A91="N/A"," ",IF(VLOOKUP(MONTH(A91),ManualTable,3)=1,(IF(S91&lt;&gt;0,IF(Pricetype=1,(_xll.xSPRDOPT(J91,$E91,$CI91,0,($CD91+IF(Smile=TRUE,VLOOKUP(MAX(-5,$H91-J91),Volsmile,2),0)),$CG91,$CH91,($A91-DateToday)+15,1,1))*(8*$HD91),8*$HD91),0)),0))</f>
        <v xml:space="preserve"> </v>
      </c>
      <c r="AC91" s="254" t="str">
        <f t="shared" si="235"/>
        <v xml:space="preserve"> </v>
      </c>
      <c r="AD91" s="254" t="str">
        <f>IF($A91="N/A"," ",IF(VLOOKUP(MONTH(A91),ManualTable,5)=1,(IF(U91&lt;&gt;0,IF(Pricetype=1,(_xll.xSPRDOPT(L91,$E91,$CI91,0,($CD91+IF(Smile=TRUE,VLOOKUP(MAX(-5,$H91-L91),Volsmile,2),0)),$CG91,$CH91,($A91-DateToday)+15,1,1))*(8*$HE91),8*$HE91),0)),0))</f>
        <v xml:space="preserve"> </v>
      </c>
      <c r="AE91" s="254" t="str">
        <f>IF($A91="N/A"," ",IF(VLOOKUP(MONTH(A91),ManualTable,6)=1,(IF(V91&lt;&gt;0,IF(Pricetype=1,(_xll.xSPRDOPT(M91,$E91,$CI91,0,($CD91+IF(Smile=TRUE,VLOOKUP(MAX(-5,$H91-M91),Volsmile,2),0)),$CG91,$CH91,($A91-DateToday)+15,1,1))*(8*$HE91),8*$HE91),0)),0))</f>
        <v xml:space="preserve"> </v>
      </c>
      <c r="AF91" s="254" t="str">
        <f t="shared" si="236"/>
        <v xml:space="preserve"> </v>
      </c>
      <c r="AG91" s="254" t="str">
        <f>IF($A91="N/A"," ",IF(VLOOKUP(MONTH(A91),ManualTable,8)=1,(IF(X91&lt;&gt;0,IF(Pricetype=1,(_xll.xSPRDOPT(O91,$E91,$CI91,0,($CD91+IF(Smile=TRUE,VLOOKUP(MAX(-5,$H91-O91),Volsmile,2),0)),$CG91,$CH91,($A91-DateToday)+15,1,1))*(8*$HF91),8*$HF91),0)),0))</f>
        <v xml:space="preserve"> </v>
      </c>
      <c r="AH91" s="254" t="str">
        <f>IF($A91="N/A"," ",IF(VLOOKUP(MONTH(A91),ManualTable,9)=1,(IF(Y91&lt;&gt;0,IF(Pricetype=1,(_xll.xSPRDOPT(P91,$E91,$CI91,0,($CD91+IF(Smile=TRUE,VLOOKUP(MAX(-5,$H91-P91),Volsmile,2),0)),$CG91,$CH91,($A91-DateToday)+15,1,1))*(8*$HF91),8*$HF91),0)),0))</f>
        <v xml:space="preserve"> </v>
      </c>
      <c r="AI91" s="254" t="str">
        <f t="shared" si="237"/>
        <v xml:space="preserve"> </v>
      </c>
      <c r="AJ91" s="227" t="str">
        <f t="shared" si="290"/>
        <v xml:space="preserve"> </v>
      </c>
      <c r="AK91" s="228" t="str">
        <f t="shared" si="291"/>
        <v xml:space="preserve"> </v>
      </c>
      <c r="AL91" s="228" t="str">
        <f t="shared" si="291"/>
        <v xml:space="preserve"> </v>
      </c>
      <c r="AM91" s="228" t="str">
        <f t="shared" si="292"/>
        <v xml:space="preserve"> </v>
      </c>
      <c r="AN91" s="228" t="str">
        <f t="shared" si="293"/>
        <v xml:space="preserve"> </v>
      </c>
      <c r="AO91" s="228" t="str">
        <f t="shared" si="293"/>
        <v xml:space="preserve"> </v>
      </c>
      <c r="AP91" s="228" t="str">
        <f t="shared" si="294"/>
        <v xml:space="preserve"> </v>
      </c>
      <c r="AQ91" s="228" t="str">
        <f t="shared" si="295"/>
        <v xml:space="preserve"> </v>
      </c>
      <c r="AR91" s="229" t="str">
        <f t="shared" si="296"/>
        <v xml:space="preserve"> </v>
      </c>
      <c r="AS91" s="262" t="str">
        <f t="shared" si="274"/>
        <v xml:space="preserve"> </v>
      </c>
      <c r="AT91" s="263" t="str">
        <f t="shared" si="275"/>
        <v xml:space="preserve"> </v>
      </c>
      <c r="AU91" s="263" t="str">
        <f t="shared" si="275"/>
        <v xml:space="preserve"> </v>
      </c>
      <c r="AV91" s="263" t="str">
        <f t="shared" si="276"/>
        <v xml:space="preserve"> </v>
      </c>
      <c r="AW91" s="263" t="str">
        <f t="shared" si="277"/>
        <v xml:space="preserve"> </v>
      </c>
      <c r="AX91" s="263" t="str">
        <f t="shared" si="277"/>
        <v xml:space="preserve"> </v>
      </c>
      <c r="AY91" s="263" t="str">
        <f t="shared" si="278"/>
        <v xml:space="preserve"> </v>
      </c>
      <c r="AZ91" s="263" t="str">
        <f t="shared" si="279"/>
        <v xml:space="preserve"> </v>
      </c>
      <c r="BA91" s="263" t="str">
        <f t="shared" si="280"/>
        <v xml:space="preserve"> </v>
      </c>
      <c r="BB91" s="229"/>
      <c r="BC91" s="266" t="str">
        <f t="shared" si="283"/>
        <v xml:space="preserve"> </v>
      </c>
      <c r="BD91" s="269" t="str">
        <f t="shared" si="284"/>
        <v xml:space="preserve"> </v>
      </c>
      <c r="BE91" s="269" t="str">
        <f t="shared" si="284"/>
        <v xml:space="preserve"> </v>
      </c>
      <c r="BF91" s="269" t="str">
        <f t="shared" si="285"/>
        <v xml:space="preserve"> </v>
      </c>
      <c r="BG91" s="269" t="str">
        <f t="shared" si="286"/>
        <v xml:space="preserve"> </v>
      </c>
      <c r="BH91" s="269" t="str">
        <f t="shared" si="286"/>
        <v xml:space="preserve"> </v>
      </c>
      <c r="BI91" s="269" t="str">
        <f t="shared" si="287"/>
        <v xml:space="preserve"> </v>
      </c>
      <c r="BJ91" s="269" t="str">
        <f t="shared" si="288"/>
        <v xml:space="preserve"> </v>
      </c>
      <c r="BK91" s="269" t="str">
        <f t="shared" si="289"/>
        <v xml:space="preserve"> </v>
      </c>
      <c r="BL91" s="229"/>
      <c r="BM91" s="220" t="str">
        <f>IF($A91="N/A"," ",(IF(MONTH(A91)&gt;=4,IF(MONTH(A91)&lt;=10,Inputs!$F$13-Inputs!$G$13,Inputs!$F$14-Inputs!$G$14),Inputs!$F$14-Inputs!$G$14))*$CK91*Availability)</f>
        <v xml:space="preserve"> </v>
      </c>
      <c r="BN91" s="221" t="str">
        <f t="shared" si="238"/>
        <v xml:space="preserve"> </v>
      </c>
      <c r="BO91" s="221" t="str">
        <f t="shared" si="239"/>
        <v xml:space="preserve"> </v>
      </c>
      <c r="BP91" s="221" t="str">
        <f t="shared" si="240"/>
        <v xml:space="preserve"> </v>
      </c>
      <c r="BQ91" s="221" t="str">
        <f t="shared" si="241"/>
        <v xml:space="preserve"> </v>
      </c>
      <c r="BR91" s="221" t="str">
        <f t="shared" si="242"/>
        <v xml:space="preserve"> </v>
      </c>
      <c r="BS91" s="221" t="str">
        <f t="shared" si="243"/>
        <v xml:space="preserve"> </v>
      </c>
      <c r="BT91" s="221" t="str">
        <f t="shared" si="244"/>
        <v xml:space="preserve"> </v>
      </c>
      <c r="BU91" s="221" t="str">
        <f t="shared" si="245"/>
        <v xml:space="preserve"> </v>
      </c>
      <c r="BV91" s="221" t="str">
        <f t="shared" si="246"/>
        <v xml:space="preserve"> </v>
      </c>
      <c r="BW91" s="221" t="str">
        <f t="shared" si="247"/>
        <v xml:space="preserve"> </v>
      </c>
      <c r="BX91" s="421" t="str">
        <f t="shared" si="248"/>
        <v xml:space="preserve"> </v>
      </c>
      <c r="BY91" s="417" t="str">
        <f t="shared" si="249"/>
        <v xml:space="preserve"> </v>
      </c>
      <c r="BZ91" s="417" t="str">
        <f t="shared" si="250"/>
        <v xml:space="preserve"> </v>
      </c>
      <c r="CA91" s="422" t="str">
        <f t="shared" si="251"/>
        <v xml:space="preserve"> </v>
      </c>
      <c r="CB91" s="347" t="str">
        <f t="shared" si="195"/>
        <v xml:space="preserve"> </v>
      </c>
      <c r="CC91" s="347" t="str">
        <f t="shared" si="252"/>
        <v xml:space="preserve"> </v>
      </c>
      <c r="CD91" s="348" t="str">
        <f t="shared" si="196"/>
        <v xml:space="preserve"> </v>
      </c>
      <c r="CE91" s="347" t="str">
        <f t="shared" si="197"/>
        <v xml:space="preserve"> </v>
      </c>
      <c r="CF91" s="347" t="str">
        <f t="shared" si="198"/>
        <v xml:space="preserve"> </v>
      </c>
      <c r="CG91" s="348" t="str">
        <f t="shared" si="199"/>
        <v xml:space="preserve"> </v>
      </c>
      <c r="CH91" s="347" t="str">
        <f t="shared" si="253"/>
        <v xml:space="preserve"> </v>
      </c>
      <c r="CI91" s="349" t="str">
        <f>IF($A91="N/A"," ",F91+G91+(D91*('Pricing Inputs'!T124)))</f>
        <v xml:space="preserve"> </v>
      </c>
      <c r="CJ91" s="347" t="str">
        <f>IF($A91="N/A"," ",IF(PV=1,0,'Pricing Inputs'!U124))</f>
        <v xml:space="preserve"> </v>
      </c>
      <c r="CK91" s="350" t="str">
        <f t="shared" si="200"/>
        <v xml:space="preserve"> </v>
      </c>
      <c r="CL91" s="365" t="str">
        <f t="shared" si="201"/>
        <v xml:space="preserve"> </v>
      </c>
      <c r="CM91" s="380" t="str">
        <f t="shared" si="254"/>
        <v xml:space="preserve"> </v>
      </c>
      <c r="CN91" s="378" t="str">
        <f t="shared" si="202"/>
        <v xml:space="preserve"> </v>
      </c>
      <c r="CO91" s="378" t="str">
        <f t="shared" si="203"/>
        <v xml:space="preserve"> </v>
      </c>
      <c r="CP91" s="378" t="str">
        <f t="shared" si="204"/>
        <v xml:space="preserve"> </v>
      </c>
      <c r="CQ91" s="378" t="str">
        <f t="shared" si="205"/>
        <v xml:space="preserve"> </v>
      </c>
      <c r="CR91" s="378" t="str">
        <f t="shared" si="206"/>
        <v xml:space="preserve"> </v>
      </c>
      <c r="CS91" s="378" t="str">
        <f t="shared" si="207"/>
        <v xml:space="preserve"> </v>
      </c>
      <c r="CT91" s="378" t="str">
        <f t="shared" si="208"/>
        <v xml:space="preserve"> </v>
      </c>
      <c r="CU91" s="378" t="str">
        <f t="shared" si="209"/>
        <v xml:space="preserve"> </v>
      </c>
      <c r="CV91" s="378" t="str">
        <f t="shared" si="210"/>
        <v xml:space="preserve"> </v>
      </c>
      <c r="CW91" s="254" t="str">
        <f t="shared" si="211"/>
        <v xml:space="preserve"> </v>
      </c>
      <c r="CX91" s="254" t="str">
        <f t="shared" si="212"/>
        <v xml:space="preserve"> </v>
      </c>
      <c r="CY91" s="254" t="str">
        <f t="shared" si="213"/>
        <v xml:space="preserve"> </v>
      </c>
      <c r="CZ91" s="254" t="str">
        <f t="shared" si="214"/>
        <v xml:space="preserve"> </v>
      </c>
      <c r="DA91" s="254" t="str">
        <f t="shared" si="215"/>
        <v xml:space="preserve"> </v>
      </c>
      <c r="DB91" s="254" t="str">
        <f t="shared" si="216"/>
        <v xml:space="preserve"> </v>
      </c>
      <c r="DC91" s="254" t="str">
        <f t="shared" si="217"/>
        <v xml:space="preserve"> </v>
      </c>
      <c r="DD91" s="254" t="str">
        <f t="shared" si="218"/>
        <v xml:space="preserve"> </v>
      </c>
      <c r="DE91" s="254" t="str">
        <f t="shared" si="219"/>
        <v xml:space="preserve"> </v>
      </c>
      <c r="DF91" s="374" t="str">
        <f>IF($A91="N/A"," ",IF(CC=2,(IF(MONTH(A91)&gt;=4,IF(MONTH(A91)&lt;=10,Inputs!$G$13,Inputs!$G$14),Inputs!$G$14))*$CK91,0))</f>
        <v xml:space="preserve"> </v>
      </c>
      <c r="DG91" s="373" t="str">
        <f t="shared" si="220"/>
        <v xml:space="preserve"> </v>
      </c>
      <c r="DH91" s="373" t="str">
        <f t="shared" si="221"/>
        <v xml:space="preserve"> </v>
      </c>
      <c r="DI91" s="373" t="str">
        <f t="shared" si="222"/>
        <v xml:space="preserve"> </v>
      </c>
      <c r="DJ91" s="373" t="str">
        <f t="shared" si="223"/>
        <v xml:space="preserve"> </v>
      </c>
      <c r="DK91" s="373" t="str">
        <f t="shared" si="224"/>
        <v xml:space="preserve"> </v>
      </c>
      <c r="DL91" s="373" t="str">
        <f t="shared" si="225"/>
        <v xml:space="preserve"> </v>
      </c>
      <c r="DM91" s="373" t="str">
        <f t="shared" si="226"/>
        <v xml:space="preserve"> </v>
      </c>
      <c r="DN91" s="373" t="str">
        <f t="shared" si="227"/>
        <v xml:space="preserve"> </v>
      </c>
      <c r="DO91" s="373" t="str">
        <f t="shared" si="228"/>
        <v xml:space="preserve"> </v>
      </c>
      <c r="DP91" s="375" t="str">
        <f t="shared" si="229"/>
        <v xml:space="preserve"> </v>
      </c>
      <c r="DQ91" t="str">
        <f t="shared" si="255"/>
        <v xml:space="preserve"> </v>
      </c>
      <c r="HD91" t="str">
        <f t="shared" si="256"/>
        <v xml:space="preserve"> </v>
      </c>
      <c r="HE91" t="str">
        <f t="shared" si="257"/>
        <v xml:space="preserve"> </v>
      </c>
      <c r="HF91" t="str">
        <f t="shared" si="258"/>
        <v xml:space="preserve"> </v>
      </c>
    </row>
    <row r="92" spans="1:214">
      <c r="A92" s="415" t="str">
        <f>IF(A91="N/A","N/A",IF(EDATE(A91,1)&gt;Inputs!$K$3,"N/A",EDATE(A91,1)))</f>
        <v>N/A</v>
      </c>
      <c r="B92" s="410" t="str">
        <f t="shared" si="230"/>
        <v xml:space="preserve"> </v>
      </c>
      <c r="C92" s="411" t="str">
        <f t="shared" si="231"/>
        <v xml:space="preserve"> </v>
      </c>
      <c r="D92" s="412" t="str">
        <f t="shared" si="232"/>
        <v xml:space="preserve"> </v>
      </c>
      <c r="E92" s="413" t="str">
        <f>IF($A92="N/A"," ",(C92-'Pricing Inputs'!T125)*D92)</f>
        <v xml:space="preserve"> </v>
      </c>
      <c r="F92" s="414" t="str">
        <f t="shared" si="281"/>
        <v xml:space="preserve"> </v>
      </c>
      <c r="G92" s="414" t="str">
        <f t="shared" si="233"/>
        <v xml:space="preserve"> </v>
      </c>
      <c r="H92" s="416" t="str">
        <f t="shared" si="234"/>
        <v xml:space="preserve"> </v>
      </c>
      <c r="I92" s="213" t="str">
        <f t="shared" si="183"/>
        <v xml:space="preserve"> </v>
      </c>
      <c r="J92" s="213" t="str">
        <f t="shared" si="184"/>
        <v xml:space="preserve"> </v>
      </c>
      <c r="K92" s="213" t="str">
        <f t="shared" si="185"/>
        <v xml:space="preserve"> </v>
      </c>
      <c r="L92" s="213" t="str">
        <f t="shared" si="186"/>
        <v xml:space="preserve"> </v>
      </c>
      <c r="M92" s="213" t="str">
        <f t="shared" si="187"/>
        <v xml:space="preserve"> </v>
      </c>
      <c r="N92" s="213" t="str">
        <f t="shared" si="188"/>
        <v xml:space="preserve"> </v>
      </c>
      <c r="O92" s="213" t="str">
        <f t="shared" si="189"/>
        <v xml:space="preserve"> </v>
      </c>
      <c r="P92" s="213" t="str">
        <f t="shared" si="190"/>
        <v xml:space="preserve"> </v>
      </c>
      <c r="Q92" s="213" t="str">
        <f t="shared" si="191"/>
        <v xml:space="preserve"> </v>
      </c>
      <c r="R92" s="405" t="str">
        <f>IF($A92="N/A"," ",IF(Pricetype=2,MAX(I92-$H92,0),IF(Pricetype=1,(_xll.xSPRDOPT(I92,$E92,$CI92,0,($CD92+IF(Smile=TRUE,VLOOKUP(MAX(-5,$H92-I92),Volsmile,2),0)),$CG92,$CH92,($A92-DateToday)+15,1,0)),I92-$H92)))</f>
        <v xml:space="preserve"> </v>
      </c>
      <c r="S92" s="405" t="str">
        <f>IF($A92="N/A"," ",IF(Pricetype=2,MAX(J92-$H92,0),IF(Pricetype=1,(_xll.xSPRDOPT(J92,$E92,$CI92,0,($CD92+IF(Smile=TRUE,VLOOKUP(MAX(-5,$H92-J92),Volsmile,2),0)),$CG92,$CH92,($A92-DateToday)+15,1,0)),J92-$H92)))</f>
        <v xml:space="preserve"> </v>
      </c>
      <c r="T92" s="406" t="str">
        <f t="shared" si="192"/>
        <v xml:space="preserve"> </v>
      </c>
      <c r="U92" s="405" t="str">
        <f>IF($A92="N/A"," ",IF(Pricetype=2,MAX(L92-$H92,0),IF(L92&lt;&gt;0,IF(Pricetype=1,(_xll.xSPRDOPT(L92,$E92,$CI92,0,($CD92+IF(Smile=TRUE,VLOOKUP(MAX(-5,$H92-L92),Volsmile,2),0)),$CG92,$CH92,($A92-DateToday)+15,1,0)),L92-$H92),0)))</f>
        <v xml:space="preserve"> </v>
      </c>
      <c r="V92" s="405" t="str">
        <f>IF($A92="N/A"," ",IF(Pricetype=2,MAX(M92-$H92,0),IF(M92&lt;&gt;0,IF(Pricetype=1,(_xll.xSPRDOPT(M92,$E92,$CI92,0,($CD92+IF(Smile=TRUE,VLOOKUP(MAX(-5,$H92-M92),Volsmile,2),0)),$CG92,$CH92,($A92-DateToday)+15,1,0)),M92-$H92),0)))</f>
        <v xml:space="preserve"> </v>
      </c>
      <c r="W92" s="406" t="str">
        <f t="shared" si="193"/>
        <v xml:space="preserve"> </v>
      </c>
      <c r="X92" s="405" t="str">
        <f>IF($A92="N/A"," ",IF(Pricetype=2,MAX(O92-$H92,0),IF(O92&lt;&gt;0,IF(Pricetype=1,(_xll.xSPRDOPT(O92,$E92,$CI92,0,($CD92+IF(Smile=TRUE,VLOOKUP(MAX(-5,$H92-O92),Volsmile,2),0)),$CG92,$CH92,($A92-DateToday)+15,1,0)),O92-$H92),0)))</f>
        <v xml:space="preserve"> </v>
      </c>
      <c r="Y92" s="405" t="str">
        <f>IF($A92="N/A"," ",IF(Pricetype=2,MAX(P92-$H92,0),IF(P92&lt;&gt;0,IF(Pricetype=1,(_xll.xSPRDOPT(P92,$E92,$CI92,0,($CD92+IF(Smile=TRUE,VLOOKUP(MAX(-5,$H92-P92),Volsmile,2),0)),$CG92,$CH92,($A92-DateToday)+15,1,0)),P92-$H92),0)))</f>
        <v xml:space="preserve"> </v>
      </c>
      <c r="Z92" s="406" t="str">
        <f t="shared" si="194"/>
        <v xml:space="preserve"> </v>
      </c>
      <c r="AA92" s="254" t="str">
        <f>IF($A92="N/A"," ",IF(VLOOKUP(MONTH(A92),ManualTable,2)=1,(IF(0&lt;&gt;R92,IF(Pricetype=1,(_xll.xSPRDOPT(I92,$E92,$CI92,0,($CD92+IF(Smile=TRUE,VLOOKUP(MAX(-5,$H92-I92),Volsmile,2),0)),$CG92,$CH92,($A92-DateToday)+15,1,1))*(8*$HD92),8*$HD92),0)),0))</f>
        <v xml:space="preserve"> </v>
      </c>
      <c r="AB92" s="254" t="str">
        <f>IF($A92="N/A"," ",IF(VLOOKUP(MONTH(A92),ManualTable,3)=1,(IF(S92&lt;&gt;0,IF(Pricetype=1,(_xll.xSPRDOPT(J92,$E92,$CI92,0,($CD92+IF(Smile=TRUE,VLOOKUP(MAX(-5,$H92-J92),Volsmile,2),0)),$CG92,$CH92,($A92-DateToday)+15,1,1))*(8*$HD92),8*$HD92),0)),0))</f>
        <v xml:space="preserve"> </v>
      </c>
      <c r="AC92" s="254" t="str">
        <f t="shared" si="235"/>
        <v xml:space="preserve"> </v>
      </c>
      <c r="AD92" s="254" t="str">
        <f>IF($A92="N/A"," ",IF(VLOOKUP(MONTH(A92),ManualTable,5)=1,(IF(U92&lt;&gt;0,IF(Pricetype=1,(_xll.xSPRDOPT(L92,$E92,$CI92,0,($CD92+IF(Smile=TRUE,VLOOKUP(MAX(-5,$H92-L92),Volsmile,2),0)),$CG92,$CH92,($A92-DateToday)+15,1,1))*(8*$HE92),8*$HE92),0)),0))</f>
        <v xml:space="preserve"> </v>
      </c>
      <c r="AE92" s="254" t="str">
        <f>IF($A92="N/A"," ",IF(VLOOKUP(MONTH(A92),ManualTable,6)=1,(IF(V92&lt;&gt;0,IF(Pricetype=1,(_xll.xSPRDOPT(M92,$E92,$CI92,0,($CD92+IF(Smile=TRUE,VLOOKUP(MAX(-5,$H92-M92),Volsmile,2),0)),$CG92,$CH92,($A92-DateToday)+15,1,1))*(8*$HE92),8*$HE92),0)),0))</f>
        <v xml:space="preserve"> </v>
      </c>
      <c r="AF92" s="254" t="str">
        <f t="shared" si="236"/>
        <v xml:space="preserve"> </v>
      </c>
      <c r="AG92" s="254" t="str">
        <f>IF($A92="N/A"," ",IF(VLOOKUP(MONTH(A92),ManualTable,8)=1,(IF(X92&lt;&gt;0,IF(Pricetype=1,(_xll.xSPRDOPT(O92,$E92,$CI92,0,($CD92+IF(Smile=TRUE,VLOOKUP(MAX(-5,$H92-O92),Volsmile,2),0)),$CG92,$CH92,($A92-DateToday)+15,1,1))*(8*$HF92),8*$HF92),0)),0))</f>
        <v xml:space="preserve"> </v>
      </c>
      <c r="AH92" s="254" t="str">
        <f>IF($A92="N/A"," ",IF(VLOOKUP(MONTH(A92),ManualTable,9)=1,(IF(Y92&lt;&gt;0,IF(Pricetype=1,(_xll.xSPRDOPT(P92,$E92,$CI92,0,($CD92+IF(Smile=TRUE,VLOOKUP(MAX(-5,$H92-P92),Volsmile,2),0)),$CG92,$CH92,($A92-DateToday)+15,1,1))*(8*$HF92),8*$HF92),0)),0))</f>
        <v xml:space="preserve"> </v>
      </c>
      <c r="AI92" s="254" t="str">
        <f t="shared" si="237"/>
        <v xml:space="preserve"> </v>
      </c>
      <c r="AJ92" s="227" t="str">
        <f t="shared" si="290"/>
        <v xml:space="preserve"> </v>
      </c>
      <c r="AK92" s="228" t="str">
        <f t="shared" si="291"/>
        <v xml:space="preserve"> </v>
      </c>
      <c r="AL92" s="228" t="str">
        <f t="shared" si="291"/>
        <v xml:space="preserve"> </v>
      </c>
      <c r="AM92" s="228" t="str">
        <f t="shared" si="292"/>
        <v xml:space="preserve"> </v>
      </c>
      <c r="AN92" s="228" t="str">
        <f t="shared" si="293"/>
        <v xml:space="preserve"> </v>
      </c>
      <c r="AO92" s="228" t="str">
        <f t="shared" si="293"/>
        <v xml:space="preserve"> </v>
      </c>
      <c r="AP92" s="228" t="str">
        <f t="shared" si="294"/>
        <v xml:space="preserve"> </v>
      </c>
      <c r="AQ92" s="228" t="str">
        <f t="shared" si="295"/>
        <v xml:space="preserve"> </v>
      </c>
      <c r="AR92" s="229" t="str">
        <f t="shared" si="296"/>
        <v xml:space="preserve"> </v>
      </c>
      <c r="AS92" s="262" t="str">
        <f t="shared" si="274"/>
        <v xml:space="preserve"> </v>
      </c>
      <c r="AT92" s="263" t="str">
        <f t="shared" si="275"/>
        <v xml:space="preserve"> </v>
      </c>
      <c r="AU92" s="263" t="str">
        <f t="shared" si="275"/>
        <v xml:space="preserve"> </v>
      </c>
      <c r="AV92" s="263" t="str">
        <f t="shared" si="276"/>
        <v xml:space="preserve"> </v>
      </c>
      <c r="AW92" s="263" t="str">
        <f t="shared" si="277"/>
        <v xml:space="preserve"> </v>
      </c>
      <c r="AX92" s="263" t="str">
        <f t="shared" si="277"/>
        <v xml:space="preserve"> </v>
      </c>
      <c r="AY92" s="263" t="str">
        <f t="shared" si="278"/>
        <v xml:space="preserve"> </v>
      </c>
      <c r="AZ92" s="263" t="str">
        <f t="shared" si="279"/>
        <v xml:space="preserve"> </v>
      </c>
      <c r="BA92" s="263" t="str">
        <f t="shared" si="280"/>
        <v xml:space="preserve"> </v>
      </c>
      <c r="BB92" s="229"/>
      <c r="BC92" s="266" t="str">
        <f t="shared" si="283"/>
        <v xml:space="preserve"> </v>
      </c>
      <c r="BD92" s="269" t="str">
        <f t="shared" si="284"/>
        <v xml:space="preserve"> </v>
      </c>
      <c r="BE92" s="269" t="str">
        <f t="shared" si="284"/>
        <v xml:space="preserve"> </v>
      </c>
      <c r="BF92" s="269" t="str">
        <f t="shared" si="285"/>
        <v xml:space="preserve"> </v>
      </c>
      <c r="BG92" s="269" t="str">
        <f t="shared" si="286"/>
        <v xml:space="preserve"> </v>
      </c>
      <c r="BH92" s="269" t="str">
        <f t="shared" si="286"/>
        <v xml:space="preserve"> </v>
      </c>
      <c r="BI92" s="269" t="str">
        <f t="shared" si="287"/>
        <v xml:space="preserve"> </v>
      </c>
      <c r="BJ92" s="269" t="str">
        <f t="shared" si="288"/>
        <v xml:space="preserve"> </v>
      </c>
      <c r="BK92" s="269" t="str">
        <f t="shared" si="289"/>
        <v xml:space="preserve"> </v>
      </c>
      <c r="BL92" s="229"/>
      <c r="BM92" s="220" t="str">
        <f>IF($A92="N/A"," ",(IF(MONTH(A92)&gt;=4,IF(MONTH(A92)&lt;=10,Inputs!$F$13-Inputs!$G$13,Inputs!$F$14-Inputs!$G$14),Inputs!$F$14-Inputs!$G$14))*$CK92*Availability)</f>
        <v xml:space="preserve"> </v>
      </c>
      <c r="BN92" s="221" t="str">
        <f t="shared" si="238"/>
        <v xml:space="preserve"> </v>
      </c>
      <c r="BO92" s="221" t="str">
        <f t="shared" si="239"/>
        <v xml:space="preserve"> </v>
      </c>
      <c r="BP92" s="221" t="str">
        <f t="shared" si="240"/>
        <v xml:space="preserve"> </v>
      </c>
      <c r="BQ92" s="221" t="str">
        <f t="shared" si="241"/>
        <v xml:space="preserve"> </v>
      </c>
      <c r="BR92" s="221" t="str">
        <f t="shared" si="242"/>
        <v xml:space="preserve"> </v>
      </c>
      <c r="BS92" s="221" t="str">
        <f t="shared" si="243"/>
        <v xml:space="preserve"> </v>
      </c>
      <c r="BT92" s="221" t="str">
        <f t="shared" si="244"/>
        <v xml:space="preserve"> </v>
      </c>
      <c r="BU92" s="221" t="str">
        <f t="shared" si="245"/>
        <v xml:space="preserve"> </v>
      </c>
      <c r="BV92" s="221" t="str">
        <f t="shared" si="246"/>
        <v xml:space="preserve"> </v>
      </c>
      <c r="BW92" s="221" t="str">
        <f t="shared" si="247"/>
        <v xml:space="preserve"> </v>
      </c>
      <c r="BX92" s="421" t="str">
        <f t="shared" si="248"/>
        <v xml:space="preserve"> </v>
      </c>
      <c r="BY92" s="417" t="str">
        <f t="shared" si="249"/>
        <v xml:space="preserve"> </v>
      </c>
      <c r="BZ92" s="417" t="str">
        <f t="shared" si="250"/>
        <v xml:space="preserve"> </v>
      </c>
      <c r="CA92" s="422" t="str">
        <f t="shared" si="251"/>
        <v xml:space="preserve"> </v>
      </c>
      <c r="CB92" s="347" t="str">
        <f t="shared" si="195"/>
        <v xml:space="preserve"> </v>
      </c>
      <c r="CC92" s="347" t="str">
        <f t="shared" si="252"/>
        <v xml:space="preserve"> </v>
      </c>
      <c r="CD92" s="348" t="str">
        <f t="shared" si="196"/>
        <v xml:space="preserve"> </v>
      </c>
      <c r="CE92" s="347" t="str">
        <f t="shared" si="197"/>
        <v xml:space="preserve"> </v>
      </c>
      <c r="CF92" s="347" t="str">
        <f t="shared" si="198"/>
        <v xml:space="preserve"> </v>
      </c>
      <c r="CG92" s="348" t="str">
        <f t="shared" si="199"/>
        <v xml:space="preserve"> </v>
      </c>
      <c r="CH92" s="347" t="str">
        <f t="shared" si="253"/>
        <v xml:space="preserve"> </v>
      </c>
      <c r="CI92" s="349" t="str">
        <f>IF($A92="N/A"," ",F92+G92+(D92*('Pricing Inputs'!T125)))</f>
        <v xml:space="preserve"> </v>
      </c>
      <c r="CJ92" s="347" t="str">
        <f>IF($A92="N/A"," ",IF(PV=1,0,'Pricing Inputs'!U125))</f>
        <v xml:space="preserve"> </v>
      </c>
      <c r="CK92" s="350" t="str">
        <f t="shared" si="200"/>
        <v xml:space="preserve"> </v>
      </c>
      <c r="CL92" s="365" t="str">
        <f t="shared" si="201"/>
        <v xml:space="preserve"> </v>
      </c>
      <c r="CM92" s="380" t="str">
        <f t="shared" si="254"/>
        <v xml:space="preserve"> </v>
      </c>
      <c r="CN92" s="378" t="str">
        <f t="shared" si="202"/>
        <v xml:space="preserve"> </v>
      </c>
      <c r="CO92" s="378" t="str">
        <f t="shared" si="203"/>
        <v xml:space="preserve"> </v>
      </c>
      <c r="CP92" s="378" t="str">
        <f t="shared" si="204"/>
        <v xml:space="preserve"> </v>
      </c>
      <c r="CQ92" s="378" t="str">
        <f t="shared" si="205"/>
        <v xml:space="preserve"> </v>
      </c>
      <c r="CR92" s="378" t="str">
        <f t="shared" si="206"/>
        <v xml:space="preserve"> </v>
      </c>
      <c r="CS92" s="378" t="str">
        <f t="shared" si="207"/>
        <v xml:space="preserve"> </v>
      </c>
      <c r="CT92" s="378" t="str">
        <f t="shared" si="208"/>
        <v xml:space="preserve"> </v>
      </c>
      <c r="CU92" s="378" t="str">
        <f t="shared" si="209"/>
        <v xml:space="preserve"> </v>
      </c>
      <c r="CV92" s="378" t="str">
        <f t="shared" si="210"/>
        <v xml:space="preserve"> </v>
      </c>
      <c r="CW92" s="254" t="str">
        <f t="shared" si="211"/>
        <v xml:space="preserve"> </v>
      </c>
      <c r="CX92" s="254" t="str">
        <f t="shared" si="212"/>
        <v xml:space="preserve"> </v>
      </c>
      <c r="CY92" s="254" t="str">
        <f t="shared" si="213"/>
        <v xml:space="preserve"> </v>
      </c>
      <c r="CZ92" s="254" t="str">
        <f t="shared" si="214"/>
        <v xml:space="preserve"> </v>
      </c>
      <c r="DA92" s="254" t="str">
        <f t="shared" si="215"/>
        <v xml:space="preserve"> </v>
      </c>
      <c r="DB92" s="254" t="str">
        <f t="shared" si="216"/>
        <v xml:space="preserve"> </v>
      </c>
      <c r="DC92" s="254" t="str">
        <f t="shared" si="217"/>
        <v xml:space="preserve"> </v>
      </c>
      <c r="DD92" s="254" t="str">
        <f t="shared" si="218"/>
        <v xml:space="preserve"> </v>
      </c>
      <c r="DE92" s="254" t="str">
        <f t="shared" si="219"/>
        <v xml:space="preserve"> </v>
      </c>
      <c r="DF92" s="374" t="str">
        <f>IF($A92="N/A"," ",IF(CC=2,(IF(MONTH(A92)&gt;=4,IF(MONTH(A92)&lt;=10,Inputs!$G$13,Inputs!$G$14),Inputs!$G$14))*$CK92,0))</f>
        <v xml:space="preserve"> </v>
      </c>
      <c r="DG92" s="373" t="str">
        <f t="shared" si="220"/>
        <v xml:space="preserve"> </v>
      </c>
      <c r="DH92" s="373" t="str">
        <f t="shared" si="221"/>
        <v xml:space="preserve"> </v>
      </c>
      <c r="DI92" s="373" t="str">
        <f t="shared" si="222"/>
        <v xml:space="preserve"> </v>
      </c>
      <c r="DJ92" s="373" t="str">
        <f t="shared" si="223"/>
        <v xml:space="preserve"> </v>
      </c>
      <c r="DK92" s="373" t="str">
        <f t="shared" si="224"/>
        <v xml:space="preserve"> </v>
      </c>
      <c r="DL92" s="373" t="str">
        <f t="shared" si="225"/>
        <v xml:space="preserve"> </v>
      </c>
      <c r="DM92" s="373" t="str">
        <f t="shared" si="226"/>
        <v xml:space="preserve"> </v>
      </c>
      <c r="DN92" s="373" t="str">
        <f t="shared" si="227"/>
        <v xml:space="preserve"> </v>
      </c>
      <c r="DO92" s="373" t="str">
        <f t="shared" si="228"/>
        <v xml:space="preserve"> </v>
      </c>
      <c r="DP92" s="375" t="str">
        <f t="shared" si="229"/>
        <v xml:space="preserve"> </v>
      </c>
      <c r="DQ92" t="str">
        <f t="shared" si="255"/>
        <v xml:space="preserve"> </v>
      </c>
      <c r="HD92" t="str">
        <f t="shared" si="256"/>
        <v xml:space="preserve"> </v>
      </c>
      <c r="HE92" t="str">
        <f t="shared" si="257"/>
        <v xml:space="preserve"> </v>
      </c>
      <c r="HF92" t="str">
        <f t="shared" si="258"/>
        <v xml:space="preserve"> </v>
      </c>
    </row>
    <row r="93" spans="1:214">
      <c r="A93" s="415" t="str">
        <f>IF(A92="N/A","N/A",IF(EDATE(A92,1)&gt;Inputs!$K$3,"N/A",EDATE(A92,1)))</f>
        <v>N/A</v>
      </c>
      <c r="B93" s="410" t="str">
        <f t="shared" si="230"/>
        <v xml:space="preserve"> </v>
      </c>
      <c r="C93" s="411" t="str">
        <f t="shared" si="231"/>
        <v xml:space="preserve"> </v>
      </c>
      <c r="D93" s="412" t="str">
        <f t="shared" si="232"/>
        <v xml:space="preserve"> </v>
      </c>
      <c r="E93" s="413" t="str">
        <f>IF($A93="N/A"," ",(C93-'Pricing Inputs'!T126)*D93)</f>
        <v xml:space="preserve"> </v>
      </c>
      <c r="F93" s="414" t="str">
        <f t="shared" si="281"/>
        <v xml:space="preserve"> </v>
      </c>
      <c r="G93" s="414" t="str">
        <f t="shared" si="233"/>
        <v xml:space="preserve"> </v>
      </c>
      <c r="H93" s="416" t="str">
        <f t="shared" si="234"/>
        <v xml:space="preserve"> </v>
      </c>
      <c r="I93" s="213" t="str">
        <f t="shared" si="183"/>
        <v xml:space="preserve"> </v>
      </c>
      <c r="J93" s="213" t="str">
        <f t="shared" si="184"/>
        <v xml:space="preserve"> </v>
      </c>
      <c r="K93" s="213" t="str">
        <f t="shared" si="185"/>
        <v xml:space="preserve"> </v>
      </c>
      <c r="L93" s="213" t="str">
        <f t="shared" si="186"/>
        <v xml:space="preserve"> </v>
      </c>
      <c r="M93" s="213" t="str">
        <f t="shared" si="187"/>
        <v xml:space="preserve"> </v>
      </c>
      <c r="N93" s="213" t="str">
        <f t="shared" si="188"/>
        <v xml:space="preserve"> </v>
      </c>
      <c r="O93" s="213" t="str">
        <f t="shared" si="189"/>
        <v xml:space="preserve"> </v>
      </c>
      <c r="P93" s="213" t="str">
        <f t="shared" si="190"/>
        <v xml:space="preserve"> </v>
      </c>
      <c r="Q93" s="213" t="str">
        <f t="shared" si="191"/>
        <v xml:space="preserve"> </v>
      </c>
      <c r="R93" s="405" t="str">
        <f>IF($A93="N/A"," ",IF(Pricetype=2,MAX(I93-$H93,0),IF(Pricetype=1,(_xll.xSPRDOPT(I93,$E93,$CI93,0,($CD93+IF(Smile=TRUE,VLOOKUP(MAX(-5,$H93-I93),Volsmile,2),0)),$CG93,$CH93,($A93-DateToday)+15,1,0)),I93-$H93)))</f>
        <v xml:space="preserve"> </v>
      </c>
      <c r="S93" s="405" t="str">
        <f>IF($A93="N/A"," ",IF(Pricetype=2,MAX(J93-$H93,0),IF(Pricetype=1,(_xll.xSPRDOPT(J93,$E93,$CI93,0,($CD93+IF(Smile=TRUE,VLOOKUP(MAX(-5,$H93-J93),Volsmile,2),0)),$CG93,$CH93,($A93-DateToday)+15,1,0)),J93-$H93)))</f>
        <v xml:space="preserve"> </v>
      </c>
      <c r="T93" s="406" t="str">
        <f t="shared" si="192"/>
        <v xml:space="preserve"> </v>
      </c>
      <c r="U93" s="405" t="str">
        <f>IF($A93="N/A"," ",IF(Pricetype=2,MAX(L93-$H93,0),IF(L93&lt;&gt;0,IF(Pricetype=1,(_xll.xSPRDOPT(L93,$E93,$CI93,0,($CD93+IF(Smile=TRUE,VLOOKUP(MAX(-5,$H93-L93),Volsmile,2),0)),$CG93,$CH93,($A93-DateToday)+15,1,0)),L93-$H93),0)))</f>
        <v xml:space="preserve"> </v>
      </c>
      <c r="V93" s="405" t="str">
        <f>IF($A93="N/A"," ",IF(Pricetype=2,MAX(M93-$H93,0),IF(M93&lt;&gt;0,IF(Pricetype=1,(_xll.xSPRDOPT(M93,$E93,$CI93,0,($CD93+IF(Smile=TRUE,VLOOKUP(MAX(-5,$H93-M93),Volsmile,2),0)),$CG93,$CH93,($A93-DateToday)+15,1,0)),M93-$H93),0)))</f>
        <v xml:space="preserve"> </v>
      </c>
      <c r="W93" s="406" t="str">
        <f t="shared" si="193"/>
        <v xml:space="preserve"> </v>
      </c>
      <c r="X93" s="405" t="str">
        <f>IF($A93="N/A"," ",IF(Pricetype=2,MAX(O93-$H93,0),IF(O93&lt;&gt;0,IF(Pricetype=1,(_xll.xSPRDOPT(O93,$E93,$CI93,0,($CD93+IF(Smile=TRUE,VLOOKUP(MAX(-5,$H93-O93),Volsmile,2),0)),$CG93,$CH93,($A93-DateToday)+15,1,0)),O93-$H93),0)))</f>
        <v xml:space="preserve"> </v>
      </c>
      <c r="Y93" s="405" t="str">
        <f>IF($A93="N/A"," ",IF(Pricetype=2,MAX(P93-$H93,0),IF(P93&lt;&gt;0,IF(Pricetype=1,(_xll.xSPRDOPT(P93,$E93,$CI93,0,($CD93+IF(Smile=TRUE,VLOOKUP(MAX(-5,$H93-P93),Volsmile,2),0)),$CG93,$CH93,($A93-DateToday)+15,1,0)),P93-$H93),0)))</f>
        <v xml:space="preserve"> </v>
      </c>
      <c r="Z93" s="406" t="str">
        <f t="shared" si="194"/>
        <v xml:space="preserve"> </v>
      </c>
      <c r="AA93" s="254" t="str">
        <f>IF($A93="N/A"," ",IF(VLOOKUP(MONTH(A93),ManualTable,2)=1,(IF(0&lt;&gt;R93,IF(Pricetype=1,(_xll.xSPRDOPT(I93,$E93,$CI93,0,($CD93+IF(Smile=TRUE,VLOOKUP(MAX(-5,$H93-I93),Volsmile,2),0)),$CG93,$CH93,($A93-DateToday)+15,1,1))*(8*$HD93),8*$HD93),0)),0))</f>
        <v xml:space="preserve"> </v>
      </c>
      <c r="AB93" s="254" t="str">
        <f>IF($A93="N/A"," ",IF(VLOOKUP(MONTH(A93),ManualTable,3)=1,(IF(S93&lt;&gt;0,IF(Pricetype=1,(_xll.xSPRDOPT(J93,$E93,$CI93,0,($CD93+IF(Smile=TRUE,VLOOKUP(MAX(-5,$H93-J93),Volsmile,2),0)),$CG93,$CH93,($A93-DateToday)+15,1,1))*(8*$HD93),8*$HD93),0)),0))</f>
        <v xml:space="preserve"> </v>
      </c>
      <c r="AC93" s="254" t="str">
        <f t="shared" si="235"/>
        <v xml:space="preserve"> </v>
      </c>
      <c r="AD93" s="254" t="str">
        <f>IF($A93="N/A"," ",IF(VLOOKUP(MONTH(A93),ManualTable,5)=1,(IF(U93&lt;&gt;0,IF(Pricetype=1,(_xll.xSPRDOPT(L93,$E93,$CI93,0,($CD93+IF(Smile=TRUE,VLOOKUP(MAX(-5,$H93-L93),Volsmile,2),0)),$CG93,$CH93,($A93-DateToday)+15,1,1))*(8*$HE93),8*$HE93),0)),0))</f>
        <v xml:space="preserve"> </v>
      </c>
      <c r="AE93" s="254" t="str">
        <f>IF($A93="N/A"," ",IF(VLOOKUP(MONTH(A93),ManualTable,6)=1,(IF(V93&lt;&gt;0,IF(Pricetype=1,(_xll.xSPRDOPT(M93,$E93,$CI93,0,($CD93+IF(Smile=TRUE,VLOOKUP(MAX(-5,$H93-M93),Volsmile,2),0)),$CG93,$CH93,($A93-DateToday)+15,1,1))*(8*$HE93),8*$HE93),0)),0))</f>
        <v xml:space="preserve"> </v>
      </c>
      <c r="AF93" s="254" t="str">
        <f t="shared" si="236"/>
        <v xml:space="preserve"> </v>
      </c>
      <c r="AG93" s="254" t="str">
        <f>IF($A93="N/A"," ",IF(VLOOKUP(MONTH(A93),ManualTable,8)=1,(IF(X93&lt;&gt;0,IF(Pricetype=1,(_xll.xSPRDOPT(O93,$E93,$CI93,0,($CD93+IF(Smile=TRUE,VLOOKUP(MAX(-5,$H93-O93),Volsmile,2),0)),$CG93,$CH93,($A93-DateToday)+15,1,1))*(8*$HF93),8*$HF93),0)),0))</f>
        <v xml:space="preserve"> </v>
      </c>
      <c r="AH93" s="254" t="str">
        <f>IF($A93="N/A"," ",IF(VLOOKUP(MONTH(A93),ManualTable,9)=1,(IF(Y93&lt;&gt;0,IF(Pricetype=1,(_xll.xSPRDOPT(P93,$E93,$CI93,0,($CD93+IF(Smile=TRUE,VLOOKUP(MAX(-5,$H93-P93),Volsmile,2),0)),$CG93,$CH93,($A93-DateToday)+15,1,1))*(8*$HF93),8*$HF93),0)),0))</f>
        <v xml:space="preserve"> </v>
      </c>
      <c r="AI93" s="254" t="str">
        <f t="shared" si="237"/>
        <v xml:space="preserve"> </v>
      </c>
      <c r="AJ93" s="227" t="str">
        <f t="shared" si="290"/>
        <v xml:space="preserve"> </v>
      </c>
      <c r="AK93" s="228" t="str">
        <f t="shared" si="291"/>
        <v xml:space="preserve"> </v>
      </c>
      <c r="AL93" s="228" t="str">
        <f t="shared" si="291"/>
        <v xml:space="preserve"> </v>
      </c>
      <c r="AM93" s="228" t="str">
        <f t="shared" si="292"/>
        <v xml:space="preserve"> </v>
      </c>
      <c r="AN93" s="228" t="str">
        <f t="shared" si="293"/>
        <v xml:space="preserve"> </v>
      </c>
      <c r="AO93" s="228" t="str">
        <f t="shared" si="293"/>
        <v xml:space="preserve"> </v>
      </c>
      <c r="AP93" s="228" t="str">
        <f t="shared" si="294"/>
        <v xml:space="preserve"> </v>
      </c>
      <c r="AQ93" s="228" t="str">
        <f t="shared" si="295"/>
        <v xml:space="preserve"> </v>
      </c>
      <c r="AR93" s="229" t="str">
        <f t="shared" si="296"/>
        <v xml:space="preserve"> </v>
      </c>
      <c r="AS93" s="262" t="str">
        <f t="shared" si="274"/>
        <v xml:space="preserve"> </v>
      </c>
      <c r="AT93" s="263" t="str">
        <f t="shared" si="275"/>
        <v xml:space="preserve"> </v>
      </c>
      <c r="AU93" s="263" t="str">
        <f t="shared" si="275"/>
        <v xml:space="preserve"> </v>
      </c>
      <c r="AV93" s="263" t="str">
        <f t="shared" si="276"/>
        <v xml:space="preserve"> </v>
      </c>
      <c r="AW93" s="263" t="str">
        <f t="shared" si="277"/>
        <v xml:space="preserve"> </v>
      </c>
      <c r="AX93" s="263" t="str">
        <f t="shared" si="277"/>
        <v xml:space="preserve"> </v>
      </c>
      <c r="AY93" s="263" t="str">
        <f t="shared" si="278"/>
        <v xml:space="preserve"> </v>
      </c>
      <c r="AZ93" s="263" t="str">
        <f t="shared" si="279"/>
        <v xml:space="preserve"> </v>
      </c>
      <c r="BA93" s="263" t="str">
        <f t="shared" si="280"/>
        <v xml:space="preserve"> </v>
      </c>
      <c r="BB93" s="229"/>
      <c r="BC93" s="266" t="str">
        <f t="shared" si="283"/>
        <v xml:space="preserve"> </v>
      </c>
      <c r="BD93" s="269" t="str">
        <f t="shared" si="284"/>
        <v xml:space="preserve"> </v>
      </c>
      <c r="BE93" s="269" t="str">
        <f t="shared" si="284"/>
        <v xml:space="preserve"> </v>
      </c>
      <c r="BF93" s="269" t="str">
        <f t="shared" si="285"/>
        <v xml:space="preserve"> </v>
      </c>
      <c r="BG93" s="269" t="str">
        <f t="shared" si="286"/>
        <v xml:space="preserve"> </v>
      </c>
      <c r="BH93" s="269" t="str">
        <f t="shared" si="286"/>
        <v xml:space="preserve"> </v>
      </c>
      <c r="BI93" s="269" t="str">
        <f t="shared" si="287"/>
        <v xml:space="preserve"> </v>
      </c>
      <c r="BJ93" s="269" t="str">
        <f t="shared" si="288"/>
        <v xml:space="preserve"> </v>
      </c>
      <c r="BK93" s="269" t="str">
        <f t="shared" si="289"/>
        <v xml:space="preserve"> </v>
      </c>
      <c r="BL93" s="229"/>
      <c r="BM93" s="220" t="str">
        <f>IF($A93="N/A"," ",(IF(MONTH(A93)&gt;=4,IF(MONTH(A93)&lt;=10,Inputs!$F$13-Inputs!$G$13,Inputs!$F$14-Inputs!$G$14),Inputs!$F$14-Inputs!$G$14))*$CK93*Availability)</f>
        <v xml:space="preserve"> </v>
      </c>
      <c r="BN93" s="221" t="str">
        <f t="shared" si="238"/>
        <v xml:space="preserve"> </v>
      </c>
      <c r="BO93" s="221" t="str">
        <f t="shared" si="239"/>
        <v xml:space="preserve"> </v>
      </c>
      <c r="BP93" s="221" t="str">
        <f t="shared" si="240"/>
        <v xml:space="preserve"> </v>
      </c>
      <c r="BQ93" s="221" t="str">
        <f t="shared" si="241"/>
        <v xml:space="preserve"> </v>
      </c>
      <c r="BR93" s="221" t="str">
        <f t="shared" si="242"/>
        <v xml:space="preserve"> </v>
      </c>
      <c r="BS93" s="221" t="str">
        <f t="shared" si="243"/>
        <v xml:space="preserve"> </v>
      </c>
      <c r="BT93" s="221" t="str">
        <f t="shared" si="244"/>
        <v xml:space="preserve"> </v>
      </c>
      <c r="BU93" s="221" t="str">
        <f t="shared" si="245"/>
        <v xml:space="preserve"> </v>
      </c>
      <c r="BV93" s="221" t="str">
        <f t="shared" si="246"/>
        <v xml:space="preserve"> </v>
      </c>
      <c r="BW93" s="221" t="str">
        <f t="shared" si="247"/>
        <v xml:space="preserve"> </v>
      </c>
      <c r="BX93" s="421" t="str">
        <f t="shared" si="248"/>
        <v xml:space="preserve"> </v>
      </c>
      <c r="BY93" s="417" t="str">
        <f t="shared" si="249"/>
        <v xml:space="preserve"> </v>
      </c>
      <c r="BZ93" s="417" t="str">
        <f t="shared" si="250"/>
        <v xml:space="preserve"> </v>
      </c>
      <c r="CA93" s="422" t="str">
        <f t="shared" si="251"/>
        <v xml:space="preserve"> </v>
      </c>
      <c r="CB93" s="347" t="str">
        <f t="shared" si="195"/>
        <v xml:space="preserve"> </v>
      </c>
      <c r="CC93" s="347" t="str">
        <f t="shared" si="252"/>
        <v xml:space="preserve"> </v>
      </c>
      <c r="CD93" s="348" t="str">
        <f t="shared" si="196"/>
        <v xml:space="preserve"> </v>
      </c>
      <c r="CE93" s="347" t="str">
        <f t="shared" si="197"/>
        <v xml:space="preserve"> </v>
      </c>
      <c r="CF93" s="347" t="str">
        <f t="shared" si="198"/>
        <v xml:space="preserve"> </v>
      </c>
      <c r="CG93" s="348" t="str">
        <f t="shared" si="199"/>
        <v xml:space="preserve"> </v>
      </c>
      <c r="CH93" s="347" t="str">
        <f t="shared" si="253"/>
        <v xml:space="preserve"> </v>
      </c>
      <c r="CI93" s="349" t="str">
        <f>IF($A93="N/A"," ",F93+G93+(D93*('Pricing Inputs'!T126)))</f>
        <v xml:space="preserve"> </v>
      </c>
      <c r="CJ93" s="347" t="str">
        <f>IF($A93="N/A"," ",IF(PV=1,0,'Pricing Inputs'!U126))</f>
        <v xml:space="preserve"> </v>
      </c>
      <c r="CK93" s="350" t="str">
        <f t="shared" si="200"/>
        <v xml:space="preserve"> </v>
      </c>
      <c r="CL93" s="365" t="str">
        <f t="shared" si="201"/>
        <v xml:space="preserve"> </v>
      </c>
      <c r="CM93" s="380" t="str">
        <f t="shared" si="254"/>
        <v xml:space="preserve"> </v>
      </c>
      <c r="CN93" s="378" t="str">
        <f t="shared" si="202"/>
        <v xml:space="preserve"> </v>
      </c>
      <c r="CO93" s="378" t="str">
        <f t="shared" si="203"/>
        <v xml:space="preserve"> </v>
      </c>
      <c r="CP93" s="378" t="str">
        <f t="shared" si="204"/>
        <v xml:space="preserve"> </v>
      </c>
      <c r="CQ93" s="378" t="str">
        <f t="shared" si="205"/>
        <v xml:space="preserve"> </v>
      </c>
      <c r="CR93" s="378" t="str">
        <f t="shared" si="206"/>
        <v xml:space="preserve"> </v>
      </c>
      <c r="CS93" s="378" t="str">
        <f t="shared" si="207"/>
        <v xml:space="preserve"> </v>
      </c>
      <c r="CT93" s="378" t="str">
        <f t="shared" si="208"/>
        <v xml:space="preserve"> </v>
      </c>
      <c r="CU93" s="378" t="str">
        <f t="shared" si="209"/>
        <v xml:space="preserve"> </v>
      </c>
      <c r="CV93" s="378" t="str">
        <f t="shared" si="210"/>
        <v xml:space="preserve"> </v>
      </c>
      <c r="CW93" s="254" t="str">
        <f t="shared" si="211"/>
        <v xml:space="preserve"> </v>
      </c>
      <c r="CX93" s="254" t="str">
        <f t="shared" si="212"/>
        <v xml:space="preserve"> </v>
      </c>
      <c r="CY93" s="254" t="str">
        <f t="shared" si="213"/>
        <v xml:space="preserve"> </v>
      </c>
      <c r="CZ93" s="254" t="str">
        <f t="shared" si="214"/>
        <v xml:space="preserve"> </v>
      </c>
      <c r="DA93" s="254" t="str">
        <f t="shared" si="215"/>
        <v xml:space="preserve"> </v>
      </c>
      <c r="DB93" s="254" t="str">
        <f t="shared" si="216"/>
        <v xml:space="preserve"> </v>
      </c>
      <c r="DC93" s="254" t="str">
        <f t="shared" si="217"/>
        <v xml:space="preserve"> </v>
      </c>
      <c r="DD93" s="254" t="str">
        <f t="shared" si="218"/>
        <v xml:space="preserve"> </v>
      </c>
      <c r="DE93" s="254" t="str">
        <f t="shared" si="219"/>
        <v xml:space="preserve"> </v>
      </c>
      <c r="DF93" s="374" t="str">
        <f>IF($A93="N/A"," ",IF(CC=2,(IF(MONTH(A93)&gt;=4,IF(MONTH(A93)&lt;=10,Inputs!$G$13,Inputs!$G$14),Inputs!$G$14))*$CK93,0))</f>
        <v xml:space="preserve"> </v>
      </c>
      <c r="DG93" s="373" t="str">
        <f t="shared" si="220"/>
        <v xml:space="preserve"> </v>
      </c>
      <c r="DH93" s="373" t="str">
        <f t="shared" si="221"/>
        <v xml:space="preserve"> </v>
      </c>
      <c r="DI93" s="373" t="str">
        <f t="shared" si="222"/>
        <v xml:space="preserve"> </v>
      </c>
      <c r="DJ93" s="373" t="str">
        <f t="shared" si="223"/>
        <v xml:space="preserve"> </v>
      </c>
      <c r="DK93" s="373" t="str">
        <f t="shared" si="224"/>
        <v xml:space="preserve"> </v>
      </c>
      <c r="DL93" s="373" t="str">
        <f t="shared" si="225"/>
        <v xml:space="preserve"> </v>
      </c>
      <c r="DM93" s="373" t="str">
        <f t="shared" si="226"/>
        <v xml:space="preserve"> </v>
      </c>
      <c r="DN93" s="373" t="str">
        <f t="shared" si="227"/>
        <v xml:space="preserve"> </v>
      </c>
      <c r="DO93" s="373" t="str">
        <f t="shared" si="228"/>
        <v xml:space="preserve"> </v>
      </c>
      <c r="DP93" s="375" t="str">
        <f t="shared" si="229"/>
        <v xml:space="preserve"> </v>
      </c>
      <c r="DQ93" t="str">
        <f t="shared" si="255"/>
        <v xml:space="preserve"> </v>
      </c>
      <c r="HD93" t="str">
        <f t="shared" si="256"/>
        <v xml:space="preserve"> </v>
      </c>
      <c r="HE93" t="str">
        <f t="shared" si="257"/>
        <v xml:space="preserve"> </v>
      </c>
      <c r="HF93" t="str">
        <f t="shared" si="258"/>
        <v xml:space="preserve"> </v>
      </c>
    </row>
    <row r="94" spans="1:214">
      <c r="A94" s="415" t="str">
        <f>IF(A93="N/A","N/A",IF(EDATE(A93,1)&gt;Inputs!$K$3,"N/A",EDATE(A93,1)))</f>
        <v>N/A</v>
      </c>
      <c r="B94" s="410" t="str">
        <f t="shared" si="230"/>
        <v xml:space="preserve"> </v>
      </c>
      <c r="C94" s="411" t="str">
        <f t="shared" si="231"/>
        <v xml:space="preserve"> </v>
      </c>
      <c r="D94" s="412" t="str">
        <f t="shared" si="232"/>
        <v xml:space="preserve"> </v>
      </c>
      <c r="E94" s="413" t="str">
        <f>IF($A94="N/A"," ",(C94-'Pricing Inputs'!T127)*D94)</f>
        <v xml:space="preserve"> </v>
      </c>
      <c r="F94" s="414" t="str">
        <f t="shared" si="281"/>
        <v xml:space="preserve"> </v>
      </c>
      <c r="G94" s="414" t="str">
        <f t="shared" si="233"/>
        <v xml:space="preserve"> </v>
      </c>
      <c r="H94" s="416" t="str">
        <f t="shared" si="234"/>
        <v xml:space="preserve"> </v>
      </c>
      <c r="I94" s="213" t="str">
        <f t="shared" si="183"/>
        <v xml:space="preserve"> </v>
      </c>
      <c r="J94" s="213" t="str">
        <f t="shared" si="184"/>
        <v xml:space="preserve"> </v>
      </c>
      <c r="K94" s="213" t="str">
        <f t="shared" si="185"/>
        <v xml:space="preserve"> </v>
      </c>
      <c r="L94" s="213" t="str">
        <f t="shared" si="186"/>
        <v xml:space="preserve"> </v>
      </c>
      <c r="M94" s="213" t="str">
        <f t="shared" si="187"/>
        <v xml:space="preserve"> </v>
      </c>
      <c r="N94" s="213" t="str">
        <f t="shared" si="188"/>
        <v xml:space="preserve"> </v>
      </c>
      <c r="O94" s="213" t="str">
        <f t="shared" si="189"/>
        <v xml:space="preserve"> </v>
      </c>
      <c r="P94" s="213" t="str">
        <f t="shared" si="190"/>
        <v xml:space="preserve"> </v>
      </c>
      <c r="Q94" s="213" t="str">
        <f t="shared" si="191"/>
        <v xml:space="preserve"> </v>
      </c>
      <c r="R94" s="405" t="str">
        <f>IF($A94="N/A"," ",IF(Pricetype=2,MAX(I94-$H94,0),IF(Pricetype=1,(_xll.xSPRDOPT(I94,$E94,$CI94,0,($CD94+IF(Smile=TRUE,VLOOKUP(MAX(-5,$H94-I94),Volsmile,2),0)),$CG94,$CH94,($A94-DateToday)+15,1,0)),I94-$H94)))</f>
        <v xml:space="preserve"> </v>
      </c>
      <c r="S94" s="405" t="str">
        <f>IF($A94="N/A"," ",IF(Pricetype=2,MAX(J94-$H94,0),IF(Pricetype=1,(_xll.xSPRDOPT(J94,$E94,$CI94,0,($CD94+IF(Smile=TRUE,VLOOKUP(MAX(-5,$H94-J94),Volsmile,2),0)),$CG94,$CH94,($A94-DateToday)+15,1,0)),J94-$H94)))</f>
        <v xml:space="preserve"> </v>
      </c>
      <c r="T94" s="406" t="str">
        <f t="shared" si="192"/>
        <v xml:space="preserve"> </v>
      </c>
      <c r="U94" s="405" t="str">
        <f>IF($A94="N/A"," ",IF(Pricetype=2,MAX(L94-$H94,0),IF(L94&lt;&gt;0,IF(Pricetype=1,(_xll.xSPRDOPT(L94,$E94,$CI94,0,($CD94+IF(Smile=TRUE,VLOOKUP(MAX(-5,$H94-L94),Volsmile,2),0)),$CG94,$CH94,($A94-DateToday)+15,1,0)),L94-$H94),0)))</f>
        <v xml:space="preserve"> </v>
      </c>
      <c r="V94" s="405" t="str">
        <f>IF($A94="N/A"," ",IF(Pricetype=2,MAX(M94-$H94,0),IF(M94&lt;&gt;0,IF(Pricetype=1,(_xll.xSPRDOPT(M94,$E94,$CI94,0,($CD94+IF(Smile=TRUE,VLOOKUP(MAX(-5,$H94-M94),Volsmile,2),0)),$CG94,$CH94,($A94-DateToday)+15,1,0)),M94-$H94),0)))</f>
        <v xml:space="preserve"> </v>
      </c>
      <c r="W94" s="406" t="str">
        <f t="shared" si="193"/>
        <v xml:space="preserve"> </v>
      </c>
      <c r="X94" s="405" t="str">
        <f>IF($A94="N/A"," ",IF(Pricetype=2,MAX(O94-$H94,0),IF(O94&lt;&gt;0,IF(Pricetype=1,(_xll.xSPRDOPT(O94,$E94,$CI94,0,($CD94+IF(Smile=TRUE,VLOOKUP(MAX(-5,$H94-O94),Volsmile,2),0)),$CG94,$CH94,($A94-DateToday)+15,1,0)),O94-$H94),0)))</f>
        <v xml:space="preserve"> </v>
      </c>
      <c r="Y94" s="405" t="str">
        <f>IF($A94="N/A"," ",IF(Pricetype=2,MAX(P94-$H94,0),IF(P94&lt;&gt;0,IF(Pricetype=1,(_xll.xSPRDOPT(P94,$E94,$CI94,0,($CD94+IF(Smile=TRUE,VLOOKUP(MAX(-5,$H94-P94),Volsmile,2),0)),$CG94,$CH94,($A94-DateToday)+15,1,0)),P94-$H94),0)))</f>
        <v xml:space="preserve"> </v>
      </c>
      <c r="Z94" s="406" t="str">
        <f t="shared" si="194"/>
        <v xml:space="preserve"> </v>
      </c>
      <c r="AA94" s="254" t="str">
        <f>IF($A94="N/A"," ",IF(VLOOKUP(MONTH(A94),ManualTable,2)=1,(IF(0&lt;&gt;R94,IF(Pricetype=1,(_xll.xSPRDOPT(I94,$E94,$CI94,0,($CD94+IF(Smile=TRUE,VLOOKUP(MAX(-5,$H94-I94),Volsmile,2),0)),$CG94,$CH94,($A94-DateToday)+15,1,1))*(8*$HD94),8*$HD94),0)),0))</f>
        <v xml:space="preserve"> </v>
      </c>
      <c r="AB94" s="254" t="str">
        <f>IF($A94="N/A"," ",IF(VLOOKUP(MONTH(A94),ManualTable,3)=1,(IF(S94&lt;&gt;0,IF(Pricetype=1,(_xll.xSPRDOPT(J94,$E94,$CI94,0,($CD94+IF(Smile=TRUE,VLOOKUP(MAX(-5,$H94-J94),Volsmile,2),0)),$CG94,$CH94,($A94-DateToday)+15,1,1))*(8*$HD94),8*$HD94),0)),0))</f>
        <v xml:space="preserve"> </v>
      </c>
      <c r="AC94" s="254" t="str">
        <f t="shared" si="235"/>
        <v xml:space="preserve"> </v>
      </c>
      <c r="AD94" s="254" t="str">
        <f>IF($A94="N/A"," ",IF(VLOOKUP(MONTH(A94),ManualTable,5)=1,(IF(U94&lt;&gt;0,IF(Pricetype=1,(_xll.xSPRDOPT(L94,$E94,$CI94,0,($CD94+IF(Smile=TRUE,VLOOKUP(MAX(-5,$H94-L94),Volsmile,2),0)),$CG94,$CH94,($A94-DateToday)+15,1,1))*(8*$HE94),8*$HE94),0)),0))</f>
        <v xml:space="preserve"> </v>
      </c>
      <c r="AE94" s="254" t="str">
        <f>IF($A94="N/A"," ",IF(VLOOKUP(MONTH(A94),ManualTable,6)=1,(IF(V94&lt;&gt;0,IF(Pricetype=1,(_xll.xSPRDOPT(M94,$E94,$CI94,0,($CD94+IF(Smile=TRUE,VLOOKUP(MAX(-5,$H94-M94),Volsmile,2),0)),$CG94,$CH94,($A94-DateToday)+15,1,1))*(8*$HE94),8*$HE94),0)),0))</f>
        <v xml:space="preserve"> </v>
      </c>
      <c r="AF94" s="254" t="str">
        <f t="shared" si="236"/>
        <v xml:space="preserve"> </v>
      </c>
      <c r="AG94" s="254" t="str">
        <f>IF($A94="N/A"," ",IF(VLOOKUP(MONTH(A94),ManualTable,8)=1,(IF(X94&lt;&gt;0,IF(Pricetype=1,(_xll.xSPRDOPT(O94,$E94,$CI94,0,($CD94+IF(Smile=TRUE,VLOOKUP(MAX(-5,$H94-O94),Volsmile,2),0)),$CG94,$CH94,($A94-DateToday)+15,1,1))*(8*$HF94),8*$HF94),0)),0))</f>
        <v xml:space="preserve"> </v>
      </c>
      <c r="AH94" s="254" t="str">
        <f>IF($A94="N/A"," ",IF(VLOOKUP(MONTH(A94),ManualTable,9)=1,(IF(Y94&lt;&gt;0,IF(Pricetype=1,(_xll.xSPRDOPT(P94,$E94,$CI94,0,($CD94+IF(Smile=TRUE,VLOOKUP(MAX(-5,$H94-P94),Volsmile,2),0)),$CG94,$CH94,($A94-DateToday)+15,1,1))*(8*$HF94),8*$HF94),0)),0))</f>
        <v xml:space="preserve"> </v>
      </c>
      <c r="AI94" s="254" t="str">
        <f t="shared" si="237"/>
        <v xml:space="preserve"> </v>
      </c>
      <c r="AJ94" s="227" t="str">
        <f t="shared" si="290"/>
        <v xml:space="preserve"> </v>
      </c>
      <c r="AK94" s="228" t="str">
        <f t="shared" si="291"/>
        <v xml:space="preserve"> </v>
      </c>
      <c r="AL94" s="228" t="str">
        <f t="shared" si="291"/>
        <v xml:space="preserve"> </v>
      </c>
      <c r="AM94" s="228" t="str">
        <f t="shared" si="292"/>
        <v xml:space="preserve"> </v>
      </c>
      <c r="AN94" s="228" t="str">
        <f t="shared" si="293"/>
        <v xml:space="preserve"> </v>
      </c>
      <c r="AO94" s="228" t="str">
        <f t="shared" si="293"/>
        <v xml:space="preserve"> </v>
      </c>
      <c r="AP94" s="228" t="str">
        <f t="shared" si="294"/>
        <v xml:space="preserve"> </v>
      </c>
      <c r="AQ94" s="228" t="str">
        <f t="shared" si="295"/>
        <v xml:space="preserve"> </v>
      </c>
      <c r="AR94" s="229" t="str">
        <f t="shared" si="296"/>
        <v xml:space="preserve"> </v>
      </c>
      <c r="AS94" s="262" t="str">
        <f t="shared" si="274"/>
        <v xml:space="preserve"> </v>
      </c>
      <c r="AT94" s="263" t="str">
        <f t="shared" si="275"/>
        <v xml:space="preserve"> </v>
      </c>
      <c r="AU94" s="263" t="str">
        <f t="shared" si="275"/>
        <v xml:space="preserve"> </v>
      </c>
      <c r="AV94" s="263" t="str">
        <f t="shared" si="276"/>
        <v xml:space="preserve"> </v>
      </c>
      <c r="AW94" s="263" t="str">
        <f t="shared" si="277"/>
        <v xml:space="preserve"> </v>
      </c>
      <c r="AX94" s="263" t="str">
        <f t="shared" si="277"/>
        <v xml:space="preserve"> </v>
      </c>
      <c r="AY94" s="263" t="str">
        <f t="shared" si="278"/>
        <v xml:space="preserve"> </v>
      </c>
      <c r="AZ94" s="263" t="str">
        <f t="shared" si="279"/>
        <v xml:space="preserve"> </v>
      </c>
      <c r="BA94" s="263" t="str">
        <f t="shared" si="280"/>
        <v xml:space="preserve"> </v>
      </c>
      <c r="BB94" s="229"/>
      <c r="BC94" s="266" t="str">
        <f t="shared" si="283"/>
        <v xml:space="preserve"> </v>
      </c>
      <c r="BD94" s="269" t="str">
        <f t="shared" si="284"/>
        <v xml:space="preserve"> </v>
      </c>
      <c r="BE94" s="269" t="str">
        <f t="shared" si="284"/>
        <v xml:space="preserve"> </v>
      </c>
      <c r="BF94" s="269" t="str">
        <f t="shared" si="285"/>
        <v xml:space="preserve"> </v>
      </c>
      <c r="BG94" s="269" t="str">
        <f t="shared" si="286"/>
        <v xml:space="preserve"> </v>
      </c>
      <c r="BH94" s="269" t="str">
        <f t="shared" si="286"/>
        <v xml:space="preserve"> </v>
      </c>
      <c r="BI94" s="269" t="str">
        <f t="shared" si="287"/>
        <v xml:space="preserve"> </v>
      </c>
      <c r="BJ94" s="269" t="str">
        <f t="shared" si="288"/>
        <v xml:space="preserve"> </v>
      </c>
      <c r="BK94" s="269" t="str">
        <f t="shared" si="289"/>
        <v xml:space="preserve"> </v>
      </c>
      <c r="BL94" s="229"/>
      <c r="BM94" s="220" t="str">
        <f>IF($A94="N/A"," ",(IF(MONTH(A94)&gt;=4,IF(MONTH(A94)&lt;=10,Inputs!$F$13-Inputs!$G$13,Inputs!$F$14-Inputs!$G$14),Inputs!$F$14-Inputs!$G$14))*$CK94*Availability)</f>
        <v xml:space="preserve"> </v>
      </c>
      <c r="BN94" s="221" t="str">
        <f t="shared" si="238"/>
        <v xml:space="preserve"> </v>
      </c>
      <c r="BO94" s="221" t="str">
        <f t="shared" si="239"/>
        <v xml:space="preserve"> </v>
      </c>
      <c r="BP94" s="221" t="str">
        <f t="shared" si="240"/>
        <v xml:space="preserve"> </v>
      </c>
      <c r="BQ94" s="221" t="str">
        <f t="shared" si="241"/>
        <v xml:space="preserve"> </v>
      </c>
      <c r="BR94" s="221" t="str">
        <f t="shared" si="242"/>
        <v xml:space="preserve"> </v>
      </c>
      <c r="BS94" s="221" t="str">
        <f t="shared" si="243"/>
        <v xml:space="preserve"> </v>
      </c>
      <c r="BT94" s="221" t="str">
        <f t="shared" si="244"/>
        <v xml:space="preserve"> </v>
      </c>
      <c r="BU94" s="221" t="str">
        <f t="shared" si="245"/>
        <v xml:space="preserve"> </v>
      </c>
      <c r="BV94" s="221" t="str">
        <f t="shared" si="246"/>
        <v xml:space="preserve"> </v>
      </c>
      <c r="BW94" s="221" t="str">
        <f t="shared" si="247"/>
        <v xml:space="preserve"> </v>
      </c>
      <c r="BX94" s="421" t="str">
        <f t="shared" si="248"/>
        <v xml:space="preserve"> </v>
      </c>
      <c r="BY94" s="417" t="str">
        <f t="shared" si="249"/>
        <v xml:space="preserve"> </v>
      </c>
      <c r="BZ94" s="417" t="str">
        <f t="shared" si="250"/>
        <v xml:space="preserve"> </v>
      </c>
      <c r="CA94" s="422" t="str">
        <f t="shared" si="251"/>
        <v xml:space="preserve"> </v>
      </c>
      <c r="CB94" s="347" t="str">
        <f t="shared" si="195"/>
        <v xml:space="preserve"> </v>
      </c>
      <c r="CC94" s="347" t="str">
        <f t="shared" si="252"/>
        <v xml:space="preserve"> </v>
      </c>
      <c r="CD94" s="348" t="str">
        <f t="shared" si="196"/>
        <v xml:space="preserve"> </v>
      </c>
      <c r="CE94" s="347" t="str">
        <f t="shared" si="197"/>
        <v xml:space="preserve"> </v>
      </c>
      <c r="CF94" s="347" t="str">
        <f t="shared" si="198"/>
        <v xml:space="preserve"> </v>
      </c>
      <c r="CG94" s="348" t="str">
        <f t="shared" si="199"/>
        <v xml:space="preserve"> </v>
      </c>
      <c r="CH94" s="347" t="str">
        <f t="shared" si="253"/>
        <v xml:space="preserve"> </v>
      </c>
      <c r="CI94" s="349" t="str">
        <f>IF($A94="N/A"," ",F94+G94+(D94*('Pricing Inputs'!T127)))</f>
        <v xml:space="preserve"> </v>
      </c>
      <c r="CJ94" s="347" t="str">
        <f>IF($A94="N/A"," ",IF(PV=1,0,'Pricing Inputs'!U127))</f>
        <v xml:space="preserve"> </v>
      </c>
      <c r="CK94" s="350" t="str">
        <f t="shared" si="200"/>
        <v xml:space="preserve"> </v>
      </c>
      <c r="CL94" s="365" t="str">
        <f t="shared" si="201"/>
        <v xml:space="preserve"> </v>
      </c>
      <c r="CM94" s="380" t="str">
        <f t="shared" si="254"/>
        <v xml:space="preserve"> </v>
      </c>
      <c r="CN94" s="378" t="str">
        <f t="shared" si="202"/>
        <v xml:space="preserve"> </v>
      </c>
      <c r="CO94" s="378" t="str">
        <f t="shared" si="203"/>
        <v xml:space="preserve"> </v>
      </c>
      <c r="CP94" s="378" t="str">
        <f t="shared" si="204"/>
        <v xml:space="preserve"> </v>
      </c>
      <c r="CQ94" s="378" t="str">
        <f t="shared" si="205"/>
        <v xml:space="preserve"> </v>
      </c>
      <c r="CR94" s="378" t="str">
        <f t="shared" si="206"/>
        <v xml:space="preserve"> </v>
      </c>
      <c r="CS94" s="378" t="str">
        <f t="shared" si="207"/>
        <v xml:space="preserve"> </v>
      </c>
      <c r="CT94" s="378" t="str">
        <f t="shared" si="208"/>
        <v xml:space="preserve"> </v>
      </c>
      <c r="CU94" s="378" t="str">
        <f t="shared" si="209"/>
        <v xml:space="preserve"> </v>
      </c>
      <c r="CV94" s="378" t="str">
        <f t="shared" si="210"/>
        <v xml:space="preserve"> </v>
      </c>
      <c r="CW94" s="254" t="str">
        <f t="shared" si="211"/>
        <v xml:space="preserve"> </v>
      </c>
      <c r="CX94" s="254" t="str">
        <f t="shared" si="212"/>
        <v xml:space="preserve"> </v>
      </c>
      <c r="CY94" s="254" t="str">
        <f t="shared" si="213"/>
        <v xml:space="preserve"> </v>
      </c>
      <c r="CZ94" s="254" t="str">
        <f t="shared" si="214"/>
        <v xml:space="preserve"> </v>
      </c>
      <c r="DA94" s="254" t="str">
        <f t="shared" si="215"/>
        <v xml:space="preserve"> </v>
      </c>
      <c r="DB94" s="254" t="str">
        <f t="shared" si="216"/>
        <v xml:space="preserve"> </v>
      </c>
      <c r="DC94" s="254" t="str">
        <f t="shared" si="217"/>
        <v xml:space="preserve"> </v>
      </c>
      <c r="DD94" s="254" t="str">
        <f t="shared" si="218"/>
        <v xml:space="preserve"> </v>
      </c>
      <c r="DE94" s="254" t="str">
        <f t="shared" si="219"/>
        <v xml:space="preserve"> </v>
      </c>
      <c r="DF94" s="374" t="str">
        <f>IF($A94="N/A"," ",IF(CC=2,(IF(MONTH(A94)&gt;=4,IF(MONTH(A94)&lt;=10,Inputs!$G$13,Inputs!$G$14),Inputs!$G$14))*$CK94,0))</f>
        <v xml:space="preserve"> </v>
      </c>
      <c r="DG94" s="373" t="str">
        <f t="shared" si="220"/>
        <v xml:space="preserve"> </v>
      </c>
      <c r="DH94" s="373" t="str">
        <f t="shared" si="221"/>
        <v xml:space="preserve"> </v>
      </c>
      <c r="DI94" s="373" t="str">
        <f t="shared" si="222"/>
        <v xml:space="preserve"> </v>
      </c>
      <c r="DJ94" s="373" t="str">
        <f t="shared" si="223"/>
        <v xml:space="preserve"> </v>
      </c>
      <c r="DK94" s="373" t="str">
        <f t="shared" si="224"/>
        <v xml:space="preserve"> </v>
      </c>
      <c r="DL94" s="373" t="str">
        <f t="shared" si="225"/>
        <v xml:space="preserve"> </v>
      </c>
      <c r="DM94" s="373" t="str">
        <f t="shared" si="226"/>
        <v xml:space="preserve"> </v>
      </c>
      <c r="DN94" s="373" t="str">
        <f t="shared" si="227"/>
        <v xml:space="preserve"> </v>
      </c>
      <c r="DO94" s="373" t="str">
        <f t="shared" si="228"/>
        <v xml:space="preserve"> </v>
      </c>
      <c r="DP94" s="375" t="str">
        <f t="shared" si="229"/>
        <v xml:space="preserve"> </v>
      </c>
      <c r="DQ94" t="str">
        <f t="shared" si="255"/>
        <v xml:space="preserve"> </v>
      </c>
      <c r="HD94" t="str">
        <f t="shared" si="256"/>
        <v xml:space="preserve"> </v>
      </c>
      <c r="HE94" t="str">
        <f t="shared" si="257"/>
        <v xml:space="preserve"> </v>
      </c>
      <c r="HF94" t="str">
        <f t="shared" si="258"/>
        <v xml:space="preserve"> </v>
      </c>
    </row>
    <row r="95" spans="1:214">
      <c r="A95" s="415" t="str">
        <f>IF(A94="N/A","N/A",IF(EDATE(A94,1)&gt;Inputs!$K$3,"N/A",EDATE(A94,1)))</f>
        <v>N/A</v>
      </c>
      <c r="B95" s="410" t="str">
        <f t="shared" si="230"/>
        <v xml:space="preserve"> </v>
      </c>
      <c r="C95" s="411" t="str">
        <f t="shared" si="231"/>
        <v xml:space="preserve"> </v>
      </c>
      <c r="D95" s="412" t="str">
        <f t="shared" si="232"/>
        <v xml:space="preserve"> </v>
      </c>
      <c r="E95" s="413" t="str">
        <f>IF($A95="N/A"," ",(C95-'Pricing Inputs'!T128)*D95)</f>
        <v xml:space="preserve"> </v>
      </c>
      <c r="F95" s="414" t="str">
        <f t="shared" si="281"/>
        <v xml:space="preserve"> </v>
      </c>
      <c r="G95" s="414" t="str">
        <f t="shared" si="233"/>
        <v xml:space="preserve"> </v>
      </c>
      <c r="H95" s="416" t="str">
        <f t="shared" si="234"/>
        <v xml:space="preserve"> </v>
      </c>
      <c r="I95" s="213" t="str">
        <f t="shared" si="183"/>
        <v xml:space="preserve"> </v>
      </c>
      <c r="J95" s="213" t="str">
        <f t="shared" si="184"/>
        <v xml:space="preserve"> </v>
      </c>
      <c r="K95" s="213" t="str">
        <f t="shared" si="185"/>
        <v xml:space="preserve"> </v>
      </c>
      <c r="L95" s="213" t="str">
        <f t="shared" si="186"/>
        <v xml:space="preserve"> </v>
      </c>
      <c r="M95" s="213" t="str">
        <f t="shared" si="187"/>
        <v xml:space="preserve"> </v>
      </c>
      <c r="N95" s="213" t="str">
        <f t="shared" si="188"/>
        <v xml:space="preserve"> </v>
      </c>
      <c r="O95" s="213" t="str">
        <f t="shared" si="189"/>
        <v xml:space="preserve"> </v>
      </c>
      <c r="P95" s="213" t="str">
        <f t="shared" si="190"/>
        <v xml:space="preserve"> </v>
      </c>
      <c r="Q95" s="213" t="str">
        <f t="shared" si="191"/>
        <v xml:space="preserve"> </v>
      </c>
      <c r="R95" s="405" t="str">
        <f>IF($A95="N/A"," ",IF(Pricetype=2,MAX(I95-$H95,0),IF(Pricetype=1,(_xll.xSPRDOPT(I95,$E95,$CI95,0,($CD95+IF(Smile=TRUE,VLOOKUP(MAX(-5,$H95-I95),Volsmile,2),0)),$CG95,$CH95,($A95-DateToday)+15,1,0)),I95-$H95)))</f>
        <v xml:space="preserve"> </v>
      </c>
      <c r="S95" s="405" t="str">
        <f>IF($A95="N/A"," ",IF(Pricetype=2,MAX(J95-$H95,0),IF(Pricetype=1,(_xll.xSPRDOPT(J95,$E95,$CI95,0,($CD95+IF(Smile=TRUE,VLOOKUP(MAX(-5,$H95-J95),Volsmile,2),0)),$CG95,$CH95,($A95-DateToday)+15,1,0)),J95-$H95)))</f>
        <v xml:space="preserve"> </v>
      </c>
      <c r="T95" s="406" t="str">
        <f t="shared" si="192"/>
        <v xml:space="preserve"> </v>
      </c>
      <c r="U95" s="405" t="str">
        <f>IF($A95="N/A"," ",IF(Pricetype=2,MAX(L95-$H95,0),IF(L95&lt;&gt;0,IF(Pricetype=1,(_xll.xSPRDOPT(L95,$E95,$CI95,0,($CD95+IF(Smile=TRUE,VLOOKUP(MAX(-5,$H95-L95),Volsmile,2),0)),$CG95,$CH95,($A95-DateToday)+15,1,0)),L95-$H95),0)))</f>
        <v xml:space="preserve"> </v>
      </c>
      <c r="V95" s="405" t="str">
        <f>IF($A95="N/A"," ",IF(Pricetype=2,MAX(M95-$H95,0),IF(M95&lt;&gt;0,IF(Pricetype=1,(_xll.xSPRDOPT(M95,$E95,$CI95,0,($CD95+IF(Smile=TRUE,VLOOKUP(MAX(-5,$H95-M95),Volsmile,2),0)),$CG95,$CH95,($A95-DateToday)+15,1,0)),M95-$H95),0)))</f>
        <v xml:space="preserve"> </v>
      </c>
      <c r="W95" s="406" t="str">
        <f t="shared" si="193"/>
        <v xml:space="preserve"> </v>
      </c>
      <c r="X95" s="405" t="str">
        <f>IF($A95="N/A"," ",IF(Pricetype=2,MAX(O95-$H95,0),IF(O95&lt;&gt;0,IF(Pricetype=1,(_xll.xSPRDOPT(O95,$E95,$CI95,0,($CD95+IF(Smile=TRUE,VLOOKUP(MAX(-5,$H95-O95),Volsmile,2),0)),$CG95,$CH95,($A95-DateToday)+15,1,0)),O95-$H95),0)))</f>
        <v xml:space="preserve"> </v>
      </c>
      <c r="Y95" s="405" t="str">
        <f>IF($A95="N/A"," ",IF(Pricetype=2,MAX(P95-$H95,0),IF(P95&lt;&gt;0,IF(Pricetype=1,(_xll.xSPRDOPT(P95,$E95,$CI95,0,($CD95+IF(Smile=TRUE,VLOOKUP(MAX(-5,$H95-P95),Volsmile,2),0)),$CG95,$CH95,($A95-DateToday)+15,1,0)),P95-$H95),0)))</f>
        <v xml:space="preserve"> </v>
      </c>
      <c r="Z95" s="406" t="str">
        <f t="shared" si="194"/>
        <v xml:space="preserve"> </v>
      </c>
      <c r="AA95" s="254" t="str">
        <f>IF($A95="N/A"," ",IF(VLOOKUP(MONTH(A95),ManualTable,2)=1,(IF(0&lt;&gt;R95,IF(Pricetype=1,(_xll.xSPRDOPT(I95,$E95,$CI95,0,($CD95+IF(Smile=TRUE,VLOOKUP(MAX(-5,$H95-I95),Volsmile,2),0)),$CG95,$CH95,($A95-DateToday)+15,1,1))*(8*$HD95),8*$HD95),0)),0))</f>
        <v xml:space="preserve"> </v>
      </c>
      <c r="AB95" s="254" t="str">
        <f>IF($A95="N/A"," ",IF(VLOOKUP(MONTH(A95),ManualTable,3)=1,(IF(S95&lt;&gt;0,IF(Pricetype=1,(_xll.xSPRDOPT(J95,$E95,$CI95,0,($CD95+IF(Smile=TRUE,VLOOKUP(MAX(-5,$H95-J95),Volsmile,2),0)),$CG95,$CH95,($A95-DateToday)+15,1,1))*(8*$HD95),8*$HD95),0)),0))</f>
        <v xml:space="preserve"> </v>
      </c>
      <c r="AC95" s="254" t="str">
        <f t="shared" si="235"/>
        <v xml:space="preserve"> </v>
      </c>
      <c r="AD95" s="254" t="str">
        <f>IF($A95="N/A"," ",IF(VLOOKUP(MONTH(A95),ManualTable,5)=1,(IF(U95&lt;&gt;0,IF(Pricetype=1,(_xll.xSPRDOPT(L95,$E95,$CI95,0,($CD95+IF(Smile=TRUE,VLOOKUP(MAX(-5,$H95-L95),Volsmile,2),0)),$CG95,$CH95,($A95-DateToday)+15,1,1))*(8*$HE95),8*$HE95),0)),0))</f>
        <v xml:space="preserve"> </v>
      </c>
      <c r="AE95" s="254" t="str">
        <f>IF($A95="N/A"," ",IF(VLOOKUP(MONTH(A95),ManualTable,6)=1,(IF(V95&lt;&gt;0,IF(Pricetype=1,(_xll.xSPRDOPT(M95,$E95,$CI95,0,($CD95+IF(Smile=TRUE,VLOOKUP(MAX(-5,$H95-M95),Volsmile,2),0)),$CG95,$CH95,($A95-DateToday)+15,1,1))*(8*$HE95),8*$HE95),0)),0))</f>
        <v xml:space="preserve"> </v>
      </c>
      <c r="AF95" s="254" t="str">
        <f t="shared" si="236"/>
        <v xml:space="preserve"> </v>
      </c>
      <c r="AG95" s="254" t="str">
        <f>IF($A95="N/A"," ",IF(VLOOKUP(MONTH(A95),ManualTable,8)=1,(IF(X95&lt;&gt;0,IF(Pricetype=1,(_xll.xSPRDOPT(O95,$E95,$CI95,0,($CD95+IF(Smile=TRUE,VLOOKUP(MAX(-5,$H95-O95),Volsmile,2),0)),$CG95,$CH95,($A95-DateToday)+15,1,1))*(8*$HF95),8*$HF95),0)),0))</f>
        <v xml:space="preserve"> </v>
      </c>
      <c r="AH95" s="254" t="str">
        <f>IF($A95="N/A"," ",IF(VLOOKUP(MONTH(A95),ManualTable,9)=1,(IF(Y95&lt;&gt;0,IF(Pricetype=1,(_xll.xSPRDOPT(P95,$E95,$CI95,0,($CD95+IF(Smile=TRUE,VLOOKUP(MAX(-5,$H95-P95),Volsmile,2),0)),$CG95,$CH95,($A95-DateToday)+15,1,1))*(8*$HF95),8*$HF95),0)),0))</f>
        <v xml:space="preserve"> </v>
      </c>
      <c r="AI95" s="254" t="str">
        <f t="shared" si="237"/>
        <v xml:space="preserve"> </v>
      </c>
      <c r="AJ95" s="227" t="str">
        <f t="shared" si="290"/>
        <v xml:space="preserve"> </v>
      </c>
      <c r="AK95" s="228" t="str">
        <f t="shared" si="291"/>
        <v xml:space="preserve"> </v>
      </c>
      <c r="AL95" s="228" t="str">
        <f t="shared" si="291"/>
        <v xml:space="preserve"> </v>
      </c>
      <c r="AM95" s="228" t="str">
        <f t="shared" si="292"/>
        <v xml:space="preserve"> </v>
      </c>
      <c r="AN95" s="228" t="str">
        <f t="shared" si="293"/>
        <v xml:space="preserve"> </v>
      </c>
      <c r="AO95" s="228" t="str">
        <f t="shared" si="293"/>
        <v xml:space="preserve"> </v>
      </c>
      <c r="AP95" s="228" t="str">
        <f t="shared" si="294"/>
        <v xml:space="preserve"> </v>
      </c>
      <c r="AQ95" s="228" t="str">
        <f t="shared" si="295"/>
        <v xml:space="preserve"> </v>
      </c>
      <c r="AR95" s="229" t="str">
        <f t="shared" si="296"/>
        <v xml:space="preserve"> </v>
      </c>
      <c r="AS95" s="262" t="str">
        <f t="shared" si="274"/>
        <v xml:space="preserve"> </v>
      </c>
      <c r="AT95" s="263" t="str">
        <f t="shared" si="275"/>
        <v xml:space="preserve"> </v>
      </c>
      <c r="AU95" s="263" t="str">
        <f t="shared" si="275"/>
        <v xml:space="preserve"> </v>
      </c>
      <c r="AV95" s="263" t="str">
        <f t="shared" si="276"/>
        <v xml:space="preserve"> </v>
      </c>
      <c r="AW95" s="263" t="str">
        <f t="shared" si="277"/>
        <v xml:space="preserve"> </v>
      </c>
      <c r="AX95" s="263" t="str">
        <f t="shared" si="277"/>
        <v xml:space="preserve"> </v>
      </c>
      <c r="AY95" s="263" t="str">
        <f t="shared" si="278"/>
        <v xml:space="preserve"> </v>
      </c>
      <c r="AZ95" s="263" t="str">
        <f t="shared" si="279"/>
        <v xml:space="preserve"> </v>
      </c>
      <c r="BA95" s="263" t="str">
        <f t="shared" si="280"/>
        <v xml:space="preserve"> </v>
      </c>
      <c r="BB95" s="229"/>
      <c r="BC95" s="266" t="str">
        <f t="shared" si="283"/>
        <v xml:space="preserve"> </v>
      </c>
      <c r="BD95" s="269" t="str">
        <f t="shared" si="284"/>
        <v xml:space="preserve"> </v>
      </c>
      <c r="BE95" s="269" t="str">
        <f t="shared" si="284"/>
        <v xml:space="preserve"> </v>
      </c>
      <c r="BF95" s="269" t="str">
        <f t="shared" si="285"/>
        <v xml:space="preserve"> </v>
      </c>
      <c r="BG95" s="269" t="str">
        <f t="shared" si="286"/>
        <v xml:space="preserve"> </v>
      </c>
      <c r="BH95" s="269" t="str">
        <f t="shared" si="286"/>
        <v xml:space="preserve"> </v>
      </c>
      <c r="BI95" s="269" t="str">
        <f t="shared" si="287"/>
        <v xml:space="preserve"> </v>
      </c>
      <c r="BJ95" s="269" t="str">
        <f t="shared" si="288"/>
        <v xml:space="preserve"> </v>
      </c>
      <c r="BK95" s="269" t="str">
        <f t="shared" si="289"/>
        <v xml:space="preserve"> </v>
      </c>
      <c r="BL95" s="229"/>
      <c r="BM95" s="220" t="str">
        <f>IF($A95="N/A"," ",(IF(MONTH(A95)&gt;=4,IF(MONTH(A95)&lt;=10,Inputs!$F$13-Inputs!$G$13,Inputs!$F$14-Inputs!$G$14),Inputs!$F$14-Inputs!$G$14))*$CK95*Availability)</f>
        <v xml:space="preserve"> </v>
      </c>
      <c r="BN95" s="221" t="str">
        <f t="shared" si="238"/>
        <v xml:space="preserve"> </v>
      </c>
      <c r="BO95" s="221" t="str">
        <f t="shared" si="239"/>
        <v xml:space="preserve"> </v>
      </c>
      <c r="BP95" s="221" t="str">
        <f t="shared" si="240"/>
        <v xml:space="preserve"> </v>
      </c>
      <c r="BQ95" s="221" t="str">
        <f t="shared" si="241"/>
        <v xml:space="preserve"> </v>
      </c>
      <c r="BR95" s="221" t="str">
        <f t="shared" si="242"/>
        <v xml:space="preserve"> </v>
      </c>
      <c r="BS95" s="221" t="str">
        <f t="shared" si="243"/>
        <v xml:space="preserve"> </v>
      </c>
      <c r="BT95" s="221" t="str">
        <f t="shared" si="244"/>
        <v xml:space="preserve"> </v>
      </c>
      <c r="BU95" s="221" t="str">
        <f t="shared" si="245"/>
        <v xml:space="preserve"> </v>
      </c>
      <c r="BV95" s="221" t="str">
        <f t="shared" si="246"/>
        <v xml:space="preserve"> </v>
      </c>
      <c r="BW95" s="221" t="str">
        <f t="shared" si="247"/>
        <v xml:space="preserve"> </v>
      </c>
      <c r="BX95" s="421" t="str">
        <f t="shared" si="248"/>
        <v xml:space="preserve"> </v>
      </c>
      <c r="BY95" s="417" t="str">
        <f t="shared" si="249"/>
        <v xml:space="preserve"> </v>
      </c>
      <c r="BZ95" s="417" t="str">
        <f t="shared" si="250"/>
        <v xml:space="preserve"> </v>
      </c>
      <c r="CA95" s="422" t="str">
        <f t="shared" si="251"/>
        <v xml:space="preserve"> </v>
      </c>
      <c r="CB95" s="347" t="str">
        <f t="shared" si="195"/>
        <v xml:space="preserve"> </v>
      </c>
      <c r="CC95" s="347" t="str">
        <f t="shared" si="252"/>
        <v xml:space="preserve"> </v>
      </c>
      <c r="CD95" s="348" t="str">
        <f t="shared" si="196"/>
        <v xml:space="preserve"> </v>
      </c>
      <c r="CE95" s="347" t="str">
        <f t="shared" si="197"/>
        <v xml:space="preserve"> </v>
      </c>
      <c r="CF95" s="347" t="str">
        <f t="shared" si="198"/>
        <v xml:space="preserve"> </v>
      </c>
      <c r="CG95" s="348" t="str">
        <f t="shared" si="199"/>
        <v xml:space="preserve"> </v>
      </c>
      <c r="CH95" s="347" t="str">
        <f t="shared" si="253"/>
        <v xml:space="preserve"> </v>
      </c>
      <c r="CI95" s="349" t="str">
        <f>IF($A95="N/A"," ",F95+G95+(D95*('Pricing Inputs'!T128)))</f>
        <v xml:space="preserve"> </v>
      </c>
      <c r="CJ95" s="347" t="str">
        <f>IF($A95="N/A"," ",IF(PV=1,0,'Pricing Inputs'!U128))</f>
        <v xml:space="preserve"> </v>
      </c>
      <c r="CK95" s="350" t="str">
        <f t="shared" si="200"/>
        <v xml:space="preserve"> </v>
      </c>
      <c r="CL95" s="365" t="str">
        <f t="shared" si="201"/>
        <v xml:space="preserve"> </v>
      </c>
      <c r="CM95" s="380" t="str">
        <f t="shared" si="254"/>
        <v xml:space="preserve"> </v>
      </c>
      <c r="CN95" s="378" t="str">
        <f t="shared" si="202"/>
        <v xml:space="preserve"> </v>
      </c>
      <c r="CO95" s="378" t="str">
        <f t="shared" si="203"/>
        <v xml:space="preserve"> </v>
      </c>
      <c r="CP95" s="378" t="str">
        <f t="shared" si="204"/>
        <v xml:space="preserve"> </v>
      </c>
      <c r="CQ95" s="378" t="str">
        <f t="shared" si="205"/>
        <v xml:space="preserve"> </v>
      </c>
      <c r="CR95" s="378" t="str">
        <f t="shared" si="206"/>
        <v xml:space="preserve"> </v>
      </c>
      <c r="CS95" s="378" t="str">
        <f t="shared" si="207"/>
        <v xml:space="preserve"> </v>
      </c>
      <c r="CT95" s="378" t="str">
        <f t="shared" si="208"/>
        <v xml:space="preserve"> </v>
      </c>
      <c r="CU95" s="378" t="str">
        <f t="shared" si="209"/>
        <v xml:space="preserve"> </v>
      </c>
      <c r="CV95" s="378" t="str">
        <f t="shared" si="210"/>
        <v xml:space="preserve"> </v>
      </c>
      <c r="CW95" s="254" t="str">
        <f t="shared" si="211"/>
        <v xml:space="preserve"> </v>
      </c>
      <c r="CX95" s="254" t="str">
        <f t="shared" si="212"/>
        <v xml:space="preserve"> </v>
      </c>
      <c r="CY95" s="254" t="str">
        <f t="shared" si="213"/>
        <v xml:space="preserve"> </v>
      </c>
      <c r="CZ95" s="254" t="str">
        <f t="shared" si="214"/>
        <v xml:space="preserve"> </v>
      </c>
      <c r="DA95" s="254" t="str">
        <f t="shared" si="215"/>
        <v xml:space="preserve"> </v>
      </c>
      <c r="DB95" s="254" t="str">
        <f t="shared" si="216"/>
        <v xml:space="preserve"> </v>
      </c>
      <c r="DC95" s="254" t="str">
        <f t="shared" si="217"/>
        <v xml:space="preserve"> </v>
      </c>
      <c r="DD95" s="254" t="str">
        <f t="shared" si="218"/>
        <v xml:space="preserve"> </v>
      </c>
      <c r="DE95" s="254" t="str">
        <f t="shared" si="219"/>
        <v xml:space="preserve"> </v>
      </c>
      <c r="DF95" s="374" t="str">
        <f>IF($A95="N/A"," ",IF(CC=2,(IF(MONTH(A95)&gt;=4,IF(MONTH(A95)&lt;=10,Inputs!$G$13,Inputs!$G$14),Inputs!$G$14))*$CK95,0))</f>
        <v xml:space="preserve"> </v>
      </c>
      <c r="DG95" s="373" t="str">
        <f t="shared" si="220"/>
        <v xml:space="preserve"> </v>
      </c>
      <c r="DH95" s="373" t="str">
        <f t="shared" si="221"/>
        <v xml:space="preserve"> </v>
      </c>
      <c r="DI95" s="373" t="str">
        <f t="shared" si="222"/>
        <v xml:space="preserve"> </v>
      </c>
      <c r="DJ95" s="373" t="str">
        <f t="shared" si="223"/>
        <v xml:space="preserve"> </v>
      </c>
      <c r="DK95" s="373" t="str">
        <f t="shared" si="224"/>
        <v xml:space="preserve"> </v>
      </c>
      <c r="DL95" s="373" t="str">
        <f t="shared" si="225"/>
        <v xml:space="preserve"> </v>
      </c>
      <c r="DM95" s="373" t="str">
        <f t="shared" si="226"/>
        <v xml:space="preserve"> </v>
      </c>
      <c r="DN95" s="373" t="str">
        <f t="shared" si="227"/>
        <v xml:space="preserve"> </v>
      </c>
      <c r="DO95" s="373" t="str">
        <f t="shared" si="228"/>
        <v xml:space="preserve"> </v>
      </c>
      <c r="DP95" s="375" t="str">
        <f t="shared" si="229"/>
        <v xml:space="preserve"> </v>
      </c>
      <c r="DQ95" t="str">
        <f t="shared" si="255"/>
        <v xml:space="preserve"> </v>
      </c>
      <c r="HD95" t="str">
        <f t="shared" si="256"/>
        <v xml:space="preserve"> </v>
      </c>
      <c r="HE95" t="str">
        <f t="shared" si="257"/>
        <v xml:space="preserve"> </v>
      </c>
      <c r="HF95" t="str">
        <f t="shared" si="258"/>
        <v xml:space="preserve"> </v>
      </c>
    </row>
    <row r="96" spans="1:214">
      <c r="A96" s="415" t="str">
        <f>IF(A95="N/A","N/A",IF(EDATE(A95,1)&gt;Inputs!$K$3,"N/A",EDATE(A95,1)))</f>
        <v>N/A</v>
      </c>
      <c r="B96" s="410" t="str">
        <f t="shared" si="230"/>
        <v xml:space="preserve"> </v>
      </c>
      <c r="C96" s="411" t="str">
        <f t="shared" si="231"/>
        <v xml:space="preserve"> </v>
      </c>
      <c r="D96" s="412" t="str">
        <f t="shared" si="232"/>
        <v xml:space="preserve"> </v>
      </c>
      <c r="E96" s="413" t="str">
        <f>IF($A96="N/A"," ",(C96-'Pricing Inputs'!T129)*D96)</f>
        <v xml:space="preserve"> </v>
      </c>
      <c r="F96" s="414" t="str">
        <f t="shared" si="281"/>
        <v xml:space="preserve"> </v>
      </c>
      <c r="G96" s="414" t="str">
        <f t="shared" si="233"/>
        <v xml:space="preserve"> </v>
      </c>
      <c r="H96" s="416" t="str">
        <f t="shared" si="234"/>
        <v xml:space="preserve"> </v>
      </c>
      <c r="I96" s="213" t="str">
        <f t="shared" si="183"/>
        <v xml:space="preserve"> </v>
      </c>
      <c r="J96" s="213" t="str">
        <f t="shared" si="184"/>
        <v xml:space="preserve"> </v>
      </c>
      <c r="K96" s="213" t="str">
        <f t="shared" si="185"/>
        <v xml:space="preserve"> </v>
      </c>
      <c r="L96" s="213" t="str">
        <f t="shared" si="186"/>
        <v xml:space="preserve"> </v>
      </c>
      <c r="M96" s="213" t="str">
        <f t="shared" si="187"/>
        <v xml:space="preserve"> </v>
      </c>
      <c r="N96" s="213" t="str">
        <f t="shared" si="188"/>
        <v xml:space="preserve"> </v>
      </c>
      <c r="O96" s="213" t="str">
        <f t="shared" si="189"/>
        <v xml:space="preserve"> </v>
      </c>
      <c r="P96" s="213" t="str">
        <f t="shared" si="190"/>
        <v xml:space="preserve"> </v>
      </c>
      <c r="Q96" s="213" t="str">
        <f t="shared" si="191"/>
        <v xml:space="preserve"> </v>
      </c>
      <c r="R96" s="405" t="str">
        <f>IF($A96="N/A"," ",IF(Pricetype=2,MAX(I96-$H96,0),IF(Pricetype=1,(_xll.xSPRDOPT(I96,$E96,$CI96,0,($CD96+IF(Smile=TRUE,VLOOKUP(MAX(-5,$H96-I96),Volsmile,2),0)),$CG96,$CH96,($A96-DateToday)+15,1,0)),I96-$H96)))</f>
        <v xml:space="preserve"> </v>
      </c>
      <c r="S96" s="405" t="str">
        <f>IF($A96="N/A"," ",IF(Pricetype=2,MAX(J96-$H96,0),IF(Pricetype=1,(_xll.xSPRDOPT(J96,$E96,$CI96,0,($CD96+IF(Smile=TRUE,VLOOKUP(MAX(-5,$H96-J96),Volsmile,2),0)),$CG96,$CH96,($A96-DateToday)+15,1,0)),J96-$H96)))</f>
        <v xml:space="preserve"> </v>
      </c>
      <c r="T96" s="406" t="str">
        <f t="shared" si="192"/>
        <v xml:space="preserve"> </v>
      </c>
      <c r="U96" s="405" t="str">
        <f>IF($A96="N/A"," ",IF(Pricetype=2,MAX(L96-$H96,0),IF(L96&lt;&gt;0,IF(Pricetype=1,(_xll.xSPRDOPT(L96,$E96,$CI96,0,($CD96+IF(Smile=TRUE,VLOOKUP(MAX(-5,$H96-L96),Volsmile,2),0)),$CG96,$CH96,($A96-DateToday)+15,1,0)),L96-$H96),0)))</f>
        <v xml:space="preserve"> </v>
      </c>
      <c r="V96" s="405" t="str">
        <f>IF($A96="N/A"," ",IF(Pricetype=2,MAX(M96-$H96,0),IF(M96&lt;&gt;0,IF(Pricetype=1,(_xll.xSPRDOPT(M96,$E96,$CI96,0,($CD96+IF(Smile=TRUE,VLOOKUP(MAX(-5,$H96-M96),Volsmile,2),0)),$CG96,$CH96,($A96-DateToday)+15,1,0)),M96-$H96),0)))</f>
        <v xml:space="preserve"> </v>
      </c>
      <c r="W96" s="406" t="str">
        <f t="shared" si="193"/>
        <v xml:space="preserve"> </v>
      </c>
      <c r="X96" s="405" t="str">
        <f>IF($A96="N/A"," ",IF(Pricetype=2,MAX(O96-$H96,0),IF(O96&lt;&gt;0,IF(Pricetype=1,(_xll.xSPRDOPT(O96,$E96,$CI96,0,($CD96+IF(Smile=TRUE,VLOOKUP(MAX(-5,$H96-O96),Volsmile,2),0)),$CG96,$CH96,($A96-DateToday)+15,1,0)),O96-$H96),0)))</f>
        <v xml:space="preserve"> </v>
      </c>
      <c r="Y96" s="405" t="str">
        <f>IF($A96="N/A"," ",IF(Pricetype=2,MAX(P96-$H96,0),IF(P96&lt;&gt;0,IF(Pricetype=1,(_xll.xSPRDOPT(P96,$E96,$CI96,0,($CD96+IF(Smile=TRUE,VLOOKUP(MAX(-5,$H96-P96),Volsmile,2),0)),$CG96,$CH96,($A96-DateToday)+15,1,0)),P96-$H96),0)))</f>
        <v xml:space="preserve"> </v>
      </c>
      <c r="Z96" s="406" t="str">
        <f t="shared" si="194"/>
        <v xml:space="preserve"> </v>
      </c>
      <c r="AA96" s="254" t="str">
        <f>IF($A96="N/A"," ",IF(VLOOKUP(MONTH(A96),ManualTable,2)=1,(IF(0&lt;&gt;R96,IF(Pricetype=1,(_xll.xSPRDOPT(I96,$E96,$CI96,0,($CD96+IF(Smile=TRUE,VLOOKUP(MAX(-5,$H96-I96),Volsmile,2),0)),$CG96,$CH96,($A96-DateToday)+15,1,1))*(8*$HD96),8*$HD96),0)),0))</f>
        <v xml:space="preserve"> </v>
      </c>
      <c r="AB96" s="254" t="str">
        <f>IF($A96="N/A"," ",IF(VLOOKUP(MONTH(A96),ManualTable,3)=1,(IF(S96&lt;&gt;0,IF(Pricetype=1,(_xll.xSPRDOPT(J96,$E96,$CI96,0,($CD96+IF(Smile=TRUE,VLOOKUP(MAX(-5,$H96-J96),Volsmile,2),0)),$CG96,$CH96,($A96-DateToday)+15,1,1))*(8*$HD96),8*$HD96),0)),0))</f>
        <v xml:space="preserve"> </v>
      </c>
      <c r="AC96" s="254" t="str">
        <f t="shared" si="235"/>
        <v xml:space="preserve"> </v>
      </c>
      <c r="AD96" s="254" t="str">
        <f>IF($A96="N/A"," ",IF(VLOOKUP(MONTH(A96),ManualTable,5)=1,(IF(U96&lt;&gt;0,IF(Pricetype=1,(_xll.xSPRDOPT(L96,$E96,$CI96,0,($CD96+IF(Smile=TRUE,VLOOKUP(MAX(-5,$H96-L96),Volsmile,2),0)),$CG96,$CH96,($A96-DateToday)+15,1,1))*(8*$HE96),8*$HE96),0)),0))</f>
        <v xml:space="preserve"> </v>
      </c>
      <c r="AE96" s="254" t="str">
        <f>IF($A96="N/A"," ",IF(VLOOKUP(MONTH(A96),ManualTable,6)=1,(IF(V96&lt;&gt;0,IF(Pricetype=1,(_xll.xSPRDOPT(M96,$E96,$CI96,0,($CD96+IF(Smile=TRUE,VLOOKUP(MAX(-5,$H96-M96),Volsmile,2),0)),$CG96,$CH96,($A96-DateToday)+15,1,1))*(8*$HE96),8*$HE96),0)),0))</f>
        <v xml:space="preserve"> </v>
      </c>
      <c r="AF96" s="254" t="str">
        <f t="shared" si="236"/>
        <v xml:space="preserve"> </v>
      </c>
      <c r="AG96" s="254" t="str">
        <f>IF($A96="N/A"," ",IF(VLOOKUP(MONTH(A96),ManualTable,8)=1,(IF(X96&lt;&gt;0,IF(Pricetype=1,(_xll.xSPRDOPT(O96,$E96,$CI96,0,($CD96+IF(Smile=TRUE,VLOOKUP(MAX(-5,$H96-O96),Volsmile,2),0)),$CG96,$CH96,($A96-DateToday)+15,1,1))*(8*$HF96),8*$HF96),0)),0))</f>
        <v xml:space="preserve"> </v>
      </c>
      <c r="AH96" s="254" t="str">
        <f>IF($A96="N/A"," ",IF(VLOOKUP(MONTH(A96),ManualTable,9)=1,(IF(Y96&lt;&gt;0,IF(Pricetype=1,(_xll.xSPRDOPT(P96,$E96,$CI96,0,($CD96+IF(Smile=TRUE,VLOOKUP(MAX(-5,$H96-P96),Volsmile,2),0)),$CG96,$CH96,($A96-DateToday)+15,1,1))*(8*$HF96),8*$HF96),0)),0))</f>
        <v xml:space="preserve"> </v>
      </c>
      <c r="AI96" s="254" t="str">
        <f t="shared" si="237"/>
        <v xml:space="preserve"> </v>
      </c>
      <c r="AJ96" s="227" t="str">
        <f t="shared" si="290"/>
        <v xml:space="preserve"> </v>
      </c>
      <c r="AK96" s="228" t="str">
        <f t="shared" si="291"/>
        <v xml:space="preserve"> </v>
      </c>
      <c r="AL96" s="228" t="str">
        <f t="shared" si="291"/>
        <v xml:space="preserve"> </v>
      </c>
      <c r="AM96" s="228" t="str">
        <f t="shared" si="292"/>
        <v xml:space="preserve"> </v>
      </c>
      <c r="AN96" s="228" t="str">
        <f t="shared" si="293"/>
        <v xml:space="preserve"> </v>
      </c>
      <c r="AO96" s="228" t="str">
        <f t="shared" si="293"/>
        <v xml:space="preserve"> </v>
      </c>
      <c r="AP96" s="228" t="str">
        <f t="shared" si="294"/>
        <v xml:space="preserve"> </v>
      </c>
      <c r="AQ96" s="228" t="str">
        <f t="shared" si="295"/>
        <v xml:space="preserve"> </v>
      </c>
      <c r="AR96" s="229" t="str">
        <f t="shared" si="296"/>
        <v xml:space="preserve"> </v>
      </c>
      <c r="AS96" s="262" t="str">
        <f t="shared" si="274"/>
        <v xml:space="preserve"> </v>
      </c>
      <c r="AT96" s="263" t="str">
        <f t="shared" si="275"/>
        <v xml:space="preserve"> </v>
      </c>
      <c r="AU96" s="263" t="str">
        <f t="shared" si="275"/>
        <v xml:space="preserve"> </v>
      </c>
      <c r="AV96" s="263" t="str">
        <f t="shared" si="276"/>
        <v xml:space="preserve"> </v>
      </c>
      <c r="AW96" s="263" t="str">
        <f t="shared" si="277"/>
        <v xml:space="preserve"> </v>
      </c>
      <c r="AX96" s="263" t="str">
        <f t="shared" si="277"/>
        <v xml:space="preserve"> </v>
      </c>
      <c r="AY96" s="263" t="str">
        <f t="shared" si="278"/>
        <v xml:space="preserve"> </v>
      </c>
      <c r="AZ96" s="263" t="str">
        <f t="shared" si="279"/>
        <v xml:space="preserve"> </v>
      </c>
      <c r="BA96" s="263" t="str">
        <f t="shared" si="280"/>
        <v xml:space="preserve"> </v>
      </c>
      <c r="BB96" s="229"/>
      <c r="BC96" s="266" t="str">
        <f t="shared" si="283"/>
        <v xml:space="preserve"> </v>
      </c>
      <c r="BD96" s="269" t="str">
        <f t="shared" si="284"/>
        <v xml:space="preserve"> </v>
      </c>
      <c r="BE96" s="269" t="str">
        <f t="shared" si="284"/>
        <v xml:space="preserve"> </v>
      </c>
      <c r="BF96" s="269" t="str">
        <f t="shared" si="285"/>
        <v xml:space="preserve"> </v>
      </c>
      <c r="BG96" s="269" t="str">
        <f t="shared" si="286"/>
        <v xml:space="preserve"> </v>
      </c>
      <c r="BH96" s="269" t="str">
        <f t="shared" si="286"/>
        <v xml:space="preserve"> </v>
      </c>
      <c r="BI96" s="269" t="str">
        <f t="shared" si="287"/>
        <v xml:space="preserve"> </v>
      </c>
      <c r="BJ96" s="269" t="str">
        <f t="shared" si="288"/>
        <v xml:space="preserve"> </v>
      </c>
      <c r="BK96" s="269" t="str">
        <f t="shared" si="289"/>
        <v xml:space="preserve"> </v>
      </c>
      <c r="BL96" s="229"/>
      <c r="BM96" s="220" t="str">
        <f>IF($A96="N/A"," ",(IF(MONTH(A96)&gt;=4,IF(MONTH(A96)&lt;=10,Inputs!$F$13-Inputs!$G$13,Inputs!$F$14-Inputs!$G$14),Inputs!$F$14-Inputs!$G$14))*$CK96*Availability)</f>
        <v xml:space="preserve"> </v>
      </c>
      <c r="BN96" s="221" t="str">
        <f t="shared" si="238"/>
        <v xml:space="preserve"> </v>
      </c>
      <c r="BO96" s="221" t="str">
        <f t="shared" si="239"/>
        <v xml:space="preserve"> </v>
      </c>
      <c r="BP96" s="221" t="str">
        <f t="shared" si="240"/>
        <v xml:space="preserve"> </v>
      </c>
      <c r="BQ96" s="221" t="str">
        <f t="shared" si="241"/>
        <v xml:space="preserve"> </v>
      </c>
      <c r="BR96" s="221" t="str">
        <f t="shared" si="242"/>
        <v xml:space="preserve"> </v>
      </c>
      <c r="BS96" s="221" t="str">
        <f t="shared" si="243"/>
        <v xml:space="preserve"> </v>
      </c>
      <c r="BT96" s="221" t="str">
        <f t="shared" si="244"/>
        <v xml:space="preserve"> </v>
      </c>
      <c r="BU96" s="221" t="str">
        <f t="shared" si="245"/>
        <v xml:space="preserve"> </v>
      </c>
      <c r="BV96" s="221" t="str">
        <f t="shared" si="246"/>
        <v xml:space="preserve"> </v>
      </c>
      <c r="BW96" s="221" t="str">
        <f t="shared" si="247"/>
        <v xml:space="preserve"> </v>
      </c>
      <c r="BX96" s="421" t="str">
        <f t="shared" si="248"/>
        <v xml:space="preserve"> </v>
      </c>
      <c r="BY96" s="417" t="str">
        <f t="shared" si="249"/>
        <v xml:space="preserve"> </v>
      </c>
      <c r="BZ96" s="417" t="str">
        <f t="shared" si="250"/>
        <v xml:space="preserve"> </v>
      </c>
      <c r="CA96" s="422" t="str">
        <f t="shared" si="251"/>
        <v xml:space="preserve"> </v>
      </c>
      <c r="CB96" s="347" t="str">
        <f t="shared" si="195"/>
        <v xml:space="preserve"> </v>
      </c>
      <c r="CC96" s="347" t="str">
        <f t="shared" si="252"/>
        <v xml:space="preserve"> </v>
      </c>
      <c r="CD96" s="348" t="str">
        <f t="shared" si="196"/>
        <v xml:space="preserve"> </v>
      </c>
      <c r="CE96" s="347" t="str">
        <f t="shared" si="197"/>
        <v xml:space="preserve"> </v>
      </c>
      <c r="CF96" s="347" t="str">
        <f t="shared" si="198"/>
        <v xml:space="preserve"> </v>
      </c>
      <c r="CG96" s="348" t="str">
        <f t="shared" si="199"/>
        <v xml:space="preserve"> </v>
      </c>
      <c r="CH96" s="347" t="str">
        <f t="shared" si="253"/>
        <v xml:space="preserve"> </v>
      </c>
      <c r="CI96" s="349" t="str">
        <f>IF($A96="N/A"," ",F96+G96+(D96*('Pricing Inputs'!T129)))</f>
        <v xml:space="preserve"> </v>
      </c>
      <c r="CJ96" s="347" t="str">
        <f>IF($A96="N/A"," ",IF(PV=1,0,'Pricing Inputs'!U129))</f>
        <v xml:space="preserve"> </v>
      </c>
      <c r="CK96" s="350" t="str">
        <f t="shared" si="200"/>
        <v xml:space="preserve"> </v>
      </c>
      <c r="CL96" s="365" t="str">
        <f t="shared" si="201"/>
        <v xml:space="preserve"> </v>
      </c>
      <c r="CM96" s="380" t="str">
        <f t="shared" si="254"/>
        <v xml:space="preserve"> </v>
      </c>
      <c r="CN96" s="378" t="str">
        <f t="shared" si="202"/>
        <v xml:space="preserve"> </v>
      </c>
      <c r="CO96" s="378" t="str">
        <f t="shared" si="203"/>
        <v xml:space="preserve"> </v>
      </c>
      <c r="CP96" s="378" t="str">
        <f t="shared" si="204"/>
        <v xml:space="preserve"> </v>
      </c>
      <c r="CQ96" s="378" t="str">
        <f t="shared" si="205"/>
        <v xml:space="preserve"> </v>
      </c>
      <c r="CR96" s="378" t="str">
        <f t="shared" si="206"/>
        <v xml:space="preserve"> </v>
      </c>
      <c r="CS96" s="378" t="str">
        <f t="shared" si="207"/>
        <v xml:space="preserve"> </v>
      </c>
      <c r="CT96" s="378" t="str">
        <f t="shared" si="208"/>
        <v xml:space="preserve"> </v>
      </c>
      <c r="CU96" s="378" t="str">
        <f t="shared" si="209"/>
        <v xml:space="preserve"> </v>
      </c>
      <c r="CV96" s="378" t="str">
        <f t="shared" si="210"/>
        <v xml:space="preserve"> </v>
      </c>
      <c r="CW96" s="254" t="str">
        <f t="shared" si="211"/>
        <v xml:space="preserve"> </v>
      </c>
      <c r="CX96" s="254" t="str">
        <f t="shared" si="212"/>
        <v xml:space="preserve"> </v>
      </c>
      <c r="CY96" s="254" t="str">
        <f t="shared" si="213"/>
        <v xml:space="preserve"> </v>
      </c>
      <c r="CZ96" s="254" t="str">
        <f t="shared" si="214"/>
        <v xml:space="preserve"> </v>
      </c>
      <c r="DA96" s="254" t="str">
        <f t="shared" si="215"/>
        <v xml:space="preserve"> </v>
      </c>
      <c r="DB96" s="254" t="str">
        <f t="shared" si="216"/>
        <v xml:space="preserve"> </v>
      </c>
      <c r="DC96" s="254" t="str">
        <f t="shared" si="217"/>
        <v xml:space="preserve"> </v>
      </c>
      <c r="DD96" s="254" t="str">
        <f t="shared" si="218"/>
        <v xml:space="preserve"> </v>
      </c>
      <c r="DE96" s="254" t="str">
        <f t="shared" si="219"/>
        <v xml:space="preserve"> </v>
      </c>
      <c r="DF96" s="374" t="str">
        <f>IF($A96="N/A"," ",IF(CC=2,(IF(MONTH(A96)&gt;=4,IF(MONTH(A96)&lt;=10,Inputs!$G$13,Inputs!$G$14),Inputs!$G$14))*$CK96,0))</f>
        <v xml:space="preserve"> </v>
      </c>
      <c r="DG96" s="373" t="str">
        <f t="shared" si="220"/>
        <v xml:space="preserve"> </v>
      </c>
      <c r="DH96" s="373" t="str">
        <f t="shared" si="221"/>
        <v xml:space="preserve"> </v>
      </c>
      <c r="DI96" s="373" t="str">
        <f t="shared" si="222"/>
        <v xml:space="preserve"> </v>
      </c>
      <c r="DJ96" s="373" t="str">
        <f t="shared" si="223"/>
        <v xml:space="preserve"> </v>
      </c>
      <c r="DK96" s="373" t="str">
        <f t="shared" si="224"/>
        <v xml:space="preserve"> </v>
      </c>
      <c r="DL96" s="373" t="str">
        <f t="shared" si="225"/>
        <v xml:space="preserve"> </v>
      </c>
      <c r="DM96" s="373" t="str">
        <f t="shared" si="226"/>
        <v xml:space="preserve"> </v>
      </c>
      <c r="DN96" s="373" t="str">
        <f t="shared" si="227"/>
        <v xml:space="preserve"> </v>
      </c>
      <c r="DO96" s="373" t="str">
        <f t="shared" si="228"/>
        <v xml:space="preserve"> </v>
      </c>
      <c r="DP96" s="375" t="str">
        <f t="shared" si="229"/>
        <v xml:space="preserve"> </v>
      </c>
      <c r="DQ96" t="str">
        <f t="shared" si="255"/>
        <v xml:space="preserve"> </v>
      </c>
      <c r="HD96" t="str">
        <f t="shared" si="256"/>
        <v xml:space="preserve"> </v>
      </c>
      <c r="HE96" t="str">
        <f t="shared" si="257"/>
        <v xml:space="preserve"> </v>
      </c>
      <c r="HF96" t="str">
        <f t="shared" si="258"/>
        <v xml:space="preserve"> </v>
      </c>
    </row>
    <row r="97" spans="1:214">
      <c r="A97" s="415" t="str">
        <f>IF(A96="N/A","N/A",IF(EDATE(A96,1)&gt;Inputs!$K$3,"N/A",EDATE(A96,1)))</f>
        <v>N/A</v>
      </c>
      <c r="B97" s="410" t="str">
        <f t="shared" si="230"/>
        <v xml:space="preserve"> </v>
      </c>
      <c r="C97" s="411" t="str">
        <f t="shared" si="231"/>
        <v xml:space="preserve"> </v>
      </c>
      <c r="D97" s="412" t="str">
        <f t="shared" si="232"/>
        <v xml:space="preserve"> </v>
      </c>
      <c r="E97" s="413" t="str">
        <f>IF($A97="N/A"," ",(C97-'Pricing Inputs'!T130)*D97)</f>
        <v xml:space="preserve"> </v>
      </c>
      <c r="F97" s="414" t="str">
        <f t="shared" si="281"/>
        <v xml:space="preserve"> </v>
      </c>
      <c r="G97" s="414" t="str">
        <f t="shared" si="233"/>
        <v xml:space="preserve"> </v>
      </c>
      <c r="H97" s="416" t="str">
        <f t="shared" si="234"/>
        <v xml:space="preserve"> </v>
      </c>
      <c r="I97" s="213" t="str">
        <f t="shared" si="183"/>
        <v xml:space="preserve"> </v>
      </c>
      <c r="J97" s="213" t="str">
        <f t="shared" si="184"/>
        <v xml:space="preserve"> </v>
      </c>
      <c r="K97" s="213" t="str">
        <f t="shared" si="185"/>
        <v xml:space="preserve"> </v>
      </c>
      <c r="L97" s="213" t="str">
        <f t="shared" si="186"/>
        <v xml:space="preserve"> </v>
      </c>
      <c r="M97" s="213" t="str">
        <f t="shared" si="187"/>
        <v xml:space="preserve"> </v>
      </c>
      <c r="N97" s="213" t="str">
        <f t="shared" si="188"/>
        <v xml:space="preserve"> </v>
      </c>
      <c r="O97" s="213" t="str">
        <f t="shared" si="189"/>
        <v xml:space="preserve"> </v>
      </c>
      <c r="P97" s="213" t="str">
        <f t="shared" si="190"/>
        <v xml:space="preserve"> </v>
      </c>
      <c r="Q97" s="213" t="str">
        <f t="shared" si="191"/>
        <v xml:space="preserve"> </v>
      </c>
      <c r="R97" s="405" t="str">
        <f>IF($A97="N/A"," ",IF(Pricetype=2,MAX(I97-$H97,0),IF(Pricetype=1,(_xll.xSPRDOPT(I97,$E97,$CI97,0,($CD97+IF(Smile=TRUE,VLOOKUP(MAX(-5,$H97-I97),Volsmile,2),0)),$CG97,$CH97,($A97-DateToday)+15,1,0)),I97-$H97)))</f>
        <v xml:space="preserve"> </v>
      </c>
      <c r="S97" s="405" t="str">
        <f>IF($A97="N/A"," ",IF(Pricetype=2,MAX(J97-$H97,0),IF(Pricetype=1,(_xll.xSPRDOPT(J97,$E97,$CI97,0,($CD97+IF(Smile=TRUE,VLOOKUP(MAX(-5,$H97-J97),Volsmile,2),0)),$CG97,$CH97,($A97-DateToday)+15,1,0)),J97-$H97)))</f>
        <v xml:space="preserve"> </v>
      </c>
      <c r="T97" s="406" t="str">
        <f t="shared" si="192"/>
        <v xml:space="preserve"> </v>
      </c>
      <c r="U97" s="405" t="str">
        <f>IF($A97="N/A"," ",IF(Pricetype=2,MAX(L97-$H97,0),IF(L97&lt;&gt;0,IF(Pricetype=1,(_xll.xSPRDOPT(L97,$E97,$CI97,0,($CD97+IF(Smile=TRUE,VLOOKUP(MAX(-5,$H97-L97),Volsmile,2),0)),$CG97,$CH97,($A97-DateToday)+15,1,0)),L97-$H97),0)))</f>
        <v xml:space="preserve"> </v>
      </c>
      <c r="V97" s="405" t="str">
        <f>IF($A97="N/A"," ",IF(Pricetype=2,MAX(M97-$H97,0),IF(M97&lt;&gt;0,IF(Pricetype=1,(_xll.xSPRDOPT(M97,$E97,$CI97,0,($CD97+IF(Smile=TRUE,VLOOKUP(MAX(-5,$H97-M97),Volsmile,2),0)),$CG97,$CH97,($A97-DateToday)+15,1,0)),M97-$H97),0)))</f>
        <v xml:space="preserve"> </v>
      </c>
      <c r="W97" s="406" t="str">
        <f t="shared" si="193"/>
        <v xml:space="preserve"> </v>
      </c>
      <c r="X97" s="405" t="str">
        <f>IF($A97="N/A"," ",IF(Pricetype=2,MAX(O97-$H97,0),IF(O97&lt;&gt;0,IF(Pricetype=1,(_xll.xSPRDOPT(O97,$E97,$CI97,0,($CD97+IF(Smile=TRUE,VLOOKUP(MAX(-5,$H97-O97),Volsmile,2),0)),$CG97,$CH97,($A97-DateToday)+15,1,0)),O97-$H97),0)))</f>
        <v xml:space="preserve"> </v>
      </c>
      <c r="Y97" s="405" t="str">
        <f>IF($A97="N/A"," ",IF(Pricetype=2,MAX(P97-$H97,0),IF(P97&lt;&gt;0,IF(Pricetype=1,(_xll.xSPRDOPT(P97,$E97,$CI97,0,($CD97+IF(Smile=TRUE,VLOOKUP(MAX(-5,$H97-P97),Volsmile,2),0)),$CG97,$CH97,($A97-DateToday)+15,1,0)),P97-$H97),0)))</f>
        <v xml:space="preserve"> </v>
      </c>
      <c r="Z97" s="406" t="str">
        <f t="shared" si="194"/>
        <v xml:space="preserve"> </v>
      </c>
      <c r="AA97" s="254" t="str">
        <f>IF($A97="N/A"," ",IF(VLOOKUP(MONTH(A97),ManualTable,2)=1,(IF(0&lt;&gt;R97,IF(Pricetype=1,(_xll.xSPRDOPT(I97,$E97,$CI97,0,($CD97+IF(Smile=TRUE,VLOOKUP(MAX(-5,$H97-I97),Volsmile,2),0)),$CG97,$CH97,($A97-DateToday)+15,1,1))*(8*$HD97),8*$HD97),0)),0))</f>
        <v xml:space="preserve"> </v>
      </c>
      <c r="AB97" s="254" t="str">
        <f>IF($A97="N/A"," ",IF(VLOOKUP(MONTH(A97),ManualTable,3)=1,(IF(S97&lt;&gt;0,IF(Pricetype=1,(_xll.xSPRDOPT(J97,$E97,$CI97,0,($CD97+IF(Smile=TRUE,VLOOKUP(MAX(-5,$H97-J97),Volsmile,2),0)),$CG97,$CH97,($A97-DateToday)+15,1,1))*(8*$HD97),8*$HD97),0)),0))</f>
        <v xml:space="preserve"> </v>
      </c>
      <c r="AC97" s="254" t="str">
        <f t="shared" si="235"/>
        <v xml:space="preserve"> </v>
      </c>
      <c r="AD97" s="254" t="str">
        <f>IF($A97="N/A"," ",IF(VLOOKUP(MONTH(A97),ManualTable,5)=1,(IF(U97&lt;&gt;0,IF(Pricetype=1,(_xll.xSPRDOPT(L97,$E97,$CI97,0,($CD97+IF(Smile=TRUE,VLOOKUP(MAX(-5,$H97-L97),Volsmile,2),0)),$CG97,$CH97,($A97-DateToday)+15,1,1))*(8*$HE97),8*$HE97),0)),0))</f>
        <v xml:space="preserve"> </v>
      </c>
      <c r="AE97" s="254" t="str">
        <f>IF($A97="N/A"," ",IF(VLOOKUP(MONTH(A97),ManualTable,6)=1,(IF(V97&lt;&gt;0,IF(Pricetype=1,(_xll.xSPRDOPT(M97,$E97,$CI97,0,($CD97+IF(Smile=TRUE,VLOOKUP(MAX(-5,$H97-M97),Volsmile,2),0)),$CG97,$CH97,($A97-DateToday)+15,1,1))*(8*$HE97),8*$HE97),0)),0))</f>
        <v xml:space="preserve"> </v>
      </c>
      <c r="AF97" s="254" t="str">
        <f t="shared" si="236"/>
        <v xml:space="preserve"> </v>
      </c>
      <c r="AG97" s="254" t="str">
        <f>IF($A97="N/A"," ",IF(VLOOKUP(MONTH(A97),ManualTable,8)=1,(IF(X97&lt;&gt;0,IF(Pricetype=1,(_xll.xSPRDOPT(O97,$E97,$CI97,0,($CD97+IF(Smile=TRUE,VLOOKUP(MAX(-5,$H97-O97),Volsmile,2),0)),$CG97,$CH97,($A97-DateToday)+15,1,1))*(8*$HF97),8*$HF97),0)),0))</f>
        <v xml:space="preserve"> </v>
      </c>
      <c r="AH97" s="254" t="str">
        <f>IF($A97="N/A"," ",IF(VLOOKUP(MONTH(A97),ManualTable,9)=1,(IF(Y97&lt;&gt;0,IF(Pricetype=1,(_xll.xSPRDOPT(P97,$E97,$CI97,0,($CD97+IF(Smile=TRUE,VLOOKUP(MAX(-5,$H97-P97),Volsmile,2),0)),$CG97,$CH97,($A97-DateToday)+15,1,1))*(8*$HF97),8*$HF97),0)),0))</f>
        <v xml:space="preserve"> </v>
      </c>
      <c r="AI97" s="254" t="str">
        <f t="shared" si="237"/>
        <v xml:space="preserve"> </v>
      </c>
      <c r="AJ97" s="227" t="str">
        <f t="shared" si="290"/>
        <v xml:space="preserve"> </v>
      </c>
      <c r="AK97" s="228" t="str">
        <f t="shared" si="291"/>
        <v xml:space="preserve"> </v>
      </c>
      <c r="AL97" s="228" t="str">
        <f t="shared" si="291"/>
        <v xml:space="preserve"> </v>
      </c>
      <c r="AM97" s="228" t="str">
        <f t="shared" si="292"/>
        <v xml:space="preserve"> </v>
      </c>
      <c r="AN97" s="228" t="str">
        <f t="shared" si="293"/>
        <v xml:space="preserve"> </v>
      </c>
      <c r="AO97" s="228" t="str">
        <f t="shared" si="293"/>
        <v xml:space="preserve"> </v>
      </c>
      <c r="AP97" s="228" t="str">
        <f t="shared" si="294"/>
        <v xml:space="preserve"> </v>
      </c>
      <c r="AQ97" s="228" t="str">
        <f t="shared" si="295"/>
        <v xml:space="preserve"> </v>
      </c>
      <c r="AR97" s="229" t="str">
        <f t="shared" si="296"/>
        <v xml:space="preserve"> </v>
      </c>
      <c r="AS97" s="262" t="str">
        <f t="shared" si="274"/>
        <v xml:space="preserve"> </v>
      </c>
      <c r="AT97" s="263" t="str">
        <f t="shared" si="275"/>
        <v xml:space="preserve"> </v>
      </c>
      <c r="AU97" s="263" t="str">
        <f t="shared" si="275"/>
        <v xml:space="preserve"> </v>
      </c>
      <c r="AV97" s="263" t="str">
        <f t="shared" si="276"/>
        <v xml:space="preserve"> </v>
      </c>
      <c r="AW97" s="263" t="str">
        <f t="shared" si="277"/>
        <v xml:space="preserve"> </v>
      </c>
      <c r="AX97" s="263" t="str">
        <f t="shared" si="277"/>
        <v xml:space="preserve"> </v>
      </c>
      <c r="AY97" s="263" t="str">
        <f t="shared" si="278"/>
        <v xml:space="preserve"> </v>
      </c>
      <c r="AZ97" s="263" t="str">
        <f t="shared" si="279"/>
        <v xml:space="preserve"> </v>
      </c>
      <c r="BA97" s="263" t="str">
        <f t="shared" si="280"/>
        <v xml:space="preserve"> </v>
      </c>
      <c r="BB97" s="234" t="s">
        <v>1271</v>
      </c>
      <c r="BC97" s="266" t="str">
        <f t="shared" si="283"/>
        <v xml:space="preserve"> </v>
      </c>
      <c r="BD97" s="269" t="str">
        <f t="shared" si="284"/>
        <v xml:space="preserve"> </v>
      </c>
      <c r="BE97" s="269" t="str">
        <f t="shared" si="284"/>
        <v xml:space="preserve"> </v>
      </c>
      <c r="BF97" s="269" t="str">
        <f t="shared" si="285"/>
        <v xml:space="preserve"> </v>
      </c>
      <c r="BG97" s="269" t="str">
        <f t="shared" si="286"/>
        <v xml:space="preserve"> </v>
      </c>
      <c r="BH97" s="269" t="str">
        <f t="shared" si="286"/>
        <v xml:space="preserve"> </v>
      </c>
      <c r="BI97" s="269" t="str">
        <f t="shared" si="287"/>
        <v xml:space="preserve"> </v>
      </c>
      <c r="BJ97" s="269" t="str">
        <f t="shared" si="288"/>
        <v xml:space="preserve"> </v>
      </c>
      <c r="BK97" s="269" t="str">
        <f t="shared" si="289"/>
        <v xml:space="preserve"> </v>
      </c>
      <c r="BL97" s="233" t="s">
        <v>1283</v>
      </c>
      <c r="BM97" s="220" t="str">
        <f>IF($A97="N/A"," ",(IF(MONTH(A97)&gt;=4,IF(MONTH(A97)&lt;=10,Inputs!$F$13-Inputs!$G$13,Inputs!$F$14-Inputs!$G$14),Inputs!$F$14-Inputs!$G$14))*$CK97*Availability)</f>
        <v xml:space="preserve"> </v>
      </c>
      <c r="BN97" s="221" t="str">
        <f t="shared" si="238"/>
        <v xml:space="preserve"> </v>
      </c>
      <c r="BO97" s="221" t="str">
        <f t="shared" si="239"/>
        <v xml:space="preserve"> </v>
      </c>
      <c r="BP97" s="221" t="str">
        <f t="shared" si="240"/>
        <v xml:space="preserve"> </v>
      </c>
      <c r="BQ97" s="221" t="str">
        <f t="shared" si="241"/>
        <v xml:space="preserve"> </v>
      </c>
      <c r="BR97" s="221" t="str">
        <f t="shared" si="242"/>
        <v xml:space="preserve"> </v>
      </c>
      <c r="BS97" s="221" t="str">
        <f t="shared" si="243"/>
        <v xml:space="preserve"> </v>
      </c>
      <c r="BT97" s="221" t="str">
        <f t="shared" si="244"/>
        <v xml:space="preserve"> </v>
      </c>
      <c r="BU97" s="221" t="str">
        <f t="shared" si="245"/>
        <v xml:space="preserve"> </v>
      </c>
      <c r="BV97" s="221" t="str">
        <f t="shared" si="246"/>
        <v xml:space="preserve"> </v>
      </c>
      <c r="BW97" s="221" t="str">
        <f t="shared" si="247"/>
        <v xml:space="preserve"> </v>
      </c>
      <c r="BX97" s="421" t="str">
        <f t="shared" si="248"/>
        <v xml:space="preserve"> </v>
      </c>
      <c r="BY97" s="417" t="str">
        <f t="shared" si="249"/>
        <v xml:space="preserve"> </v>
      </c>
      <c r="BZ97" s="417" t="str">
        <f t="shared" si="250"/>
        <v xml:space="preserve"> </v>
      </c>
      <c r="CA97" s="422" t="str">
        <f t="shared" si="251"/>
        <v xml:space="preserve"> </v>
      </c>
      <c r="CB97" s="347" t="str">
        <f t="shared" si="195"/>
        <v xml:space="preserve"> </v>
      </c>
      <c r="CC97" s="347" t="str">
        <f t="shared" si="252"/>
        <v xml:space="preserve"> </v>
      </c>
      <c r="CD97" s="348" t="str">
        <f t="shared" si="196"/>
        <v xml:space="preserve"> </v>
      </c>
      <c r="CE97" s="347" t="str">
        <f t="shared" si="197"/>
        <v xml:space="preserve"> </v>
      </c>
      <c r="CF97" s="347" t="str">
        <f t="shared" si="198"/>
        <v xml:space="preserve"> </v>
      </c>
      <c r="CG97" s="348" t="str">
        <f t="shared" si="199"/>
        <v xml:space="preserve"> </v>
      </c>
      <c r="CH97" s="347" t="str">
        <f t="shared" si="253"/>
        <v xml:space="preserve"> </v>
      </c>
      <c r="CI97" s="349" t="str">
        <f>IF($A97="N/A"," ",F97+G97+(D97*('Pricing Inputs'!T130)))</f>
        <v xml:space="preserve"> </v>
      </c>
      <c r="CJ97" s="347" t="str">
        <f>IF($A97="N/A"," ",IF(PV=1,0,'Pricing Inputs'!U130))</f>
        <v xml:space="preserve"> </v>
      </c>
      <c r="CK97" s="350" t="str">
        <f t="shared" si="200"/>
        <v xml:space="preserve"> </v>
      </c>
      <c r="CL97" s="365" t="str">
        <f t="shared" si="201"/>
        <v xml:space="preserve"> </v>
      </c>
      <c r="CM97" s="380" t="str">
        <f t="shared" si="254"/>
        <v xml:space="preserve"> </v>
      </c>
      <c r="CN97" s="378" t="str">
        <f t="shared" si="202"/>
        <v xml:space="preserve"> </v>
      </c>
      <c r="CO97" s="378" t="str">
        <f t="shared" si="203"/>
        <v xml:space="preserve"> </v>
      </c>
      <c r="CP97" s="378" t="str">
        <f t="shared" si="204"/>
        <v xml:space="preserve"> </v>
      </c>
      <c r="CQ97" s="378" t="str">
        <f t="shared" si="205"/>
        <v xml:space="preserve"> </v>
      </c>
      <c r="CR97" s="378" t="str">
        <f t="shared" si="206"/>
        <v xml:space="preserve"> </v>
      </c>
      <c r="CS97" s="378" t="str">
        <f t="shared" si="207"/>
        <v xml:space="preserve"> </v>
      </c>
      <c r="CT97" s="378" t="str">
        <f t="shared" si="208"/>
        <v xml:space="preserve"> </v>
      </c>
      <c r="CU97" s="378" t="str">
        <f t="shared" si="209"/>
        <v xml:space="preserve"> </v>
      </c>
      <c r="CV97" s="378" t="str">
        <f t="shared" si="210"/>
        <v xml:space="preserve"> </v>
      </c>
      <c r="CW97" s="254" t="str">
        <f t="shared" si="211"/>
        <v xml:space="preserve"> </v>
      </c>
      <c r="CX97" s="254" t="str">
        <f t="shared" si="212"/>
        <v xml:space="preserve"> </v>
      </c>
      <c r="CY97" s="254" t="str">
        <f t="shared" si="213"/>
        <v xml:space="preserve"> </v>
      </c>
      <c r="CZ97" s="254" t="str">
        <f t="shared" si="214"/>
        <v xml:space="preserve"> </v>
      </c>
      <c r="DA97" s="254" t="str">
        <f t="shared" si="215"/>
        <v xml:space="preserve"> </v>
      </c>
      <c r="DB97" s="254" t="str">
        <f t="shared" si="216"/>
        <v xml:space="preserve"> </v>
      </c>
      <c r="DC97" s="254" t="str">
        <f t="shared" si="217"/>
        <v xml:space="preserve"> </v>
      </c>
      <c r="DD97" s="254" t="str">
        <f t="shared" si="218"/>
        <v xml:space="preserve"> </v>
      </c>
      <c r="DE97" s="254" t="str">
        <f t="shared" si="219"/>
        <v xml:space="preserve"> </v>
      </c>
      <c r="DF97" s="374" t="str">
        <f>IF($A97="N/A"," ",IF(CC=2,(IF(MONTH(A97)&gt;=4,IF(MONTH(A97)&lt;=10,Inputs!$G$13,Inputs!$G$14),Inputs!$G$14))*$CK97,0))</f>
        <v xml:space="preserve"> </v>
      </c>
      <c r="DG97" s="373" t="str">
        <f t="shared" si="220"/>
        <v xml:space="preserve"> </v>
      </c>
      <c r="DH97" s="373" t="str">
        <f t="shared" si="221"/>
        <v xml:space="preserve"> </v>
      </c>
      <c r="DI97" s="373" t="str">
        <f t="shared" si="222"/>
        <v xml:space="preserve"> </v>
      </c>
      <c r="DJ97" s="373" t="str">
        <f t="shared" si="223"/>
        <v xml:space="preserve"> </v>
      </c>
      <c r="DK97" s="373" t="str">
        <f t="shared" si="224"/>
        <v xml:space="preserve"> </v>
      </c>
      <c r="DL97" s="373" t="str">
        <f t="shared" si="225"/>
        <v xml:space="preserve"> </v>
      </c>
      <c r="DM97" s="373" t="str">
        <f t="shared" si="226"/>
        <v xml:space="preserve"> </v>
      </c>
      <c r="DN97" s="373" t="str">
        <f t="shared" si="227"/>
        <v xml:space="preserve"> </v>
      </c>
      <c r="DO97" s="373" t="str">
        <f t="shared" si="228"/>
        <v xml:space="preserve"> </v>
      </c>
      <c r="DP97" s="375" t="str">
        <f t="shared" si="229"/>
        <v xml:space="preserve"> </v>
      </c>
      <c r="DQ97" t="str">
        <f t="shared" si="255"/>
        <v xml:space="preserve"> </v>
      </c>
      <c r="HD97" t="str">
        <f t="shared" si="256"/>
        <v xml:space="preserve"> </v>
      </c>
      <c r="HE97" t="str">
        <f t="shared" si="257"/>
        <v xml:space="preserve"> </v>
      </c>
      <c r="HF97" t="str">
        <f t="shared" si="258"/>
        <v xml:space="preserve"> </v>
      </c>
    </row>
    <row r="98" spans="1:214">
      <c r="A98" s="415" t="str">
        <f>IF(A97="N/A","N/A",IF(EDATE(A97,1)&gt;Inputs!$K$3,"N/A",EDATE(A97,1)))</f>
        <v>N/A</v>
      </c>
      <c r="B98" s="410" t="str">
        <f t="shared" si="230"/>
        <v xml:space="preserve"> </v>
      </c>
      <c r="C98" s="411" t="str">
        <f t="shared" si="231"/>
        <v xml:space="preserve"> </v>
      </c>
      <c r="D98" s="412" t="str">
        <f t="shared" si="232"/>
        <v xml:space="preserve"> </v>
      </c>
      <c r="E98" s="413" t="str">
        <f>IF($A98="N/A"," ",(C98-'Pricing Inputs'!T131)*D98)</f>
        <v xml:space="preserve"> </v>
      </c>
      <c r="F98" s="414" t="str">
        <f t="shared" si="281"/>
        <v xml:space="preserve"> </v>
      </c>
      <c r="G98" s="414" t="str">
        <f t="shared" si="233"/>
        <v xml:space="preserve"> </v>
      </c>
      <c r="H98" s="416" t="str">
        <f t="shared" si="234"/>
        <v xml:space="preserve"> </v>
      </c>
      <c r="I98" s="213" t="str">
        <f t="shared" si="183"/>
        <v xml:space="preserve"> </v>
      </c>
      <c r="J98" s="213" t="str">
        <f t="shared" si="184"/>
        <v xml:space="preserve"> </v>
      </c>
      <c r="K98" s="213" t="str">
        <f t="shared" si="185"/>
        <v xml:space="preserve"> </v>
      </c>
      <c r="L98" s="213" t="str">
        <f t="shared" si="186"/>
        <v xml:space="preserve"> </v>
      </c>
      <c r="M98" s="213" t="str">
        <f t="shared" si="187"/>
        <v xml:space="preserve"> </v>
      </c>
      <c r="N98" s="213" t="str">
        <f t="shared" si="188"/>
        <v xml:space="preserve"> </v>
      </c>
      <c r="O98" s="213" t="str">
        <f t="shared" si="189"/>
        <v xml:space="preserve"> </v>
      </c>
      <c r="P98" s="213" t="str">
        <f t="shared" si="190"/>
        <v xml:space="preserve"> </v>
      </c>
      <c r="Q98" s="213" t="str">
        <f t="shared" si="191"/>
        <v xml:space="preserve"> </v>
      </c>
      <c r="R98" s="405" t="str">
        <f>IF($A98="N/A"," ",IF(Pricetype=2,MAX(I98-$H98,0),IF(Pricetype=1,(_xll.xSPRDOPT(I98,$E98,$CI98,0,($CD98+IF(Smile=TRUE,VLOOKUP(MAX(-5,$H98-I98),Volsmile,2),0)),$CG98,$CH98,($A98-DateToday)+15,1,0)),I98-$H98)))</f>
        <v xml:space="preserve"> </v>
      </c>
      <c r="S98" s="405" t="str">
        <f>IF($A98="N/A"," ",IF(Pricetype=2,MAX(J98-$H98,0),IF(Pricetype=1,(_xll.xSPRDOPT(J98,$E98,$CI98,0,($CD98+IF(Smile=TRUE,VLOOKUP(MAX(-5,$H98-J98),Volsmile,2),0)),$CG98,$CH98,($A98-DateToday)+15,1,0)),J98-$H98)))</f>
        <v xml:space="preserve"> </v>
      </c>
      <c r="T98" s="406" t="str">
        <f t="shared" si="192"/>
        <v xml:space="preserve"> </v>
      </c>
      <c r="U98" s="405" t="str">
        <f>IF($A98="N/A"," ",IF(Pricetype=2,MAX(L98-$H98,0),IF(L98&lt;&gt;0,IF(Pricetype=1,(_xll.xSPRDOPT(L98,$E98,$CI98,0,($CD98+IF(Smile=TRUE,VLOOKUP(MAX(-5,$H98-L98),Volsmile,2),0)),$CG98,$CH98,($A98-DateToday)+15,1,0)),L98-$H98),0)))</f>
        <v xml:space="preserve"> </v>
      </c>
      <c r="V98" s="405" t="str">
        <f>IF($A98="N/A"," ",IF(Pricetype=2,MAX(M98-$H98,0),IF(M98&lt;&gt;0,IF(Pricetype=1,(_xll.xSPRDOPT(M98,$E98,$CI98,0,($CD98+IF(Smile=TRUE,VLOOKUP(MAX(-5,$H98-M98),Volsmile,2),0)),$CG98,$CH98,($A98-DateToday)+15,1,0)),M98-$H98),0)))</f>
        <v xml:space="preserve"> </v>
      </c>
      <c r="W98" s="406" t="str">
        <f t="shared" si="193"/>
        <v xml:space="preserve"> </v>
      </c>
      <c r="X98" s="405" t="str">
        <f>IF($A98="N/A"," ",IF(Pricetype=2,MAX(O98-$H98,0),IF(O98&lt;&gt;0,IF(Pricetype=1,(_xll.xSPRDOPT(O98,$E98,$CI98,0,($CD98+IF(Smile=TRUE,VLOOKUP(MAX(-5,$H98-O98),Volsmile,2),0)),$CG98,$CH98,($A98-DateToday)+15,1,0)),O98-$H98),0)))</f>
        <v xml:space="preserve"> </v>
      </c>
      <c r="Y98" s="405" t="str">
        <f>IF($A98="N/A"," ",IF(Pricetype=2,MAX(P98-$H98,0),IF(P98&lt;&gt;0,IF(Pricetype=1,(_xll.xSPRDOPT(P98,$E98,$CI98,0,($CD98+IF(Smile=TRUE,VLOOKUP(MAX(-5,$H98-P98),Volsmile,2),0)),$CG98,$CH98,($A98-DateToday)+15,1,0)),P98-$H98),0)))</f>
        <v xml:space="preserve"> </v>
      </c>
      <c r="Z98" s="406" t="str">
        <f t="shared" si="194"/>
        <v xml:space="preserve"> </v>
      </c>
      <c r="AA98" s="254" t="str">
        <f>IF($A98="N/A"," ",IF(VLOOKUP(MONTH(A98),ManualTable,2)=1,(IF(0&lt;&gt;R98,IF(Pricetype=1,(_xll.xSPRDOPT(I98,$E98,$CI98,0,($CD98+IF(Smile=TRUE,VLOOKUP(MAX(-5,$H98-I98),Volsmile,2),0)),$CG98,$CH98,($A98-DateToday)+15,1,1))*(8*$HD98),8*$HD98),0)),0))</f>
        <v xml:space="preserve"> </v>
      </c>
      <c r="AB98" s="254" t="str">
        <f>IF($A98="N/A"," ",IF(VLOOKUP(MONTH(A98),ManualTable,3)=1,(IF(S98&lt;&gt;0,IF(Pricetype=1,(_xll.xSPRDOPT(J98,$E98,$CI98,0,($CD98+IF(Smile=TRUE,VLOOKUP(MAX(-5,$H98-J98),Volsmile,2),0)),$CG98,$CH98,($A98-DateToday)+15,1,1))*(8*$HD98),8*$HD98),0)),0))</f>
        <v xml:space="preserve"> </v>
      </c>
      <c r="AC98" s="254" t="str">
        <f t="shared" si="235"/>
        <v xml:space="preserve"> </v>
      </c>
      <c r="AD98" s="254" t="str">
        <f>IF($A98="N/A"," ",IF(VLOOKUP(MONTH(A98),ManualTable,5)=1,(IF(U98&lt;&gt;0,IF(Pricetype=1,(_xll.xSPRDOPT(L98,$E98,$CI98,0,($CD98+IF(Smile=TRUE,VLOOKUP(MAX(-5,$H98-L98),Volsmile,2),0)),$CG98,$CH98,($A98-DateToday)+15,1,1))*(8*$HE98),8*$HE98),0)),0))</f>
        <v xml:space="preserve"> </v>
      </c>
      <c r="AE98" s="254" t="str">
        <f>IF($A98="N/A"," ",IF(VLOOKUP(MONTH(A98),ManualTable,6)=1,(IF(V98&lt;&gt;0,IF(Pricetype=1,(_xll.xSPRDOPT(M98,$E98,$CI98,0,($CD98+IF(Smile=TRUE,VLOOKUP(MAX(-5,$H98-M98),Volsmile,2),0)),$CG98,$CH98,($A98-DateToday)+15,1,1))*(8*$HE98),8*$HE98),0)),0))</f>
        <v xml:space="preserve"> </v>
      </c>
      <c r="AF98" s="254" t="str">
        <f t="shared" si="236"/>
        <v xml:space="preserve"> </v>
      </c>
      <c r="AG98" s="254" t="str">
        <f>IF($A98="N/A"," ",IF(VLOOKUP(MONTH(A98),ManualTable,8)=1,(IF(X98&lt;&gt;0,IF(Pricetype=1,(_xll.xSPRDOPT(O98,$E98,$CI98,0,($CD98+IF(Smile=TRUE,VLOOKUP(MAX(-5,$H98-O98),Volsmile,2),0)),$CG98,$CH98,($A98-DateToday)+15,1,1))*(8*$HF98),8*$HF98),0)),0))</f>
        <v xml:space="preserve"> </v>
      </c>
      <c r="AH98" s="254" t="str">
        <f>IF($A98="N/A"," ",IF(VLOOKUP(MONTH(A98),ManualTable,9)=1,(IF(Y98&lt;&gt;0,IF(Pricetype=1,(_xll.xSPRDOPT(P98,$E98,$CI98,0,($CD98+IF(Smile=TRUE,VLOOKUP(MAX(-5,$H98-P98),Volsmile,2),0)),$CG98,$CH98,($A98-DateToday)+15,1,1))*(8*$HF98),8*$HF98),0)),0))</f>
        <v xml:space="preserve"> </v>
      </c>
      <c r="AI98" s="254" t="str">
        <f t="shared" si="237"/>
        <v xml:space="preserve"> </v>
      </c>
      <c r="AJ98" s="227" t="str">
        <f t="shared" si="290"/>
        <v xml:space="preserve"> </v>
      </c>
      <c r="AK98" s="228" t="str">
        <f t="shared" si="291"/>
        <v xml:space="preserve"> </v>
      </c>
      <c r="AL98" s="228" t="str">
        <f t="shared" si="291"/>
        <v xml:space="preserve"> </v>
      </c>
      <c r="AM98" s="228" t="str">
        <f t="shared" si="292"/>
        <v xml:space="preserve"> </v>
      </c>
      <c r="AN98" s="228" t="str">
        <f t="shared" si="293"/>
        <v xml:space="preserve"> </v>
      </c>
      <c r="AO98" s="228" t="str">
        <f t="shared" si="293"/>
        <v xml:space="preserve"> </v>
      </c>
      <c r="AP98" s="228" t="str">
        <f t="shared" si="294"/>
        <v xml:space="preserve"> </v>
      </c>
      <c r="AQ98" s="228" t="str">
        <f t="shared" si="295"/>
        <v xml:space="preserve"> </v>
      </c>
      <c r="AR98" s="229" t="str">
        <f t="shared" si="296"/>
        <v xml:space="preserve"> </v>
      </c>
      <c r="AS98" s="262" t="str">
        <f t="shared" si="274"/>
        <v xml:space="preserve"> </v>
      </c>
      <c r="AT98" s="263" t="str">
        <f t="shared" si="275"/>
        <v xml:space="preserve"> </v>
      </c>
      <c r="AU98" s="263" t="str">
        <f t="shared" si="275"/>
        <v xml:space="preserve"> </v>
      </c>
      <c r="AV98" s="263" t="str">
        <f t="shared" si="276"/>
        <v xml:space="preserve"> </v>
      </c>
      <c r="AW98" s="263" t="str">
        <f t="shared" si="277"/>
        <v xml:space="preserve"> </v>
      </c>
      <c r="AX98" s="263" t="str">
        <f t="shared" si="277"/>
        <v xml:space="preserve"> </v>
      </c>
      <c r="AY98" s="263" t="str">
        <f t="shared" si="278"/>
        <v xml:space="preserve"> </v>
      </c>
      <c r="AZ98" s="263" t="str">
        <f t="shared" si="279"/>
        <v xml:space="preserve"> </v>
      </c>
      <c r="BA98" s="263" t="str">
        <f t="shared" si="280"/>
        <v xml:space="preserve"> </v>
      </c>
      <c r="BB98" s="229">
        <f>SUM(AS88:BA99)</f>
        <v>0</v>
      </c>
      <c r="BC98" s="266" t="str">
        <f t="shared" si="283"/>
        <v xml:space="preserve"> </v>
      </c>
      <c r="BD98" s="269" t="str">
        <f t="shared" si="284"/>
        <v xml:space="preserve"> </v>
      </c>
      <c r="BE98" s="269" t="str">
        <f t="shared" si="284"/>
        <v xml:space="preserve"> </v>
      </c>
      <c r="BF98" s="269" t="str">
        <f t="shared" si="285"/>
        <v xml:space="preserve"> </v>
      </c>
      <c r="BG98" s="269" t="str">
        <f t="shared" si="286"/>
        <v xml:space="preserve"> </v>
      </c>
      <c r="BH98" s="269" t="str">
        <f t="shared" si="286"/>
        <v xml:space="preserve"> </v>
      </c>
      <c r="BI98" s="269" t="str">
        <f t="shared" si="287"/>
        <v xml:space="preserve"> </v>
      </c>
      <c r="BJ98" s="269" t="str">
        <f t="shared" si="288"/>
        <v xml:space="preserve"> </v>
      </c>
      <c r="BK98" s="269" t="str">
        <f t="shared" si="289"/>
        <v xml:space="preserve"> </v>
      </c>
      <c r="BL98" s="229">
        <f>SUM(BC88:BK99)</f>
        <v>0</v>
      </c>
      <c r="BM98" s="220" t="str">
        <f>IF($A98="N/A"," ",(IF(MONTH(A98)&gt;=4,IF(MONTH(A98)&lt;=10,Inputs!$F$13-Inputs!$G$13,Inputs!$F$14-Inputs!$G$14),Inputs!$F$14-Inputs!$G$14))*$CK98*Availability)</f>
        <v xml:space="preserve"> </v>
      </c>
      <c r="BN98" s="221" t="str">
        <f t="shared" si="238"/>
        <v xml:space="preserve"> </v>
      </c>
      <c r="BO98" s="221" t="str">
        <f t="shared" si="239"/>
        <v xml:space="preserve"> </v>
      </c>
      <c r="BP98" s="221" t="str">
        <f t="shared" si="240"/>
        <v xml:space="preserve"> </v>
      </c>
      <c r="BQ98" s="221" t="str">
        <f t="shared" si="241"/>
        <v xml:space="preserve"> </v>
      </c>
      <c r="BR98" s="221" t="str">
        <f t="shared" si="242"/>
        <v xml:space="preserve"> </v>
      </c>
      <c r="BS98" s="221" t="str">
        <f t="shared" si="243"/>
        <v xml:space="preserve"> </v>
      </c>
      <c r="BT98" s="221" t="str">
        <f t="shared" si="244"/>
        <v xml:space="preserve"> </v>
      </c>
      <c r="BU98" s="221" t="str">
        <f t="shared" si="245"/>
        <v xml:space="preserve"> </v>
      </c>
      <c r="BV98" s="221" t="str">
        <f t="shared" si="246"/>
        <v xml:space="preserve"> </v>
      </c>
      <c r="BW98" s="221" t="str">
        <f t="shared" si="247"/>
        <v xml:space="preserve"> </v>
      </c>
      <c r="BX98" s="421" t="str">
        <f t="shared" si="248"/>
        <v xml:space="preserve"> </v>
      </c>
      <c r="BY98" s="417" t="str">
        <f t="shared" si="249"/>
        <v xml:space="preserve"> </v>
      </c>
      <c r="BZ98" s="417" t="str">
        <f t="shared" si="250"/>
        <v xml:space="preserve"> </v>
      </c>
      <c r="CA98" s="422" t="str">
        <f t="shared" si="251"/>
        <v xml:space="preserve"> </v>
      </c>
      <c r="CB98" s="347" t="str">
        <f t="shared" si="195"/>
        <v xml:space="preserve"> </v>
      </c>
      <c r="CC98" s="347" t="str">
        <f t="shared" si="252"/>
        <v xml:space="preserve"> </v>
      </c>
      <c r="CD98" s="348" t="str">
        <f t="shared" si="196"/>
        <v xml:space="preserve"> </v>
      </c>
      <c r="CE98" s="347" t="str">
        <f t="shared" si="197"/>
        <v xml:space="preserve"> </v>
      </c>
      <c r="CF98" s="347" t="str">
        <f t="shared" si="198"/>
        <v xml:space="preserve"> </v>
      </c>
      <c r="CG98" s="348" t="str">
        <f t="shared" si="199"/>
        <v xml:space="preserve"> </v>
      </c>
      <c r="CH98" s="347" t="str">
        <f t="shared" si="253"/>
        <v xml:space="preserve"> </v>
      </c>
      <c r="CI98" s="349" t="str">
        <f>IF($A98="N/A"," ",F98+G98+(D98*('Pricing Inputs'!T131)))</f>
        <v xml:space="preserve"> </v>
      </c>
      <c r="CJ98" s="347" t="str">
        <f>IF($A98="N/A"," ",IF(PV=1,0,'Pricing Inputs'!U131))</f>
        <v xml:space="preserve"> </v>
      </c>
      <c r="CK98" s="350" t="str">
        <f t="shared" si="200"/>
        <v xml:space="preserve"> </v>
      </c>
      <c r="CL98" s="365" t="str">
        <f t="shared" si="201"/>
        <v xml:space="preserve"> </v>
      </c>
      <c r="CM98" s="380" t="str">
        <f t="shared" si="254"/>
        <v xml:space="preserve"> </v>
      </c>
      <c r="CN98" s="378" t="str">
        <f t="shared" si="202"/>
        <v xml:space="preserve"> </v>
      </c>
      <c r="CO98" s="378" t="str">
        <f t="shared" si="203"/>
        <v xml:space="preserve"> </v>
      </c>
      <c r="CP98" s="378" t="str">
        <f t="shared" si="204"/>
        <v xml:space="preserve"> </v>
      </c>
      <c r="CQ98" s="378" t="str">
        <f t="shared" si="205"/>
        <v xml:space="preserve"> </v>
      </c>
      <c r="CR98" s="378" t="str">
        <f t="shared" si="206"/>
        <v xml:space="preserve"> </v>
      </c>
      <c r="CS98" s="378" t="str">
        <f t="shared" si="207"/>
        <v xml:space="preserve"> </v>
      </c>
      <c r="CT98" s="378" t="str">
        <f t="shared" si="208"/>
        <v xml:space="preserve"> </v>
      </c>
      <c r="CU98" s="378" t="str">
        <f t="shared" si="209"/>
        <v xml:space="preserve"> </v>
      </c>
      <c r="CV98" s="378" t="str">
        <f t="shared" si="210"/>
        <v xml:space="preserve"> </v>
      </c>
      <c r="CW98" s="254" t="str">
        <f t="shared" si="211"/>
        <v xml:space="preserve"> </v>
      </c>
      <c r="CX98" s="254" t="str">
        <f t="shared" si="212"/>
        <v xml:space="preserve"> </v>
      </c>
      <c r="CY98" s="254" t="str">
        <f t="shared" si="213"/>
        <v xml:space="preserve"> </v>
      </c>
      <c r="CZ98" s="254" t="str">
        <f t="shared" si="214"/>
        <v xml:space="preserve"> </v>
      </c>
      <c r="DA98" s="254" t="str">
        <f t="shared" si="215"/>
        <v xml:space="preserve"> </v>
      </c>
      <c r="DB98" s="254" t="str">
        <f t="shared" si="216"/>
        <v xml:space="preserve"> </v>
      </c>
      <c r="DC98" s="254" t="str">
        <f t="shared" si="217"/>
        <v xml:space="preserve"> </v>
      </c>
      <c r="DD98" s="254" t="str">
        <f t="shared" si="218"/>
        <v xml:space="preserve"> </v>
      </c>
      <c r="DE98" s="254" t="str">
        <f t="shared" si="219"/>
        <v xml:space="preserve"> </v>
      </c>
      <c r="DF98" s="374" t="str">
        <f>IF($A98="N/A"," ",IF(CC=2,(IF(MONTH(A98)&gt;=4,IF(MONTH(A98)&lt;=10,Inputs!$G$13,Inputs!$G$14),Inputs!$G$14))*$CK98,0))</f>
        <v xml:space="preserve"> </v>
      </c>
      <c r="DG98" s="373" t="str">
        <f t="shared" si="220"/>
        <v xml:space="preserve"> </v>
      </c>
      <c r="DH98" s="373" t="str">
        <f t="shared" si="221"/>
        <v xml:space="preserve"> </v>
      </c>
      <c r="DI98" s="373" t="str">
        <f t="shared" si="222"/>
        <v xml:space="preserve"> </v>
      </c>
      <c r="DJ98" s="373" t="str">
        <f t="shared" si="223"/>
        <v xml:space="preserve"> </v>
      </c>
      <c r="DK98" s="373" t="str">
        <f t="shared" si="224"/>
        <v xml:space="preserve"> </v>
      </c>
      <c r="DL98" s="373" t="str">
        <f t="shared" si="225"/>
        <v xml:space="preserve"> </v>
      </c>
      <c r="DM98" s="373" t="str">
        <f t="shared" si="226"/>
        <v xml:space="preserve"> </v>
      </c>
      <c r="DN98" s="373" t="str">
        <f t="shared" si="227"/>
        <v xml:space="preserve"> </v>
      </c>
      <c r="DO98" s="373" t="str">
        <f t="shared" si="228"/>
        <v xml:space="preserve"> </v>
      </c>
      <c r="DP98" s="375" t="str">
        <f t="shared" si="229"/>
        <v xml:space="preserve"> </v>
      </c>
      <c r="DQ98" t="str">
        <f t="shared" si="255"/>
        <v xml:space="preserve"> </v>
      </c>
      <c r="HD98" t="str">
        <f t="shared" si="256"/>
        <v xml:space="preserve"> </v>
      </c>
      <c r="HE98" t="str">
        <f t="shared" si="257"/>
        <v xml:space="preserve"> </v>
      </c>
      <c r="HF98" t="str">
        <f t="shared" si="258"/>
        <v xml:space="preserve"> </v>
      </c>
    </row>
    <row r="99" spans="1:214">
      <c r="A99" s="415" t="str">
        <f>IF(A98="N/A","N/A",IF(EDATE(A98,1)&gt;Inputs!$K$3,"N/A",EDATE(A98,1)))</f>
        <v>N/A</v>
      </c>
      <c r="B99" s="410" t="str">
        <f t="shared" si="230"/>
        <v xml:space="preserve"> </v>
      </c>
      <c r="C99" s="411" t="str">
        <f t="shared" si="231"/>
        <v xml:space="preserve"> </v>
      </c>
      <c r="D99" s="412" t="str">
        <f t="shared" si="232"/>
        <v xml:space="preserve"> </v>
      </c>
      <c r="E99" s="413" t="str">
        <f>IF($A99="N/A"," ",(C99-'Pricing Inputs'!T132)*D99)</f>
        <v xml:space="preserve"> </v>
      </c>
      <c r="F99" s="414" t="str">
        <f t="shared" si="281"/>
        <v xml:space="preserve"> </v>
      </c>
      <c r="G99" s="414" t="str">
        <f t="shared" si="233"/>
        <v xml:space="preserve"> </v>
      </c>
      <c r="H99" s="416" t="str">
        <f t="shared" si="234"/>
        <v xml:space="preserve"> </v>
      </c>
      <c r="I99" s="213" t="str">
        <f t="shared" si="183"/>
        <v xml:space="preserve"> </v>
      </c>
      <c r="J99" s="213" t="str">
        <f t="shared" si="184"/>
        <v xml:space="preserve"> </v>
      </c>
      <c r="K99" s="213" t="str">
        <f t="shared" si="185"/>
        <v xml:space="preserve"> </v>
      </c>
      <c r="L99" s="213" t="str">
        <f t="shared" si="186"/>
        <v xml:space="preserve"> </v>
      </c>
      <c r="M99" s="213" t="str">
        <f t="shared" si="187"/>
        <v xml:space="preserve"> </v>
      </c>
      <c r="N99" s="213" t="str">
        <f t="shared" si="188"/>
        <v xml:space="preserve"> </v>
      </c>
      <c r="O99" s="213" t="str">
        <f t="shared" si="189"/>
        <v xml:space="preserve"> </v>
      </c>
      <c r="P99" s="213" t="str">
        <f t="shared" si="190"/>
        <v xml:space="preserve"> </v>
      </c>
      <c r="Q99" s="213" t="str">
        <f t="shared" si="191"/>
        <v xml:space="preserve"> </v>
      </c>
      <c r="R99" s="405" t="str">
        <f>IF($A99="N/A"," ",IF(Pricetype=2,MAX(I99-$H99,0),IF(Pricetype=1,(_xll.xSPRDOPT(I99,$E99,$CI99,0,($CD99+IF(Smile=TRUE,VLOOKUP(MAX(-5,$H99-I99),Volsmile,2),0)),$CG99,$CH99,($A99-DateToday)+15,1,0)),I99-$H99)))</f>
        <v xml:space="preserve"> </v>
      </c>
      <c r="S99" s="405" t="str">
        <f>IF($A99="N/A"," ",IF(Pricetype=2,MAX(J99-$H99,0),IF(Pricetype=1,(_xll.xSPRDOPT(J99,$E99,$CI99,0,($CD99+IF(Smile=TRUE,VLOOKUP(MAX(-5,$H99-J99),Volsmile,2),0)),$CG99,$CH99,($A99-DateToday)+15,1,0)),J99-$H99)))</f>
        <v xml:space="preserve"> </v>
      </c>
      <c r="T99" s="406" t="str">
        <f t="shared" si="192"/>
        <v xml:space="preserve"> </v>
      </c>
      <c r="U99" s="405" t="str">
        <f>IF($A99="N/A"," ",IF(Pricetype=2,MAX(L99-$H99,0),IF(L99&lt;&gt;0,IF(Pricetype=1,(_xll.xSPRDOPT(L99,$E99,$CI99,0,($CD99+IF(Smile=TRUE,VLOOKUP(MAX(-5,$H99-L99),Volsmile,2),0)),$CG99,$CH99,($A99-DateToday)+15,1,0)),L99-$H99),0)))</f>
        <v xml:space="preserve"> </v>
      </c>
      <c r="V99" s="405" t="str">
        <f>IF($A99="N/A"," ",IF(Pricetype=2,MAX(M99-$H99,0),IF(M99&lt;&gt;0,IF(Pricetype=1,(_xll.xSPRDOPT(M99,$E99,$CI99,0,($CD99+IF(Smile=TRUE,VLOOKUP(MAX(-5,$H99-M99),Volsmile,2),0)),$CG99,$CH99,($A99-DateToday)+15,1,0)),M99-$H99),0)))</f>
        <v xml:space="preserve"> </v>
      </c>
      <c r="W99" s="406" t="str">
        <f t="shared" si="193"/>
        <v xml:space="preserve"> </v>
      </c>
      <c r="X99" s="405" t="str">
        <f>IF($A99="N/A"," ",IF(Pricetype=2,MAX(O99-$H99,0),IF(O99&lt;&gt;0,IF(Pricetype=1,(_xll.xSPRDOPT(O99,$E99,$CI99,0,($CD99+IF(Smile=TRUE,VLOOKUP(MAX(-5,$H99-O99),Volsmile,2),0)),$CG99,$CH99,($A99-DateToday)+15,1,0)),O99-$H99),0)))</f>
        <v xml:space="preserve"> </v>
      </c>
      <c r="Y99" s="405" t="str">
        <f>IF($A99="N/A"," ",IF(Pricetype=2,MAX(P99-$H99,0),IF(P99&lt;&gt;0,IF(Pricetype=1,(_xll.xSPRDOPT(P99,$E99,$CI99,0,($CD99+IF(Smile=TRUE,VLOOKUP(MAX(-5,$H99-P99),Volsmile,2),0)),$CG99,$CH99,($A99-DateToday)+15,1,0)),P99-$H99),0)))</f>
        <v xml:space="preserve"> </v>
      </c>
      <c r="Z99" s="406" t="str">
        <f t="shared" si="194"/>
        <v xml:space="preserve"> </v>
      </c>
      <c r="AA99" s="254" t="str">
        <f>IF($A99="N/A"," ",IF(VLOOKUP(MONTH(A99),ManualTable,2)=1,(IF(0&lt;&gt;R99,IF(Pricetype=1,(_xll.xSPRDOPT(I99,$E99,$CI99,0,($CD99+IF(Smile=TRUE,VLOOKUP(MAX(-5,$H99-I99),Volsmile,2),0)),$CG99,$CH99,($A99-DateToday)+15,1,1))*(8*$HD99),8*$HD99),0)),0))</f>
        <v xml:space="preserve"> </v>
      </c>
      <c r="AB99" s="254" t="str">
        <f>IF($A99="N/A"," ",IF(VLOOKUP(MONTH(A99),ManualTable,3)=1,(IF(S99&lt;&gt;0,IF(Pricetype=1,(_xll.xSPRDOPT(J99,$E99,$CI99,0,($CD99+IF(Smile=TRUE,VLOOKUP(MAX(-5,$H99-J99),Volsmile,2),0)),$CG99,$CH99,($A99-DateToday)+15,1,1))*(8*$HD99),8*$HD99),0)),0))</f>
        <v xml:space="preserve"> </v>
      </c>
      <c r="AC99" s="254" t="str">
        <f t="shared" si="235"/>
        <v xml:space="preserve"> </v>
      </c>
      <c r="AD99" s="254" t="str">
        <f>IF($A99="N/A"," ",IF(VLOOKUP(MONTH(A99),ManualTable,5)=1,(IF(U99&lt;&gt;0,IF(Pricetype=1,(_xll.xSPRDOPT(L99,$E99,$CI99,0,($CD99+IF(Smile=TRUE,VLOOKUP(MAX(-5,$H99-L99),Volsmile,2),0)),$CG99,$CH99,($A99-DateToday)+15,1,1))*(8*$HE99),8*$HE99),0)),0))</f>
        <v xml:space="preserve"> </v>
      </c>
      <c r="AE99" s="254" t="str">
        <f>IF($A99="N/A"," ",IF(VLOOKUP(MONTH(A99),ManualTable,6)=1,(IF(V99&lt;&gt;0,IF(Pricetype=1,(_xll.xSPRDOPT(M99,$E99,$CI99,0,($CD99+IF(Smile=TRUE,VLOOKUP(MAX(-5,$H99-M99),Volsmile,2),0)),$CG99,$CH99,($A99-DateToday)+15,1,1))*(8*$HE99),8*$HE99),0)),0))</f>
        <v xml:space="preserve"> </v>
      </c>
      <c r="AF99" s="254" t="str">
        <f t="shared" si="236"/>
        <v xml:space="preserve"> </v>
      </c>
      <c r="AG99" s="254" t="str">
        <f>IF($A99="N/A"," ",IF(VLOOKUP(MONTH(A99),ManualTable,8)=1,(IF(X99&lt;&gt;0,IF(Pricetype=1,(_xll.xSPRDOPT(O99,$E99,$CI99,0,($CD99+IF(Smile=TRUE,VLOOKUP(MAX(-5,$H99-O99),Volsmile,2),0)),$CG99,$CH99,($A99-DateToday)+15,1,1))*(8*$HF99),8*$HF99),0)),0))</f>
        <v xml:space="preserve"> </v>
      </c>
      <c r="AH99" s="254" t="str">
        <f>IF($A99="N/A"," ",IF(VLOOKUP(MONTH(A99),ManualTable,9)=1,(IF(Y99&lt;&gt;0,IF(Pricetype=1,(_xll.xSPRDOPT(P99,$E99,$CI99,0,($CD99+IF(Smile=TRUE,VLOOKUP(MAX(-5,$H99-P99),Volsmile,2),0)),$CG99,$CH99,($A99-DateToday)+15,1,1))*(8*$HF99),8*$HF99),0)),0))</f>
        <v xml:space="preserve"> </v>
      </c>
      <c r="AI99" s="254" t="str">
        <f t="shared" si="237"/>
        <v xml:space="preserve"> </v>
      </c>
      <c r="AJ99" s="230" t="str">
        <f t="shared" si="290"/>
        <v xml:space="preserve"> </v>
      </c>
      <c r="AK99" s="231" t="str">
        <f t="shared" si="291"/>
        <v xml:space="preserve"> </v>
      </c>
      <c r="AL99" s="231" t="str">
        <f t="shared" si="291"/>
        <v xml:space="preserve"> </v>
      </c>
      <c r="AM99" s="231" t="str">
        <f t="shared" si="292"/>
        <v xml:space="preserve"> </v>
      </c>
      <c r="AN99" s="231" t="str">
        <f t="shared" si="293"/>
        <v xml:space="preserve"> </v>
      </c>
      <c r="AO99" s="231" t="str">
        <f t="shared" si="293"/>
        <v xml:space="preserve"> </v>
      </c>
      <c r="AP99" s="231" t="str">
        <f t="shared" si="294"/>
        <v xml:space="preserve"> </v>
      </c>
      <c r="AQ99" s="231" t="str">
        <f t="shared" si="295"/>
        <v xml:space="preserve"> </v>
      </c>
      <c r="AR99" s="232" t="str">
        <f t="shared" si="296"/>
        <v xml:space="preserve"> </v>
      </c>
      <c r="AS99" s="264" t="str">
        <f t="shared" si="274"/>
        <v xml:space="preserve"> </v>
      </c>
      <c r="AT99" s="265" t="str">
        <f t="shared" si="275"/>
        <v xml:space="preserve"> </v>
      </c>
      <c r="AU99" s="265" t="str">
        <f t="shared" si="275"/>
        <v xml:space="preserve"> </v>
      </c>
      <c r="AV99" s="265" t="str">
        <f t="shared" si="276"/>
        <v xml:space="preserve"> </v>
      </c>
      <c r="AW99" s="265" t="str">
        <f t="shared" si="277"/>
        <v xml:space="preserve"> </v>
      </c>
      <c r="AX99" s="265" t="str">
        <f t="shared" si="277"/>
        <v xml:space="preserve"> </v>
      </c>
      <c r="AY99" s="265" t="str">
        <f t="shared" si="278"/>
        <v xml:space="preserve"> </v>
      </c>
      <c r="AZ99" s="265" t="str">
        <f t="shared" si="279"/>
        <v xml:space="preserve"> </v>
      </c>
      <c r="BA99" s="265" t="str">
        <f t="shared" si="280"/>
        <v xml:space="preserve"> </v>
      </c>
      <c r="BB99" s="232">
        <f>IF(($AZ$2-BB98)&gt;=0,$AZ$2-BB98,0)</f>
        <v>980</v>
      </c>
      <c r="BC99" s="270" t="str">
        <f t="shared" si="283"/>
        <v xml:space="preserve"> </v>
      </c>
      <c r="BD99" s="271" t="str">
        <f t="shared" si="284"/>
        <v xml:space="preserve"> </v>
      </c>
      <c r="BE99" s="269" t="str">
        <f t="shared" si="284"/>
        <v xml:space="preserve"> </v>
      </c>
      <c r="BF99" s="271" t="str">
        <f t="shared" si="285"/>
        <v xml:space="preserve"> </v>
      </c>
      <c r="BG99" s="271" t="str">
        <f t="shared" si="286"/>
        <v xml:space="preserve"> </v>
      </c>
      <c r="BH99" s="269" t="str">
        <f t="shared" si="286"/>
        <v xml:space="preserve"> </v>
      </c>
      <c r="BI99" s="271" t="str">
        <f t="shared" si="287"/>
        <v xml:space="preserve"> </v>
      </c>
      <c r="BJ99" s="271" t="str">
        <f t="shared" si="288"/>
        <v xml:space="preserve"> </v>
      </c>
      <c r="BK99" s="271" t="str">
        <f t="shared" si="289"/>
        <v xml:space="preserve"> </v>
      </c>
      <c r="BL99" s="235">
        <f>BB98+BL98</f>
        <v>0</v>
      </c>
      <c r="BM99" s="220" t="str">
        <f>IF($A99="N/A"," ",(IF(MONTH(A99)&gt;=4,IF(MONTH(A99)&lt;=10,Inputs!$F$13-Inputs!$G$13,Inputs!$F$14-Inputs!$G$14),Inputs!$F$14-Inputs!$G$14))*$CK99*Availability)</f>
        <v xml:space="preserve"> </v>
      </c>
      <c r="BN99" s="221" t="str">
        <f t="shared" si="238"/>
        <v xml:space="preserve"> </v>
      </c>
      <c r="BO99" s="221" t="str">
        <f t="shared" si="239"/>
        <v xml:space="preserve"> </v>
      </c>
      <c r="BP99" s="221" t="str">
        <f t="shared" si="240"/>
        <v xml:space="preserve"> </v>
      </c>
      <c r="BQ99" s="221" t="str">
        <f t="shared" si="241"/>
        <v xml:space="preserve"> </v>
      </c>
      <c r="BR99" s="221" t="str">
        <f t="shared" si="242"/>
        <v xml:space="preserve"> </v>
      </c>
      <c r="BS99" s="221" t="str">
        <f t="shared" si="243"/>
        <v xml:space="preserve"> </v>
      </c>
      <c r="BT99" s="221" t="str">
        <f t="shared" si="244"/>
        <v xml:space="preserve"> </v>
      </c>
      <c r="BU99" s="221" t="str">
        <f t="shared" si="245"/>
        <v xml:space="preserve"> </v>
      </c>
      <c r="BV99" s="221" t="str">
        <f t="shared" si="246"/>
        <v xml:space="preserve"> </v>
      </c>
      <c r="BW99" s="221" t="str">
        <f t="shared" si="247"/>
        <v xml:space="preserve"> </v>
      </c>
      <c r="BX99" s="421" t="str">
        <f t="shared" si="248"/>
        <v xml:space="preserve"> </v>
      </c>
      <c r="BY99" s="417" t="str">
        <f t="shared" si="249"/>
        <v xml:space="preserve"> </v>
      </c>
      <c r="BZ99" s="417" t="str">
        <f t="shared" si="250"/>
        <v xml:space="preserve"> </v>
      </c>
      <c r="CA99" s="422" t="str">
        <f t="shared" si="251"/>
        <v xml:space="preserve"> </v>
      </c>
      <c r="CB99" s="347" t="str">
        <f t="shared" si="195"/>
        <v xml:space="preserve"> </v>
      </c>
      <c r="CC99" s="347" t="str">
        <f t="shared" si="252"/>
        <v xml:space="preserve"> </v>
      </c>
      <c r="CD99" s="348" t="str">
        <f t="shared" si="196"/>
        <v xml:space="preserve"> </v>
      </c>
      <c r="CE99" s="347" t="str">
        <f t="shared" si="197"/>
        <v xml:space="preserve"> </v>
      </c>
      <c r="CF99" s="347" t="str">
        <f t="shared" si="198"/>
        <v xml:space="preserve"> </v>
      </c>
      <c r="CG99" s="348" t="str">
        <f t="shared" si="199"/>
        <v xml:space="preserve"> </v>
      </c>
      <c r="CH99" s="347" t="str">
        <f t="shared" si="253"/>
        <v xml:space="preserve"> </v>
      </c>
      <c r="CI99" s="349" t="str">
        <f>IF($A99="N/A"," ",F99+G99+(D99*('Pricing Inputs'!T132)))</f>
        <v xml:space="preserve"> </v>
      </c>
      <c r="CJ99" s="347" t="str">
        <f>IF($A99="N/A"," ",IF(PV=1,0,'Pricing Inputs'!U132))</f>
        <v xml:space="preserve"> </v>
      </c>
      <c r="CK99" s="350" t="str">
        <f t="shared" si="200"/>
        <v xml:space="preserve"> </v>
      </c>
      <c r="CL99" s="365" t="str">
        <f t="shared" si="201"/>
        <v xml:space="preserve"> </v>
      </c>
      <c r="CM99" s="380" t="str">
        <f t="shared" si="254"/>
        <v xml:space="preserve"> </v>
      </c>
      <c r="CN99" s="378" t="str">
        <f t="shared" si="202"/>
        <v xml:space="preserve"> </v>
      </c>
      <c r="CO99" s="378" t="str">
        <f t="shared" si="203"/>
        <v xml:space="preserve"> </v>
      </c>
      <c r="CP99" s="378" t="str">
        <f t="shared" si="204"/>
        <v xml:space="preserve"> </v>
      </c>
      <c r="CQ99" s="378" t="str">
        <f t="shared" si="205"/>
        <v xml:space="preserve"> </v>
      </c>
      <c r="CR99" s="378" t="str">
        <f t="shared" si="206"/>
        <v xml:space="preserve"> </v>
      </c>
      <c r="CS99" s="378" t="str">
        <f t="shared" si="207"/>
        <v xml:space="preserve"> </v>
      </c>
      <c r="CT99" s="378" t="str">
        <f t="shared" si="208"/>
        <v xml:space="preserve"> </v>
      </c>
      <c r="CU99" s="378" t="str">
        <f t="shared" si="209"/>
        <v xml:space="preserve"> </v>
      </c>
      <c r="CV99" s="378" t="str">
        <f t="shared" si="210"/>
        <v xml:space="preserve"> </v>
      </c>
      <c r="CW99" s="254" t="str">
        <f t="shared" si="211"/>
        <v xml:space="preserve"> </v>
      </c>
      <c r="CX99" s="254" t="str">
        <f t="shared" si="212"/>
        <v xml:space="preserve"> </v>
      </c>
      <c r="CY99" s="254" t="str">
        <f t="shared" si="213"/>
        <v xml:space="preserve"> </v>
      </c>
      <c r="CZ99" s="254" t="str">
        <f t="shared" si="214"/>
        <v xml:space="preserve"> </v>
      </c>
      <c r="DA99" s="254" t="str">
        <f t="shared" si="215"/>
        <v xml:space="preserve"> </v>
      </c>
      <c r="DB99" s="254" t="str">
        <f t="shared" si="216"/>
        <v xml:space="preserve"> </v>
      </c>
      <c r="DC99" s="254" t="str">
        <f t="shared" si="217"/>
        <v xml:space="preserve"> </v>
      </c>
      <c r="DD99" s="254" t="str">
        <f t="shared" si="218"/>
        <v xml:space="preserve"> </v>
      </c>
      <c r="DE99" s="254" t="str">
        <f t="shared" si="219"/>
        <v xml:space="preserve"> </v>
      </c>
      <c r="DF99" s="374" t="str">
        <f>IF($A99="N/A"," ",IF(CC=2,(IF(MONTH(A99)&gt;=4,IF(MONTH(A99)&lt;=10,Inputs!$G$13,Inputs!$G$14),Inputs!$G$14))*$CK99,0))</f>
        <v xml:space="preserve"> </v>
      </c>
      <c r="DG99" s="373" t="str">
        <f t="shared" si="220"/>
        <v xml:space="preserve"> </v>
      </c>
      <c r="DH99" s="373" t="str">
        <f t="shared" si="221"/>
        <v xml:space="preserve"> </v>
      </c>
      <c r="DI99" s="373" t="str">
        <f t="shared" si="222"/>
        <v xml:space="preserve"> </v>
      </c>
      <c r="DJ99" s="373" t="str">
        <f t="shared" si="223"/>
        <v xml:space="preserve"> </v>
      </c>
      <c r="DK99" s="373" t="str">
        <f t="shared" si="224"/>
        <v xml:space="preserve"> </v>
      </c>
      <c r="DL99" s="373" t="str">
        <f t="shared" si="225"/>
        <v xml:space="preserve"> </v>
      </c>
      <c r="DM99" s="373" t="str">
        <f t="shared" si="226"/>
        <v xml:space="preserve"> </v>
      </c>
      <c r="DN99" s="373" t="str">
        <f t="shared" si="227"/>
        <v xml:space="preserve"> </v>
      </c>
      <c r="DO99" s="373" t="str">
        <f t="shared" si="228"/>
        <v xml:space="preserve"> </v>
      </c>
      <c r="DP99" s="375" t="str">
        <f t="shared" si="229"/>
        <v xml:space="preserve"> </v>
      </c>
      <c r="DQ99" t="str">
        <f t="shared" si="255"/>
        <v xml:space="preserve"> </v>
      </c>
      <c r="HD99" t="str">
        <f t="shared" si="256"/>
        <v xml:space="preserve"> </v>
      </c>
      <c r="HE99" t="str">
        <f t="shared" si="257"/>
        <v xml:space="preserve"> </v>
      </c>
      <c r="HF99" t="str">
        <f t="shared" si="258"/>
        <v xml:space="preserve"> </v>
      </c>
    </row>
    <row r="100" spans="1:214">
      <c r="A100" s="415" t="str">
        <f>IF(A99="N/A","N/A",IF(EDATE(A99,1)&gt;Inputs!$K$3,"N/A",EDATE(A99,1)))</f>
        <v>N/A</v>
      </c>
      <c r="B100" s="410" t="str">
        <f t="shared" si="230"/>
        <v xml:space="preserve"> </v>
      </c>
      <c r="C100" s="411" t="str">
        <f t="shared" si="231"/>
        <v xml:space="preserve"> </v>
      </c>
      <c r="D100" s="412" t="str">
        <f t="shared" si="232"/>
        <v xml:space="preserve"> </v>
      </c>
      <c r="E100" s="413" t="str">
        <f>IF($A100="N/A"," ",(C100-'Pricing Inputs'!T133)*D100)</f>
        <v xml:space="preserve"> </v>
      </c>
      <c r="F100" s="414" t="str">
        <f t="shared" si="281"/>
        <v xml:space="preserve"> </v>
      </c>
      <c r="G100" s="414" t="str">
        <f t="shared" si="233"/>
        <v xml:space="preserve"> </v>
      </c>
      <c r="H100" s="416" t="str">
        <f t="shared" si="234"/>
        <v xml:space="preserve"> </v>
      </c>
      <c r="I100" s="213" t="str">
        <f t="shared" si="183"/>
        <v xml:space="preserve"> </v>
      </c>
      <c r="J100" s="213" t="str">
        <f t="shared" si="184"/>
        <v xml:space="preserve"> </v>
      </c>
      <c r="K100" s="213" t="str">
        <f t="shared" si="185"/>
        <v xml:space="preserve"> </v>
      </c>
      <c r="L100" s="213" t="str">
        <f t="shared" si="186"/>
        <v xml:space="preserve"> </v>
      </c>
      <c r="M100" s="213" t="str">
        <f t="shared" si="187"/>
        <v xml:space="preserve"> </v>
      </c>
      <c r="N100" s="213" t="str">
        <f t="shared" si="188"/>
        <v xml:space="preserve"> </v>
      </c>
      <c r="O100" s="213" t="str">
        <f t="shared" si="189"/>
        <v xml:space="preserve"> </v>
      </c>
      <c r="P100" s="213" t="str">
        <f t="shared" si="190"/>
        <v xml:space="preserve"> </v>
      </c>
      <c r="Q100" s="213" t="str">
        <f t="shared" si="191"/>
        <v xml:space="preserve"> </v>
      </c>
      <c r="R100" s="405" t="str">
        <f>IF($A100="N/A"," ",IF(Pricetype=2,MAX(I100-$H100,0),IF(Pricetype=1,(_xll.xSPRDOPT(I100,$E100,$CI100,0,($CD100+IF(Smile=TRUE,VLOOKUP(MAX(-5,$H100-I100),Volsmile,2),0)),$CG100,$CH100,($A100-DateToday)+15,1,0)),I100-$H100)))</f>
        <v xml:space="preserve"> </v>
      </c>
      <c r="S100" s="405" t="str">
        <f>IF($A100="N/A"," ",IF(Pricetype=2,MAX(J100-$H100,0),IF(Pricetype=1,(_xll.xSPRDOPT(J100,$E100,$CI100,0,($CD100+IF(Smile=TRUE,VLOOKUP(MAX(-5,$H100-J100),Volsmile,2),0)),$CG100,$CH100,($A100-DateToday)+15,1,0)),J100-$H100)))</f>
        <v xml:space="preserve"> </v>
      </c>
      <c r="T100" s="406" t="str">
        <f t="shared" si="192"/>
        <v xml:space="preserve"> </v>
      </c>
      <c r="U100" s="405" t="str">
        <f>IF($A100="N/A"," ",IF(Pricetype=2,MAX(L100-$H100,0),IF(L100&lt;&gt;0,IF(Pricetype=1,(_xll.xSPRDOPT(L100,$E100,$CI100,0,($CD100+IF(Smile=TRUE,VLOOKUP(MAX(-5,$H100-L100),Volsmile,2),0)),$CG100,$CH100,($A100-DateToday)+15,1,0)),L100-$H100),0)))</f>
        <v xml:space="preserve"> </v>
      </c>
      <c r="V100" s="405" t="str">
        <f>IF($A100="N/A"," ",IF(Pricetype=2,MAX(M100-$H100,0),IF(M100&lt;&gt;0,IF(Pricetype=1,(_xll.xSPRDOPT(M100,$E100,$CI100,0,($CD100+IF(Smile=TRUE,VLOOKUP(MAX(-5,$H100-M100),Volsmile,2),0)),$CG100,$CH100,($A100-DateToday)+15,1,0)),M100-$H100),0)))</f>
        <v xml:space="preserve"> </v>
      </c>
      <c r="W100" s="406" t="str">
        <f t="shared" si="193"/>
        <v xml:space="preserve"> </v>
      </c>
      <c r="X100" s="405" t="str">
        <f>IF($A100="N/A"," ",IF(Pricetype=2,MAX(O100-$H100,0),IF(O100&lt;&gt;0,IF(Pricetype=1,(_xll.xSPRDOPT(O100,$E100,$CI100,0,($CD100+IF(Smile=TRUE,VLOOKUP(MAX(-5,$H100-O100),Volsmile,2),0)),$CG100,$CH100,($A100-DateToday)+15,1,0)),O100-$H100),0)))</f>
        <v xml:space="preserve"> </v>
      </c>
      <c r="Y100" s="405" t="str">
        <f>IF($A100="N/A"," ",IF(Pricetype=2,MAX(P100-$H100,0),IF(P100&lt;&gt;0,IF(Pricetype=1,(_xll.xSPRDOPT(P100,$E100,$CI100,0,($CD100+IF(Smile=TRUE,VLOOKUP(MAX(-5,$H100-P100),Volsmile,2),0)),$CG100,$CH100,($A100-DateToday)+15,1,0)),P100-$H100),0)))</f>
        <v xml:space="preserve"> </v>
      </c>
      <c r="Z100" s="406" t="str">
        <f t="shared" si="194"/>
        <v xml:space="preserve"> </v>
      </c>
      <c r="AA100" s="254" t="str">
        <f>IF($A100="N/A"," ",IF(VLOOKUP(MONTH(A100),ManualTable,2)=1,(IF(0&lt;&gt;R100,IF(Pricetype=1,(_xll.xSPRDOPT(I100,$E100,$CI100,0,($CD100+IF(Smile=TRUE,VLOOKUP(MAX(-5,$H100-I100),Volsmile,2),0)),$CG100,$CH100,($A100-DateToday)+15,1,1))*(8*$HD100),8*$HD100),0)),0))</f>
        <v xml:space="preserve"> </v>
      </c>
      <c r="AB100" s="254" t="str">
        <f>IF($A100="N/A"," ",IF(VLOOKUP(MONTH(A100),ManualTable,3)=1,(IF(S100&lt;&gt;0,IF(Pricetype=1,(_xll.xSPRDOPT(J100,$E100,$CI100,0,($CD100+IF(Smile=TRUE,VLOOKUP(MAX(-5,$H100-J100),Volsmile,2),0)),$CG100,$CH100,($A100-DateToday)+15,1,1))*(8*$HD100),8*$HD100),0)),0))</f>
        <v xml:space="preserve"> </v>
      </c>
      <c r="AC100" s="254" t="str">
        <f t="shared" si="235"/>
        <v xml:space="preserve"> </v>
      </c>
      <c r="AD100" s="254" t="str">
        <f>IF($A100="N/A"," ",IF(VLOOKUP(MONTH(A100),ManualTable,5)=1,(IF(U100&lt;&gt;0,IF(Pricetype=1,(_xll.xSPRDOPT(L100,$E100,$CI100,0,($CD100+IF(Smile=TRUE,VLOOKUP(MAX(-5,$H100-L100),Volsmile,2),0)),$CG100,$CH100,($A100-DateToday)+15,1,1))*(8*$HE100),8*$HE100),0)),0))</f>
        <v xml:space="preserve"> </v>
      </c>
      <c r="AE100" s="254" t="str">
        <f>IF($A100="N/A"," ",IF(VLOOKUP(MONTH(A100),ManualTable,6)=1,(IF(V100&lt;&gt;0,IF(Pricetype=1,(_xll.xSPRDOPT(M100,$E100,$CI100,0,($CD100+IF(Smile=TRUE,VLOOKUP(MAX(-5,$H100-M100),Volsmile,2),0)),$CG100,$CH100,($A100-DateToday)+15,1,1))*(8*$HE100),8*$HE100),0)),0))</f>
        <v xml:space="preserve"> </v>
      </c>
      <c r="AF100" s="254" t="str">
        <f t="shared" si="236"/>
        <v xml:space="preserve"> </v>
      </c>
      <c r="AG100" s="254" t="str">
        <f>IF($A100="N/A"," ",IF(VLOOKUP(MONTH(A100),ManualTable,8)=1,(IF(X100&lt;&gt;0,IF(Pricetype=1,(_xll.xSPRDOPT(O100,$E100,$CI100,0,($CD100+IF(Smile=TRUE,VLOOKUP(MAX(-5,$H100-O100),Volsmile,2),0)),$CG100,$CH100,($A100-DateToday)+15,1,1))*(8*$HF100),8*$HF100),0)),0))</f>
        <v xml:space="preserve"> </v>
      </c>
      <c r="AH100" s="254" t="str">
        <f>IF($A100="N/A"," ",IF(VLOOKUP(MONTH(A100),ManualTable,9)=1,(IF(Y100&lt;&gt;0,IF(Pricetype=1,(_xll.xSPRDOPT(P100,$E100,$CI100,0,($CD100+IF(Smile=TRUE,VLOOKUP(MAX(-5,$H100-P100),Volsmile,2),0)),$CG100,$CH100,($A100-DateToday)+15,1,1))*(8*$HF100),8*$HF100),0)),0))</f>
        <v xml:space="preserve"> </v>
      </c>
      <c r="AI100" s="254" t="str">
        <f t="shared" si="237"/>
        <v xml:space="preserve"> </v>
      </c>
      <c r="AJ100" s="224" t="str">
        <f t="shared" ref="AJ100:AR100" si="297">IF($A100="N/A"," ",RANK(R100,$R$100:$Z$111))</f>
        <v xml:space="preserve"> </v>
      </c>
      <c r="AK100" s="225" t="str">
        <f t="shared" si="297"/>
        <v xml:space="preserve"> </v>
      </c>
      <c r="AL100" s="225" t="str">
        <f t="shared" si="297"/>
        <v xml:space="preserve"> </v>
      </c>
      <c r="AM100" s="225" t="str">
        <f t="shared" si="297"/>
        <v xml:space="preserve"> </v>
      </c>
      <c r="AN100" s="225" t="str">
        <f t="shared" si="297"/>
        <v xml:space="preserve"> </v>
      </c>
      <c r="AO100" s="225" t="str">
        <f t="shared" si="297"/>
        <v xml:space="preserve"> </v>
      </c>
      <c r="AP100" s="225" t="str">
        <f t="shared" si="297"/>
        <v xml:space="preserve"> </v>
      </c>
      <c r="AQ100" s="225" t="str">
        <f t="shared" si="297"/>
        <v xml:space="preserve"> </v>
      </c>
      <c r="AR100" s="226" t="str">
        <f t="shared" si="297"/>
        <v xml:space="preserve"> </v>
      </c>
      <c r="AS100" s="260" t="str">
        <f t="shared" si="274"/>
        <v xml:space="preserve"> </v>
      </c>
      <c r="AT100" s="261" t="str">
        <f t="shared" si="275"/>
        <v xml:space="preserve"> </v>
      </c>
      <c r="AU100" s="263" t="str">
        <f t="shared" si="275"/>
        <v xml:space="preserve"> </v>
      </c>
      <c r="AV100" s="263" t="str">
        <f t="shared" si="276"/>
        <v xml:space="preserve"> </v>
      </c>
      <c r="AW100" s="263" t="str">
        <f t="shared" si="277"/>
        <v xml:space="preserve"> </v>
      </c>
      <c r="AX100" s="263" t="str">
        <f t="shared" si="277"/>
        <v xml:space="preserve"> </v>
      </c>
      <c r="AY100" s="261" t="str">
        <f t="shared" si="278"/>
        <v xml:space="preserve"> </v>
      </c>
      <c r="AZ100" s="261" t="str">
        <f t="shared" si="279"/>
        <v xml:space="preserve"> </v>
      </c>
      <c r="BA100" s="261" t="str">
        <f t="shared" si="280"/>
        <v xml:space="preserve"> </v>
      </c>
      <c r="BB100" s="226"/>
      <c r="BC100" s="272" t="str">
        <f t="shared" ref="BC100:BC111" si="298">IF($A100="N/A"," ",IF(AND(AJ100=$AR$2+1,AS100=0),MIN($BB$111,AA100),0))</f>
        <v xml:space="preserve"> </v>
      </c>
      <c r="BD100" s="267" t="str">
        <f t="shared" ref="BD100:BE111" si="299">IF($A100="N/A"," ",IF(AND(AK100=$AR$2+1,AT100=0),MIN($BB$111,AB100),0))</f>
        <v xml:space="preserve"> </v>
      </c>
      <c r="BE100" s="267" t="str">
        <f t="shared" si="299"/>
        <v xml:space="preserve"> </v>
      </c>
      <c r="BF100" s="267" t="str">
        <f t="shared" ref="BF100:BF111" si="300">IF($A100="N/A"," ",IF(AND(AM100=$AR$2+1,AV100=0),MIN($BB$111,AD100),0))</f>
        <v xml:space="preserve"> </v>
      </c>
      <c r="BG100" s="267" t="str">
        <f t="shared" ref="BG100:BH111" si="301">IF($A100="N/A"," ",IF(AND(AN100=$AR$2+1,AW100=0),MIN($BB$111,AE100),0))</f>
        <v xml:space="preserve"> </v>
      </c>
      <c r="BH100" s="267" t="str">
        <f t="shared" si="301"/>
        <v xml:space="preserve"> </v>
      </c>
      <c r="BI100" s="267" t="str">
        <f t="shared" ref="BI100:BI111" si="302">IF($A100="N/A"," ",IF(AND(AP100=$AR$2+1,AY100=0),MIN($BB$111,AG100),0))</f>
        <v xml:space="preserve"> </v>
      </c>
      <c r="BJ100" s="267" t="str">
        <f t="shared" ref="BJ100:BJ111" si="303">IF($A100="N/A"," ",IF(AND(AQ100=$AR$2+1,AZ100=0),MIN($BB$111,AH100),0))</f>
        <v xml:space="preserve"> </v>
      </c>
      <c r="BK100" s="267" t="str">
        <f t="shared" ref="BK100:BK111" si="304">IF($A100="N/A"," ",IF(AND(AR100=$AR$2+1,BA100=0),MIN($BB$111,AI100),0))</f>
        <v xml:space="preserve"> </v>
      </c>
      <c r="BL100" s="226"/>
      <c r="BM100" s="220" t="str">
        <f>IF($A100="N/A"," ",(IF(MONTH(A100)&gt;=4,IF(MONTH(A100)&lt;=10,Inputs!$F$13-Inputs!$G$13,Inputs!$F$14-Inputs!$G$14),Inputs!$F$14-Inputs!$G$14))*$CK100*Availability)</f>
        <v xml:space="preserve"> </v>
      </c>
      <c r="BN100" s="221" t="str">
        <f t="shared" si="238"/>
        <v xml:space="preserve"> </v>
      </c>
      <c r="BO100" s="221" t="str">
        <f t="shared" si="239"/>
        <v xml:space="preserve"> </v>
      </c>
      <c r="BP100" s="221" t="str">
        <f t="shared" si="240"/>
        <v xml:space="preserve"> </v>
      </c>
      <c r="BQ100" s="221" t="str">
        <f t="shared" si="241"/>
        <v xml:space="preserve"> </v>
      </c>
      <c r="BR100" s="221" t="str">
        <f t="shared" si="242"/>
        <v xml:space="preserve"> </v>
      </c>
      <c r="BS100" s="221" t="str">
        <f t="shared" si="243"/>
        <v xml:space="preserve"> </v>
      </c>
      <c r="BT100" s="221" t="str">
        <f t="shared" si="244"/>
        <v xml:space="preserve"> </v>
      </c>
      <c r="BU100" s="221" t="str">
        <f t="shared" si="245"/>
        <v xml:space="preserve"> </v>
      </c>
      <c r="BV100" s="221" t="str">
        <f t="shared" si="246"/>
        <v xml:space="preserve"> </v>
      </c>
      <c r="BW100" s="221" t="str">
        <f t="shared" si="247"/>
        <v xml:space="preserve"> </v>
      </c>
      <c r="BX100" s="421" t="str">
        <f t="shared" si="248"/>
        <v xml:space="preserve"> </v>
      </c>
      <c r="BY100" s="417" t="str">
        <f t="shared" si="249"/>
        <v xml:space="preserve"> </v>
      </c>
      <c r="BZ100" s="417" t="str">
        <f t="shared" si="250"/>
        <v xml:space="preserve"> </v>
      </c>
      <c r="CA100" s="422" t="str">
        <f t="shared" si="251"/>
        <v xml:space="preserve"> </v>
      </c>
      <c r="CB100" s="347" t="str">
        <f t="shared" si="195"/>
        <v xml:space="preserve"> </v>
      </c>
      <c r="CC100" s="347" t="str">
        <f t="shared" si="252"/>
        <v xml:space="preserve"> </v>
      </c>
      <c r="CD100" s="348" t="str">
        <f t="shared" si="196"/>
        <v xml:space="preserve"> </v>
      </c>
      <c r="CE100" s="347" t="str">
        <f t="shared" si="197"/>
        <v xml:space="preserve"> </v>
      </c>
      <c r="CF100" s="347" t="str">
        <f t="shared" si="198"/>
        <v xml:space="preserve"> </v>
      </c>
      <c r="CG100" s="348" t="str">
        <f t="shared" si="199"/>
        <v xml:space="preserve"> </v>
      </c>
      <c r="CH100" s="347" t="str">
        <f t="shared" si="253"/>
        <v xml:space="preserve"> </v>
      </c>
      <c r="CI100" s="349" t="str">
        <f>IF($A100="N/A"," ",F100+G100+(D100*('Pricing Inputs'!T133)))</f>
        <v xml:space="preserve"> </v>
      </c>
      <c r="CJ100" s="347" t="str">
        <f>IF($A100="N/A"," ",IF(PV=1,0,'Pricing Inputs'!U133))</f>
        <v xml:space="preserve"> </v>
      </c>
      <c r="CK100" s="350" t="str">
        <f t="shared" si="200"/>
        <v xml:space="preserve"> </v>
      </c>
      <c r="CL100" s="365" t="str">
        <f t="shared" si="201"/>
        <v xml:space="preserve"> </v>
      </c>
      <c r="CM100" s="380" t="str">
        <f t="shared" si="254"/>
        <v xml:space="preserve"> </v>
      </c>
      <c r="CN100" s="378" t="str">
        <f t="shared" si="202"/>
        <v xml:space="preserve"> </v>
      </c>
      <c r="CO100" s="378" t="str">
        <f t="shared" si="203"/>
        <v xml:space="preserve"> </v>
      </c>
      <c r="CP100" s="378" t="str">
        <f t="shared" si="204"/>
        <v xml:space="preserve"> </v>
      </c>
      <c r="CQ100" s="378" t="str">
        <f t="shared" si="205"/>
        <v xml:space="preserve"> </v>
      </c>
      <c r="CR100" s="378" t="str">
        <f t="shared" si="206"/>
        <v xml:space="preserve"> </v>
      </c>
      <c r="CS100" s="378" t="str">
        <f t="shared" si="207"/>
        <v xml:space="preserve"> </v>
      </c>
      <c r="CT100" s="378" t="str">
        <f t="shared" si="208"/>
        <v xml:space="preserve"> </v>
      </c>
      <c r="CU100" s="378" t="str">
        <f t="shared" si="209"/>
        <v xml:space="preserve"> </v>
      </c>
      <c r="CV100" s="378" t="str">
        <f t="shared" si="210"/>
        <v xml:space="preserve"> </v>
      </c>
      <c r="CW100" s="254" t="str">
        <f t="shared" si="211"/>
        <v xml:space="preserve"> </v>
      </c>
      <c r="CX100" s="254" t="str">
        <f t="shared" si="212"/>
        <v xml:space="preserve"> </v>
      </c>
      <c r="CY100" s="254" t="str">
        <f t="shared" si="213"/>
        <v xml:space="preserve"> </v>
      </c>
      <c r="CZ100" s="254" t="str">
        <f t="shared" si="214"/>
        <v xml:space="preserve"> </v>
      </c>
      <c r="DA100" s="254" t="str">
        <f t="shared" si="215"/>
        <v xml:space="preserve"> </v>
      </c>
      <c r="DB100" s="254" t="str">
        <f t="shared" si="216"/>
        <v xml:space="preserve"> </v>
      </c>
      <c r="DC100" s="254" t="str">
        <f t="shared" si="217"/>
        <v xml:space="preserve"> </v>
      </c>
      <c r="DD100" s="254" t="str">
        <f t="shared" si="218"/>
        <v xml:space="preserve"> </v>
      </c>
      <c r="DE100" s="254" t="str">
        <f t="shared" si="219"/>
        <v xml:space="preserve"> </v>
      </c>
      <c r="DF100" s="374" t="str">
        <f>IF($A100="N/A"," ",IF(CC=2,(IF(MONTH(A100)&gt;=4,IF(MONTH(A100)&lt;=10,Inputs!$G$13,Inputs!$G$14),Inputs!$G$14))*$CK100,0))</f>
        <v xml:space="preserve"> </v>
      </c>
      <c r="DG100" s="373" t="str">
        <f t="shared" si="220"/>
        <v xml:space="preserve"> </v>
      </c>
      <c r="DH100" s="373" t="str">
        <f t="shared" si="221"/>
        <v xml:space="preserve"> </v>
      </c>
      <c r="DI100" s="373" t="str">
        <f t="shared" si="222"/>
        <v xml:space="preserve"> </v>
      </c>
      <c r="DJ100" s="373" t="str">
        <f t="shared" si="223"/>
        <v xml:space="preserve"> </v>
      </c>
      <c r="DK100" s="373" t="str">
        <f t="shared" si="224"/>
        <v xml:space="preserve"> </v>
      </c>
      <c r="DL100" s="373" t="str">
        <f t="shared" si="225"/>
        <v xml:space="preserve"> </v>
      </c>
      <c r="DM100" s="373" t="str">
        <f t="shared" si="226"/>
        <v xml:space="preserve"> </v>
      </c>
      <c r="DN100" s="373" t="str">
        <f t="shared" si="227"/>
        <v xml:space="preserve"> </v>
      </c>
      <c r="DO100" s="373" t="str">
        <f t="shared" si="228"/>
        <v xml:space="preserve"> </v>
      </c>
      <c r="DP100" s="375" t="str">
        <f t="shared" si="229"/>
        <v xml:space="preserve"> </v>
      </c>
      <c r="DQ100" t="str">
        <f t="shared" si="255"/>
        <v xml:space="preserve"> </v>
      </c>
      <c r="HD100" t="str">
        <f t="shared" si="256"/>
        <v xml:space="preserve"> </v>
      </c>
      <c r="HE100" t="str">
        <f t="shared" si="257"/>
        <v xml:space="preserve"> </v>
      </c>
      <c r="HF100" t="str">
        <f t="shared" si="258"/>
        <v xml:space="preserve"> </v>
      </c>
    </row>
    <row r="101" spans="1:214">
      <c r="A101" s="415" t="str">
        <f>IF(A100="N/A","N/A",IF(EDATE(A100,1)&gt;Inputs!$K$3,"N/A",EDATE(A100,1)))</f>
        <v>N/A</v>
      </c>
      <c r="B101" s="410" t="str">
        <f t="shared" si="230"/>
        <v xml:space="preserve"> </v>
      </c>
      <c r="C101" s="411" t="str">
        <f t="shared" si="231"/>
        <v xml:space="preserve"> </v>
      </c>
      <c r="D101" s="412" t="str">
        <f t="shared" si="232"/>
        <v xml:space="preserve"> </v>
      </c>
      <c r="E101" s="413" t="str">
        <f>IF($A101="N/A"," ",(C101-'Pricing Inputs'!T134)*D101)</f>
        <v xml:space="preserve"> </v>
      </c>
      <c r="F101" s="414" t="str">
        <f t="shared" si="281"/>
        <v xml:space="preserve"> </v>
      </c>
      <c r="G101" s="414" t="str">
        <f t="shared" si="233"/>
        <v xml:space="preserve"> </v>
      </c>
      <c r="H101" s="416" t="str">
        <f t="shared" si="234"/>
        <v xml:space="preserve"> </v>
      </c>
      <c r="I101" s="213" t="str">
        <f t="shared" si="183"/>
        <v xml:space="preserve"> </v>
      </c>
      <c r="J101" s="213" t="str">
        <f t="shared" si="184"/>
        <v xml:space="preserve"> </v>
      </c>
      <c r="K101" s="213" t="str">
        <f t="shared" si="185"/>
        <v xml:space="preserve"> </v>
      </c>
      <c r="L101" s="213" t="str">
        <f t="shared" si="186"/>
        <v xml:space="preserve"> </v>
      </c>
      <c r="M101" s="213" t="str">
        <f t="shared" si="187"/>
        <v xml:space="preserve"> </v>
      </c>
      <c r="N101" s="213" t="str">
        <f t="shared" si="188"/>
        <v xml:space="preserve"> </v>
      </c>
      <c r="O101" s="213" t="str">
        <f t="shared" si="189"/>
        <v xml:space="preserve"> </v>
      </c>
      <c r="P101" s="213" t="str">
        <f t="shared" si="190"/>
        <v xml:space="preserve"> </v>
      </c>
      <c r="Q101" s="213" t="str">
        <f t="shared" si="191"/>
        <v xml:space="preserve"> </v>
      </c>
      <c r="R101" s="405" t="str">
        <f>IF($A101="N/A"," ",IF(Pricetype=2,MAX(I101-$H101,0),IF(Pricetype=1,(_xll.xSPRDOPT(I101,$E101,$CI101,0,($CD101+IF(Smile=TRUE,VLOOKUP(MAX(-5,$H101-I101),Volsmile,2),0)),$CG101,$CH101,($A101-DateToday)+15,1,0)),I101-$H101)))</f>
        <v xml:space="preserve"> </v>
      </c>
      <c r="S101" s="405" t="str">
        <f>IF($A101="N/A"," ",IF(Pricetype=2,MAX(J101-$H101,0),IF(Pricetype=1,(_xll.xSPRDOPT(J101,$E101,$CI101,0,($CD101+IF(Smile=TRUE,VLOOKUP(MAX(-5,$H101-J101),Volsmile,2),0)),$CG101,$CH101,($A101-DateToday)+15,1,0)),J101-$H101)))</f>
        <v xml:space="preserve"> </v>
      </c>
      <c r="T101" s="406" t="str">
        <f t="shared" si="192"/>
        <v xml:space="preserve"> </v>
      </c>
      <c r="U101" s="405" t="str">
        <f>IF($A101="N/A"," ",IF(Pricetype=2,MAX(L101-$H101,0),IF(L101&lt;&gt;0,IF(Pricetype=1,(_xll.xSPRDOPT(L101,$E101,$CI101,0,($CD101+IF(Smile=TRUE,VLOOKUP(MAX(-5,$H101-L101),Volsmile,2),0)),$CG101,$CH101,($A101-DateToday)+15,1,0)),L101-$H101),0)))</f>
        <v xml:space="preserve"> </v>
      </c>
      <c r="V101" s="405" t="str">
        <f>IF($A101="N/A"," ",IF(Pricetype=2,MAX(M101-$H101,0),IF(M101&lt;&gt;0,IF(Pricetype=1,(_xll.xSPRDOPT(M101,$E101,$CI101,0,($CD101+IF(Smile=TRUE,VLOOKUP(MAX(-5,$H101-M101),Volsmile,2),0)),$CG101,$CH101,($A101-DateToday)+15,1,0)),M101-$H101),0)))</f>
        <v xml:space="preserve"> </v>
      </c>
      <c r="W101" s="406" t="str">
        <f t="shared" si="193"/>
        <v xml:space="preserve"> </v>
      </c>
      <c r="X101" s="405" t="str">
        <f>IF($A101="N/A"," ",IF(Pricetype=2,MAX(O101-$H101,0),IF(O101&lt;&gt;0,IF(Pricetype=1,(_xll.xSPRDOPT(O101,$E101,$CI101,0,($CD101+IF(Smile=TRUE,VLOOKUP(MAX(-5,$H101-O101),Volsmile,2),0)),$CG101,$CH101,($A101-DateToday)+15,1,0)),O101-$H101),0)))</f>
        <v xml:space="preserve"> </v>
      </c>
      <c r="Y101" s="405" t="str">
        <f>IF($A101="N/A"," ",IF(Pricetype=2,MAX(P101-$H101,0),IF(P101&lt;&gt;0,IF(Pricetype=1,(_xll.xSPRDOPT(P101,$E101,$CI101,0,($CD101+IF(Smile=TRUE,VLOOKUP(MAX(-5,$H101-P101),Volsmile,2),0)),$CG101,$CH101,($A101-DateToday)+15,1,0)),P101-$H101),0)))</f>
        <v xml:space="preserve"> </v>
      </c>
      <c r="Z101" s="406" t="str">
        <f t="shared" si="194"/>
        <v xml:space="preserve"> </v>
      </c>
      <c r="AA101" s="254" t="str">
        <f>IF($A101="N/A"," ",IF(VLOOKUP(MONTH(A101),ManualTable,2)=1,(IF(0&lt;&gt;R101,IF(Pricetype=1,(_xll.xSPRDOPT(I101,$E101,$CI101,0,($CD101+IF(Smile=TRUE,VLOOKUP(MAX(-5,$H101-I101),Volsmile,2),0)),$CG101,$CH101,($A101-DateToday)+15,1,1))*(8*$HD101),8*$HD101),0)),0))</f>
        <v xml:space="preserve"> </v>
      </c>
      <c r="AB101" s="254" t="str">
        <f>IF($A101="N/A"," ",IF(VLOOKUP(MONTH(A101),ManualTable,3)=1,(IF(S101&lt;&gt;0,IF(Pricetype=1,(_xll.xSPRDOPT(J101,$E101,$CI101,0,($CD101+IF(Smile=TRUE,VLOOKUP(MAX(-5,$H101-J101),Volsmile,2),0)),$CG101,$CH101,($A101-DateToday)+15,1,1))*(8*$HD101),8*$HD101),0)),0))</f>
        <v xml:space="preserve"> </v>
      </c>
      <c r="AC101" s="254" t="str">
        <f t="shared" si="235"/>
        <v xml:space="preserve"> </v>
      </c>
      <c r="AD101" s="254" t="str">
        <f>IF($A101="N/A"," ",IF(VLOOKUP(MONTH(A101),ManualTable,5)=1,(IF(U101&lt;&gt;0,IF(Pricetype=1,(_xll.xSPRDOPT(L101,$E101,$CI101,0,($CD101+IF(Smile=TRUE,VLOOKUP(MAX(-5,$H101-L101),Volsmile,2),0)),$CG101,$CH101,($A101-DateToday)+15,1,1))*(8*$HE101),8*$HE101),0)),0))</f>
        <v xml:space="preserve"> </v>
      </c>
      <c r="AE101" s="254" t="str">
        <f>IF($A101="N/A"," ",IF(VLOOKUP(MONTH(A101),ManualTable,6)=1,(IF(V101&lt;&gt;0,IF(Pricetype=1,(_xll.xSPRDOPT(M101,$E101,$CI101,0,($CD101+IF(Smile=TRUE,VLOOKUP(MAX(-5,$H101-M101),Volsmile,2),0)),$CG101,$CH101,($A101-DateToday)+15,1,1))*(8*$HE101),8*$HE101),0)),0))</f>
        <v xml:space="preserve"> </v>
      </c>
      <c r="AF101" s="254" t="str">
        <f t="shared" si="236"/>
        <v xml:space="preserve"> </v>
      </c>
      <c r="AG101" s="254" t="str">
        <f>IF($A101="N/A"," ",IF(VLOOKUP(MONTH(A101),ManualTable,8)=1,(IF(X101&lt;&gt;0,IF(Pricetype=1,(_xll.xSPRDOPT(O101,$E101,$CI101,0,($CD101+IF(Smile=TRUE,VLOOKUP(MAX(-5,$H101-O101),Volsmile,2),0)),$CG101,$CH101,($A101-DateToday)+15,1,1))*(8*$HF101),8*$HF101),0)),0))</f>
        <v xml:space="preserve"> </v>
      </c>
      <c r="AH101" s="254" t="str">
        <f>IF($A101="N/A"," ",IF(VLOOKUP(MONTH(A101),ManualTable,9)=1,(IF(Y101&lt;&gt;0,IF(Pricetype=1,(_xll.xSPRDOPT(P101,$E101,$CI101,0,($CD101+IF(Smile=TRUE,VLOOKUP(MAX(-5,$H101-P101),Volsmile,2),0)),$CG101,$CH101,($A101-DateToday)+15,1,1))*(8*$HF101),8*$HF101),0)),0))</f>
        <v xml:space="preserve"> </v>
      </c>
      <c r="AI101" s="254" t="str">
        <f t="shared" si="237"/>
        <v xml:space="preserve"> </v>
      </c>
      <c r="AJ101" s="227" t="str">
        <f t="shared" ref="AJ101:AJ111" si="305">IF($A101="N/A"," ",RANK(R101,$R$100:$Z$111))</f>
        <v xml:space="preserve"> </v>
      </c>
      <c r="AK101" s="228" t="str">
        <f t="shared" ref="AK101:AL111" si="306">IF($A101="N/A"," ",RANK(S101,$R$100:$Z$111))</f>
        <v xml:space="preserve"> </v>
      </c>
      <c r="AL101" s="228" t="str">
        <f t="shared" si="306"/>
        <v xml:space="preserve"> </v>
      </c>
      <c r="AM101" s="228" t="str">
        <f t="shared" ref="AM101:AM111" si="307">IF($A101="N/A"," ",RANK(U101,$R$100:$Z$111))</f>
        <v xml:space="preserve"> </v>
      </c>
      <c r="AN101" s="228" t="str">
        <f t="shared" ref="AN101:AO111" si="308">IF($A101="N/A"," ",RANK(V101,$R$100:$Z$111))</f>
        <v xml:space="preserve"> </v>
      </c>
      <c r="AO101" s="228" t="str">
        <f t="shared" si="308"/>
        <v xml:space="preserve"> </v>
      </c>
      <c r="AP101" s="228" t="str">
        <f t="shared" ref="AP101:AP111" si="309">IF($A101="N/A"," ",RANK(X101,$R$100:$Z$111))</f>
        <v xml:space="preserve"> </v>
      </c>
      <c r="AQ101" s="228" t="str">
        <f t="shared" ref="AQ101:AQ111" si="310">IF($A101="N/A"," ",RANK(Y101,$R$100:$Z$111))</f>
        <v xml:space="preserve"> </v>
      </c>
      <c r="AR101" s="229" t="str">
        <f t="shared" ref="AR101:AR111" si="311">IF($A101="N/A"," ",RANK(Z101,$R$100:$Z$111))</f>
        <v xml:space="preserve"> </v>
      </c>
      <c r="AS101" s="262" t="str">
        <f t="shared" si="274"/>
        <v xml:space="preserve"> </v>
      </c>
      <c r="AT101" s="263" t="str">
        <f t="shared" si="275"/>
        <v xml:space="preserve"> </v>
      </c>
      <c r="AU101" s="263" t="str">
        <f t="shared" si="275"/>
        <v xml:space="preserve"> </v>
      </c>
      <c r="AV101" s="263" t="str">
        <f t="shared" si="276"/>
        <v xml:space="preserve"> </v>
      </c>
      <c r="AW101" s="263" t="str">
        <f t="shared" si="277"/>
        <v xml:space="preserve"> </v>
      </c>
      <c r="AX101" s="263" t="str">
        <f t="shared" si="277"/>
        <v xml:space="preserve"> </v>
      </c>
      <c r="AY101" s="263" t="str">
        <f t="shared" si="278"/>
        <v xml:space="preserve"> </v>
      </c>
      <c r="AZ101" s="263" t="str">
        <f t="shared" si="279"/>
        <v xml:space="preserve"> </v>
      </c>
      <c r="BA101" s="263" t="str">
        <f t="shared" si="280"/>
        <v xml:space="preserve"> </v>
      </c>
      <c r="BB101" s="229"/>
      <c r="BC101" s="266" t="str">
        <f t="shared" si="298"/>
        <v xml:space="preserve"> </v>
      </c>
      <c r="BD101" s="269" t="str">
        <f t="shared" si="299"/>
        <v xml:space="preserve"> </v>
      </c>
      <c r="BE101" s="269" t="str">
        <f t="shared" si="299"/>
        <v xml:space="preserve"> </v>
      </c>
      <c r="BF101" s="269" t="str">
        <f t="shared" si="300"/>
        <v xml:space="preserve"> </v>
      </c>
      <c r="BG101" s="269" t="str">
        <f t="shared" si="301"/>
        <v xml:space="preserve"> </v>
      </c>
      <c r="BH101" s="269" t="str">
        <f t="shared" si="301"/>
        <v xml:space="preserve"> </v>
      </c>
      <c r="BI101" s="269" t="str">
        <f t="shared" si="302"/>
        <v xml:space="preserve"> </v>
      </c>
      <c r="BJ101" s="269" t="str">
        <f t="shared" si="303"/>
        <v xml:space="preserve"> </v>
      </c>
      <c r="BK101" s="269" t="str">
        <f t="shared" si="304"/>
        <v xml:space="preserve"> </v>
      </c>
      <c r="BL101" s="229"/>
      <c r="BM101" s="220" t="str">
        <f>IF($A101="N/A"," ",(IF(MONTH(A101)&gt;=4,IF(MONTH(A101)&lt;=10,Inputs!$F$13-Inputs!$G$13,Inputs!$F$14-Inputs!$G$14),Inputs!$F$14-Inputs!$G$14))*$CK101*Availability)</f>
        <v xml:space="preserve"> </v>
      </c>
      <c r="BN101" s="221" t="str">
        <f t="shared" si="238"/>
        <v xml:space="preserve"> </v>
      </c>
      <c r="BO101" s="221" t="str">
        <f t="shared" si="239"/>
        <v xml:space="preserve"> </v>
      </c>
      <c r="BP101" s="221" t="str">
        <f t="shared" si="240"/>
        <v xml:space="preserve"> </v>
      </c>
      <c r="BQ101" s="221" t="str">
        <f t="shared" si="241"/>
        <v xml:space="preserve"> </v>
      </c>
      <c r="BR101" s="221" t="str">
        <f t="shared" si="242"/>
        <v xml:space="preserve"> </v>
      </c>
      <c r="BS101" s="221" t="str">
        <f t="shared" si="243"/>
        <v xml:space="preserve"> </v>
      </c>
      <c r="BT101" s="221" t="str">
        <f t="shared" si="244"/>
        <v xml:space="preserve"> </v>
      </c>
      <c r="BU101" s="221" t="str">
        <f t="shared" si="245"/>
        <v xml:space="preserve"> </v>
      </c>
      <c r="BV101" s="221" t="str">
        <f t="shared" si="246"/>
        <v xml:space="preserve"> </v>
      </c>
      <c r="BW101" s="221" t="str">
        <f t="shared" si="247"/>
        <v xml:space="preserve"> </v>
      </c>
      <c r="BX101" s="421" t="str">
        <f t="shared" si="248"/>
        <v xml:space="preserve"> </v>
      </c>
      <c r="BY101" s="417" t="str">
        <f t="shared" si="249"/>
        <v xml:space="preserve"> </v>
      </c>
      <c r="BZ101" s="417" t="str">
        <f t="shared" si="250"/>
        <v xml:space="preserve"> </v>
      </c>
      <c r="CA101" s="422" t="str">
        <f t="shared" si="251"/>
        <v xml:space="preserve"> </v>
      </c>
      <c r="CB101" s="347" t="str">
        <f t="shared" si="195"/>
        <v xml:space="preserve"> </v>
      </c>
      <c r="CC101" s="347" t="str">
        <f t="shared" si="252"/>
        <v xml:space="preserve"> </v>
      </c>
      <c r="CD101" s="348" t="str">
        <f t="shared" si="196"/>
        <v xml:space="preserve"> </v>
      </c>
      <c r="CE101" s="347" t="str">
        <f t="shared" si="197"/>
        <v xml:space="preserve"> </v>
      </c>
      <c r="CF101" s="347" t="str">
        <f t="shared" si="198"/>
        <v xml:space="preserve"> </v>
      </c>
      <c r="CG101" s="348" t="str">
        <f t="shared" si="199"/>
        <v xml:space="preserve"> </v>
      </c>
      <c r="CH101" s="347" t="str">
        <f t="shared" si="253"/>
        <v xml:space="preserve"> </v>
      </c>
      <c r="CI101" s="349" t="str">
        <f>IF($A101="N/A"," ",F101+G101+(D101*('Pricing Inputs'!T134)))</f>
        <v xml:space="preserve"> </v>
      </c>
      <c r="CJ101" s="347" t="str">
        <f>IF($A101="N/A"," ",IF(PV=1,0,'Pricing Inputs'!U134))</f>
        <v xml:space="preserve"> </v>
      </c>
      <c r="CK101" s="350" t="str">
        <f t="shared" si="200"/>
        <v xml:space="preserve"> </v>
      </c>
      <c r="CL101" s="365" t="str">
        <f t="shared" si="201"/>
        <v xml:space="preserve"> </v>
      </c>
      <c r="CM101" s="380" t="str">
        <f t="shared" si="254"/>
        <v xml:space="preserve"> </v>
      </c>
      <c r="CN101" s="378" t="str">
        <f t="shared" si="202"/>
        <v xml:space="preserve"> </v>
      </c>
      <c r="CO101" s="378" t="str">
        <f t="shared" si="203"/>
        <v xml:space="preserve"> </v>
      </c>
      <c r="CP101" s="378" t="str">
        <f t="shared" si="204"/>
        <v xml:space="preserve"> </v>
      </c>
      <c r="CQ101" s="378" t="str">
        <f t="shared" si="205"/>
        <v xml:space="preserve"> </v>
      </c>
      <c r="CR101" s="378" t="str">
        <f t="shared" si="206"/>
        <v xml:space="preserve"> </v>
      </c>
      <c r="CS101" s="378" t="str">
        <f t="shared" si="207"/>
        <v xml:space="preserve"> </v>
      </c>
      <c r="CT101" s="378" t="str">
        <f t="shared" si="208"/>
        <v xml:space="preserve"> </v>
      </c>
      <c r="CU101" s="378" t="str">
        <f t="shared" si="209"/>
        <v xml:space="preserve"> </v>
      </c>
      <c r="CV101" s="378" t="str">
        <f t="shared" si="210"/>
        <v xml:space="preserve"> </v>
      </c>
      <c r="CW101" s="254" t="str">
        <f t="shared" si="211"/>
        <v xml:space="preserve"> </v>
      </c>
      <c r="CX101" s="254" t="str">
        <f t="shared" si="212"/>
        <v xml:space="preserve"> </v>
      </c>
      <c r="CY101" s="254" t="str">
        <f t="shared" si="213"/>
        <v xml:space="preserve"> </v>
      </c>
      <c r="CZ101" s="254" t="str">
        <f t="shared" si="214"/>
        <v xml:space="preserve"> </v>
      </c>
      <c r="DA101" s="254" t="str">
        <f t="shared" si="215"/>
        <v xml:space="preserve"> </v>
      </c>
      <c r="DB101" s="254" t="str">
        <f t="shared" si="216"/>
        <v xml:space="preserve"> </v>
      </c>
      <c r="DC101" s="254" t="str">
        <f t="shared" si="217"/>
        <v xml:space="preserve"> </v>
      </c>
      <c r="DD101" s="254" t="str">
        <f t="shared" si="218"/>
        <v xml:space="preserve"> </v>
      </c>
      <c r="DE101" s="254" t="str">
        <f t="shared" si="219"/>
        <v xml:space="preserve"> </v>
      </c>
      <c r="DF101" s="374" t="str">
        <f>IF($A101="N/A"," ",IF(CC=2,(IF(MONTH(A101)&gt;=4,IF(MONTH(A101)&lt;=10,Inputs!$G$13,Inputs!$G$14),Inputs!$G$14))*$CK101,0))</f>
        <v xml:space="preserve"> </v>
      </c>
      <c r="DG101" s="373" t="str">
        <f t="shared" si="220"/>
        <v xml:space="preserve"> </v>
      </c>
      <c r="DH101" s="373" t="str">
        <f t="shared" si="221"/>
        <v xml:space="preserve"> </v>
      </c>
      <c r="DI101" s="373" t="str">
        <f t="shared" si="222"/>
        <v xml:space="preserve"> </v>
      </c>
      <c r="DJ101" s="373" t="str">
        <f t="shared" si="223"/>
        <v xml:space="preserve"> </v>
      </c>
      <c r="DK101" s="373" t="str">
        <f t="shared" si="224"/>
        <v xml:space="preserve"> </v>
      </c>
      <c r="DL101" s="373" t="str">
        <f t="shared" si="225"/>
        <v xml:space="preserve"> </v>
      </c>
      <c r="DM101" s="373" t="str">
        <f t="shared" si="226"/>
        <v xml:space="preserve"> </v>
      </c>
      <c r="DN101" s="373" t="str">
        <f t="shared" si="227"/>
        <v xml:space="preserve"> </v>
      </c>
      <c r="DO101" s="373" t="str">
        <f t="shared" si="228"/>
        <v xml:space="preserve"> </v>
      </c>
      <c r="DP101" s="375" t="str">
        <f t="shared" si="229"/>
        <v xml:space="preserve"> </v>
      </c>
      <c r="DQ101" t="str">
        <f t="shared" si="255"/>
        <v xml:space="preserve"> </v>
      </c>
      <c r="HD101" t="str">
        <f t="shared" si="256"/>
        <v xml:space="preserve"> </v>
      </c>
      <c r="HE101" t="str">
        <f t="shared" si="257"/>
        <v xml:space="preserve"> </v>
      </c>
      <c r="HF101" t="str">
        <f t="shared" si="258"/>
        <v xml:space="preserve"> </v>
      </c>
    </row>
    <row r="102" spans="1:214">
      <c r="A102" s="415" t="str">
        <f>IF(A101="N/A","N/A",IF(EDATE(A101,1)&gt;Inputs!$K$3,"N/A",EDATE(A101,1)))</f>
        <v>N/A</v>
      </c>
      <c r="B102" s="410" t="str">
        <f t="shared" si="230"/>
        <v xml:space="preserve"> </v>
      </c>
      <c r="C102" s="411" t="str">
        <f t="shared" si="231"/>
        <v xml:space="preserve"> </v>
      </c>
      <c r="D102" s="412" t="str">
        <f t="shared" si="232"/>
        <v xml:space="preserve"> </v>
      </c>
      <c r="E102" s="413" t="str">
        <f>IF($A102="N/A"," ",(C102-'Pricing Inputs'!T135)*D102)</f>
        <v xml:space="preserve"> </v>
      </c>
      <c r="F102" s="414" t="str">
        <f t="shared" si="281"/>
        <v xml:space="preserve"> </v>
      </c>
      <c r="G102" s="414" t="str">
        <f t="shared" si="233"/>
        <v xml:space="preserve"> </v>
      </c>
      <c r="H102" s="416" t="str">
        <f t="shared" si="234"/>
        <v xml:space="preserve"> </v>
      </c>
      <c r="I102" s="213" t="str">
        <f t="shared" si="183"/>
        <v xml:space="preserve"> </v>
      </c>
      <c r="J102" s="213" t="str">
        <f t="shared" si="184"/>
        <v xml:space="preserve"> </v>
      </c>
      <c r="K102" s="213" t="str">
        <f t="shared" si="185"/>
        <v xml:space="preserve"> </v>
      </c>
      <c r="L102" s="213" t="str">
        <f t="shared" si="186"/>
        <v xml:space="preserve"> </v>
      </c>
      <c r="M102" s="213" t="str">
        <f t="shared" si="187"/>
        <v xml:space="preserve"> </v>
      </c>
      <c r="N102" s="213" t="str">
        <f t="shared" si="188"/>
        <v xml:space="preserve"> </v>
      </c>
      <c r="O102" s="213" t="str">
        <f t="shared" si="189"/>
        <v xml:space="preserve"> </v>
      </c>
      <c r="P102" s="213" t="str">
        <f t="shared" si="190"/>
        <v xml:space="preserve"> </v>
      </c>
      <c r="Q102" s="213" t="str">
        <f t="shared" si="191"/>
        <v xml:space="preserve"> </v>
      </c>
      <c r="R102" s="405" t="str">
        <f>IF($A102="N/A"," ",IF(Pricetype=2,MAX(I102-$H102,0),IF(Pricetype=1,(_xll.xSPRDOPT(I102,$E102,$CI102,0,($CD102+IF(Smile=TRUE,VLOOKUP(MAX(-5,$H102-I102),Volsmile,2),0)),$CG102,$CH102,($A102-DateToday)+15,1,0)),I102-$H102)))</f>
        <v xml:space="preserve"> </v>
      </c>
      <c r="S102" s="405" t="str">
        <f>IF($A102="N/A"," ",IF(Pricetype=2,MAX(J102-$H102,0),IF(Pricetype=1,(_xll.xSPRDOPT(J102,$E102,$CI102,0,($CD102+IF(Smile=TRUE,VLOOKUP(MAX(-5,$H102-J102),Volsmile,2),0)),$CG102,$CH102,($A102-DateToday)+15,1,0)),J102-$H102)))</f>
        <v xml:space="preserve"> </v>
      </c>
      <c r="T102" s="406" t="str">
        <f t="shared" si="192"/>
        <v xml:space="preserve"> </v>
      </c>
      <c r="U102" s="405" t="str">
        <f>IF($A102="N/A"," ",IF(Pricetype=2,MAX(L102-$H102,0),IF(L102&lt;&gt;0,IF(Pricetype=1,(_xll.xSPRDOPT(L102,$E102,$CI102,0,($CD102+IF(Smile=TRUE,VLOOKUP(MAX(-5,$H102-L102),Volsmile,2),0)),$CG102,$CH102,($A102-DateToday)+15,1,0)),L102-$H102),0)))</f>
        <v xml:space="preserve"> </v>
      </c>
      <c r="V102" s="405" t="str">
        <f>IF($A102="N/A"," ",IF(Pricetype=2,MAX(M102-$H102,0),IF(M102&lt;&gt;0,IF(Pricetype=1,(_xll.xSPRDOPT(M102,$E102,$CI102,0,($CD102+IF(Smile=TRUE,VLOOKUP(MAX(-5,$H102-M102),Volsmile,2),0)),$CG102,$CH102,($A102-DateToday)+15,1,0)),M102-$H102),0)))</f>
        <v xml:space="preserve"> </v>
      </c>
      <c r="W102" s="406" t="str">
        <f t="shared" si="193"/>
        <v xml:space="preserve"> </v>
      </c>
      <c r="X102" s="405" t="str">
        <f>IF($A102="N/A"," ",IF(Pricetype=2,MAX(O102-$H102,0),IF(O102&lt;&gt;0,IF(Pricetype=1,(_xll.xSPRDOPT(O102,$E102,$CI102,0,($CD102+IF(Smile=TRUE,VLOOKUP(MAX(-5,$H102-O102),Volsmile,2),0)),$CG102,$CH102,($A102-DateToday)+15,1,0)),O102-$H102),0)))</f>
        <v xml:space="preserve"> </v>
      </c>
      <c r="Y102" s="405" t="str">
        <f>IF($A102="N/A"," ",IF(Pricetype=2,MAX(P102-$H102,0),IF(P102&lt;&gt;0,IF(Pricetype=1,(_xll.xSPRDOPT(P102,$E102,$CI102,0,($CD102+IF(Smile=TRUE,VLOOKUP(MAX(-5,$H102-P102),Volsmile,2),0)),$CG102,$CH102,($A102-DateToday)+15,1,0)),P102-$H102),0)))</f>
        <v xml:space="preserve"> </v>
      </c>
      <c r="Z102" s="406" t="str">
        <f t="shared" si="194"/>
        <v xml:space="preserve"> </v>
      </c>
      <c r="AA102" s="254" t="str">
        <f>IF($A102="N/A"," ",IF(VLOOKUP(MONTH(A102),ManualTable,2)=1,(IF(0&lt;&gt;R102,IF(Pricetype=1,(_xll.xSPRDOPT(I102,$E102,$CI102,0,($CD102+IF(Smile=TRUE,VLOOKUP(MAX(-5,$H102-I102),Volsmile,2),0)),$CG102,$CH102,($A102-DateToday)+15,1,1))*(8*$HD102),8*$HD102),0)),0))</f>
        <v xml:space="preserve"> </v>
      </c>
      <c r="AB102" s="254" t="str">
        <f>IF($A102="N/A"," ",IF(VLOOKUP(MONTH(A102),ManualTable,3)=1,(IF(S102&lt;&gt;0,IF(Pricetype=1,(_xll.xSPRDOPT(J102,$E102,$CI102,0,($CD102+IF(Smile=TRUE,VLOOKUP(MAX(-5,$H102-J102),Volsmile,2),0)),$CG102,$CH102,($A102-DateToday)+15,1,1))*(8*$HD102),8*$HD102),0)),0))</f>
        <v xml:space="preserve"> </v>
      </c>
      <c r="AC102" s="254" t="str">
        <f t="shared" si="235"/>
        <v xml:space="preserve"> </v>
      </c>
      <c r="AD102" s="254" t="str">
        <f>IF($A102="N/A"," ",IF(VLOOKUP(MONTH(A102),ManualTable,5)=1,(IF(U102&lt;&gt;0,IF(Pricetype=1,(_xll.xSPRDOPT(L102,$E102,$CI102,0,($CD102+IF(Smile=TRUE,VLOOKUP(MAX(-5,$H102-L102),Volsmile,2),0)),$CG102,$CH102,($A102-DateToday)+15,1,1))*(8*$HE102),8*$HE102),0)),0))</f>
        <v xml:space="preserve"> </v>
      </c>
      <c r="AE102" s="254" t="str">
        <f>IF($A102="N/A"," ",IF(VLOOKUP(MONTH(A102),ManualTable,6)=1,(IF(V102&lt;&gt;0,IF(Pricetype=1,(_xll.xSPRDOPT(M102,$E102,$CI102,0,($CD102+IF(Smile=TRUE,VLOOKUP(MAX(-5,$H102-M102),Volsmile,2),0)),$CG102,$CH102,($A102-DateToday)+15,1,1))*(8*$HE102),8*$HE102),0)),0))</f>
        <v xml:space="preserve"> </v>
      </c>
      <c r="AF102" s="254" t="str">
        <f t="shared" si="236"/>
        <v xml:space="preserve"> </v>
      </c>
      <c r="AG102" s="254" t="str">
        <f>IF($A102="N/A"," ",IF(VLOOKUP(MONTH(A102),ManualTable,8)=1,(IF(X102&lt;&gt;0,IF(Pricetype=1,(_xll.xSPRDOPT(O102,$E102,$CI102,0,($CD102+IF(Smile=TRUE,VLOOKUP(MAX(-5,$H102-O102),Volsmile,2),0)),$CG102,$CH102,($A102-DateToday)+15,1,1))*(8*$HF102),8*$HF102),0)),0))</f>
        <v xml:space="preserve"> </v>
      </c>
      <c r="AH102" s="254" t="str">
        <f>IF($A102="N/A"," ",IF(VLOOKUP(MONTH(A102),ManualTable,9)=1,(IF(Y102&lt;&gt;0,IF(Pricetype=1,(_xll.xSPRDOPT(P102,$E102,$CI102,0,($CD102+IF(Smile=TRUE,VLOOKUP(MAX(-5,$H102-P102),Volsmile,2),0)),$CG102,$CH102,($A102-DateToday)+15,1,1))*(8*$HF102),8*$HF102),0)),0))</f>
        <v xml:space="preserve"> </v>
      </c>
      <c r="AI102" s="254" t="str">
        <f t="shared" si="237"/>
        <v xml:space="preserve"> </v>
      </c>
      <c r="AJ102" s="227" t="str">
        <f t="shared" si="305"/>
        <v xml:space="preserve"> </v>
      </c>
      <c r="AK102" s="228" t="str">
        <f t="shared" si="306"/>
        <v xml:space="preserve"> </v>
      </c>
      <c r="AL102" s="228" t="str">
        <f t="shared" si="306"/>
        <v xml:space="preserve"> </v>
      </c>
      <c r="AM102" s="228" t="str">
        <f t="shared" si="307"/>
        <v xml:space="preserve"> </v>
      </c>
      <c r="AN102" s="228" t="str">
        <f t="shared" si="308"/>
        <v xml:space="preserve"> </v>
      </c>
      <c r="AO102" s="228" t="str">
        <f t="shared" si="308"/>
        <v xml:space="preserve"> </v>
      </c>
      <c r="AP102" s="228" t="str">
        <f t="shared" si="309"/>
        <v xml:space="preserve"> </v>
      </c>
      <c r="AQ102" s="228" t="str">
        <f t="shared" si="310"/>
        <v xml:space="preserve"> </v>
      </c>
      <c r="AR102" s="229" t="str">
        <f t="shared" si="311"/>
        <v xml:space="preserve"> </v>
      </c>
      <c r="AS102" s="262" t="str">
        <f t="shared" si="274"/>
        <v xml:space="preserve"> </v>
      </c>
      <c r="AT102" s="263" t="str">
        <f t="shared" si="275"/>
        <v xml:space="preserve"> </v>
      </c>
      <c r="AU102" s="263" t="str">
        <f t="shared" si="275"/>
        <v xml:space="preserve"> </v>
      </c>
      <c r="AV102" s="263" t="str">
        <f t="shared" si="276"/>
        <v xml:space="preserve"> </v>
      </c>
      <c r="AW102" s="263" t="str">
        <f t="shared" si="277"/>
        <v xml:space="preserve"> </v>
      </c>
      <c r="AX102" s="263" t="str">
        <f t="shared" si="277"/>
        <v xml:space="preserve"> </v>
      </c>
      <c r="AY102" s="263" t="str">
        <f t="shared" si="278"/>
        <v xml:space="preserve"> </v>
      </c>
      <c r="AZ102" s="263" t="str">
        <f t="shared" si="279"/>
        <v xml:space="preserve"> </v>
      </c>
      <c r="BA102" s="263" t="str">
        <f t="shared" si="280"/>
        <v xml:space="preserve"> </v>
      </c>
      <c r="BB102" s="229"/>
      <c r="BC102" s="266" t="str">
        <f t="shared" si="298"/>
        <v xml:space="preserve"> </v>
      </c>
      <c r="BD102" s="269" t="str">
        <f t="shared" si="299"/>
        <v xml:space="preserve"> </v>
      </c>
      <c r="BE102" s="269" t="str">
        <f t="shared" si="299"/>
        <v xml:space="preserve"> </v>
      </c>
      <c r="BF102" s="269" t="str">
        <f t="shared" si="300"/>
        <v xml:space="preserve"> </v>
      </c>
      <c r="BG102" s="269" t="str">
        <f t="shared" si="301"/>
        <v xml:space="preserve"> </v>
      </c>
      <c r="BH102" s="269" t="str">
        <f t="shared" si="301"/>
        <v xml:space="preserve"> </v>
      </c>
      <c r="BI102" s="269" t="str">
        <f t="shared" si="302"/>
        <v xml:space="preserve"> </v>
      </c>
      <c r="BJ102" s="269" t="str">
        <f t="shared" si="303"/>
        <v xml:space="preserve"> </v>
      </c>
      <c r="BK102" s="269" t="str">
        <f t="shared" si="304"/>
        <v xml:space="preserve"> </v>
      </c>
      <c r="BL102" s="229"/>
      <c r="BM102" s="220" t="str">
        <f>IF($A102="N/A"," ",(IF(MONTH(A102)&gt;=4,IF(MONTH(A102)&lt;=10,Inputs!$F$13-Inputs!$G$13,Inputs!$F$14-Inputs!$G$14),Inputs!$F$14-Inputs!$G$14))*$CK102*Availability)</f>
        <v xml:space="preserve"> </v>
      </c>
      <c r="BN102" s="221" t="str">
        <f t="shared" si="238"/>
        <v xml:space="preserve"> </v>
      </c>
      <c r="BO102" s="221" t="str">
        <f t="shared" si="239"/>
        <v xml:space="preserve"> </v>
      </c>
      <c r="BP102" s="221" t="str">
        <f t="shared" si="240"/>
        <v xml:space="preserve"> </v>
      </c>
      <c r="BQ102" s="221" t="str">
        <f t="shared" si="241"/>
        <v xml:space="preserve"> </v>
      </c>
      <c r="BR102" s="221" t="str">
        <f t="shared" si="242"/>
        <v xml:space="preserve"> </v>
      </c>
      <c r="BS102" s="221" t="str">
        <f t="shared" si="243"/>
        <v xml:space="preserve"> </v>
      </c>
      <c r="BT102" s="221" t="str">
        <f t="shared" si="244"/>
        <v xml:space="preserve"> </v>
      </c>
      <c r="BU102" s="221" t="str">
        <f t="shared" si="245"/>
        <v xml:space="preserve"> </v>
      </c>
      <c r="BV102" s="221" t="str">
        <f t="shared" si="246"/>
        <v xml:space="preserve"> </v>
      </c>
      <c r="BW102" s="221" t="str">
        <f t="shared" si="247"/>
        <v xml:space="preserve"> </v>
      </c>
      <c r="BX102" s="421" t="str">
        <f t="shared" si="248"/>
        <v xml:space="preserve"> </v>
      </c>
      <c r="BY102" s="417" t="str">
        <f t="shared" si="249"/>
        <v xml:space="preserve"> </v>
      </c>
      <c r="BZ102" s="417" t="str">
        <f t="shared" si="250"/>
        <v xml:space="preserve"> </v>
      </c>
      <c r="CA102" s="422" t="str">
        <f t="shared" si="251"/>
        <v xml:space="preserve"> </v>
      </c>
      <c r="CB102" s="347" t="str">
        <f t="shared" si="195"/>
        <v xml:space="preserve"> </v>
      </c>
      <c r="CC102" s="347" t="str">
        <f t="shared" si="252"/>
        <v xml:space="preserve"> </v>
      </c>
      <c r="CD102" s="348" t="str">
        <f t="shared" si="196"/>
        <v xml:space="preserve"> </v>
      </c>
      <c r="CE102" s="347" t="str">
        <f t="shared" si="197"/>
        <v xml:space="preserve"> </v>
      </c>
      <c r="CF102" s="347" t="str">
        <f t="shared" si="198"/>
        <v xml:space="preserve"> </v>
      </c>
      <c r="CG102" s="348" t="str">
        <f t="shared" si="199"/>
        <v xml:space="preserve"> </v>
      </c>
      <c r="CH102" s="347" t="str">
        <f t="shared" si="253"/>
        <v xml:space="preserve"> </v>
      </c>
      <c r="CI102" s="349" t="str">
        <f>IF($A102="N/A"," ",F102+G102+(D102*('Pricing Inputs'!T135)))</f>
        <v xml:space="preserve"> </v>
      </c>
      <c r="CJ102" s="347" t="str">
        <f>IF($A102="N/A"," ",IF(PV=1,0,'Pricing Inputs'!U135))</f>
        <v xml:space="preserve"> </v>
      </c>
      <c r="CK102" s="350" t="str">
        <f t="shared" si="200"/>
        <v xml:space="preserve"> </v>
      </c>
      <c r="CL102" s="365" t="str">
        <f t="shared" si="201"/>
        <v xml:space="preserve"> </v>
      </c>
      <c r="CM102" s="380" t="str">
        <f t="shared" si="254"/>
        <v xml:space="preserve"> </v>
      </c>
      <c r="CN102" s="378" t="str">
        <f t="shared" si="202"/>
        <v xml:space="preserve"> </v>
      </c>
      <c r="CO102" s="378" t="str">
        <f t="shared" si="203"/>
        <v xml:space="preserve"> </v>
      </c>
      <c r="CP102" s="378" t="str">
        <f t="shared" si="204"/>
        <v xml:space="preserve"> </v>
      </c>
      <c r="CQ102" s="378" t="str">
        <f t="shared" si="205"/>
        <v xml:space="preserve"> </v>
      </c>
      <c r="CR102" s="378" t="str">
        <f t="shared" si="206"/>
        <v xml:space="preserve"> </v>
      </c>
      <c r="CS102" s="378" t="str">
        <f t="shared" si="207"/>
        <v xml:space="preserve"> </v>
      </c>
      <c r="CT102" s="378" t="str">
        <f t="shared" si="208"/>
        <v xml:space="preserve"> </v>
      </c>
      <c r="CU102" s="378" t="str">
        <f t="shared" si="209"/>
        <v xml:space="preserve"> </v>
      </c>
      <c r="CV102" s="378" t="str">
        <f t="shared" si="210"/>
        <v xml:space="preserve"> </v>
      </c>
      <c r="CW102" s="254" t="str">
        <f t="shared" si="211"/>
        <v xml:space="preserve"> </v>
      </c>
      <c r="CX102" s="254" t="str">
        <f t="shared" si="212"/>
        <v xml:space="preserve"> </v>
      </c>
      <c r="CY102" s="254" t="str">
        <f t="shared" si="213"/>
        <v xml:space="preserve"> </v>
      </c>
      <c r="CZ102" s="254" t="str">
        <f t="shared" si="214"/>
        <v xml:space="preserve"> </v>
      </c>
      <c r="DA102" s="254" t="str">
        <f t="shared" si="215"/>
        <v xml:space="preserve"> </v>
      </c>
      <c r="DB102" s="254" t="str">
        <f t="shared" si="216"/>
        <v xml:space="preserve"> </v>
      </c>
      <c r="DC102" s="254" t="str">
        <f t="shared" si="217"/>
        <v xml:space="preserve"> </v>
      </c>
      <c r="DD102" s="254" t="str">
        <f t="shared" si="218"/>
        <v xml:space="preserve"> </v>
      </c>
      <c r="DE102" s="254" t="str">
        <f t="shared" si="219"/>
        <v xml:space="preserve"> </v>
      </c>
      <c r="DF102" s="374" t="str">
        <f>IF($A102="N/A"," ",IF(CC=2,(IF(MONTH(A102)&gt;=4,IF(MONTH(A102)&lt;=10,Inputs!$G$13,Inputs!$G$14),Inputs!$G$14))*$CK102,0))</f>
        <v xml:space="preserve"> </v>
      </c>
      <c r="DG102" s="373" t="str">
        <f t="shared" si="220"/>
        <v xml:space="preserve"> </v>
      </c>
      <c r="DH102" s="373" t="str">
        <f t="shared" si="221"/>
        <v xml:space="preserve"> </v>
      </c>
      <c r="DI102" s="373" t="str">
        <f t="shared" si="222"/>
        <v xml:space="preserve"> </v>
      </c>
      <c r="DJ102" s="373" t="str">
        <f t="shared" si="223"/>
        <v xml:space="preserve"> </v>
      </c>
      <c r="DK102" s="373" t="str">
        <f t="shared" si="224"/>
        <v xml:space="preserve"> </v>
      </c>
      <c r="DL102" s="373" t="str">
        <f t="shared" si="225"/>
        <v xml:space="preserve"> </v>
      </c>
      <c r="DM102" s="373" t="str">
        <f t="shared" si="226"/>
        <v xml:space="preserve"> </v>
      </c>
      <c r="DN102" s="373" t="str">
        <f t="shared" si="227"/>
        <v xml:space="preserve"> </v>
      </c>
      <c r="DO102" s="373" t="str">
        <f t="shared" si="228"/>
        <v xml:space="preserve"> </v>
      </c>
      <c r="DP102" s="375" t="str">
        <f t="shared" si="229"/>
        <v xml:space="preserve"> </v>
      </c>
      <c r="DQ102" t="str">
        <f t="shared" si="255"/>
        <v xml:space="preserve"> </v>
      </c>
      <c r="HD102" t="str">
        <f t="shared" si="256"/>
        <v xml:space="preserve"> </v>
      </c>
      <c r="HE102" t="str">
        <f t="shared" si="257"/>
        <v xml:space="preserve"> </v>
      </c>
      <c r="HF102" t="str">
        <f t="shared" si="258"/>
        <v xml:space="preserve"> </v>
      </c>
    </row>
    <row r="103" spans="1:214">
      <c r="A103" s="415" t="str">
        <f>IF(A102="N/A","N/A",IF(EDATE(A102,1)&gt;Inputs!$K$3,"N/A",EDATE(A102,1)))</f>
        <v>N/A</v>
      </c>
      <c r="B103" s="410" t="str">
        <f t="shared" si="230"/>
        <v xml:space="preserve"> </v>
      </c>
      <c r="C103" s="411" t="str">
        <f t="shared" si="231"/>
        <v xml:space="preserve"> </v>
      </c>
      <c r="D103" s="412" t="str">
        <f t="shared" si="232"/>
        <v xml:space="preserve"> </v>
      </c>
      <c r="E103" s="413" t="str">
        <f>IF($A103="N/A"," ",(C103-'Pricing Inputs'!T136)*D103)</f>
        <v xml:space="preserve"> </v>
      </c>
      <c r="F103" s="414" t="str">
        <f t="shared" si="281"/>
        <v xml:space="preserve"> </v>
      </c>
      <c r="G103" s="414" t="str">
        <f t="shared" si="233"/>
        <v xml:space="preserve"> </v>
      </c>
      <c r="H103" s="416" t="str">
        <f t="shared" si="234"/>
        <v xml:space="preserve"> </v>
      </c>
      <c r="I103" s="213" t="str">
        <f t="shared" si="183"/>
        <v xml:space="preserve"> </v>
      </c>
      <c r="J103" s="213" t="str">
        <f t="shared" si="184"/>
        <v xml:space="preserve"> </v>
      </c>
      <c r="K103" s="213" t="str">
        <f t="shared" si="185"/>
        <v xml:space="preserve"> </v>
      </c>
      <c r="L103" s="213" t="str">
        <f t="shared" si="186"/>
        <v xml:space="preserve"> </v>
      </c>
      <c r="M103" s="213" t="str">
        <f t="shared" si="187"/>
        <v xml:space="preserve"> </v>
      </c>
      <c r="N103" s="213" t="str">
        <f t="shared" si="188"/>
        <v xml:space="preserve"> </v>
      </c>
      <c r="O103" s="213" t="str">
        <f t="shared" si="189"/>
        <v xml:space="preserve"> </v>
      </c>
      <c r="P103" s="213" t="str">
        <f t="shared" si="190"/>
        <v xml:space="preserve"> </v>
      </c>
      <c r="Q103" s="213" t="str">
        <f t="shared" si="191"/>
        <v xml:space="preserve"> </v>
      </c>
      <c r="R103" s="405" t="str">
        <f>IF($A103="N/A"," ",IF(Pricetype=2,MAX(I103-$H103,0),IF(Pricetype=1,(_xll.xSPRDOPT(I103,$E103,$CI103,0,($CD103+IF(Smile=TRUE,VLOOKUP(MAX(-5,$H103-I103),Volsmile,2),0)),$CG103,$CH103,($A103-DateToday)+15,1,0)),I103-$H103)))</f>
        <v xml:space="preserve"> </v>
      </c>
      <c r="S103" s="405" t="str">
        <f>IF($A103="N/A"," ",IF(Pricetype=2,MAX(J103-$H103,0),IF(Pricetype=1,(_xll.xSPRDOPT(J103,$E103,$CI103,0,($CD103+IF(Smile=TRUE,VLOOKUP(MAX(-5,$H103-J103),Volsmile,2),0)),$CG103,$CH103,($A103-DateToday)+15,1,0)),J103-$H103)))</f>
        <v xml:space="preserve"> </v>
      </c>
      <c r="T103" s="406" t="str">
        <f t="shared" si="192"/>
        <v xml:space="preserve"> </v>
      </c>
      <c r="U103" s="405" t="str">
        <f>IF($A103="N/A"," ",IF(Pricetype=2,MAX(L103-$H103,0),IF(L103&lt;&gt;0,IF(Pricetype=1,(_xll.xSPRDOPT(L103,$E103,$CI103,0,($CD103+IF(Smile=TRUE,VLOOKUP(MAX(-5,$H103-L103),Volsmile,2),0)),$CG103,$CH103,($A103-DateToday)+15,1,0)),L103-$H103),0)))</f>
        <v xml:space="preserve"> </v>
      </c>
      <c r="V103" s="405" t="str">
        <f>IF($A103="N/A"," ",IF(Pricetype=2,MAX(M103-$H103,0),IF(M103&lt;&gt;0,IF(Pricetype=1,(_xll.xSPRDOPT(M103,$E103,$CI103,0,($CD103+IF(Smile=TRUE,VLOOKUP(MAX(-5,$H103-M103),Volsmile,2),0)),$CG103,$CH103,($A103-DateToday)+15,1,0)),M103-$H103),0)))</f>
        <v xml:space="preserve"> </v>
      </c>
      <c r="W103" s="406" t="str">
        <f t="shared" si="193"/>
        <v xml:space="preserve"> </v>
      </c>
      <c r="X103" s="405" t="str">
        <f>IF($A103="N/A"," ",IF(Pricetype=2,MAX(O103-$H103,0),IF(O103&lt;&gt;0,IF(Pricetype=1,(_xll.xSPRDOPT(O103,$E103,$CI103,0,($CD103+IF(Smile=TRUE,VLOOKUP(MAX(-5,$H103-O103),Volsmile,2),0)),$CG103,$CH103,($A103-DateToday)+15,1,0)),O103-$H103),0)))</f>
        <v xml:space="preserve"> </v>
      </c>
      <c r="Y103" s="405" t="str">
        <f>IF($A103="N/A"," ",IF(Pricetype=2,MAX(P103-$H103,0),IF(P103&lt;&gt;0,IF(Pricetype=1,(_xll.xSPRDOPT(P103,$E103,$CI103,0,($CD103+IF(Smile=TRUE,VLOOKUP(MAX(-5,$H103-P103),Volsmile,2),0)),$CG103,$CH103,($A103-DateToday)+15,1,0)),P103-$H103),0)))</f>
        <v xml:space="preserve"> </v>
      </c>
      <c r="Z103" s="406" t="str">
        <f t="shared" si="194"/>
        <v xml:space="preserve"> </v>
      </c>
      <c r="AA103" s="254" t="str">
        <f>IF($A103="N/A"," ",IF(VLOOKUP(MONTH(A103),ManualTable,2)=1,(IF(0&lt;&gt;R103,IF(Pricetype=1,(_xll.xSPRDOPT(I103,$E103,$CI103,0,($CD103+IF(Smile=TRUE,VLOOKUP(MAX(-5,$H103-I103),Volsmile,2),0)),$CG103,$CH103,($A103-DateToday)+15,1,1))*(8*$HD103),8*$HD103),0)),0))</f>
        <v xml:space="preserve"> </v>
      </c>
      <c r="AB103" s="254" t="str">
        <f>IF($A103="N/A"," ",IF(VLOOKUP(MONTH(A103),ManualTable,3)=1,(IF(S103&lt;&gt;0,IF(Pricetype=1,(_xll.xSPRDOPT(J103,$E103,$CI103,0,($CD103+IF(Smile=TRUE,VLOOKUP(MAX(-5,$H103-J103),Volsmile,2),0)),$CG103,$CH103,($A103-DateToday)+15,1,1))*(8*$HD103),8*$HD103),0)),0))</f>
        <v xml:space="preserve"> </v>
      </c>
      <c r="AC103" s="254" t="str">
        <f t="shared" si="235"/>
        <v xml:space="preserve"> </v>
      </c>
      <c r="AD103" s="254" t="str">
        <f>IF($A103="N/A"," ",IF(VLOOKUP(MONTH(A103),ManualTable,5)=1,(IF(U103&lt;&gt;0,IF(Pricetype=1,(_xll.xSPRDOPT(L103,$E103,$CI103,0,($CD103+IF(Smile=TRUE,VLOOKUP(MAX(-5,$H103-L103),Volsmile,2),0)),$CG103,$CH103,($A103-DateToday)+15,1,1))*(8*$HE103),8*$HE103),0)),0))</f>
        <v xml:space="preserve"> </v>
      </c>
      <c r="AE103" s="254" t="str">
        <f>IF($A103="N/A"," ",IF(VLOOKUP(MONTH(A103),ManualTable,6)=1,(IF(V103&lt;&gt;0,IF(Pricetype=1,(_xll.xSPRDOPT(M103,$E103,$CI103,0,($CD103+IF(Smile=TRUE,VLOOKUP(MAX(-5,$H103-M103),Volsmile,2),0)),$CG103,$CH103,($A103-DateToday)+15,1,1))*(8*$HE103),8*$HE103),0)),0))</f>
        <v xml:space="preserve"> </v>
      </c>
      <c r="AF103" s="254" t="str">
        <f t="shared" si="236"/>
        <v xml:space="preserve"> </v>
      </c>
      <c r="AG103" s="254" t="str">
        <f>IF($A103="N/A"," ",IF(VLOOKUP(MONTH(A103),ManualTable,8)=1,(IF(X103&lt;&gt;0,IF(Pricetype=1,(_xll.xSPRDOPT(O103,$E103,$CI103,0,($CD103+IF(Smile=TRUE,VLOOKUP(MAX(-5,$H103-O103),Volsmile,2),0)),$CG103,$CH103,($A103-DateToday)+15,1,1))*(8*$HF103),8*$HF103),0)),0))</f>
        <v xml:space="preserve"> </v>
      </c>
      <c r="AH103" s="254" t="str">
        <f>IF($A103="N/A"," ",IF(VLOOKUP(MONTH(A103),ManualTable,9)=1,(IF(Y103&lt;&gt;0,IF(Pricetype=1,(_xll.xSPRDOPT(P103,$E103,$CI103,0,($CD103+IF(Smile=TRUE,VLOOKUP(MAX(-5,$H103-P103),Volsmile,2),0)),$CG103,$CH103,($A103-DateToday)+15,1,1))*(8*$HF103),8*$HF103),0)),0))</f>
        <v xml:space="preserve"> </v>
      </c>
      <c r="AI103" s="254" t="str">
        <f t="shared" si="237"/>
        <v xml:space="preserve"> </v>
      </c>
      <c r="AJ103" s="227" t="str">
        <f t="shared" si="305"/>
        <v xml:space="preserve"> </v>
      </c>
      <c r="AK103" s="228" t="str">
        <f t="shared" si="306"/>
        <v xml:space="preserve"> </v>
      </c>
      <c r="AL103" s="228" t="str">
        <f t="shared" si="306"/>
        <v xml:space="preserve"> </v>
      </c>
      <c r="AM103" s="228" t="str">
        <f t="shared" si="307"/>
        <v xml:space="preserve"> </v>
      </c>
      <c r="AN103" s="228" t="str">
        <f t="shared" si="308"/>
        <v xml:space="preserve"> </v>
      </c>
      <c r="AO103" s="228" t="str">
        <f t="shared" si="308"/>
        <v xml:space="preserve"> </v>
      </c>
      <c r="AP103" s="228" t="str">
        <f t="shared" si="309"/>
        <v xml:space="preserve"> </v>
      </c>
      <c r="AQ103" s="228" t="str">
        <f t="shared" si="310"/>
        <v xml:space="preserve"> </v>
      </c>
      <c r="AR103" s="229" t="str">
        <f t="shared" si="311"/>
        <v xml:space="preserve"> </v>
      </c>
      <c r="AS103" s="262" t="str">
        <f t="shared" si="274"/>
        <v xml:space="preserve"> </v>
      </c>
      <c r="AT103" s="263" t="str">
        <f t="shared" si="275"/>
        <v xml:space="preserve"> </v>
      </c>
      <c r="AU103" s="263" t="str">
        <f t="shared" si="275"/>
        <v xml:space="preserve"> </v>
      </c>
      <c r="AV103" s="263" t="str">
        <f t="shared" si="276"/>
        <v xml:space="preserve"> </v>
      </c>
      <c r="AW103" s="263" t="str">
        <f t="shared" si="277"/>
        <v xml:space="preserve"> </v>
      </c>
      <c r="AX103" s="263" t="str">
        <f t="shared" si="277"/>
        <v xml:space="preserve"> </v>
      </c>
      <c r="AY103" s="263" t="str">
        <f t="shared" si="278"/>
        <v xml:space="preserve"> </v>
      </c>
      <c r="AZ103" s="263" t="str">
        <f t="shared" si="279"/>
        <v xml:space="preserve"> </v>
      </c>
      <c r="BA103" s="263" t="str">
        <f t="shared" si="280"/>
        <v xml:space="preserve"> </v>
      </c>
      <c r="BB103" s="229"/>
      <c r="BC103" s="266" t="str">
        <f t="shared" si="298"/>
        <v xml:space="preserve"> </v>
      </c>
      <c r="BD103" s="269" t="str">
        <f t="shared" si="299"/>
        <v xml:space="preserve"> </v>
      </c>
      <c r="BE103" s="269" t="str">
        <f t="shared" si="299"/>
        <v xml:space="preserve"> </v>
      </c>
      <c r="BF103" s="269" t="str">
        <f t="shared" si="300"/>
        <v xml:space="preserve"> </v>
      </c>
      <c r="BG103" s="269" t="str">
        <f t="shared" si="301"/>
        <v xml:space="preserve"> </v>
      </c>
      <c r="BH103" s="269" t="str">
        <f t="shared" si="301"/>
        <v xml:space="preserve"> </v>
      </c>
      <c r="BI103" s="269" t="str">
        <f t="shared" si="302"/>
        <v xml:space="preserve"> </v>
      </c>
      <c r="BJ103" s="269" t="str">
        <f t="shared" si="303"/>
        <v xml:space="preserve"> </v>
      </c>
      <c r="BK103" s="269" t="str">
        <f t="shared" si="304"/>
        <v xml:space="preserve"> </v>
      </c>
      <c r="BL103" s="229"/>
      <c r="BM103" s="220" t="str">
        <f>IF($A103="N/A"," ",(IF(MONTH(A103)&gt;=4,IF(MONTH(A103)&lt;=10,Inputs!$F$13-Inputs!$G$13,Inputs!$F$14-Inputs!$G$14),Inputs!$F$14-Inputs!$G$14))*$CK103*Availability)</f>
        <v xml:space="preserve"> </v>
      </c>
      <c r="BN103" s="221" t="str">
        <f t="shared" si="238"/>
        <v xml:space="preserve"> </v>
      </c>
      <c r="BO103" s="221" t="str">
        <f t="shared" si="239"/>
        <v xml:space="preserve"> </v>
      </c>
      <c r="BP103" s="221" t="str">
        <f t="shared" si="240"/>
        <v xml:space="preserve"> </v>
      </c>
      <c r="BQ103" s="221" t="str">
        <f t="shared" si="241"/>
        <v xml:space="preserve"> </v>
      </c>
      <c r="BR103" s="221" t="str">
        <f t="shared" si="242"/>
        <v xml:space="preserve"> </v>
      </c>
      <c r="BS103" s="221" t="str">
        <f t="shared" si="243"/>
        <v xml:space="preserve"> </v>
      </c>
      <c r="BT103" s="221" t="str">
        <f t="shared" si="244"/>
        <v xml:space="preserve"> </v>
      </c>
      <c r="BU103" s="221" t="str">
        <f t="shared" si="245"/>
        <v xml:space="preserve"> </v>
      </c>
      <c r="BV103" s="221" t="str">
        <f t="shared" si="246"/>
        <v xml:space="preserve"> </v>
      </c>
      <c r="BW103" s="221" t="str">
        <f t="shared" si="247"/>
        <v xml:space="preserve"> </v>
      </c>
      <c r="BX103" s="421" t="str">
        <f t="shared" si="248"/>
        <v xml:space="preserve"> </v>
      </c>
      <c r="BY103" s="417" t="str">
        <f t="shared" si="249"/>
        <v xml:space="preserve"> </v>
      </c>
      <c r="BZ103" s="417" t="str">
        <f t="shared" si="250"/>
        <v xml:space="preserve"> </v>
      </c>
      <c r="CA103" s="422" t="str">
        <f t="shared" si="251"/>
        <v xml:space="preserve"> </v>
      </c>
      <c r="CB103" s="347" t="str">
        <f t="shared" si="195"/>
        <v xml:space="preserve"> </v>
      </c>
      <c r="CC103" s="347" t="str">
        <f t="shared" si="252"/>
        <v xml:space="preserve"> </v>
      </c>
      <c r="CD103" s="348" t="str">
        <f t="shared" si="196"/>
        <v xml:space="preserve"> </v>
      </c>
      <c r="CE103" s="347" t="str">
        <f t="shared" si="197"/>
        <v xml:space="preserve"> </v>
      </c>
      <c r="CF103" s="347" t="str">
        <f t="shared" si="198"/>
        <v xml:space="preserve"> </v>
      </c>
      <c r="CG103" s="348" t="str">
        <f t="shared" si="199"/>
        <v xml:space="preserve"> </v>
      </c>
      <c r="CH103" s="347" t="str">
        <f t="shared" si="253"/>
        <v xml:space="preserve"> </v>
      </c>
      <c r="CI103" s="349" t="str">
        <f>IF($A103="N/A"," ",F103+G103+(D103*('Pricing Inputs'!T136)))</f>
        <v xml:space="preserve"> </v>
      </c>
      <c r="CJ103" s="347" t="str">
        <f>IF($A103="N/A"," ",IF(PV=1,0,'Pricing Inputs'!U136))</f>
        <v xml:space="preserve"> </v>
      </c>
      <c r="CK103" s="350" t="str">
        <f t="shared" si="200"/>
        <v xml:space="preserve"> </v>
      </c>
      <c r="CL103" s="365" t="str">
        <f t="shared" si="201"/>
        <v xml:space="preserve"> </v>
      </c>
      <c r="CM103" s="380" t="str">
        <f t="shared" si="254"/>
        <v xml:space="preserve"> </v>
      </c>
      <c r="CN103" s="378" t="str">
        <f t="shared" si="202"/>
        <v xml:space="preserve"> </v>
      </c>
      <c r="CO103" s="378" t="str">
        <f t="shared" si="203"/>
        <v xml:space="preserve"> </v>
      </c>
      <c r="CP103" s="378" t="str">
        <f t="shared" si="204"/>
        <v xml:space="preserve"> </v>
      </c>
      <c r="CQ103" s="378" t="str">
        <f t="shared" si="205"/>
        <v xml:space="preserve"> </v>
      </c>
      <c r="CR103" s="378" t="str">
        <f t="shared" si="206"/>
        <v xml:space="preserve"> </v>
      </c>
      <c r="CS103" s="378" t="str">
        <f t="shared" si="207"/>
        <v xml:space="preserve"> </v>
      </c>
      <c r="CT103" s="378" t="str">
        <f t="shared" si="208"/>
        <v xml:space="preserve"> </v>
      </c>
      <c r="CU103" s="378" t="str">
        <f t="shared" si="209"/>
        <v xml:space="preserve"> </v>
      </c>
      <c r="CV103" s="378" t="str">
        <f t="shared" si="210"/>
        <v xml:space="preserve"> </v>
      </c>
      <c r="CW103" s="254" t="str">
        <f t="shared" si="211"/>
        <v xml:space="preserve"> </v>
      </c>
      <c r="CX103" s="254" t="str">
        <f t="shared" si="212"/>
        <v xml:space="preserve"> </v>
      </c>
      <c r="CY103" s="254" t="str">
        <f t="shared" si="213"/>
        <v xml:space="preserve"> </v>
      </c>
      <c r="CZ103" s="254" t="str">
        <f t="shared" si="214"/>
        <v xml:space="preserve"> </v>
      </c>
      <c r="DA103" s="254" t="str">
        <f t="shared" si="215"/>
        <v xml:space="preserve"> </v>
      </c>
      <c r="DB103" s="254" t="str">
        <f t="shared" si="216"/>
        <v xml:space="preserve"> </v>
      </c>
      <c r="DC103" s="254" t="str">
        <f t="shared" si="217"/>
        <v xml:space="preserve"> </v>
      </c>
      <c r="DD103" s="254" t="str">
        <f t="shared" si="218"/>
        <v xml:space="preserve"> </v>
      </c>
      <c r="DE103" s="254" t="str">
        <f t="shared" si="219"/>
        <v xml:space="preserve"> </v>
      </c>
      <c r="DF103" s="374" t="str">
        <f>IF($A103="N/A"," ",IF(CC=2,(IF(MONTH(A103)&gt;=4,IF(MONTH(A103)&lt;=10,Inputs!$G$13,Inputs!$G$14),Inputs!$G$14))*$CK103,0))</f>
        <v xml:space="preserve"> </v>
      </c>
      <c r="DG103" s="373" t="str">
        <f t="shared" si="220"/>
        <v xml:space="preserve"> </v>
      </c>
      <c r="DH103" s="373" t="str">
        <f t="shared" si="221"/>
        <v xml:space="preserve"> </v>
      </c>
      <c r="DI103" s="373" t="str">
        <f t="shared" si="222"/>
        <v xml:space="preserve"> </v>
      </c>
      <c r="DJ103" s="373" t="str">
        <f t="shared" si="223"/>
        <v xml:space="preserve"> </v>
      </c>
      <c r="DK103" s="373" t="str">
        <f t="shared" si="224"/>
        <v xml:space="preserve"> </v>
      </c>
      <c r="DL103" s="373" t="str">
        <f t="shared" si="225"/>
        <v xml:space="preserve"> </v>
      </c>
      <c r="DM103" s="373" t="str">
        <f t="shared" si="226"/>
        <v xml:space="preserve"> </v>
      </c>
      <c r="DN103" s="373" t="str">
        <f t="shared" si="227"/>
        <v xml:space="preserve"> </v>
      </c>
      <c r="DO103" s="373" t="str">
        <f t="shared" si="228"/>
        <v xml:space="preserve"> </v>
      </c>
      <c r="DP103" s="375" t="str">
        <f t="shared" si="229"/>
        <v xml:space="preserve"> </v>
      </c>
      <c r="DQ103" t="str">
        <f t="shared" si="255"/>
        <v xml:space="preserve"> </v>
      </c>
      <c r="HD103" t="str">
        <f t="shared" si="256"/>
        <v xml:space="preserve"> </v>
      </c>
      <c r="HE103" t="str">
        <f t="shared" si="257"/>
        <v xml:space="preserve"> </v>
      </c>
      <c r="HF103" t="str">
        <f t="shared" si="258"/>
        <v xml:space="preserve"> </v>
      </c>
    </row>
    <row r="104" spans="1:214">
      <c r="A104" s="415" t="str">
        <f>IF(A103="N/A","N/A",IF(EDATE(A103,1)&gt;Inputs!$K$3,"N/A",EDATE(A103,1)))</f>
        <v>N/A</v>
      </c>
      <c r="B104" s="410" t="str">
        <f t="shared" si="230"/>
        <v xml:space="preserve"> </v>
      </c>
      <c r="C104" s="411" t="str">
        <f t="shared" si="231"/>
        <v xml:space="preserve"> </v>
      </c>
      <c r="D104" s="412" t="str">
        <f t="shared" si="232"/>
        <v xml:space="preserve"> </v>
      </c>
      <c r="E104" s="413" t="str">
        <f>IF($A104="N/A"," ",(C104-'Pricing Inputs'!T137)*D104)</f>
        <v xml:space="preserve"> </v>
      </c>
      <c r="F104" s="414" t="str">
        <f t="shared" si="281"/>
        <v xml:space="preserve"> </v>
      </c>
      <c r="G104" s="414" t="str">
        <f t="shared" si="233"/>
        <v xml:space="preserve"> </v>
      </c>
      <c r="H104" s="416" t="str">
        <f t="shared" si="234"/>
        <v xml:space="preserve"> </v>
      </c>
      <c r="I104" s="213" t="str">
        <f t="shared" si="183"/>
        <v xml:space="preserve"> </v>
      </c>
      <c r="J104" s="213" t="str">
        <f t="shared" si="184"/>
        <v xml:space="preserve"> </v>
      </c>
      <c r="K104" s="213" t="str">
        <f t="shared" si="185"/>
        <v xml:space="preserve"> </v>
      </c>
      <c r="L104" s="213" t="str">
        <f t="shared" si="186"/>
        <v xml:space="preserve"> </v>
      </c>
      <c r="M104" s="213" t="str">
        <f t="shared" si="187"/>
        <v xml:space="preserve"> </v>
      </c>
      <c r="N104" s="213" t="str">
        <f t="shared" si="188"/>
        <v xml:space="preserve"> </v>
      </c>
      <c r="O104" s="213" t="str">
        <f t="shared" si="189"/>
        <v xml:space="preserve"> </v>
      </c>
      <c r="P104" s="213" t="str">
        <f t="shared" si="190"/>
        <v xml:space="preserve"> </v>
      </c>
      <c r="Q104" s="213" t="str">
        <f t="shared" si="191"/>
        <v xml:space="preserve"> </v>
      </c>
      <c r="R104" s="405" t="str">
        <f>IF($A104="N/A"," ",IF(Pricetype=2,MAX(I104-$H104,0),IF(Pricetype=1,(_xll.xSPRDOPT(I104,$E104,$CI104,0,($CD104+IF(Smile=TRUE,VLOOKUP(MAX(-5,$H104-I104),Volsmile,2),0)),$CG104,$CH104,($A104-DateToday)+15,1,0)),I104-$H104)))</f>
        <v xml:space="preserve"> </v>
      </c>
      <c r="S104" s="405" t="str">
        <f>IF($A104="N/A"," ",IF(Pricetype=2,MAX(J104-$H104,0),IF(Pricetype=1,(_xll.xSPRDOPT(J104,$E104,$CI104,0,($CD104+IF(Smile=TRUE,VLOOKUP(MAX(-5,$H104-J104),Volsmile,2),0)),$CG104,$CH104,($A104-DateToday)+15,1,0)),J104-$H104)))</f>
        <v xml:space="preserve"> </v>
      </c>
      <c r="T104" s="406" t="str">
        <f t="shared" si="192"/>
        <v xml:space="preserve"> </v>
      </c>
      <c r="U104" s="405" t="str">
        <f>IF($A104="N/A"," ",IF(Pricetype=2,MAX(L104-$H104,0),IF(L104&lt;&gt;0,IF(Pricetype=1,(_xll.xSPRDOPT(L104,$E104,$CI104,0,($CD104+IF(Smile=TRUE,VLOOKUP(MAX(-5,$H104-L104),Volsmile,2),0)),$CG104,$CH104,($A104-DateToday)+15,1,0)),L104-$H104),0)))</f>
        <v xml:space="preserve"> </v>
      </c>
      <c r="V104" s="405" t="str">
        <f>IF($A104="N/A"," ",IF(Pricetype=2,MAX(M104-$H104,0),IF(M104&lt;&gt;0,IF(Pricetype=1,(_xll.xSPRDOPT(M104,$E104,$CI104,0,($CD104+IF(Smile=TRUE,VLOOKUP(MAX(-5,$H104-M104),Volsmile,2),0)),$CG104,$CH104,($A104-DateToday)+15,1,0)),M104-$H104),0)))</f>
        <v xml:space="preserve"> </v>
      </c>
      <c r="W104" s="406" t="str">
        <f t="shared" si="193"/>
        <v xml:space="preserve"> </v>
      </c>
      <c r="X104" s="405" t="str">
        <f>IF($A104="N/A"," ",IF(Pricetype=2,MAX(O104-$H104,0),IF(O104&lt;&gt;0,IF(Pricetype=1,(_xll.xSPRDOPT(O104,$E104,$CI104,0,($CD104+IF(Smile=TRUE,VLOOKUP(MAX(-5,$H104-O104),Volsmile,2),0)),$CG104,$CH104,($A104-DateToday)+15,1,0)),O104-$H104),0)))</f>
        <v xml:space="preserve"> </v>
      </c>
      <c r="Y104" s="405" t="str">
        <f>IF($A104="N/A"," ",IF(Pricetype=2,MAX(P104-$H104,0),IF(P104&lt;&gt;0,IF(Pricetype=1,(_xll.xSPRDOPT(P104,$E104,$CI104,0,($CD104+IF(Smile=TRUE,VLOOKUP(MAX(-5,$H104-P104),Volsmile,2),0)),$CG104,$CH104,($A104-DateToday)+15,1,0)),P104-$H104),0)))</f>
        <v xml:space="preserve"> </v>
      </c>
      <c r="Z104" s="406" t="str">
        <f t="shared" si="194"/>
        <v xml:space="preserve"> </v>
      </c>
      <c r="AA104" s="254" t="str">
        <f>IF($A104="N/A"," ",IF(VLOOKUP(MONTH(A104),ManualTable,2)=1,(IF(0&lt;&gt;R104,IF(Pricetype=1,(_xll.xSPRDOPT(I104,$E104,$CI104,0,($CD104+IF(Smile=TRUE,VLOOKUP(MAX(-5,$H104-I104),Volsmile,2),0)),$CG104,$CH104,($A104-DateToday)+15,1,1))*(8*$HD104),8*$HD104),0)),0))</f>
        <v xml:space="preserve"> </v>
      </c>
      <c r="AB104" s="254" t="str">
        <f>IF($A104="N/A"," ",IF(VLOOKUP(MONTH(A104),ManualTable,3)=1,(IF(S104&lt;&gt;0,IF(Pricetype=1,(_xll.xSPRDOPT(J104,$E104,$CI104,0,($CD104+IF(Smile=TRUE,VLOOKUP(MAX(-5,$H104-J104),Volsmile,2),0)),$CG104,$CH104,($A104-DateToday)+15,1,1))*(8*$HD104),8*$HD104),0)),0))</f>
        <v xml:space="preserve"> </v>
      </c>
      <c r="AC104" s="254" t="str">
        <f t="shared" si="235"/>
        <v xml:space="preserve"> </v>
      </c>
      <c r="AD104" s="254" t="str">
        <f>IF($A104="N/A"," ",IF(VLOOKUP(MONTH(A104),ManualTable,5)=1,(IF(U104&lt;&gt;0,IF(Pricetype=1,(_xll.xSPRDOPT(L104,$E104,$CI104,0,($CD104+IF(Smile=TRUE,VLOOKUP(MAX(-5,$H104-L104),Volsmile,2),0)),$CG104,$CH104,($A104-DateToday)+15,1,1))*(8*$HE104),8*$HE104),0)),0))</f>
        <v xml:space="preserve"> </v>
      </c>
      <c r="AE104" s="254" t="str">
        <f>IF($A104="N/A"," ",IF(VLOOKUP(MONTH(A104),ManualTable,6)=1,(IF(V104&lt;&gt;0,IF(Pricetype=1,(_xll.xSPRDOPT(M104,$E104,$CI104,0,($CD104+IF(Smile=TRUE,VLOOKUP(MAX(-5,$H104-M104),Volsmile,2),0)),$CG104,$CH104,($A104-DateToday)+15,1,1))*(8*$HE104),8*$HE104),0)),0))</f>
        <v xml:space="preserve"> </v>
      </c>
      <c r="AF104" s="254" t="str">
        <f t="shared" si="236"/>
        <v xml:space="preserve"> </v>
      </c>
      <c r="AG104" s="254" t="str">
        <f>IF($A104="N/A"," ",IF(VLOOKUP(MONTH(A104),ManualTable,8)=1,(IF(X104&lt;&gt;0,IF(Pricetype=1,(_xll.xSPRDOPT(O104,$E104,$CI104,0,($CD104+IF(Smile=TRUE,VLOOKUP(MAX(-5,$H104-O104),Volsmile,2),0)),$CG104,$CH104,($A104-DateToday)+15,1,1))*(8*$HF104),8*$HF104),0)),0))</f>
        <v xml:space="preserve"> </v>
      </c>
      <c r="AH104" s="254" t="str">
        <f>IF($A104="N/A"," ",IF(VLOOKUP(MONTH(A104),ManualTable,9)=1,(IF(Y104&lt;&gt;0,IF(Pricetype=1,(_xll.xSPRDOPT(P104,$E104,$CI104,0,($CD104+IF(Smile=TRUE,VLOOKUP(MAX(-5,$H104-P104),Volsmile,2),0)),$CG104,$CH104,($A104-DateToday)+15,1,1))*(8*$HF104),8*$HF104),0)),0))</f>
        <v xml:space="preserve"> </v>
      </c>
      <c r="AI104" s="254" t="str">
        <f t="shared" si="237"/>
        <v xml:space="preserve"> </v>
      </c>
      <c r="AJ104" s="227" t="str">
        <f t="shared" si="305"/>
        <v xml:space="preserve"> </v>
      </c>
      <c r="AK104" s="228" t="str">
        <f t="shared" si="306"/>
        <v xml:space="preserve"> </v>
      </c>
      <c r="AL104" s="228" t="str">
        <f t="shared" si="306"/>
        <v xml:space="preserve"> </v>
      </c>
      <c r="AM104" s="228" t="str">
        <f t="shared" si="307"/>
        <v xml:space="preserve"> </v>
      </c>
      <c r="AN104" s="228" t="str">
        <f t="shared" si="308"/>
        <v xml:space="preserve"> </v>
      </c>
      <c r="AO104" s="228" t="str">
        <f t="shared" si="308"/>
        <v xml:space="preserve"> </v>
      </c>
      <c r="AP104" s="228" t="str">
        <f t="shared" si="309"/>
        <v xml:space="preserve"> </v>
      </c>
      <c r="AQ104" s="228" t="str">
        <f t="shared" si="310"/>
        <v xml:space="preserve"> </v>
      </c>
      <c r="AR104" s="229" t="str">
        <f t="shared" si="311"/>
        <v xml:space="preserve"> </v>
      </c>
      <c r="AS104" s="262" t="str">
        <f t="shared" si="274"/>
        <v xml:space="preserve"> </v>
      </c>
      <c r="AT104" s="263" t="str">
        <f t="shared" si="275"/>
        <v xml:space="preserve"> </v>
      </c>
      <c r="AU104" s="263" t="str">
        <f t="shared" si="275"/>
        <v xml:space="preserve"> </v>
      </c>
      <c r="AV104" s="263" t="str">
        <f t="shared" si="276"/>
        <v xml:space="preserve"> </v>
      </c>
      <c r="AW104" s="263" t="str">
        <f t="shared" si="277"/>
        <v xml:space="preserve"> </v>
      </c>
      <c r="AX104" s="263" t="str">
        <f t="shared" si="277"/>
        <v xml:space="preserve"> </v>
      </c>
      <c r="AY104" s="263" t="str">
        <f t="shared" si="278"/>
        <v xml:space="preserve"> </v>
      </c>
      <c r="AZ104" s="263" t="str">
        <f t="shared" si="279"/>
        <v xml:space="preserve"> </v>
      </c>
      <c r="BA104" s="263" t="str">
        <f t="shared" si="280"/>
        <v xml:space="preserve"> </v>
      </c>
      <c r="BB104" s="229"/>
      <c r="BC104" s="266" t="str">
        <f t="shared" si="298"/>
        <v xml:space="preserve"> </v>
      </c>
      <c r="BD104" s="269" t="str">
        <f t="shared" si="299"/>
        <v xml:space="preserve"> </v>
      </c>
      <c r="BE104" s="269" t="str">
        <f t="shared" si="299"/>
        <v xml:space="preserve"> </v>
      </c>
      <c r="BF104" s="269" t="str">
        <f t="shared" si="300"/>
        <v xml:space="preserve"> </v>
      </c>
      <c r="BG104" s="269" t="str">
        <f t="shared" si="301"/>
        <v xml:space="preserve"> </v>
      </c>
      <c r="BH104" s="269" t="str">
        <f t="shared" si="301"/>
        <v xml:space="preserve"> </v>
      </c>
      <c r="BI104" s="269" t="str">
        <f t="shared" si="302"/>
        <v xml:space="preserve"> </v>
      </c>
      <c r="BJ104" s="269" t="str">
        <f t="shared" si="303"/>
        <v xml:space="preserve"> </v>
      </c>
      <c r="BK104" s="269" t="str">
        <f t="shared" si="304"/>
        <v xml:space="preserve"> </v>
      </c>
      <c r="BL104" s="229"/>
      <c r="BM104" s="220" t="str">
        <f>IF($A104="N/A"," ",(IF(MONTH(A104)&gt;=4,IF(MONTH(A104)&lt;=10,Inputs!$F$13-Inputs!$G$13,Inputs!$F$14-Inputs!$G$14),Inputs!$F$14-Inputs!$G$14))*$CK104*Availability)</f>
        <v xml:space="preserve"> </v>
      </c>
      <c r="BN104" s="221" t="str">
        <f t="shared" si="238"/>
        <v xml:space="preserve"> </v>
      </c>
      <c r="BO104" s="221" t="str">
        <f t="shared" si="239"/>
        <v xml:space="preserve"> </v>
      </c>
      <c r="BP104" s="221" t="str">
        <f t="shared" si="240"/>
        <v xml:space="preserve"> </v>
      </c>
      <c r="BQ104" s="221" t="str">
        <f t="shared" si="241"/>
        <v xml:space="preserve"> </v>
      </c>
      <c r="BR104" s="221" t="str">
        <f t="shared" si="242"/>
        <v xml:space="preserve"> </v>
      </c>
      <c r="BS104" s="221" t="str">
        <f t="shared" si="243"/>
        <v xml:space="preserve"> </v>
      </c>
      <c r="BT104" s="221" t="str">
        <f t="shared" si="244"/>
        <v xml:space="preserve"> </v>
      </c>
      <c r="BU104" s="221" t="str">
        <f t="shared" si="245"/>
        <v xml:space="preserve"> </v>
      </c>
      <c r="BV104" s="221" t="str">
        <f t="shared" si="246"/>
        <v xml:space="preserve"> </v>
      </c>
      <c r="BW104" s="221" t="str">
        <f t="shared" si="247"/>
        <v xml:space="preserve"> </v>
      </c>
      <c r="BX104" s="421" t="str">
        <f t="shared" si="248"/>
        <v xml:space="preserve"> </v>
      </c>
      <c r="BY104" s="417" t="str">
        <f t="shared" si="249"/>
        <v xml:space="preserve"> </v>
      </c>
      <c r="BZ104" s="417" t="str">
        <f t="shared" si="250"/>
        <v xml:space="preserve"> </v>
      </c>
      <c r="CA104" s="422" t="str">
        <f t="shared" si="251"/>
        <v xml:space="preserve"> </v>
      </c>
      <c r="CB104" s="347" t="str">
        <f t="shared" si="195"/>
        <v xml:space="preserve"> </v>
      </c>
      <c r="CC104" s="347" t="str">
        <f t="shared" si="252"/>
        <v xml:space="preserve"> </v>
      </c>
      <c r="CD104" s="348" t="str">
        <f t="shared" si="196"/>
        <v xml:space="preserve"> </v>
      </c>
      <c r="CE104" s="347" t="str">
        <f t="shared" si="197"/>
        <v xml:space="preserve"> </v>
      </c>
      <c r="CF104" s="347" t="str">
        <f t="shared" si="198"/>
        <v xml:space="preserve"> </v>
      </c>
      <c r="CG104" s="348" t="str">
        <f t="shared" si="199"/>
        <v xml:space="preserve"> </v>
      </c>
      <c r="CH104" s="347" t="str">
        <f t="shared" si="253"/>
        <v xml:space="preserve"> </v>
      </c>
      <c r="CI104" s="349" t="str">
        <f>IF($A104="N/A"," ",F104+G104+(D104*('Pricing Inputs'!T137)))</f>
        <v xml:space="preserve"> </v>
      </c>
      <c r="CJ104" s="347" t="str">
        <f>IF($A104="N/A"," ",IF(PV=1,0,'Pricing Inputs'!U137))</f>
        <v xml:space="preserve"> </v>
      </c>
      <c r="CK104" s="350" t="str">
        <f t="shared" si="200"/>
        <v xml:space="preserve"> </v>
      </c>
      <c r="CL104" s="365" t="str">
        <f t="shared" si="201"/>
        <v xml:space="preserve"> </v>
      </c>
      <c r="CM104" s="380" t="str">
        <f t="shared" si="254"/>
        <v xml:space="preserve"> </v>
      </c>
      <c r="CN104" s="378" t="str">
        <f t="shared" si="202"/>
        <v xml:space="preserve"> </v>
      </c>
      <c r="CO104" s="378" t="str">
        <f t="shared" si="203"/>
        <v xml:space="preserve"> </v>
      </c>
      <c r="CP104" s="378" t="str">
        <f t="shared" si="204"/>
        <v xml:space="preserve"> </v>
      </c>
      <c r="CQ104" s="378" t="str">
        <f t="shared" si="205"/>
        <v xml:space="preserve"> </v>
      </c>
      <c r="CR104" s="378" t="str">
        <f t="shared" si="206"/>
        <v xml:space="preserve"> </v>
      </c>
      <c r="CS104" s="378" t="str">
        <f t="shared" si="207"/>
        <v xml:space="preserve"> </v>
      </c>
      <c r="CT104" s="378" t="str">
        <f t="shared" si="208"/>
        <v xml:space="preserve"> </v>
      </c>
      <c r="CU104" s="378" t="str">
        <f t="shared" si="209"/>
        <v xml:space="preserve"> </v>
      </c>
      <c r="CV104" s="378" t="str">
        <f t="shared" si="210"/>
        <v xml:space="preserve"> </v>
      </c>
      <c r="CW104" s="254" t="str">
        <f t="shared" si="211"/>
        <v xml:space="preserve"> </v>
      </c>
      <c r="CX104" s="254" t="str">
        <f t="shared" si="212"/>
        <v xml:space="preserve"> </v>
      </c>
      <c r="CY104" s="254" t="str">
        <f t="shared" si="213"/>
        <v xml:space="preserve"> </v>
      </c>
      <c r="CZ104" s="254" t="str">
        <f t="shared" si="214"/>
        <v xml:space="preserve"> </v>
      </c>
      <c r="DA104" s="254" t="str">
        <f t="shared" si="215"/>
        <v xml:space="preserve"> </v>
      </c>
      <c r="DB104" s="254" t="str">
        <f t="shared" si="216"/>
        <v xml:space="preserve"> </v>
      </c>
      <c r="DC104" s="254" t="str">
        <f t="shared" si="217"/>
        <v xml:space="preserve"> </v>
      </c>
      <c r="DD104" s="254" t="str">
        <f t="shared" si="218"/>
        <v xml:space="preserve"> </v>
      </c>
      <c r="DE104" s="254" t="str">
        <f t="shared" si="219"/>
        <v xml:space="preserve"> </v>
      </c>
      <c r="DF104" s="374" t="str">
        <f>IF($A104="N/A"," ",IF(CC=2,(IF(MONTH(A104)&gt;=4,IF(MONTH(A104)&lt;=10,Inputs!$G$13,Inputs!$G$14),Inputs!$G$14))*$CK104,0))</f>
        <v xml:space="preserve"> </v>
      </c>
      <c r="DG104" s="373" t="str">
        <f t="shared" si="220"/>
        <v xml:space="preserve"> </v>
      </c>
      <c r="DH104" s="373" t="str">
        <f t="shared" si="221"/>
        <v xml:space="preserve"> </v>
      </c>
      <c r="DI104" s="373" t="str">
        <f t="shared" si="222"/>
        <v xml:space="preserve"> </v>
      </c>
      <c r="DJ104" s="373" t="str">
        <f t="shared" si="223"/>
        <v xml:space="preserve"> </v>
      </c>
      <c r="DK104" s="373" t="str">
        <f t="shared" si="224"/>
        <v xml:space="preserve"> </v>
      </c>
      <c r="DL104" s="373" t="str">
        <f t="shared" si="225"/>
        <v xml:space="preserve"> </v>
      </c>
      <c r="DM104" s="373" t="str">
        <f t="shared" si="226"/>
        <v xml:space="preserve"> </v>
      </c>
      <c r="DN104" s="373" t="str">
        <f t="shared" si="227"/>
        <v xml:space="preserve"> </v>
      </c>
      <c r="DO104" s="373" t="str">
        <f t="shared" si="228"/>
        <v xml:space="preserve"> </v>
      </c>
      <c r="DP104" s="375" t="str">
        <f t="shared" si="229"/>
        <v xml:space="preserve"> </v>
      </c>
      <c r="DQ104" t="str">
        <f t="shared" si="255"/>
        <v xml:space="preserve"> </v>
      </c>
      <c r="HD104" t="str">
        <f t="shared" si="256"/>
        <v xml:space="preserve"> </v>
      </c>
      <c r="HE104" t="str">
        <f t="shared" si="257"/>
        <v xml:space="preserve"> </v>
      </c>
      <c r="HF104" t="str">
        <f t="shared" si="258"/>
        <v xml:space="preserve"> </v>
      </c>
    </row>
    <row r="105" spans="1:214">
      <c r="A105" s="415" t="str">
        <f>IF(A104="N/A","N/A",IF(EDATE(A104,1)&gt;Inputs!$K$3,"N/A",EDATE(A104,1)))</f>
        <v>N/A</v>
      </c>
      <c r="B105" s="410" t="str">
        <f t="shared" si="230"/>
        <v xml:space="preserve"> </v>
      </c>
      <c r="C105" s="411" t="str">
        <f t="shared" si="231"/>
        <v xml:space="preserve"> </v>
      </c>
      <c r="D105" s="412" t="str">
        <f t="shared" si="232"/>
        <v xml:space="preserve"> </v>
      </c>
      <c r="E105" s="413" t="str">
        <f>IF($A105="N/A"," ",(C105-'Pricing Inputs'!T138)*D105)</f>
        <v xml:space="preserve"> </v>
      </c>
      <c r="F105" s="414" t="str">
        <f t="shared" si="281"/>
        <v xml:space="preserve"> </v>
      </c>
      <c r="G105" s="414" t="str">
        <f t="shared" si="233"/>
        <v xml:space="preserve"> </v>
      </c>
      <c r="H105" s="416" t="str">
        <f t="shared" si="234"/>
        <v xml:space="preserve"> </v>
      </c>
      <c r="I105" s="213" t="str">
        <f t="shared" si="183"/>
        <v xml:space="preserve"> </v>
      </c>
      <c r="J105" s="213" t="str">
        <f t="shared" si="184"/>
        <v xml:space="preserve"> </v>
      </c>
      <c r="K105" s="213" t="str">
        <f t="shared" si="185"/>
        <v xml:space="preserve"> </v>
      </c>
      <c r="L105" s="213" t="str">
        <f t="shared" si="186"/>
        <v xml:space="preserve"> </v>
      </c>
      <c r="M105" s="213" t="str">
        <f t="shared" si="187"/>
        <v xml:space="preserve"> </v>
      </c>
      <c r="N105" s="213" t="str">
        <f t="shared" si="188"/>
        <v xml:space="preserve"> </v>
      </c>
      <c r="O105" s="213" t="str">
        <f t="shared" si="189"/>
        <v xml:space="preserve"> </v>
      </c>
      <c r="P105" s="213" t="str">
        <f t="shared" si="190"/>
        <v xml:space="preserve"> </v>
      </c>
      <c r="Q105" s="213" t="str">
        <f t="shared" si="191"/>
        <v xml:space="preserve"> </v>
      </c>
      <c r="R105" s="405" t="str">
        <f>IF($A105="N/A"," ",IF(Pricetype=2,MAX(I105-$H105,0),IF(Pricetype=1,(_xll.xSPRDOPT(I105,$E105,$CI105,0,($CD105+IF(Smile=TRUE,VLOOKUP(MAX(-5,$H105-I105),Volsmile,2),0)),$CG105,$CH105,($A105-DateToday)+15,1,0)),I105-$H105)))</f>
        <v xml:space="preserve"> </v>
      </c>
      <c r="S105" s="405" t="str">
        <f>IF($A105="N/A"," ",IF(Pricetype=2,MAX(J105-$H105,0),IF(Pricetype=1,(_xll.xSPRDOPT(J105,$E105,$CI105,0,($CD105+IF(Smile=TRUE,VLOOKUP(MAX(-5,$H105-J105),Volsmile,2),0)),$CG105,$CH105,($A105-DateToday)+15,1,0)),J105-$H105)))</f>
        <v xml:space="preserve"> </v>
      </c>
      <c r="T105" s="406" t="str">
        <f t="shared" si="192"/>
        <v xml:space="preserve"> </v>
      </c>
      <c r="U105" s="405" t="str">
        <f>IF($A105="N/A"," ",IF(Pricetype=2,MAX(L105-$H105,0),IF(L105&lt;&gt;0,IF(Pricetype=1,(_xll.xSPRDOPT(L105,$E105,$CI105,0,($CD105+IF(Smile=TRUE,VLOOKUP(MAX(-5,$H105-L105),Volsmile,2),0)),$CG105,$CH105,($A105-DateToday)+15,1,0)),L105-$H105),0)))</f>
        <v xml:space="preserve"> </v>
      </c>
      <c r="V105" s="405" t="str">
        <f>IF($A105="N/A"," ",IF(Pricetype=2,MAX(M105-$H105,0),IF(M105&lt;&gt;0,IF(Pricetype=1,(_xll.xSPRDOPT(M105,$E105,$CI105,0,($CD105+IF(Smile=TRUE,VLOOKUP(MAX(-5,$H105-M105),Volsmile,2),0)),$CG105,$CH105,($A105-DateToday)+15,1,0)),M105-$H105),0)))</f>
        <v xml:space="preserve"> </v>
      </c>
      <c r="W105" s="406" t="str">
        <f t="shared" si="193"/>
        <v xml:space="preserve"> </v>
      </c>
      <c r="X105" s="405" t="str">
        <f>IF($A105="N/A"," ",IF(Pricetype=2,MAX(O105-$H105,0),IF(O105&lt;&gt;0,IF(Pricetype=1,(_xll.xSPRDOPT(O105,$E105,$CI105,0,($CD105+IF(Smile=TRUE,VLOOKUP(MAX(-5,$H105-O105),Volsmile,2),0)),$CG105,$CH105,($A105-DateToday)+15,1,0)),O105-$H105),0)))</f>
        <v xml:space="preserve"> </v>
      </c>
      <c r="Y105" s="405" t="str">
        <f>IF($A105="N/A"," ",IF(Pricetype=2,MAX(P105-$H105,0),IF(P105&lt;&gt;0,IF(Pricetype=1,(_xll.xSPRDOPT(P105,$E105,$CI105,0,($CD105+IF(Smile=TRUE,VLOOKUP(MAX(-5,$H105-P105),Volsmile,2),0)),$CG105,$CH105,($A105-DateToday)+15,1,0)),P105-$H105),0)))</f>
        <v xml:space="preserve"> </v>
      </c>
      <c r="Z105" s="406" t="str">
        <f t="shared" si="194"/>
        <v xml:space="preserve"> </v>
      </c>
      <c r="AA105" s="254" t="str">
        <f>IF($A105="N/A"," ",IF(VLOOKUP(MONTH(A105),ManualTable,2)=1,(IF(0&lt;&gt;R105,IF(Pricetype=1,(_xll.xSPRDOPT(I105,$E105,$CI105,0,($CD105+IF(Smile=TRUE,VLOOKUP(MAX(-5,$H105-I105),Volsmile,2),0)),$CG105,$CH105,($A105-DateToday)+15,1,1))*(8*$HD105),8*$HD105),0)),0))</f>
        <v xml:space="preserve"> </v>
      </c>
      <c r="AB105" s="254" t="str">
        <f>IF($A105="N/A"," ",IF(VLOOKUP(MONTH(A105),ManualTable,3)=1,(IF(S105&lt;&gt;0,IF(Pricetype=1,(_xll.xSPRDOPT(J105,$E105,$CI105,0,($CD105+IF(Smile=TRUE,VLOOKUP(MAX(-5,$H105-J105),Volsmile,2),0)),$CG105,$CH105,($A105-DateToday)+15,1,1))*(8*$HD105),8*$HD105),0)),0))</f>
        <v xml:space="preserve"> </v>
      </c>
      <c r="AC105" s="254" t="str">
        <f t="shared" si="235"/>
        <v xml:space="preserve"> </v>
      </c>
      <c r="AD105" s="254" t="str">
        <f>IF($A105="N/A"," ",IF(VLOOKUP(MONTH(A105),ManualTable,5)=1,(IF(U105&lt;&gt;0,IF(Pricetype=1,(_xll.xSPRDOPT(L105,$E105,$CI105,0,($CD105+IF(Smile=TRUE,VLOOKUP(MAX(-5,$H105-L105),Volsmile,2),0)),$CG105,$CH105,($A105-DateToday)+15,1,1))*(8*$HE105),8*$HE105),0)),0))</f>
        <v xml:space="preserve"> </v>
      </c>
      <c r="AE105" s="254" t="str">
        <f>IF($A105="N/A"," ",IF(VLOOKUP(MONTH(A105),ManualTable,6)=1,(IF(V105&lt;&gt;0,IF(Pricetype=1,(_xll.xSPRDOPT(M105,$E105,$CI105,0,($CD105+IF(Smile=TRUE,VLOOKUP(MAX(-5,$H105-M105),Volsmile,2),0)),$CG105,$CH105,($A105-DateToday)+15,1,1))*(8*$HE105),8*$HE105),0)),0))</f>
        <v xml:space="preserve"> </v>
      </c>
      <c r="AF105" s="254" t="str">
        <f t="shared" si="236"/>
        <v xml:space="preserve"> </v>
      </c>
      <c r="AG105" s="254" t="str">
        <f>IF($A105="N/A"," ",IF(VLOOKUP(MONTH(A105),ManualTable,8)=1,(IF(X105&lt;&gt;0,IF(Pricetype=1,(_xll.xSPRDOPT(O105,$E105,$CI105,0,($CD105+IF(Smile=TRUE,VLOOKUP(MAX(-5,$H105-O105),Volsmile,2),0)),$CG105,$CH105,($A105-DateToday)+15,1,1))*(8*$HF105),8*$HF105),0)),0))</f>
        <v xml:space="preserve"> </v>
      </c>
      <c r="AH105" s="254" t="str">
        <f>IF($A105="N/A"," ",IF(VLOOKUP(MONTH(A105),ManualTable,9)=1,(IF(Y105&lt;&gt;0,IF(Pricetype=1,(_xll.xSPRDOPT(P105,$E105,$CI105,0,($CD105+IF(Smile=TRUE,VLOOKUP(MAX(-5,$H105-P105),Volsmile,2),0)),$CG105,$CH105,($A105-DateToday)+15,1,1))*(8*$HF105),8*$HF105),0)),0))</f>
        <v xml:space="preserve"> </v>
      </c>
      <c r="AI105" s="254" t="str">
        <f t="shared" si="237"/>
        <v xml:space="preserve"> </v>
      </c>
      <c r="AJ105" s="227" t="str">
        <f t="shared" si="305"/>
        <v xml:space="preserve"> </v>
      </c>
      <c r="AK105" s="228" t="str">
        <f t="shared" si="306"/>
        <v xml:space="preserve"> </v>
      </c>
      <c r="AL105" s="228" t="str">
        <f t="shared" si="306"/>
        <v xml:space="preserve"> </v>
      </c>
      <c r="AM105" s="228" t="str">
        <f t="shared" si="307"/>
        <v xml:space="preserve"> </v>
      </c>
      <c r="AN105" s="228" t="str">
        <f t="shared" si="308"/>
        <v xml:space="preserve"> </v>
      </c>
      <c r="AO105" s="228" t="str">
        <f t="shared" si="308"/>
        <v xml:space="preserve"> </v>
      </c>
      <c r="AP105" s="228" t="str">
        <f t="shared" si="309"/>
        <v xml:space="preserve"> </v>
      </c>
      <c r="AQ105" s="228" t="str">
        <f t="shared" si="310"/>
        <v xml:space="preserve"> </v>
      </c>
      <c r="AR105" s="229" t="str">
        <f t="shared" si="311"/>
        <v xml:space="preserve"> </v>
      </c>
      <c r="AS105" s="262" t="str">
        <f t="shared" si="274"/>
        <v xml:space="preserve"> </v>
      </c>
      <c r="AT105" s="263" t="str">
        <f t="shared" si="275"/>
        <v xml:space="preserve"> </v>
      </c>
      <c r="AU105" s="263" t="str">
        <f t="shared" si="275"/>
        <v xml:space="preserve"> </v>
      </c>
      <c r="AV105" s="263" t="str">
        <f t="shared" si="276"/>
        <v xml:space="preserve"> </v>
      </c>
      <c r="AW105" s="263" t="str">
        <f t="shared" si="277"/>
        <v xml:space="preserve"> </v>
      </c>
      <c r="AX105" s="263" t="str">
        <f t="shared" si="277"/>
        <v xml:space="preserve"> </v>
      </c>
      <c r="AY105" s="263" t="str">
        <f t="shared" si="278"/>
        <v xml:space="preserve"> </v>
      </c>
      <c r="AZ105" s="263" t="str">
        <f t="shared" si="279"/>
        <v xml:space="preserve"> </v>
      </c>
      <c r="BA105" s="263" t="str">
        <f t="shared" si="280"/>
        <v xml:space="preserve"> </v>
      </c>
      <c r="BB105" s="229"/>
      <c r="BC105" s="266" t="str">
        <f t="shared" si="298"/>
        <v xml:space="preserve"> </v>
      </c>
      <c r="BD105" s="269" t="str">
        <f t="shared" si="299"/>
        <v xml:space="preserve"> </v>
      </c>
      <c r="BE105" s="269" t="str">
        <f t="shared" si="299"/>
        <v xml:space="preserve"> </v>
      </c>
      <c r="BF105" s="269" t="str">
        <f t="shared" si="300"/>
        <v xml:space="preserve"> </v>
      </c>
      <c r="BG105" s="269" t="str">
        <f t="shared" si="301"/>
        <v xml:space="preserve"> </v>
      </c>
      <c r="BH105" s="269" t="str">
        <f t="shared" si="301"/>
        <v xml:space="preserve"> </v>
      </c>
      <c r="BI105" s="269" t="str">
        <f t="shared" si="302"/>
        <v xml:space="preserve"> </v>
      </c>
      <c r="BJ105" s="269" t="str">
        <f t="shared" si="303"/>
        <v xml:space="preserve"> </v>
      </c>
      <c r="BK105" s="269" t="str">
        <f t="shared" si="304"/>
        <v xml:space="preserve"> </v>
      </c>
      <c r="BL105" s="229"/>
      <c r="BM105" s="220" t="str">
        <f>IF($A105="N/A"," ",(IF(MONTH(A105)&gt;=4,IF(MONTH(A105)&lt;=10,Inputs!$F$13-Inputs!$G$13,Inputs!$F$14-Inputs!$G$14),Inputs!$F$14-Inputs!$G$14))*$CK105*Availability)</f>
        <v xml:space="preserve"> </v>
      </c>
      <c r="BN105" s="221" t="str">
        <f t="shared" si="238"/>
        <v xml:space="preserve"> </v>
      </c>
      <c r="BO105" s="221" t="str">
        <f t="shared" si="239"/>
        <v xml:space="preserve"> </v>
      </c>
      <c r="BP105" s="221" t="str">
        <f t="shared" si="240"/>
        <v xml:space="preserve"> </v>
      </c>
      <c r="BQ105" s="221" t="str">
        <f t="shared" si="241"/>
        <v xml:space="preserve"> </v>
      </c>
      <c r="BR105" s="221" t="str">
        <f t="shared" si="242"/>
        <v xml:space="preserve"> </v>
      </c>
      <c r="BS105" s="221" t="str">
        <f t="shared" si="243"/>
        <v xml:space="preserve"> </v>
      </c>
      <c r="BT105" s="221" t="str">
        <f t="shared" si="244"/>
        <v xml:space="preserve"> </v>
      </c>
      <c r="BU105" s="221" t="str">
        <f t="shared" si="245"/>
        <v xml:space="preserve"> </v>
      </c>
      <c r="BV105" s="221" t="str">
        <f t="shared" si="246"/>
        <v xml:space="preserve"> </v>
      </c>
      <c r="BW105" s="221" t="str">
        <f t="shared" si="247"/>
        <v xml:space="preserve"> </v>
      </c>
      <c r="BX105" s="421" t="str">
        <f t="shared" si="248"/>
        <v xml:space="preserve"> </v>
      </c>
      <c r="BY105" s="417" t="str">
        <f t="shared" si="249"/>
        <v xml:space="preserve"> </v>
      </c>
      <c r="BZ105" s="417" t="str">
        <f t="shared" si="250"/>
        <v xml:space="preserve"> </v>
      </c>
      <c r="CA105" s="422" t="str">
        <f t="shared" si="251"/>
        <v xml:space="preserve"> </v>
      </c>
      <c r="CB105" s="347" t="str">
        <f t="shared" si="195"/>
        <v xml:space="preserve"> </v>
      </c>
      <c r="CC105" s="347" t="str">
        <f t="shared" si="252"/>
        <v xml:space="preserve"> </v>
      </c>
      <c r="CD105" s="348" t="str">
        <f t="shared" si="196"/>
        <v xml:space="preserve"> </v>
      </c>
      <c r="CE105" s="347" t="str">
        <f t="shared" si="197"/>
        <v xml:space="preserve"> </v>
      </c>
      <c r="CF105" s="347" t="str">
        <f t="shared" si="198"/>
        <v xml:space="preserve"> </v>
      </c>
      <c r="CG105" s="348" t="str">
        <f t="shared" si="199"/>
        <v xml:space="preserve"> </v>
      </c>
      <c r="CH105" s="347" t="str">
        <f t="shared" si="253"/>
        <v xml:space="preserve"> </v>
      </c>
      <c r="CI105" s="349" t="str">
        <f>IF($A105="N/A"," ",F105+G105+(D105*('Pricing Inputs'!T138)))</f>
        <v xml:space="preserve"> </v>
      </c>
      <c r="CJ105" s="347" t="str">
        <f>IF($A105="N/A"," ",IF(PV=1,0,'Pricing Inputs'!U138))</f>
        <v xml:space="preserve"> </v>
      </c>
      <c r="CK105" s="350" t="str">
        <f t="shared" si="200"/>
        <v xml:space="preserve"> </v>
      </c>
      <c r="CL105" s="365" t="str">
        <f t="shared" si="201"/>
        <v xml:space="preserve"> </v>
      </c>
      <c r="CM105" s="380" t="str">
        <f t="shared" si="254"/>
        <v xml:space="preserve"> </v>
      </c>
      <c r="CN105" s="378" t="str">
        <f t="shared" si="202"/>
        <v xml:space="preserve"> </v>
      </c>
      <c r="CO105" s="378" t="str">
        <f t="shared" si="203"/>
        <v xml:space="preserve"> </v>
      </c>
      <c r="CP105" s="378" t="str">
        <f t="shared" si="204"/>
        <v xml:space="preserve"> </v>
      </c>
      <c r="CQ105" s="378" t="str">
        <f t="shared" si="205"/>
        <v xml:space="preserve"> </v>
      </c>
      <c r="CR105" s="378" t="str">
        <f t="shared" si="206"/>
        <v xml:space="preserve"> </v>
      </c>
      <c r="CS105" s="378" t="str">
        <f t="shared" si="207"/>
        <v xml:space="preserve"> </v>
      </c>
      <c r="CT105" s="378" t="str">
        <f t="shared" si="208"/>
        <v xml:space="preserve"> </v>
      </c>
      <c r="CU105" s="378" t="str">
        <f t="shared" si="209"/>
        <v xml:space="preserve"> </v>
      </c>
      <c r="CV105" s="378" t="str">
        <f t="shared" si="210"/>
        <v xml:space="preserve"> </v>
      </c>
      <c r="CW105" s="254" t="str">
        <f t="shared" si="211"/>
        <v xml:space="preserve"> </v>
      </c>
      <c r="CX105" s="254" t="str">
        <f t="shared" si="212"/>
        <v xml:space="preserve"> </v>
      </c>
      <c r="CY105" s="254" t="str">
        <f t="shared" si="213"/>
        <v xml:space="preserve"> </v>
      </c>
      <c r="CZ105" s="254" t="str">
        <f t="shared" si="214"/>
        <v xml:space="preserve"> </v>
      </c>
      <c r="DA105" s="254" t="str">
        <f t="shared" si="215"/>
        <v xml:space="preserve"> </v>
      </c>
      <c r="DB105" s="254" t="str">
        <f t="shared" si="216"/>
        <v xml:space="preserve"> </v>
      </c>
      <c r="DC105" s="254" t="str">
        <f t="shared" si="217"/>
        <v xml:space="preserve"> </v>
      </c>
      <c r="DD105" s="254" t="str">
        <f t="shared" si="218"/>
        <v xml:space="preserve"> </v>
      </c>
      <c r="DE105" s="254" t="str">
        <f t="shared" si="219"/>
        <v xml:space="preserve"> </v>
      </c>
      <c r="DF105" s="374" t="str">
        <f>IF($A105="N/A"," ",IF(CC=2,(IF(MONTH(A105)&gt;=4,IF(MONTH(A105)&lt;=10,Inputs!$G$13,Inputs!$G$14),Inputs!$G$14))*$CK105,0))</f>
        <v xml:space="preserve"> </v>
      </c>
      <c r="DG105" s="373" t="str">
        <f t="shared" si="220"/>
        <v xml:space="preserve"> </v>
      </c>
      <c r="DH105" s="373" t="str">
        <f t="shared" si="221"/>
        <v xml:space="preserve"> </v>
      </c>
      <c r="DI105" s="373" t="str">
        <f t="shared" si="222"/>
        <v xml:space="preserve"> </v>
      </c>
      <c r="DJ105" s="373" t="str">
        <f t="shared" si="223"/>
        <v xml:space="preserve"> </v>
      </c>
      <c r="DK105" s="373" t="str">
        <f t="shared" si="224"/>
        <v xml:space="preserve"> </v>
      </c>
      <c r="DL105" s="373" t="str">
        <f t="shared" si="225"/>
        <v xml:space="preserve"> </v>
      </c>
      <c r="DM105" s="373" t="str">
        <f t="shared" si="226"/>
        <v xml:space="preserve"> </v>
      </c>
      <c r="DN105" s="373" t="str">
        <f t="shared" si="227"/>
        <v xml:space="preserve"> </v>
      </c>
      <c r="DO105" s="373" t="str">
        <f t="shared" si="228"/>
        <v xml:space="preserve"> </v>
      </c>
      <c r="DP105" s="375" t="str">
        <f t="shared" si="229"/>
        <v xml:space="preserve"> </v>
      </c>
      <c r="DQ105" t="str">
        <f t="shared" si="255"/>
        <v xml:space="preserve"> </v>
      </c>
      <c r="HD105" t="str">
        <f t="shared" si="256"/>
        <v xml:space="preserve"> </v>
      </c>
      <c r="HE105" t="str">
        <f t="shared" si="257"/>
        <v xml:space="preserve"> </v>
      </c>
      <c r="HF105" t="str">
        <f t="shared" si="258"/>
        <v xml:space="preserve"> </v>
      </c>
    </row>
    <row r="106" spans="1:214">
      <c r="A106" s="415" t="str">
        <f>IF(A105="N/A","N/A",IF(EDATE(A105,1)&gt;Inputs!$K$3,"N/A",EDATE(A105,1)))</f>
        <v>N/A</v>
      </c>
      <c r="B106" s="410" t="str">
        <f t="shared" si="230"/>
        <v xml:space="preserve"> </v>
      </c>
      <c r="C106" s="411" t="str">
        <f t="shared" si="231"/>
        <v xml:space="preserve"> </v>
      </c>
      <c r="D106" s="412" t="str">
        <f t="shared" si="232"/>
        <v xml:space="preserve"> </v>
      </c>
      <c r="E106" s="413" t="str">
        <f>IF($A106="N/A"," ",(C106-'Pricing Inputs'!T139)*D106)</f>
        <v xml:space="preserve"> </v>
      </c>
      <c r="F106" s="414" t="str">
        <f t="shared" si="281"/>
        <v xml:space="preserve"> </v>
      </c>
      <c r="G106" s="414" t="str">
        <f t="shared" si="233"/>
        <v xml:space="preserve"> </v>
      </c>
      <c r="H106" s="416" t="str">
        <f t="shared" si="234"/>
        <v xml:space="preserve"> </v>
      </c>
      <c r="I106" s="213" t="str">
        <f t="shared" si="183"/>
        <v xml:space="preserve"> </v>
      </c>
      <c r="J106" s="213" t="str">
        <f t="shared" si="184"/>
        <v xml:space="preserve"> </v>
      </c>
      <c r="K106" s="213" t="str">
        <f t="shared" si="185"/>
        <v xml:space="preserve"> </v>
      </c>
      <c r="L106" s="213" t="str">
        <f t="shared" si="186"/>
        <v xml:space="preserve"> </v>
      </c>
      <c r="M106" s="213" t="str">
        <f t="shared" si="187"/>
        <v xml:space="preserve"> </v>
      </c>
      <c r="N106" s="213" t="str">
        <f t="shared" si="188"/>
        <v xml:space="preserve"> </v>
      </c>
      <c r="O106" s="213" t="str">
        <f t="shared" si="189"/>
        <v xml:space="preserve"> </v>
      </c>
      <c r="P106" s="213" t="str">
        <f t="shared" si="190"/>
        <v xml:space="preserve"> </v>
      </c>
      <c r="Q106" s="213" t="str">
        <f t="shared" si="191"/>
        <v xml:space="preserve"> </v>
      </c>
      <c r="R106" s="405" t="str">
        <f>IF($A106="N/A"," ",IF(Pricetype=2,MAX(I106-$H106,0),IF(Pricetype=1,(_xll.xSPRDOPT(I106,$E106,$CI106,0,($CD106+IF(Smile=TRUE,VLOOKUP(MAX(-5,$H106-I106),Volsmile,2),0)),$CG106,$CH106,($A106-DateToday)+15,1,0)),I106-$H106)))</f>
        <v xml:space="preserve"> </v>
      </c>
      <c r="S106" s="405" t="str">
        <f>IF($A106="N/A"," ",IF(Pricetype=2,MAX(J106-$H106,0),IF(Pricetype=1,(_xll.xSPRDOPT(J106,$E106,$CI106,0,($CD106+IF(Smile=TRUE,VLOOKUP(MAX(-5,$H106-J106),Volsmile,2),0)),$CG106,$CH106,($A106-DateToday)+15,1,0)),J106-$H106)))</f>
        <v xml:space="preserve"> </v>
      </c>
      <c r="T106" s="406" t="str">
        <f t="shared" si="192"/>
        <v xml:space="preserve"> </v>
      </c>
      <c r="U106" s="405" t="str">
        <f>IF($A106="N/A"," ",IF(Pricetype=2,MAX(L106-$H106,0),IF(L106&lt;&gt;0,IF(Pricetype=1,(_xll.xSPRDOPT(L106,$E106,$CI106,0,($CD106+IF(Smile=TRUE,VLOOKUP(MAX(-5,$H106-L106),Volsmile,2),0)),$CG106,$CH106,($A106-DateToday)+15,1,0)),L106-$H106),0)))</f>
        <v xml:space="preserve"> </v>
      </c>
      <c r="V106" s="405" t="str">
        <f>IF($A106="N/A"," ",IF(Pricetype=2,MAX(M106-$H106,0),IF(M106&lt;&gt;0,IF(Pricetype=1,(_xll.xSPRDOPT(M106,$E106,$CI106,0,($CD106+IF(Smile=TRUE,VLOOKUP(MAX(-5,$H106-M106),Volsmile,2),0)),$CG106,$CH106,($A106-DateToday)+15,1,0)),M106-$H106),0)))</f>
        <v xml:space="preserve"> </v>
      </c>
      <c r="W106" s="406" t="str">
        <f t="shared" si="193"/>
        <v xml:space="preserve"> </v>
      </c>
      <c r="X106" s="405" t="str">
        <f>IF($A106="N/A"," ",IF(Pricetype=2,MAX(O106-$H106,0),IF(O106&lt;&gt;0,IF(Pricetype=1,(_xll.xSPRDOPT(O106,$E106,$CI106,0,($CD106+IF(Smile=TRUE,VLOOKUP(MAX(-5,$H106-O106),Volsmile,2),0)),$CG106,$CH106,($A106-DateToday)+15,1,0)),O106-$H106),0)))</f>
        <v xml:space="preserve"> </v>
      </c>
      <c r="Y106" s="405" t="str">
        <f>IF($A106="N/A"," ",IF(Pricetype=2,MAX(P106-$H106,0),IF(P106&lt;&gt;0,IF(Pricetype=1,(_xll.xSPRDOPT(P106,$E106,$CI106,0,($CD106+IF(Smile=TRUE,VLOOKUP(MAX(-5,$H106-P106),Volsmile,2),0)),$CG106,$CH106,($A106-DateToday)+15,1,0)),P106-$H106),0)))</f>
        <v xml:space="preserve"> </v>
      </c>
      <c r="Z106" s="406" t="str">
        <f t="shared" si="194"/>
        <v xml:space="preserve"> </v>
      </c>
      <c r="AA106" s="254" t="str">
        <f>IF($A106="N/A"," ",IF(VLOOKUP(MONTH(A106),ManualTable,2)=1,(IF(0&lt;&gt;R106,IF(Pricetype=1,(_xll.xSPRDOPT(I106,$E106,$CI106,0,($CD106+IF(Smile=TRUE,VLOOKUP(MAX(-5,$H106-I106),Volsmile,2),0)),$CG106,$CH106,($A106-DateToday)+15,1,1))*(8*$HD106),8*$HD106),0)),0))</f>
        <v xml:space="preserve"> </v>
      </c>
      <c r="AB106" s="254" t="str">
        <f>IF($A106="N/A"," ",IF(VLOOKUP(MONTH(A106),ManualTable,3)=1,(IF(S106&lt;&gt;0,IF(Pricetype=1,(_xll.xSPRDOPT(J106,$E106,$CI106,0,($CD106+IF(Smile=TRUE,VLOOKUP(MAX(-5,$H106-J106),Volsmile,2),0)),$CG106,$CH106,($A106-DateToday)+15,1,1))*(8*$HD106),8*$HD106),0)),0))</f>
        <v xml:space="preserve"> </v>
      </c>
      <c r="AC106" s="254" t="str">
        <f t="shared" si="235"/>
        <v xml:space="preserve"> </v>
      </c>
      <c r="AD106" s="254" t="str">
        <f>IF($A106="N/A"," ",IF(VLOOKUP(MONTH(A106),ManualTable,5)=1,(IF(U106&lt;&gt;0,IF(Pricetype=1,(_xll.xSPRDOPT(L106,$E106,$CI106,0,($CD106+IF(Smile=TRUE,VLOOKUP(MAX(-5,$H106-L106),Volsmile,2),0)),$CG106,$CH106,($A106-DateToday)+15,1,1))*(8*$HE106),8*$HE106),0)),0))</f>
        <v xml:space="preserve"> </v>
      </c>
      <c r="AE106" s="254" t="str">
        <f>IF($A106="N/A"," ",IF(VLOOKUP(MONTH(A106),ManualTable,6)=1,(IF(V106&lt;&gt;0,IF(Pricetype=1,(_xll.xSPRDOPT(M106,$E106,$CI106,0,($CD106+IF(Smile=TRUE,VLOOKUP(MAX(-5,$H106-M106),Volsmile,2),0)),$CG106,$CH106,($A106-DateToday)+15,1,1))*(8*$HE106),8*$HE106),0)),0))</f>
        <v xml:space="preserve"> </v>
      </c>
      <c r="AF106" s="254" t="str">
        <f t="shared" si="236"/>
        <v xml:space="preserve"> </v>
      </c>
      <c r="AG106" s="254" t="str">
        <f>IF($A106="N/A"," ",IF(VLOOKUP(MONTH(A106),ManualTable,8)=1,(IF(X106&lt;&gt;0,IF(Pricetype=1,(_xll.xSPRDOPT(O106,$E106,$CI106,0,($CD106+IF(Smile=TRUE,VLOOKUP(MAX(-5,$H106-O106),Volsmile,2),0)),$CG106,$CH106,($A106-DateToday)+15,1,1))*(8*$HF106),8*$HF106),0)),0))</f>
        <v xml:space="preserve"> </v>
      </c>
      <c r="AH106" s="254" t="str">
        <f>IF($A106="N/A"," ",IF(VLOOKUP(MONTH(A106),ManualTable,9)=1,(IF(Y106&lt;&gt;0,IF(Pricetype=1,(_xll.xSPRDOPT(P106,$E106,$CI106,0,($CD106+IF(Smile=TRUE,VLOOKUP(MAX(-5,$H106-P106),Volsmile,2),0)),$CG106,$CH106,($A106-DateToday)+15,1,1))*(8*$HF106),8*$HF106),0)),0))</f>
        <v xml:space="preserve"> </v>
      </c>
      <c r="AI106" s="254" t="str">
        <f t="shared" si="237"/>
        <v xml:space="preserve"> </v>
      </c>
      <c r="AJ106" s="227" t="str">
        <f t="shared" si="305"/>
        <v xml:space="preserve"> </v>
      </c>
      <c r="AK106" s="228" t="str">
        <f t="shared" si="306"/>
        <v xml:space="preserve"> </v>
      </c>
      <c r="AL106" s="228" t="str">
        <f t="shared" si="306"/>
        <v xml:space="preserve"> </v>
      </c>
      <c r="AM106" s="228" t="str">
        <f t="shared" si="307"/>
        <v xml:space="preserve"> </v>
      </c>
      <c r="AN106" s="228" t="str">
        <f t="shared" si="308"/>
        <v xml:space="preserve"> </v>
      </c>
      <c r="AO106" s="228" t="str">
        <f t="shared" si="308"/>
        <v xml:space="preserve"> </v>
      </c>
      <c r="AP106" s="228" t="str">
        <f t="shared" si="309"/>
        <v xml:space="preserve"> </v>
      </c>
      <c r="AQ106" s="228" t="str">
        <f t="shared" si="310"/>
        <v xml:space="preserve"> </v>
      </c>
      <c r="AR106" s="229" t="str">
        <f t="shared" si="311"/>
        <v xml:space="preserve"> </v>
      </c>
      <c r="AS106" s="262" t="str">
        <f t="shared" si="274"/>
        <v xml:space="preserve"> </v>
      </c>
      <c r="AT106" s="263" t="str">
        <f t="shared" si="275"/>
        <v xml:space="preserve"> </v>
      </c>
      <c r="AU106" s="263" t="str">
        <f t="shared" si="275"/>
        <v xml:space="preserve"> </v>
      </c>
      <c r="AV106" s="263" t="str">
        <f t="shared" si="276"/>
        <v xml:space="preserve"> </v>
      </c>
      <c r="AW106" s="263" t="str">
        <f t="shared" si="277"/>
        <v xml:space="preserve"> </v>
      </c>
      <c r="AX106" s="263" t="str">
        <f t="shared" si="277"/>
        <v xml:space="preserve"> </v>
      </c>
      <c r="AY106" s="263" t="str">
        <f t="shared" si="278"/>
        <v xml:space="preserve"> </v>
      </c>
      <c r="AZ106" s="263" t="str">
        <f t="shared" si="279"/>
        <v xml:space="preserve"> </v>
      </c>
      <c r="BA106" s="263" t="str">
        <f t="shared" si="280"/>
        <v xml:space="preserve"> </v>
      </c>
      <c r="BB106" s="229"/>
      <c r="BC106" s="266" t="str">
        <f t="shared" si="298"/>
        <v xml:space="preserve"> </v>
      </c>
      <c r="BD106" s="269" t="str">
        <f t="shared" si="299"/>
        <v xml:space="preserve"> </v>
      </c>
      <c r="BE106" s="269" t="str">
        <f t="shared" si="299"/>
        <v xml:space="preserve"> </v>
      </c>
      <c r="BF106" s="269" t="str">
        <f t="shared" si="300"/>
        <v xml:space="preserve"> </v>
      </c>
      <c r="BG106" s="269" t="str">
        <f t="shared" si="301"/>
        <v xml:space="preserve"> </v>
      </c>
      <c r="BH106" s="269" t="str">
        <f t="shared" si="301"/>
        <v xml:space="preserve"> </v>
      </c>
      <c r="BI106" s="269" t="str">
        <f t="shared" si="302"/>
        <v xml:space="preserve"> </v>
      </c>
      <c r="BJ106" s="269" t="str">
        <f t="shared" si="303"/>
        <v xml:space="preserve"> </v>
      </c>
      <c r="BK106" s="269" t="str">
        <f t="shared" si="304"/>
        <v xml:space="preserve"> </v>
      </c>
      <c r="BL106" s="229"/>
      <c r="BM106" s="220" t="str">
        <f>IF($A106="N/A"," ",(IF(MONTH(A106)&gt;=4,IF(MONTH(A106)&lt;=10,Inputs!$F$13-Inputs!$G$13,Inputs!$F$14-Inputs!$G$14),Inputs!$F$14-Inputs!$G$14))*$CK106*Availability)</f>
        <v xml:space="preserve"> </v>
      </c>
      <c r="BN106" s="221" t="str">
        <f t="shared" si="238"/>
        <v xml:space="preserve"> </v>
      </c>
      <c r="BO106" s="221" t="str">
        <f t="shared" si="239"/>
        <v xml:space="preserve"> </v>
      </c>
      <c r="BP106" s="221" t="str">
        <f t="shared" si="240"/>
        <v xml:space="preserve"> </v>
      </c>
      <c r="BQ106" s="221" t="str">
        <f t="shared" si="241"/>
        <v xml:space="preserve"> </v>
      </c>
      <c r="BR106" s="221" t="str">
        <f t="shared" si="242"/>
        <v xml:space="preserve"> </v>
      </c>
      <c r="BS106" s="221" t="str">
        <f t="shared" si="243"/>
        <v xml:space="preserve"> </v>
      </c>
      <c r="BT106" s="221" t="str">
        <f t="shared" si="244"/>
        <v xml:space="preserve"> </v>
      </c>
      <c r="BU106" s="221" t="str">
        <f t="shared" si="245"/>
        <v xml:space="preserve"> </v>
      </c>
      <c r="BV106" s="221" t="str">
        <f t="shared" si="246"/>
        <v xml:space="preserve"> </v>
      </c>
      <c r="BW106" s="221" t="str">
        <f t="shared" si="247"/>
        <v xml:space="preserve"> </v>
      </c>
      <c r="BX106" s="421" t="str">
        <f t="shared" si="248"/>
        <v xml:space="preserve"> </v>
      </c>
      <c r="BY106" s="417" t="str">
        <f t="shared" si="249"/>
        <v xml:space="preserve"> </v>
      </c>
      <c r="BZ106" s="417" t="str">
        <f t="shared" si="250"/>
        <v xml:space="preserve"> </v>
      </c>
      <c r="CA106" s="422" t="str">
        <f t="shared" si="251"/>
        <v xml:space="preserve"> </v>
      </c>
      <c r="CB106" s="347" t="str">
        <f t="shared" si="195"/>
        <v xml:space="preserve"> </v>
      </c>
      <c r="CC106" s="347" t="str">
        <f t="shared" si="252"/>
        <v xml:space="preserve"> </v>
      </c>
      <c r="CD106" s="348" t="str">
        <f t="shared" si="196"/>
        <v xml:space="preserve"> </v>
      </c>
      <c r="CE106" s="347" t="str">
        <f t="shared" si="197"/>
        <v xml:space="preserve"> </v>
      </c>
      <c r="CF106" s="347" t="str">
        <f t="shared" si="198"/>
        <v xml:space="preserve"> </v>
      </c>
      <c r="CG106" s="348" t="str">
        <f t="shared" si="199"/>
        <v xml:space="preserve"> </v>
      </c>
      <c r="CH106" s="347" t="str">
        <f t="shared" si="253"/>
        <v xml:space="preserve"> </v>
      </c>
      <c r="CI106" s="349" t="str">
        <f>IF($A106="N/A"," ",F106+G106+(D106*('Pricing Inputs'!T139)))</f>
        <v xml:space="preserve"> </v>
      </c>
      <c r="CJ106" s="347" t="str">
        <f>IF($A106="N/A"," ",IF(PV=1,0,'Pricing Inputs'!U139))</f>
        <v xml:space="preserve"> </v>
      </c>
      <c r="CK106" s="350" t="str">
        <f t="shared" si="200"/>
        <v xml:space="preserve"> </v>
      </c>
      <c r="CL106" s="365" t="str">
        <f t="shared" si="201"/>
        <v xml:space="preserve"> </v>
      </c>
      <c r="CM106" s="380" t="str">
        <f t="shared" si="254"/>
        <v xml:space="preserve"> </v>
      </c>
      <c r="CN106" s="378" t="str">
        <f t="shared" si="202"/>
        <v xml:space="preserve"> </v>
      </c>
      <c r="CO106" s="378" t="str">
        <f t="shared" si="203"/>
        <v xml:space="preserve"> </v>
      </c>
      <c r="CP106" s="378" t="str">
        <f t="shared" si="204"/>
        <v xml:space="preserve"> </v>
      </c>
      <c r="CQ106" s="378" t="str">
        <f t="shared" si="205"/>
        <v xml:space="preserve"> </v>
      </c>
      <c r="CR106" s="378" t="str">
        <f t="shared" si="206"/>
        <v xml:space="preserve"> </v>
      </c>
      <c r="CS106" s="378" t="str">
        <f t="shared" si="207"/>
        <v xml:space="preserve"> </v>
      </c>
      <c r="CT106" s="378" t="str">
        <f t="shared" si="208"/>
        <v xml:space="preserve"> </v>
      </c>
      <c r="CU106" s="378" t="str">
        <f t="shared" si="209"/>
        <v xml:space="preserve"> </v>
      </c>
      <c r="CV106" s="378" t="str">
        <f t="shared" si="210"/>
        <v xml:space="preserve"> </v>
      </c>
      <c r="CW106" s="254" t="str">
        <f t="shared" si="211"/>
        <v xml:space="preserve"> </v>
      </c>
      <c r="CX106" s="254" t="str">
        <f t="shared" si="212"/>
        <v xml:space="preserve"> </v>
      </c>
      <c r="CY106" s="254" t="str">
        <f t="shared" si="213"/>
        <v xml:space="preserve"> </v>
      </c>
      <c r="CZ106" s="254" t="str">
        <f t="shared" si="214"/>
        <v xml:space="preserve"> </v>
      </c>
      <c r="DA106" s="254" t="str">
        <f t="shared" si="215"/>
        <v xml:space="preserve"> </v>
      </c>
      <c r="DB106" s="254" t="str">
        <f t="shared" si="216"/>
        <v xml:space="preserve"> </v>
      </c>
      <c r="DC106" s="254" t="str">
        <f t="shared" si="217"/>
        <v xml:space="preserve"> </v>
      </c>
      <c r="DD106" s="254" t="str">
        <f t="shared" si="218"/>
        <v xml:space="preserve"> </v>
      </c>
      <c r="DE106" s="254" t="str">
        <f t="shared" si="219"/>
        <v xml:space="preserve"> </v>
      </c>
      <c r="DF106" s="374" t="str">
        <f>IF($A106="N/A"," ",IF(CC=2,(IF(MONTH(A106)&gt;=4,IF(MONTH(A106)&lt;=10,Inputs!$G$13,Inputs!$G$14),Inputs!$G$14))*$CK106,0))</f>
        <v xml:space="preserve"> </v>
      </c>
      <c r="DG106" s="373" t="str">
        <f t="shared" si="220"/>
        <v xml:space="preserve"> </v>
      </c>
      <c r="DH106" s="373" t="str">
        <f t="shared" si="221"/>
        <v xml:space="preserve"> </v>
      </c>
      <c r="DI106" s="373" t="str">
        <f t="shared" si="222"/>
        <v xml:space="preserve"> </v>
      </c>
      <c r="DJ106" s="373" t="str">
        <f t="shared" si="223"/>
        <v xml:space="preserve"> </v>
      </c>
      <c r="DK106" s="373" t="str">
        <f t="shared" si="224"/>
        <v xml:space="preserve"> </v>
      </c>
      <c r="DL106" s="373" t="str">
        <f t="shared" si="225"/>
        <v xml:space="preserve"> </v>
      </c>
      <c r="DM106" s="373" t="str">
        <f t="shared" si="226"/>
        <v xml:space="preserve"> </v>
      </c>
      <c r="DN106" s="373" t="str">
        <f t="shared" si="227"/>
        <v xml:space="preserve"> </v>
      </c>
      <c r="DO106" s="373" t="str">
        <f t="shared" si="228"/>
        <v xml:space="preserve"> </v>
      </c>
      <c r="DP106" s="375" t="str">
        <f t="shared" si="229"/>
        <v xml:space="preserve"> </v>
      </c>
      <c r="DQ106" t="str">
        <f t="shared" si="255"/>
        <v xml:space="preserve"> </v>
      </c>
      <c r="HD106" t="str">
        <f t="shared" si="256"/>
        <v xml:space="preserve"> </v>
      </c>
      <c r="HE106" t="str">
        <f t="shared" si="257"/>
        <v xml:space="preserve"> </v>
      </c>
      <c r="HF106" t="str">
        <f t="shared" si="258"/>
        <v xml:space="preserve"> </v>
      </c>
    </row>
    <row r="107" spans="1:214">
      <c r="A107" s="415" t="str">
        <f>IF(A106="N/A","N/A",IF(EDATE(A106,1)&gt;Inputs!$K$3,"N/A",EDATE(A106,1)))</f>
        <v>N/A</v>
      </c>
      <c r="B107" s="410" t="str">
        <f t="shared" si="230"/>
        <v xml:space="preserve"> </v>
      </c>
      <c r="C107" s="411" t="str">
        <f t="shared" si="231"/>
        <v xml:space="preserve"> </v>
      </c>
      <c r="D107" s="412" t="str">
        <f t="shared" si="232"/>
        <v xml:space="preserve"> </v>
      </c>
      <c r="E107" s="413" t="str">
        <f>IF($A107="N/A"," ",(C107-'Pricing Inputs'!T140)*D107)</f>
        <v xml:space="preserve"> </v>
      </c>
      <c r="F107" s="414" t="str">
        <f t="shared" si="281"/>
        <v xml:space="preserve"> </v>
      </c>
      <c r="G107" s="414" t="str">
        <f t="shared" si="233"/>
        <v xml:space="preserve"> </v>
      </c>
      <c r="H107" s="416" t="str">
        <f t="shared" si="234"/>
        <v xml:space="preserve"> </v>
      </c>
      <c r="I107" s="213" t="str">
        <f t="shared" si="183"/>
        <v xml:space="preserve"> </v>
      </c>
      <c r="J107" s="213" t="str">
        <f t="shared" si="184"/>
        <v xml:space="preserve"> </v>
      </c>
      <c r="K107" s="213" t="str">
        <f t="shared" si="185"/>
        <v xml:space="preserve"> </v>
      </c>
      <c r="L107" s="213" t="str">
        <f t="shared" si="186"/>
        <v xml:space="preserve"> </v>
      </c>
      <c r="M107" s="213" t="str">
        <f t="shared" si="187"/>
        <v xml:space="preserve"> </v>
      </c>
      <c r="N107" s="213" t="str">
        <f t="shared" si="188"/>
        <v xml:space="preserve"> </v>
      </c>
      <c r="O107" s="213" t="str">
        <f t="shared" si="189"/>
        <v xml:space="preserve"> </v>
      </c>
      <c r="P107" s="213" t="str">
        <f t="shared" si="190"/>
        <v xml:space="preserve"> </v>
      </c>
      <c r="Q107" s="213" t="str">
        <f t="shared" si="191"/>
        <v xml:space="preserve"> </v>
      </c>
      <c r="R107" s="405" t="str">
        <f>IF($A107="N/A"," ",IF(Pricetype=2,MAX(I107-$H107,0),IF(Pricetype=1,(_xll.xSPRDOPT(I107,$E107,$CI107,0,($CD107+IF(Smile=TRUE,VLOOKUP(MAX(-5,$H107-I107),Volsmile,2),0)),$CG107,$CH107,($A107-DateToday)+15,1,0)),I107-$H107)))</f>
        <v xml:space="preserve"> </v>
      </c>
      <c r="S107" s="405" t="str">
        <f>IF($A107="N/A"," ",IF(Pricetype=2,MAX(J107-$H107,0),IF(Pricetype=1,(_xll.xSPRDOPT(J107,$E107,$CI107,0,($CD107+IF(Smile=TRUE,VLOOKUP(MAX(-5,$H107-J107),Volsmile,2),0)),$CG107,$CH107,($A107-DateToday)+15,1,0)),J107-$H107)))</f>
        <v xml:space="preserve"> </v>
      </c>
      <c r="T107" s="406" t="str">
        <f t="shared" si="192"/>
        <v xml:space="preserve"> </v>
      </c>
      <c r="U107" s="405" t="str">
        <f>IF($A107="N/A"," ",IF(Pricetype=2,MAX(L107-$H107,0),IF(L107&lt;&gt;0,IF(Pricetype=1,(_xll.xSPRDOPT(L107,$E107,$CI107,0,($CD107+IF(Smile=TRUE,VLOOKUP(MAX(-5,$H107-L107),Volsmile,2),0)),$CG107,$CH107,($A107-DateToday)+15,1,0)),L107-$H107),0)))</f>
        <v xml:space="preserve"> </v>
      </c>
      <c r="V107" s="405" t="str">
        <f>IF($A107="N/A"," ",IF(Pricetype=2,MAX(M107-$H107,0),IF(M107&lt;&gt;0,IF(Pricetype=1,(_xll.xSPRDOPT(M107,$E107,$CI107,0,($CD107+IF(Smile=TRUE,VLOOKUP(MAX(-5,$H107-M107),Volsmile,2),0)),$CG107,$CH107,($A107-DateToday)+15,1,0)),M107-$H107),0)))</f>
        <v xml:space="preserve"> </v>
      </c>
      <c r="W107" s="406" t="str">
        <f t="shared" si="193"/>
        <v xml:space="preserve"> </v>
      </c>
      <c r="X107" s="405" t="str">
        <f>IF($A107="N/A"," ",IF(Pricetype=2,MAX(O107-$H107,0),IF(O107&lt;&gt;0,IF(Pricetype=1,(_xll.xSPRDOPT(O107,$E107,$CI107,0,($CD107+IF(Smile=TRUE,VLOOKUP(MAX(-5,$H107-O107),Volsmile,2),0)),$CG107,$CH107,($A107-DateToday)+15,1,0)),O107-$H107),0)))</f>
        <v xml:space="preserve"> </v>
      </c>
      <c r="Y107" s="405" t="str">
        <f>IF($A107="N/A"," ",IF(Pricetype=2,MAX(P107-$H107,0),IF(P107&lt;&gt;0,IF(Pricetype=1,(_xll.xSPRDOPT(P107,$E107,$CI107,0,($CD107+IF(Smile=TRUE,VLOOKUP(MAX(-5,$H107-P107),Volsmile,2),0)),$CG107,$CH107,($A107-DateToday)+15,1,0)),P107-$H107),0)))</f>
        <v xml:space="preserve"> </v>
      </c>
      <c r="Z107" s="406" t="str">
        <f t="shared" si="194"/>
        <v xml:space="preserve"> </v>
      </c>
      <c r="AA107" s="254" t="str">
        <f>IF($A107="N/A"," ",IF(VLOOKUP(MONTH(A107),ManualTable,2)=1,(IF(0&lt;&gt;R107,IF(Pricetype=1,(_xll.xSPRDOPT(I107,$E107,$CI107,0,($CD107+IF(Smile=TRUE,VLOOKUP(MAX(-5,$H107-I107),Volsmile,2),0)),$CG107,$CH107,($A107-DateToday)+15,1,1))*(8*$HD107),8*$HD107),0)),0))</f>
        <v xml:space="preserve"> </v>
      </c>
      <c r="AB107" s="254" t="str">
        <f>IF($A107="N/A"," ",IF(VLOOKUP(MONTH(A107),ManualTable,3)=1,(IF(S107&lt;&gt;0,IF(Pricetype=1,(_xll.xSPRDOPT(J107,$E107,$CI107,0,($CD107+IF(Smile=TRUE,VLOOKUP(MAX(-5,$H107-J107),Volsmile,2),0)),$CG107,$CH107,($A107-DateToday)+15,1,1))*(8*$HD107),8*$HD107),0)),0))</f>
        <v xml:space="preserve"> </v>
      </c>
      <c r="AC107" s="254" t="str">
        <f t="shared" si="235"/>
        <v xml:space="preserve"> </v>
      </c>
      <c r="AD107" s="254" t="str">
        <f>IF($A107="N/A"," ",IF(VLOOKUP(MONTH(A107),ManualTable,5)=1,(IF(U107&lt;&gt;0,IF(Pricetype=1,(_xll.xSPRDOPT(L107,$E107,$CI107,0,($CD107+IF(Smile=TRUE,VLOOKUP(MAX(-5,$H107-L107),Volsmile,2),0)),$CG107,$CH107,($A107-DateToday)+15,1,1))*(8*$HE107),8*$HE107),0)),0))</f>
        <v xml:space="preserve"> </v>
      </c>
      <c r="AE107" s="254" t="str">
        <f>IF($A107="N/A"," ",IF(VLOOKUP(MONTH(A107),ManualTable,6)=1,(IF(V107&lt;&gt;0,IF(Pricetype=1,(_xll.xSPRDOPT(M107,$E107,$CI107,0,($CD107+IF(Smile=TRUE,VLOOKUP(MAX(-5,$H107-M107),Volsmile,2),0)),$CG107,$CH107,($A107-DateToday)+15,1,1))*(8*$HE107),8*$HE107),0)),0))</f>
        <v xml:space="preserve"> </v>
      </c>
      <c r="AF107" s="254" t="str">
        <f t="shared" si="236"/>
        <v xml:space="preserve"> </v>
      </c>
      <c r="AG107" s="254" t="str">
        <f>IF($A107="N/A"," ",IF(VLOOKUP(MONTH(A107),ManualTable,8)=1,(IF(X107&lt;&gt;0,IF(Pricetype=1,(_xll.xSPRDOPT(O107,$E107,$CI107,0,($CD107+IF(Smile=TRUE,VLOOKUP(MAX(-5,$H107-O107),Volsmile,2),0)),$CG107,$CH107,($A107-DateToday)+15,1,1))*(8*$HF107),8*$HF107),0)),0))</f>
        <v xml:space="preserve"> </v>
      </c>
      <c r="AH107" s="254" t="str">
        <f>IF($A107="N/A"," ",IF(VLOOKUP(MONTH(A107),ManualTable,9)=1,(IF(Y107&lt;&gt;0,IF(Pricetype=1,(_xll.xSPRDOPT(P107,$E107,$CI107,0,($CD107+IF(Smile=TRUE,VLOOKUP(MAX(-5,$H107-P107),Volsmile,2),0)),$CG107,$CH107,($A107-DateToday)+15,1,1))*(8*$HF107),8*$HF107),0)),0))</f>
        <v xml:space="preserve"> </v>
      </c>
      <c r="AI107" s="254" t="str">
        <f t="shared" si="237"/>
        <v xml:space="preserve"> </v>
      </c>
      <c r="AJ107" s="227" t="str">
        <f t="shared" si="305"/>
        <v xml:space="preserve"> </v>
      </c>
      <c r="AK107" s="228" t="str">
        <f t="shared" si="306"/>
        <v xml:space="preserve"> </v>
      </c>
      <c r="AL107" s="228" t="str">
        <f t="shared" si="306"/>
        <v xml:space="preserve"> </v>
      </c>
      <c r="AM107" s="228" t="str">
        <f t="shared" si="307"/>
        <v xml:space="preserve"> </v>
      </c>
      <c r="AN107" s="228" t="str">
        <f t="shared" si="308"/>
        <v xml:space="preserve"> </v>
      </c>
      <c r="AO107" s="228" t="str">
        <f t="shared" si="308"/>
        <v xml:space="preserve"> </v>
      </c>
      <c r="AP107" s="228" t="str">
        <f t="shared" si="309"/>
        <v xml:space="preserve"> </v>
      </c>
      <c r="AQ107" s="228" t="str">
        <f t="shared" si="310"/>
        <v xml:space="preserve"> </v>
      </c>
      <c r="AR107" s="229" t="str">
        <f t="shared" si="311"/>
        <v xml:space="preserve"> </v>
      </c>
      <c r="AS107" s="262" t="str">
        <f t="shared" si="274"/>
        <v xml:space="preserve"> </v>
      </c>
      <c r="AT107" s="263" t="str">
        <f t="shared" si="275"/>
        <v xml:space="preserve"> </v>
      </c>
      <c r="AU107" s="263" t="str">
        <f t="shared" si="275"/>
        <v xml:space="preserve"> </v>
      </c>
      <c r="AV107" s="263" t="str">
        <f t="shared" si="276"/>
        <v xml:space="preserve"> </v>
      </c>
      <c r="AW107" s="263" t="str">
        <f t="shared" si="277"/>
        <v xml:space="preserve"> </v>
      </c>
      <c r="AX107" s="263" t="str">
        <f t="shared" si="277"/>
        <v xml:space="preserve"> </v>
      </c>
      <c r="AY107" s="263" t="str">
        <f t="shared" si="278"/>
        <v xml:space="preserve"> </v>
      </c>
      <c r="AZ107" s="263" t="str">
        <f t="shared" si="279"/>
        <v xml:space="preserve"> </v>
      </c>
      <c r="BA107" s="263" t="str">
        <f t="shared" si="280"/>
        <v xml:space="preserve"> </v>
      </c>
      <c r="BB107" s="229"/>
      <c r="BC107" s="266" t="str">
        <f t="shared" si="298"/>
        <v xml:space="preserve"> </v>
      </c>
      <c r="BD107" s="269" t="str">
        <f t="shared" si="299"/>
        <v xml:space="preserve"> </v>
      </c>
      <c r="BE107" s="269" t="str">
        <f t="shared" si="299"/>
        <v xml:space="preserve"> </v>
      </c>
      <c r="BF107" s="269" t="str">
        <f t="shared" si="300"/>
        <v xml:space="preserve"> </v>
      </c>
      <c r="BG107" s="269" t="str">
        <f t="shared" si="301"/>
        <v xml:space="preserve"> </v>
      </c>
      <c r="BH107" s="269" t="str">
        <f t="shared" si="301"/>
        <v xml:space="preserve"> </v>
      </c>
      <c r="BI107" s="269" t="str">
        <f t="shared" si="302"/>
        <v xml:space="preserve"> </v>
      </c>
      <c r="BJ107" s="269" t="str">
        <f t="shared" si="303"/>
        <v xml:space="preserve"> </v>
      </c>
      <c r="BK107" s="269" t="str">
        <f t="shared" si="304"/>
        <v xml:space="preserve"> </v>
      </c>
      <c r="BL107" s="229"/>
      <c r="BM107" s="220" t="str">
        <f>IF($A107="N/A"," ",(IF(MONTH(A107)&gt;=4,IF(MONTH(A107)&lt;=10,Inputs!$F$13-Inputs!$G$13,Inputs!$F$14-Inputs!$G$14),Inputs!$F$14-Inputs!$G$14))*$CK107*Availability)</f>
        <v xml:space="preserve"> </v>
      </c>
      <c r="BN107" s="221" t="str">
        <f t="shared" si="238"/>
        <v xml:space="preserve"> </v>
      </c>
      <c r="BO107" s="221" t="str">
        <f t="shared" si="239"/>
        <v xml:space="preserve"> </v>
      </c>
      <c r="BP107" s="221" t="str">
        <f t="shared" si="240"/>
        <v xml:space="preserve"> </v>
      </c>
      <c r="BQ107" s="221" t="str">
        <f t="shared" si="241"/>
        <v xml:space="preserve"> </v>
      </c>
      <c r="BR107" s="221" t="str">
        <f t="shared" si="242"/>
        <v xml:space="preserve"> </v>
      </c>
      <c r="BS107" s="221" t="str">
        <f t="shared" si="243"/>
        <v xml:space="preserve"> </v>
      </c>
      <c r="BT107" s="221" t="str">
        <f t="shared" si="244"/>
        <v xml:space="preserve"> </v>
      </c>
      <c r="BU107" s="221" t="str">
        <f t="shared" si="245"/>
        <v xml:space="preserve"> </v>
      </c>
      <c r="BV107" s="221" t="str">
        <f t="shared" si="246"/>
        <v xml:space="preserve"> </v>
      </c>
      <c r="BW107" s="221" t="str">
        <f t="shared" si="247"/>
        <v xml:space="preserve"> </v>
      </c>
      <c r="BX107" s="421" t="str">
        <f t="shared" si="248"/>
        <v xml:space="preserve"> </v>
      </c>
      <c r="BY107" s="417" t="str">
        <f t="shared" si="249"/>
        <v xml:space="preserve"> </v>
      </c>
      <c r="BZ107" s="417" t="str">
        <f t="shared" si="250"/>
        <v xml:space="preserve"> </v>
      </c>
      <c r="CA107" s="422" t="str">
        <f t="shared" si="251"/>
        <v xml:space="preserve"> </v>
      </c>
      <c r="CB107" s="347" t="str">
        <f t="shared" si="195"/>
        <v xml:space="preserve"> </v>
      </c>
      <c r="CC107" s="347" t="str">
        <f t="shared" si="252"/>
        <v xml:space="preserve"> </v>
      </c>
      <c r="CD107" s="348" t="str">
        <f t="shared" si="196"/>
        <v xml:space="preserve"> </v>
      </c>
      <c r="CE107" s="347" t="str">
        <f t="shared" si="197"/>
        <v xml:space="preserve"> </v>
      </c>
      <c r="CF107" s="347" t="str">
        <f t="shared" si="198"/>
        <v xml:space="preserve"> </v>
      </c>
      <c r="CG107" s="348" t="str">
        <f t="shared" si="199"/>
        <v xml:space="preserve"> </v>
      </c>
      <c r="CH107" s="347" t="str">
        <f t="shared" si="253"/>
        <v xml:space="preserve"> </v>
      </c>
      <c r="CI107" s="349" t="str">
        <f>IF($A107="N/A"," ",F107+G107+(D107*('Pricing Inputs'!T140)))</f>
        <v xml:space="preserve"> </v>
      </c>
      <c r="CJ107" s="347" t="str">
        <f>IF($A107="N/A"," ",IF(PV=1,0,'Pricing Inputs'!U140))</f>
        <v xml:space="preserve"> </v>
      </c>
      <c r="CK107" s="350" t="str">
        <f t="shared" si="200"/>
        <v xml:space="preserve"> </v>
      </c>
      <c r="CL107" s="365" t="str">
        <f t="shared" si="201"/>
        <v xml:space="preserve"> </v>
      </c>
      <c r="CM107" s="380" t="str">
        <f t="shared" si="254"/>
        <v xml:space="preserve"> </v>
      </c>
      <c r="CN107" s="378" t="str">
        <f t="shared" si="202"/>
        <v xml:space="preserve"> </v>
      </c>
      <c r="CO107" s="378" t="str">
        <f t="shared" si="203"/>
        <v xml:space="preserve"> </v>
      </c>
      <c r="CP107" s="378" t="str">
        <f t="shared" si="204"/>
        <v xml:space="preserve"> </v>
      </c>
      <c r="CQ107" s="378" t="str">
        <f t="shared" si="205"/>
        <v xml:space="preserve"> </v>
      </c>
      <c r="CR107" s="378" t="str">
        <f t="shared" si="206"/>
        <v xml:space="preserve"> </v>
      </c>
      <c r="CS107" s="378" t="str">
        <f t="shared" si="207"/>
        <v xml:space="preserve"> </v>
      </c>
      <c r="CT107" s="378" t="str">
        <f t="shared" si="208"/>
        <v xml:space="preserve"> </v>
      </c>
      <c r="CU107" s="378" t="str">
        <f t="shared" si="209"/>
        <v xml:space="preserve"> </v>
      </c>
      <c r="CV107" s="378" t="str">
        <f t="shared" si="210"/>
        <v xml:space="preserve"> </v>
      </c>
      <c r="CW107" s="254" t="str">
        <f t="shared" si="211"/>
        <v xml:space="preserve"> </v>
      </c>
      <c r="CX107" s="254" t="str">
        <f t="shared" si="212"/>
        <v xml:space="preserve"> </v>
      </c>
      <c r="CY107" s="254" t="str">
        <f t="shared" si="213"/>
        <v xml:space="preserve"> </v>
      </c>
      <c r="CZ107" s="254" t="str">
        <f t="shared" si="214"/>
        <v xml:space="preserve"> </v>
      </c>
      <c r="DA107" s="254" t="str">
        <f t="shared" si="215"/>
        <v xml:space="preserve"> </v>
      </c>
      <c r="DB107" s="254" t="str">
        <f t="shared" si="216"/>
        <v xml:space="preserve"> </v>
      </c>
      <c r="DC107" s="254" t="str">
        <f t="shared" si="217"/>
        <v xml:space="preserve"> </v>
      </c>
      <c r="DD107" s="254" t="str">
        <f t="shared" si="218"/>
        <v xml:space="preserve"> </v>
      </c>
      <c r="DE107" s="254" t="str">
        <f t="shared" si="219"/>
        <v xml:space="preserve"> </v>
      </c>
      <c r="DF107" s="374" t="str">
        <f>IF($A107="N/A"," ",IF(CC=2,(IF(MONTH(A107)&gt;=4,IF(MONTH(A107)&lt;=10,Inputs!$G$13,Inputs!$G$14),Inputs!$G$14))*$CK107,0))</f>
        <v xml:space="preserve"> </v>
      </c>
      <c r="DG107" s="373" t="str">
        <f t="shared" si="220"/>
        <v xml:space="preserve"> </v>
      </c>
      <c r="DH107" s="373" t="str">
        <f t="shared" si="221"/>
        <v xml:space="preserve"> </v>
      </c>
      <c r="DI107" s="373" t="str">
        <f t="shared" si="222"/>
        <v xml:space="preserve"> </v>
      </c>
      <c r="DJ107" s="373" t="str">
        <f t="shared" si="223"/>
        <v xml:space="preserve"> </v>
      </c>
      <c r="DK107" s="373" t="str">
        <f t="shared" si="224"/>
        <v xml:space="preserve"> </v>
      </c>
      <c r="DL107" s="373" t="str">
        <f t="shared" si="225"/>
        <v xml:space="preserve"> </v>
      </c>
      <c r="DM107" s="373" t="str">
        <f t="shared" si="226"/>
        <v xml:space="preserve"> </v>
      </c>
      <c r="DN107" s="373" t="str">
        <f t="shared" si="227"/>
        <v xml:space="preserve"> </v>
      </c>
      <c r="DO107" s="373" t="str">
        <f t="shared" si="228"/>
        <v xml:space="preserve"> </v>
      </c>
      <c r="DP107" s="375" t="str">
        <f t="shared" si="229"/>
        <v xml:space="preserve"> </v>
      </c>
      <c r="DQ107" t="str">
        <f t="shared" si="255"/>
        <v xml:space="preserve"> </v>
      </c>
      <c r="HD107" t="str">
        <f t="shared" si="256"/>
        <v xml:space="preserve"> </v>
      </c>
      <c r="HE107" t="str">
        <f t="shared" si="257"/>
        <v xml:space="preserve"> </v>
      </c>
      <c r="HF107" t="str">
        <f t="shared" si="258"/>
        <v xml:space="preserve"> </v>
      </c>
    </row>
    <row r="108" spans="1:214">
      <c r="A108" s="415" t="str">
        <f>IF(A107="N/A","N/A",IF(EDATE(A107,1)&gt;Inputs!$K$3,"N/A",EDATE(A107,1)))</f>
        <v>N/A</v>
      </c>
      <c r="B108" s="410" t="str">
        <f t="shared" si="230"/>
        <v xml:space="preserve"> </v>
      </c>
      <c r="C108" s="411" t="str">
        <f t="shared" si="231"/>
        <v xml:space="preserve"> </v>
      </c>
      <c r="D108" s="412" t="str">
        <f t="shared" si="232"/>
        <v xml:space="preserve"> </v>
      </c>
      <c r="E108" s="413" t="str">
        <f>IF($A108="N/A"," ",(C108-'Pricing Inputs'!T141)*D108)</f>
        <v xml:space="preserve"> </v>
      </c>
      <c r="F108" s="414" t="str">
        <f t="shared" si="281"/>
        <v xml:space="preserve"> </v>
      </c>
      <c r="G108" s="414" t="str">
        <f t="shared" si="233"/>
        <v xml:space="preserve"> </v>
      </c>
      <c r="H108" s="416" t="str">
        <f t="shared" si="234"/>
        <v xml:space="preserve"> </v>
      </c>
      <c r="I108" s="213" t="str">
        <f t="shared" si="183"/>
        <v xml:space="preserve"> </v>
      </c>
      <c r="J108" s="213" t="str">
        <f t="shared" si="184"/>
        <v xml:space="preserve"> </v>
      </c>
      <c r="K108" s="213" t="str">
        <f t="shared" si="185"/>
        <v xml:space="preserve"> </v>
      </c>
      <c r="L108" s="213" t="str">
        <f t="shared" si="186"/>
        <v xml:space="preserve"> </v>
      </c>
      <c r="M108" s="213" t="str">
        <f t="shared" si="187"/>
        <v xml:space="preserve"> </v>
      </c>
      <c r="N108" s="213" t="str">
        <f t="shared" si="188"/>
        <v xml:space="preserve"> </v>
      </c>
      <c r="O108" s="213" t="str">
        <f t="shared" si="189"/>
        <v xml:space="preserve"> </v>
      </c>
      <c r="P108" s="213" t="str">
        <f t="shared" si="190"/>
        <v xml:space="preserve"> </v>
      </c>
      <c r="Q108" s="213" t="str">
        <f t="shared" si="191"/>
        <v xml:space="preserve"> </v>
      </c>
      <c r="R108" s="405" t="str">
        <f>IF($A108="N/A"," ",IF(Pricetype=2,MAX(I108-$H108,0),IF(Pricetype=1,(_xll.xSPRDOPT(I108,$E108,$CI108,0,($CD108+IF(Smile=TRUE,VLOOKUP(MAX(-5,$H108-I108),Volsmile,2),0)),$CG108,$CH108,($A108-DateToday)+15,1,0)),I108-$H108)))</f>
        <v xml:space="preserve"> </v>
      </c>
      <c r="S108" s="405" t="str">
        <f>IF($A108="N/A"," ",IF(Pricetype=2,MAX(J108-$H108,0),IF(Pricetype=1,(_xll.xSPRDOPT(J108,$E108,$CI108,0,($CD108+IF(Smile=TRUE,VLOOKUP(MAX(-5,$H108-J108),Volsmile,2),0)),$CG108,$CH108,($A108-DateToday)+15,1,0)),J108-$H108)))</f>
        <v xml:space="preserve"> </v>
      </c>
      <c r="T108" s="406" t="str">
        <f t="shared" si="192"/>
        <v xml:space="preserve"> </v>
      </c>
      <c r="U108" s="405" t="str">
        <f>IF($A108="N/A"," ",IF(Pricetype=2,MAX(L108-$H108,0),IF(L108&lt;&gt;0,IF(Pricetype=1,(_xll.xSPRDOPT(L108,$E108,$CI108,0,($CD108+IF(Smile=TRUE,VLOOKUP(MAX(-5,$H108-L108),Volsmile,2),0)),$CG108,$CH108,($A108-DateToday)+15,1,0)),L108-$H108),0)))</f>
        <v xml:space="preserve"> </v>
      </c>
      <c r="V108" s="405" t="str">
        <f>IF($A108="N/A"," ",IF(Pricetype=2,MAX(M108-$H108,0),IF(M108&lt;&gt;0,IF(Pricetype=1,(_xll.xSPRDOPT(M108,$E108,$CI108,0,($CD108+IF(Smile=TRUE,VLOOKUP(MAX(-5,$H108-M108),Volsmile,2),0)),$CG108,$CH108,($A108-DateToday)+15,1,0)),M108-$H108),0)))</f>
        <v xml:space="preserve"> </v>
      </c>
      <c r="W108" s="406" t="str">
        <f t="shared" si="193"/>
        <v xml:space="preserve"> </v>
      </c>
      <c r="X108" s="405" t="str">
        <f>IF($A108="N/A"," ",IF(Pricetype=2,MAX(O108-$H108,0),IF(O108&lt;&gt;0,IF(Pricetype=1,(_xll.xSPRDOPT(O108,$E108,$CI108,0,($CD108+IF(Smile=TRUE,VLOOKUP(MAX(-5,$H108-O108),Volsmile,2),0)),$CG108,$CH108,($A108-DateToday)+15,1,0)),O108-$H108),0)))</f>
        <v xml:space="preserve"> </v>
      </c>
      <c r="Y108" s="405" t="str">
        <f>IF($A108="N/A"," ",IF(Pricetype=2,MAX(P108-$H108,0),IF(P108&lt;&gt;0,IF(Pricetype=1,(_xll.xSPRDOPT(P108,$E108,$CI108,0,($CD108+IF(Smile=TRUE,VLOOKUP(MAX(-5,$H108-P108),Volsmile,2),0)),$CG108,$CH108,($A108-DateToday)+15,1,0)),P108-$H108),0)))</f>
        <v xml:space="preserve"> </v>
      </c>
      <c r="Z108" s="406" t="str">
        <f t="shared" si="194"/>
        <v xml:space="preserve"> </v>
      </c>
      <c r="AA108" s="254" t="str">
        <f>IF($A108="N/A"," ",IF(VLOOKUP(MONTH(A108),ManualTable,2)=1,(IF(0&lt;&gt;R108,IF(Pricetype=1,(_xll.xSPRDOPT(I108,$E108,$CI108,0,($CD108+IF(Smile=TRUE,VLOOKUP(MAX(-5,$H108-I108),Volsmile,2),0)),$CG108,$CH108,($A108-DateToday)+15,1,1))*(8*$HD108),8*$HD108),0)),0))</f>
        <v xml:space="preserve"> </v>
      </c>
      <c r="AB108" s="254" t="str">
        <f>IF($A108="N/A"," ",IF(VLOOKUP(MONTH(A108),ManualTable,3)=1,(IF(S108&lt;&gt;0,IF(Pricetype=1,(_xll.xSPRDOPT(J108,$E108,$CI108,0,($CD108+IF(Smile=TRUE,VLOOKUP(MAX(-5,$H108-J108),Volsmile,2),0)),$CG108,$CH108,($A108-DateToday)+15,1,1))*(8*$HD108),8*$HD108),0)),0))</f>
        <v xml:space="preserve"> </v>
      </c>
      <c r="AC108" s="254" t="str">
        <f t="shared" si="235"/>
        <v xml:space="preserve"> </v>
      </c>
      <c r="AD108" s="254" t="str">
        <f>IF($A108="N/A"," ",IF(VLOOKUP(MONTH(A108),ManualTable,5)=1,(IF(U108&lt;&gt;0,IF(Pricetype=1,(_xll.xSPRDOPT(L108,$E108,$CI108,0,($CD108+IF(Smile=TRUE,VLOOKUP(MAX(-5,$H108-L108),Volsmile,2),0)),$CG108,$CH108,($A108-DateToday)+15,1,1))*(8*$HE108),8*$HE108),0)),0))</f>
        <v xml:space="preserve"> </v>
      </c>
      <c r="AE108" s="254" t="str">
        <f>IF($A108="N/A"," ",IF(VLOOKUP(MONTH(A108),ManualTable,6)=1,(IF(V108&lt;&gt;0,IF(Pricetype=1,(_xll.xSPRDOPT(M108,$E108,$CI108,0,($CD108+IF(Smile=TRUE,VLOOKUP(MAX(-5,$H108-M108),Volsmile,2),0)),$CG108,$CH108,($A108-DateToday)+15,1,1))*(8*$HE108),8*$HE108),0)),0))</f>
        <v xml:space="preserve"> </v>
      </c>
      <c r="AF108" s="254" t="str">
        <f t="shared" si="236"/>
        <v xml:space="preserve"> </v>
      </c>
      <c r="AG108" s="254" t="str">
        <f>IF($A108="N/A"," ",IF(VLOOKUP(MONTH(A108),ManualTable,8)=1,(IF(X108&lt;&gt;0,IF(Pricetype=1,(_xll.xSPRDOPT(O108,$E108,$CI108,0,($CD108+IF(Smile=TRUE,VLOOKUP(MAX(-5,$H108-O108),Volsmile,2),0)),$CG108,$CH108,($A108-DateToday)+15,1,1))*(8*$HF108),8*$HF108),0)),0))</f>
        <v xml:space="preserve"> </v>
      </c>
      <c r="AH108" s="254" t="str">
        <f>IF($A108="N/A"," ",IF(VLOOKUP(MONTH(A108),ManualTable,9)=1,(IF(Y108&lt;&gt;0,IF(Pricetype=1,(_xll.xSPRDOPT(P108,$E108,$CI108,0,($CD108+IF(Smile=TRUE,VLOOKUP(MAX(-5,$H108-P108),Volsmile,2),0)),$CG108,$CH108,($A108-DateToday)+15,1,1))*(8*$HF108),8*$HF108),0)),0))</f>
        <v xml:space="preserve"> </v>
      </c>
      <c r="AI108" s="254" t="str">
        <f t="shared" si="237"/>
        <v xml:space="preserve"> </v>
      </c>
      <c r="AJ108" s="227" t="str">
        <f t="shared" si="305"/>
        <v xml:space="preserve"> </v>
      </c>
      <c r="AK108" s="228" t="str">
        <f t="shared" si="306"/>
        <v xml:space="preserve"> </v>
      </c>
      <c r="AL108" s="228" t="str">
        <f t="shared" si="306"/>
        <v xml:space="preserve"> </v>
      </c>
      <c r="AM108" s="228" t="str">
        <f t="shared" si="307"/>
        <v xml:space="preserve"> </v>
      </c>
      <c r="AN108" s="228" t="str">
        <f t="shared" si="308"/>
        <v xml:space="preserve"> </v>
      </c>
      <c r="AO108" s="228" t="str">
        <f t="shared" si="308"/>
        <v xml:space="preserve"> </v>
      </c>
      <c r="AP108" s="228" t="str">
        <f t="shared" si="309"/>
        <v xml:space="preserve"> </v>
      </c>
      <c r="AQ108" s="228" t="str">
        <f t="shared" si="310"/>
        <v xml:space="preserve"> </v>
      </c>
      <c r="AR108" s="229" t="str">
        <f t="shared" si="311"/>
        <v xml:space="preserve"> </v>
      </c>
      <c r="AS108" s="262" t="str">
        <f t="shared" si="274"/>
        <v xml:space="preserve"> </v>
      </c>
      <c r="AT108" s="263" t="str">
        <f t="shared" si="275"/>
        <v xml:space="preserve"> </v>
      </c>
      <c r="AU108" s="263" t="str">
        <f t="shared" si="275"/>
        <v xml:space="preserve"> </v>
      </c>
      <c r="AV108" s="263" t="str">
        <f t="shared" si="276"/>
        <v xml:space="preserve"> </v>
      </c>
      <c r="AW108" s="263" t="str">
        <f t="shared" si="277"/>
        <v xml:space="preserve"> </v>
      </c>
      <c r="AX108" s="263" t="str">
        <f t="shared" si="277"/>
        <v xml:space="preserve"> </v>
      </c>
      <c r="AY108" s="263" t="str">
        <f t="shared" si="278"/>
        <v xml:space="preserve"> </v>
      </c>
      <c r="AZ108" s="263" t="str">
        <f t="shared" si="279"/>
        <v xml:space="preserve"> </v>
      </c>
      <c r="BA108" s="263" t="str">
        <f t="shared" si="280"/>
        <v xml:space="preserve"> </v>
      </c>
      <c r="BB108" s="229"/>
      <c r="BC108" s="266" t="str">
        <f t="shared" si="298"/>
        <v xml:space="preserve"> </v>
      </c>
      <c r="BD108" s="269" t="str">
        <f t="shared" si="299"/>
        <v xml:space="preserve"> </v>
      </c>
      <c r="BE108" s="269" t="str">
        <f t="shared" si="299"/>
        <v xml:space="preserve"> </v>
      </c>
      <c r="BF108" s="269" t="str">
        <f t="shared" si="300"/>
        <v xml:space="preserve"> </v>
      </c>
      <c r="BG108" s="269" t="str">
        <f t="shared" si="301"/>
        <v xml:space="preserve"> </v>
      </c>
      <c r="BH108" s="269" t="str">
        <f t="shared" si="301"/>
        <v xml:space="preserve"> </v>
      </c>
      <c r="BI108" s="269" t="str">
        <f t="shared" si="302"/>
        <v xml:space="preserve"> </v>
      </c>
      <c r="BJ108" s="269" t="str">
        <f t="shared" si="303"/>
        <v xml:space="preserve"> </v>
      </c>
      <c r="BK108" s="269" t="str">
        <f t="shared" si="304"/>
        <v xml:space="preserve"> </v>
      </c>
      <c r="BL108" s="229"/>
      <c r="BM108" s="220" t="str">
        <f>IF($A108="N/A"," ",(IF(MONTH(A108)&gt;=4,IF(MONTH(A108)&lt;=10,Inputs!$F$13-Inputs!$G$13,Inputs!$F$14-Inputs!$G$14),Inputs!$F$14-Inputs!$G$14))*$CK108*Availability)</f>
        <v xml:space="preserve"> </v>
      </c>
      <c r="BN108" s="221" t="str">
        <f t="shared" si="238"/>
        <v xml:space="preserve"> </v>
      </c>
      <c r="BO108" s="221" t="str">
        <f t="shared" si="239"/>
        <v xml:space="preserve"> </v>
      </c>
      <c r="BP108" s="221" t="str">
        <f t="shared" si="240"/>
        <v xml:space="preserve"> </v>
      </c>
      <c r="BQ108" s="221" t="str">
        <f t="shared" si="241"/>
        <v xml:space="preserve"> </v>
      </c>
      <c r="BR108" s="221" t="str">
        <f t="shared" si="242"/>
        <v xml:space="preserve"> </v>
      </c>
      <c r="BS108" s="221" t="str">
        <f t="shared" si="243"/>
        <v xml:space="preserve"> </v>
      </c>
      <c r="BT108" s="221" t="str">
        <f t="shared" si="244"/>
        <v xml:space="preserve"> </v>
      </c>
      <c r="BU108" s="221" t="str">
        <f t="shared" si="245"/>
        <v xml:space="preserve"> </v>
      </c>
      <c r="BV108" s="221" t="str">
        <f t="shared" si="246"/>
        <v xml:space="preserve"> </v>
      </c>
      <c r="BW108" s="221" t="str">
        <f t="shared" si="247"/>
        <v xml:space="preserve"> </v>
      </c>
      <c r="BX108" s="421" t="str">
        <f t="shared" si="248"/>
        <v xml:space="preserve"> </v>
      </c>
      <c r="BY108" s="417" t="str">
        <f t="shared" si="249"/>
        <v xml:space="preserve"> </v>
      </c>
      <c r="BZ108" s="417" t="str">
        <f t="shared" si="250"/>
        <v xml:space="preserve"> </v>
      </c>
      <c r="CA108" s="422" t="str">
        <f t="shared" si="251"/>
        <v xml:space="preserve"> </v>
      </c>
      <c r="CB108" s="347" t="str">
        <f t="shared" si="195"/>
        <v xml:space="preserve"> </v>
      </c>
      <c r="CC108" s="347" t="str">
        <f t="shared" si="252"/>
        <v xml:space="preserve"> </v>
      </c>
      <c r="CD108" s="348" t="str">
        <f t="shared" si="196"/>
        <v xml:space="preserve"> </v>
      </c>
      <c r="CE108" s="347" t="str">
        <f t="shared" si="197"/>
        <v xml:space="preserve"> </v>
      </c>
      <c r="CF108" s="347" t="str">
        <f t="shared" si="198"/>
        <v xml:space="preserve"> </v>
      </c>
      <c r="CG108" s="348" t="str">
        <f t="shared" si="199"/>
        <v xml:space="preserve"> </v>
      </c>
      <c r="CH108" s="347" t="str">
        <f t="shared" si="253"/>
        <v xml:space="preserve"> </v>
      </c>
      <c r="CI108" s="349" t="str">
        <f>IF($A108="N/A"," ",F108+G108+(D108*('Pricing Inputs'!T141)))</f>
        <v xml:space="preserve"> </v>
      </c>
      <c r="CJ108" s="347" t="str">
        <f>IF($A108="N/A"," ",IF(PV=1,0,'Pricing Inputs'!U141))</f>
        <v xml:space="preserve"> </v>
      </c>
      <c r="CK108" s="350" t="str">
        <f t="shared" si="200"/>
        <v xml:space="preserve"> </v>
      </c>
      <c r="CL108" s="365" t="str">
        <f t="shared" si="201"/>
        <v xml:space="preserve"> </v>
      </c>
      <c r="CM108" s="380" t="str">
        <f t="shared" si="254"/>
        <v xml:space="preserve"> </v>
      </c>
      <c r="CN108" s="378" t="str">
        <f t="shared" si="202"/>
        <v xml:space="preserve"> </v>
      </c>
      <c r="CO108" s="378" t="str">
        <f t="shared" si="203"/>
        <v xml:space="preserve"> </v>
      </c>
      <c r="CP108" s="378" t="str">
        <f t="shared" si="204"/>
        <v xml:space="preserve"> </v>
      </c>
      <c r="CQ108" s="378" t="str">
        <f t="shared" si="205"/>
        <v xml:space="preserve"> </v>
      </c>
      <c r="CR108" s="378" t="str">
        <f t="shared" si="206"/>
        <v xml:space="preserve"> </v>
      </c>
      <c r="CS108" s="378" t="str">
        <f t="shared" si="207"/>
        <v xml:space="preserve"> </v>
      </c>
      <c r="CT108" s="378" t="str">
        <f t="shared" si="208"/>
        <v xml:space="preserve"> </v>
      </c>
      <c r="CU108" s="378" t="str">
        <f t="shared" si="209"/>
        <v xml:space="preserve"> </v>
      </c>
      <c r="CV108" s="378" t="str">
        <f t="shared" si="210"/>
        <v xml:space="preserve"> </v>
      </c>
      <c r="CW108" s="254" t="str">
        <f t="shared" si="211"/>
        <v xml:space="preserve"> </v>
      </c>
      <c r="CX108" s="254" t="str">
        <f t="shared" si="212"/>
        <v xml:space="preserve"> </v>
      </c>
      <c r="CY108" s="254" t="str">
        <f t="shared" si="213"/>
        <v xml:space="preserve"> </v>
      </c>
      <c r="CZ108" s="254" t="str">
        <f t="shared" si="214"/>
        <v xml:space="preserve"> </v>
      </c>
      <c r="DA108" s="254" t="str">
        <f t="shared" si="215"/>
        <v xml:space="preserve"> </v>
      </c>
      <c r="DB108" s="254" t="str">
        <f t="shared" si="216"/>
        <v xml:space="preserve"> </v>
      </c>
      <c r="DC108" s="254" t="str">
        <f t="shared" si="217"/>
        <v xml:space="preserve"> </v>
      </c>
      <c r="DD108" s="254" t="str">
        <f t="shared" si="218"/>
        <v xml:space="preserve"> </v>
      </c>
      <c r="DE108" s="254" t="str">
        <f t="shared" si="219"/>
        <v xml:space="preserve"> </v>
      </c>
      <c r="DF108" s="374" t="str">
        <f>IF($A108="N/A"," ",IF(CC=2,(IF(MONTH(A108)&gt;=4,IF(MONTH(A108)&lt;=10,Inputs!$G$13,Inputs!$G$14),Inputs!$G$14))*$CK108,0))</f>
        <v xml:space="preserve"> </v>
      </c>
      <c r="DG108" s="373" t="str">
        <f t="shared" si="220"/>
        <v xml:space="preserve"> </v>
      </c>
      <c r="DH108" s="373" t="str">
        <f t="shared" si="221"/>
        <v xml:space="preserve"> </v>
      </c>
      <c r="DI108" s="373" t="str">
        <f t="shared" si="222"/>
        <v xml:space="preserve"> </v>
      </c>
      <c r="DJ108" s="373" t="str">
        <f t="shared" si="223"/>
        <v xml:space="preserve"> </v>
      </c>
      <c r="DK108" s="373" t="str">
        <f t="shared" si="224"/>
        <v xml:space="preserve"> </v>
      </c>
      <c r="DL108" s="373" t="str">
        <f t="shared" si="225"/>
        <v xml:space="preserve"> </v>
      </c>
      <c r="DM108" s="373" t="str">
        <f t="shared" si="226"/>
        <v xml:space="preserve"> </v>
      </c>
      <c r="DN108" s="373" t="str">
        <f t="shared" si="227"/>
        <v xml:space="preserve"> </v>
      </c>
      <c r="DO108" s="373" t="str">
        <f t="shared" si="228"/>
        <v xml:space="preserve"> </v>
      </c>
      <c r="DP108" s="375" t="str">
        <f t="shared" si="229"/>
        <v xml:space="preserve"> </v>
      </c>
      <c r="DQ108" t="str">
        <f t="shared" si="255"/>
        <v xml:space="preserve"> </v>
      </c>
      <c r="HD108" t="str">
        <f t="shared" si="256"/>
        <v xml:space="preserve"> </v>
      </c>
      <c r="HE108" t="str">
        <f t="shared" si="257"/>
        <v xml:space="preserve"> </v>
      </c>
      <c r="HF108" t="str">
        <f t="shared" si="258"/>
        <v xml:space="preserve"> </v>
      </c>
    </row>
    <row r="109" spans="1:214">
      <c r="A109" s="415" t="str">
        <f>IF(A108="N/A","N/A",IF(EDATE(A108,1)&gt;Inputs!$K$3,"N/A",EDATE(A108,1)))</f>
        <v>N/A</v>
      </c>
      <c r="B109" s="410" t="str">
        <f t="shared" si="230"/>
        <v xml:space="preserve"> </v>
      </c>
      <c r="C109" s="411" t="str">
        <f t="shared" si="231"/>
        <v xml:space="preserve"> </v>
      </c>
      <c r="D109" s="412" t="str">
        <f t="shared" si="232"/>
        <v xml:space="preserve"> </v>
      </c>
      <c r="E109" s="413" t="str">
        <f>IF($A109="N/A"," ",(C109-'Pricing Inputs'!T142)*D109)</f>
        <v xml:space="preserve"> </v>
      </c>
      <c r="F109" s="414" t="str">
        <f t="shared" si="281"/>
        <v xml:space="preserve"> </v>
      </c>
      <c r="G109" s="414" t="str">
        <f t="shared" si="233"/>
        <v xml:space="preserve"> </v>
      </c>
      <c r="H109" s="416" t="str">
        <f t="shared" si="234"/>
        <v xml:space="preserve"> </v>
      </c>
      <c r="I109" s="213" t="str">
        <f t="shared" si="183"/>
        <v xml:space="preserve"> </v>
      </c>
      <c r="J109" s="213" t="str">
        <f t="shared" si="184"/>
        <v xml:space="preserve"> </v>
      </c>
      <c r="K109" s="213" t="str">
        <f t="shared" si="185"/>
        <v xml:space="preserve"> </v>
      </c>
      <c r="L109" s="213" t="str">
        <f t="shared" si="186"/>
        <v xml:space="preserve"> </v>
      </c>
      <c r="M109" s="213" t="str">
        <f t="shared" si="187"/>
        <v xml:space="preserve"> </v>
      </c>
      <c r="N109" s="213" t="str">
        <f t="shared" si="188"/>
        <v xml:space="preserve"> </v>
      </c>
      <c r="O109" s="213" t="str">
        <f t="shared" si="189"/>
        <v xml:space="preserve"> </v>
      </c>
      <c r="P109" s="213" t="str">
        <f t="shared" si="190"/>
        <v xml:space="preserve"> </v>
      </c>
      <c r="Q109" s="213" t="str">
        <f t="shared" si="191"/>
        <v xml:space="preserve"> </v>
      </c>
      <c r="R109" s="405" t="str">
        <f>IF($A109="N/A"," ",IF(Pricetype=2,MAX(I109-$H109,0),IF(Pricetype=1,(_xll.xSPRDOPT(I109,$E109,$CI109,0,($CD109+IF(Smile=TRUE,VLOOKUP(MAX(-5,$H109-I109),Volsmile,2),0)),$CG109,$CH109,($A109-DateToday)+15,1,0)),I109-$H109)))</f>
        <v xml:space="preserve"> </v>
      </c>
      <c r="S109" s="405" t="str">
        <f>IF($A109="N/A"," ",IF(Pricetype=2,MAX(J109-$H109,0),IF(Pricetype=1,(_xll.xSPRDOPT(J109,$E109,$CI109,0,($CD109+IF(Smile=TRUE,VLOOKUP(MAX(-5,$H109-J109),Volsmile,2),0)),$CG109,$CH109,($A109-DateToday)+15,1,0)),J109-$H109)))</f>
        <v xml:space="preserve"> </v>
      </c>
      <c r="T109" s="406" t="str">
        <f t="shared" si="192"/>
        <v xml:space="preserve"> </v>
      </c>
      <c r="U109" s="405" t="str">
        <f>IF($A109="N/A"," ",IF(Pricetype=2,MAX(L109-$H109,0),IF(L109&lt;&gt;0,IF(Pricetype=1,(_xll.xSPRDOPT(L109,$E109,$CI109,0,($CD109+IF(Smile=TRUE,VLOOKUP(MAX(-5,$H109-L109),Volsmile,2),0)),$CG109,$CH109,($A109-DateToday)+15,1,0)),L109-$H109),0)))</f>
        <v xml:space="preserve"> </v>
      </c>
      <c r="V109" s="405" t="str">
        <f>IF($A109="N/A"," ",IF(Pricetype=2,MAX(M109-$H109,0),IF(M109&lt;&gt;0,IF(Pricetype=1,(_xll.xSPRDOPT(M109,$E109,$CI109,0,($CD109+IF(Smile=TRUE,VLOOKUP(MAX(-5,$H109-M109),Volsmile,2),0)),$CG109,$CH109,($A109-DateToday)+15,1,0)),M109-$H109),0)))</f>
        <v xml:space="preserve"> </v>
      </c>
      <c r="W109" s="406" t="str">
        <f t="shared" si="193"/>
        <v xml:space="preserve"> </v>
      </c>
      <c r="X109" s="405" t="str">
        <f>IF($A109="N/A"," ",IF(Pricetype=2,MAX(O109-$H109,0),IF(O109&lt;&gt;0,IF(Pricetype=1,(_xll.xSPRDOPT(O109,$E109,$CI109,0,($CD109+IF(Smile=TRUE,VLOOKUP(MAX(-5,$H109-O109),Volsmile,2),0)),$CG109,$CH109,($A109-DateToday)+15,1,0)),O109-$H109),0)))</f>
        <v xml:space="preserve"> </v>
      </c>
      <c r="Y109" s="405" t="str">
        <f>IF($A109="N/A"," ",IF(Pricetype=2,MAX(P109-$H109,0),IF(P109&lt;&gt;0,IF(Pricetype=1,(_xll.xSPRDOPT(P109,$E109,$CI109,0,($CD109+IF(Smile=TRUE,VLOOKUP(MAX(-5,$H109-P109),Volsmile,2),0)),$CG109,$CH109,($A109-DateToday)+15,1,0)),P109-$H109),0)))</f>
        <v xml:space="preserve"> </v>
      </c>
      <c r="Z109" s="406" t="str">
        <f t="shared" si="194"/>
        <v xml:space="preserve"> </v>
      </c>
      <c r="AA109" s="254" t="str">
        <f>IF($A109="N/A"," ",IF(VLOOKUP(MONTH(A109),ManualTable,2)=1,(IF(0&lt;&gt;R109,IF(Pricetype=1,(_xll.xSPRDOPT(I109,$E109,$CI109,0,($CD109+IF(Smile=TRUE,VLOOKUP(MAX(-5,$H109-I109),Volsmile,2),0)),$CG109,$CH109,($A109-DateToday)+15,1,1))*(8*$HD109),8*$HD109),0)),0))</f>
        <v xml:space="preserve"> </v>
      </c>
      <c r="AB109" s="254" t="str">
        <f>IF($A109="N/A"," ",IF(VLOOKUP(MONTH(A109),ManualTable,3)=1,(IF(S109&lt;&gt;0,IF(Pricetype=1,(_xll.xSPRDOPT(J109,$E109,$CI109,0,($CD109+IF(Smile=TRUE,VLOOKUP(MAX(-5,$H109-J109),Volsmile,2),0)),$CG109,$CH109,($A109-DateToday)+15,1,1))*(8*$HD109),8*$HD109),0)),0))</f>
        <v xml:space="preserve"> </v>
      </c>
      <c r="AC109" s="254" t="str">
        <f t="shared" si="235"/>
        <v xml:space="preserve"> </v>
      </c>
      <c r="AD109" s="254" t="str">
        <f>IF($A109="N/A"," ",IF(VLOOKUP(MONTH(A109),ManualTable,5)=1,(IF(U109&lt;&gt;0,IF(Pricetype=1,(_xll.xSPRDOPT(L109,$E109,$CI109,0,($CD109+IF(Smile=TRUE,VLOOKUP(MAX(-5,$H109-L109),Volsmile,2),0)),$CG109,$CH109,($A109-DateToday)+15,1,1))*(8*$HE109),8*$HE109),0)),0))</f>
        <v xml:space="preserve"> </v>
      </c>
      <c r="AE109" s="254" t="str">
        <f>IF($A109="N/A"," ",IF(VLOOKUP(MONTH(A109),ManualTable,6)=1,(IF(V109&lt;&gt;0,IF(Pricetype=1,(_xll.xSPRDOPT(M109,$E109,$CI109,0,($CD109+IF(Smile=TRUE,VLOOKUP(MAX(-5,$H109-M109),Volsmile,2),0)),$CG109,$CH109,($A109-DateToday)+15,1,1))*(8*$HE109),8*$HE109),0)),0))</f>
        <v xml:space="preserve"> </v>
      </c>
      <c r="AF109" s="254" t="str">
        <f t="shared" si="236"/>
        <v xml:space="preserve"> </v>
      </c>
      <c r="AG109" s="254" t="str">
        <f>IF($A109="N/A"," ",IF(VLOOKUP(MONTH(A109),ManualTable,8)=1,(IF(X109&lt;&gt;0,IF(Pricetype=1,(_xll.xSPRDOPT(O109,$E109,$CI109,0,($CD109+IF(Smile=TRUE,VLOOKUP(MAX(-5,$H109-O109),Volsmile,2),0)),$CG109,$CH109,($A109-DateToday)+15,1,1))*(8*$HF109),8*$HF109),0)),0))</f>
        <v xml:space="preserve"> </v>
      </c>
      <c r="AH109" s="254" t="str">
        <f>IF($A109="N/A"," ",IF(VLOOKUP(MONTH(A109),ManualTable,9)=1,(IF(Y109&lt;&gt;0,IF(Pricetype=1,(_xll.xSPRDOPT(P109,$E109,$CI109,0,($CD109+IF(Smile=TRUE,VLOOKUP(MAX(-5,$H109-P109),Volsmile,2),0)),$CG109,$CH109,($A109-DateToday)+15,1,1))*(8*$HF109),8*$HF109),0)),0))</f>
        <v xml:space="preserve"> </v>
      </c>
      <c r="AI109" s="254" t="str">
        <f t="shared" si="237"/>
        <v xml:space="preserve"> </v>
      </c>
      <c r="AJ109" s="227" t="str">
        <f t="shared" si="305"/>
        <v xml:space="preserve"> </v>
      </c>
      <c r="AK109" s="228" t="str">
        <f t="shared" si="306"/>
        <v xml:space="preserve"> </v>
      </c>
      <c r="AL109" s="228" t="str">
        <f t="shared" si="306"/>
        <v xml:space="preserve"> </v>
      </c>
      <c r="AM109" s="228" t="str">
        <f t="shared" si="307"/>
        <v xml:space="preserve"> </v>
      </c>
      <c r="AN109" s="228" t="str">
        <f t="shared" si="308"/>
        <v xml:space="preserve"> </v>
      </c>
      <c r="AO109" s="228" t="str">
        <f t="shared" si="308"/>
        <v xml:space="preserve"> </v>
      </c>
      <c r="AP109" s="228" t="str">
        <f t="shared" si="309"/>
        <v xml:space="preserve"> </v>
      </c>
      <c r="AQ109" s="228" t="str">
        <f t="shared" si="310"/>
        <v xml:space="preserve"> </v>
      </c>
      <c r="AR109" s="229" t="str">
        <f t="shared" si="311"/>
        <v xml:space="preserve"> </v>
      </c>
      <c r="AS109" s="262" t="str">
        <f t="shared" si="274"/>
        <v xml:space="preserve"> </v>
      </c>
      <c r="AT109" s="263" t="str">
        <f t="shared" si="275"/>
        <v xml:space="preserve"> </v>
      </c>
      <c r="AU109" s="263" t="str">
        <f t="shared" si="275"/>
        <v xml:space="preserve"> </v>
      </c>
      <c r="AV109" s="263" t="str">
        <f t="shared" si="276"/>
        <v xml:space="preserve"> </v>
      </c>
      <c r="AW109" s="263" t="str">
        <f t="shared" si="277"/>
        <v xml:space="preserve"> </v>
      </c>
      <c r="AX109" s="263" t="str">
        <f t="shared" si="277"/>
        <v xml:space="preserve"> </v>
      </c>
      <c r="AY109" s="263" t="str">
        <f t="shared" si="278"/>
        <v xml:space="preserve"> </v>
      </c>
      <c r="AZ109" s="263" t="str">
        <f t="shared" si="279"/>
        <v xml:space="preserve"> </v>
      </c>
      <c r="BA109" s="263" t="str">
        <f t="shared" si="280"/>
        <v xml:space="preserve"> </v>
      </c>
      <c r="BB109" s="234" t="s">
        <v>1271</v>
      </c>
      <c r="BC109" s="266" t="str">
        <f t="shared" si="298"/>
        <v xml:space="preserve"> </v>
      </c>
      <c r="BD109" s="269" t="str">
        <f t="shared" si="299"/>
        <v xml:space="preserve"> </v>
      </c>
      <c r="BE109" s="269" t="str">
        <f t="shared" si="299"/>
        <v xml:space="preserve"> </v>
      </c>
      <c r="BF109" s="269" t="str">
        <f t="shared" si="300"/>
        <v xml:space="preserve"> </v>
      </c>
      <c r="BG109" s="269" t="str">
        <f t="shared" si="301"/>
        <v xml:space="preserve"> </v>
      </c>
      <c r="BH109" s="269" t="str">
        <f t="shared" si="301"/>
        <v xml:space="preserve"> </v>
      </c>
      <c r="BI109" s="269" t="str">
        <f t="shared" si="302"/>
        <v xml:space="preserve"> </v>
      </c>
      <c r="BJ109" s="269" t="str">
        <f t="shared" si="303"/>
        <v xml:space="preserve"> </v>
      </c>
      <c r="BK109" s="269" t="str">
        <f t="shared" si="304"/>
        <v xml:space="preserve"> </v>
      </c>
      <c r="BL109" s="233" t="s">
        <v>1283</v>
      </c>
      <c r="BM109" s="220" t="str">
        <f>IF($A109="N/A"," ",(IF(MONTH(A109)&gt;=4,IF(MONTH(A109)&lt;=10,Inputs!$F$13-Inputs!$G$13,Inputs!$F$14-Inputs!$G$14),Inputs!$F$14-Inputs!$G$14))*$CK109*Availability)</f>
        <v xml:space="preserve"> </v>
      </c>
      <c r="BN109" s="221" t="str">
        <f t="shared" si="238"/>
        <v xml:space="preserve"> </v>
      </c>
      <c r="BO109" s="221" t="str">
        <f t="shared" si="239"/>
        <v xml:space="preserve"> </v>
      </c>
      <c r="BP109" s="221" t="str">
        <f t="shared" si="240"/>
        <v xml:space="preserve"> </v>
      </c>
      <c r="BQ109" s="221" t="str">
        <f t="shared" si="241"/>
        <v xml:space="preserve"> </v>
      </c>
      <c r="BR109" s="221" t="str">
        <f t="shared" si="242"/>
        <v xml:space="preserve"> </v>
      </c>
      <c r="BS109" s="221" t="str">
        <f t="shared" si="243"/>
        <v xml:space="preserve"> </v>
      </c>
      <c r="BT109" s="221" t="str">
        <f t="shared" si="244"/>
        <v xml:space="preserve"> </v>
      </c>
      <c r="BU109" s="221" t="str">
        <f t="shared" si="245"/>
        <v xml:space="preserve"> </v>
      </c>
      <c r="BV109" s="221" t="str">
        <f t="shared" si="246"/>
        <v xml:space="preserve"> </v>
      </c>
      <c r="BW109" s="221" t="str">
        <f t="shared" si="247"/>
        <v xml:space="preserve"> </v>
      </c>
      <c r="BX109" s="421" t="str">
        <f t="shared" si="248"/>
        <v xml:space="preserve"> </v>
      </c>
      <c r="BY109" s="417" t="str">
        <f t="shared" si="249"/>
        <v xml:space="preserve"> </v>
      </c>
      <c r="BZ109" s="417" t="str">
        <f t="shared" si="250"/>
        <v xml:space="preserve"> </v>
      </c>
      <c r="CA109" s="422" t="str">
        <f t="shared" si="251"/>
        <v xml:space="preserve"> </v>
      </c>
      <c r="CB109" s="347" t="str">
        <f t="shared" si="195"/>
        <v xml:space="preserve"> </v>
      </c>
      <c r="CC109" s="347" t="str">
        <f t="shared" si="252"/>
        <v xml:space="preserve"> </v>
      </c>
      <c r="CD109" s="348" t="str">
        <f t="shared" si="196"/>
        <v xml:space="preserve"> </v>
      </c>
      <c r="CE109" s="347" t="str">
        <f t="shared" si="197"/>
        <v xml:space="preserve"> </v>
      </c>
      <c r="CF109" s="347" t="str">
        <f t="shared" si="198"/>
        <v xml:space="preserve"> </v>
      </c>
      <c r="CG109" s="348" t="str">
        <f t="shared" si="199"/>
        <v xml:space="preserve"> </v>
      </c>
      <c r="CH109" s="347" t="str">
        <f t="shared" si="253"/>
        <v xml:space="preserve"> </v>
      </c>
      <c r="CI109" s="349" t="str">
        <f>IF($A109="N/A"," ",F109+G109+(D109*('Pricing Inputs'!T142)))</f>
        <v xml:space="preserve"> </v>
      </c>
      <c r="CJ109" s="347" t="str">
        <f>IF($A109="N/A"," ",IF(PV=1,0,'Pricing Inputs'!U142))</f>
        <v xml:space="preserve"> </v>
      </c>
      <c r="CK109" s="350" t="str">
        <f t="shared" si="200"/>
        <v xml:space="preserve"> </v>
      </c>
      <c r="CL109" s="365" t="str">
        <f t="shared" si="201"/>
        <v xml:space="preserve"> </v>
      </c>
      <c r="CM109" s="380" t="str">
        <f t="shared" si="254"/>
        <v xml:space="preserve"> </v>
      </c>
      <c r="CN109" s="378" t="str">
        <f t="shared" si="202"/>
        <v xml:space="preserve"> </v>
      </c>
      <c r="CO109" s="378" t="str">
        <f t="shared" si="203"/>
        <v xml:space="preserve"> </v>
      </c>
      <c r="CP109" s="378" t="str">
        <f t="shared" si="204"/>
        <v xml:space="preserve"> </v>
      </c>
      <c r="CQ109" s="378" t="str">
        <f t="shared" si="205"/>
        <v xml:space="preserve"> </v>
      </c>
      <c r="CR109" s="378" t="str">
        <f t="shared" si="206"/>
        <v xml:space="preserve"> </v>
      </c>
      <c r="CS109" s="378" t="str">
        <f t="shared" si="207"/>
        <v xml:space="preserve"> </v>
      </c>
      <c r="CT109" s="378" t="str">
        <f t="shared" si="208"/>
        <v xml:space="preserve"> </v>
      </c>
      <c r="CU109" s="378" t="str">
        <f t="shared" si="209"/>
        <v xml:space="preserve"> </v>
      </c>
      <c r="CV109" s="378" t="str">
        <f t="shared" si="210"/>
        <v xml:space="preserve"> </v>
      </c>
      <c r="CW109" s="254" t="str">
        <f t="shared" si="211"/>
        <v xml:space="preserve"> </v>
      </c>
      <c r="CX109" s="254" t="str">
        <f t="shared" si="212"/>
        <v xml:space="preserve"> </v>
      </c>
      <c r="CY109" s="254" t="str">
        <f t="shared" si="213"/>
        <v xml:space="preserve"> </v>
      </c>
      <c r="CZ109" s="254" t="str">
        <f t="shared" si="214"/>
        <v xml:space="preserve"> </v>
      </c>
      <c r="DA109" s="254" t="str">
        <f t="shared" si="215"/>
        <v xml:space="preserve"> </v>
      </c>
      <c r="DB109" s="254" t="str">
        <f t="shared" si="216"/>
        <v xml:space="preserve"> </v>
      </c>
      <c r="DC109" s="254" t="str">
        <f t="shared" si="217"/>
        <v xml:space="preserve"> </v>
      </c>
      <c r="DD109" s="254" t="str">
        <f t="shared" si="218"/>
        <v xml:space="preserve"> </v>
      </c>
      <c r="DE109" s="254" t="str">
        <f t="shared" si="219"/>
        <v xml:space="preserve"> </v>
      </c>
      <c r="DF109" s="374" t="str">
        <f>IF($A109="N/A"," ",IF(CC=2,(IF(MONTH(A109)&gt;=4,IF(MONTH(A109)&lt;=10,Inputs!$G$13,Inputs!$G$14),Inputs!$G$14))*$CK109,0))</f>
        <v xml:space="preserve"> </v>
      </c>
      <c r="DG109" s="373" t="str">
        <f t="shared" si="220"/>
        <v xml:space="preserve"> </v>
      </c>
      <c r="DH109" s="373" t="str">
        <f t="shared" si="221"/>
        <v xml:space="preserve"> </v>
      </c>
      <c r="DI109" s="373" t="str">
        <f t="shared" si="222"/>
        <v xml:space="preserve"> </v>
      </c>
      <c r="DJ109" s="373" t="str">
        <f t="shared" si="223"/>
        <v xml:space="preserve"> </v>
      </c>
      <c r="DK109" s="373" t="str">
        <f t="shared" si="224"/>
        <v xml:space="preserve"> </v>
      </c>
      <c r="DL109" s="373" t="str">
        <f t="shared" si="225"/>
        <v xml:space="preserve"> </v>
      </c>
      <c r="DM109" s="373" t="str">
        <f t="shared" si="226"/>
        <v xml:space="preserve"> </v>
      </c>
      <c r="DN109" s="373" t="str">
        <f t="shared" si="227"/>
        <v xml:space="preserve"> </v>
      </c>
      <c r="DO109" s="373" t="str">
        <f t="shared" si="228"/>
        <v xml:space="preserve"> </v>
      </c>
      <c r="DP109" s="375" t="str">
        <f t="shared" si="229"/>
        <v xml:space="preserve"> </v>
      </c>
      <c r="DQ109" t="str">
        <f t="shared" si="255"/>
        <v xml:space="preserve"> </v>
      </c>
      <c r="HD109" t="str">
        <f t="shared" si="256"/>
        <v xml:space="preserve"> </v>
      </c>
      <c r="HE109" t="str">
        <f t="shared" si="257"/>
        <v xml:space="preserve"> </v>
      </c>
      <c r="HF109" t="str">
        <f t="shared" si="258"/>
        <v xml:space="preserve"> </v>
      </c>
    </row>
    <row r="110" spans="1:214">
      <c r="A110" s="415" t="str">
        <f>IF(A109="N/A","N/A",IF(EDATE(A109,1)&gt;Inputs!$K$3,"N/A",EDATE(A109,1)))</f>
        <v>N/A</v>
      </c>
      <c r="B110" s="410" t="str">
        <f t="shared" si="230"/>
        <v xml:space="preserve"> </v>
      </c>
      <c r="C110" s="411" t="str">
        <f t="shared" si="231"/>
        <v xml:space="preserve"> </v>
      </c>
      <c r="D110" s="412" t="str">
        <f t="shared" si="232"/>
        <v xml:space="preserve"> </v>
      </c>
      <c r="E110" s="413" t="str">
        <f>IF($A110="N/A"," ",(C110-'Pricing Inputs'!T143)*D110)</f>
        <v xml:space="preserve"> </v>
      </c>
      <c r="F110" s="414" t="str">
        <f t="shared" si="281"/>
        <v xml:space="preserve"> </v>
      </c>
      <c r="G110" s="414" t="str">
        <f t="shared" si="233"/>
        <v xml:space="preserve"> </v>
      </c>
      <c r="H110" s="416" t="str">
        <f t="shared" si="234"/>
        <v xml:space="preserve"> </v>
      </c>
      <c r="I110" s="213" t="str">
        <f t="shared" si="183"/>
        <v xml:space="preserve"> </v>
      </c>
      <c r="J110" s="213" t="str">
        <f t="shared" si="184"/>
        <v xml:space="preserve"> </v>
      </c>
      <c r="K110" s="213" t="str">
        <f t="shared" si="185"/>
        <v xml:space="preserve"> </v>
      </c>
      <c r="L110" s="213" t="str">
        <f t="shared" si="186"/>
        <v xml:space="preserve"> </v>
      </c>
      <c r="M110" s="213" t="str">
        <f t="shared" si="187"/>
        <v xml:space="preserve"> </v>
      </c>
      <c r="N110" s="213" t="str">
        <f t="shared" si="188"/>
        <v xml:space="preserve"> </v>
      </c>
      <c r="O110" s="213" t="str">
        <f t="shared" si="189"/>
        <v xml:space="preserve"> </v>
      </c>
      <c r="P110" s="213" t="str">
        <f t="shared" si="190"/>
        <v xml:space="preserve"> </v>
      </c>
      <c r="Q110" s="213" t="str">
        <f t="shared" si="191"/>
        <v xml:space="preserve"> </v>
      </c>
      <c r="R110" s="405" t="str">
        <f>IF($A110="N/A"," ",IF(Pricetype=2,MAX(I110-$H110,0),IF(Pricetype=1,(_xll.xSPRDOPT(I110,$E110,$CI110,0,($CD110+IF(Smile=TRUE,VLOOKUP(MAX(-5,$H110-I110),Volsmile,2),0)),$CG110,$CH110,($A110-DateToday)+15,1,0)),I110-$H110)))</f>
        <v xml:space="preserve"> </v>
      </c>
      <c r="S110" s="405" t="str">
        <f>IF($A110="N/A"," ",IF(Pricetype=2,MAX(J110-$H110,0),IF(Pricetype=1,(_xll.xSPRDOPT(J110,$E110,$CI110,0,($CD110+IF(Smile=TRUE,VLOOKUP(MAX(-5,$H110-J110),Volsmile,2),0)),$CG110,$CH110,($A110-DateToday)+15,1,0)),J110-$H110)))</f>
        <v xml:space="preserve"> </v>
      </c>
      <c r="T110" s="406" t="str">
        <f t="shared" si="192"/>
        <v xml:space="preserve"> </v>
      </c>
      <c r="U110" s="405" t="str">
        <f>IF($A110="N/A"," ",IF(Pricetype=2,MAX(L110-$H110,0),IF(L110&lt;&gt;0,IF(Pricetype=1,(_xll.xSPRDOPT(L110,$E110,$CI110,0,($CD110+IF(Smile=TRUE,VLOOKUP(MAX(-5,$H110-L110),Volsmile,2),0)),$CG110,$CH110,($A110-DateToday)+15,1,0)),L110-$H110),0)))</f>
        <v xml:space="preserve"> </v>
      </c>
      <c r="V110" s="405" t="str">
        <f>IF($A110="N/A"," ",IF(Pricetype=2,MAX(M110-$H110,0),IF(M110&lt;&gt;0,IF(Pricetype=1,(_xll.xSPRDOPT(M110,$E110,$CI110,0,($CD110+IF(Smile=TRUE,VLOOKUP(MAX(-5,$H110-M110),Volsmile,2),0)),$CG110,$CH110,($A110-DateToday)+15,1,0)),M110-$H110),0)))</f>
        <v xml:space="preserve"> </v>
      </c>
      <c r="W110" s="406" t="str">
        <f t="shared" si="193"/>
        <v xml:space="preserve"> </v>
      </c>
      <c r="X110" s="405" t="str">
        <f>IF($A110="N/A"," ",IF(Pricetype=2,MAX(O110-$H110,0),IF(O110&lt;&gt;0,IF(Pricetype=1,(_xll.xSPRDOPT(O110,$E110,$CI110,0,($CD110+IF(Smile=TRUE,VLOOKUP(MAX(-5,$H110-O110),Volsmile,2),0)),$CG110,$CH110,($A110-DateToday)+15,1,0)),O110-$H110),0)))</f>
        <v xml:space="preserve"> </v>
      </c>
      <c r="Y110" s="405" t="str">
        <f>IF($A110="N/A"," ",IF(Pricetype=2,MAX(P110-$H110,0),IF(P110&lt;&gt;0,IF(Pricetype=1,(_xll.xSPRDOPT(P110,$E110,$CI110,0,($CD110+IF(Smile=TRUE,VLOOKUP(MAX(-5,$H110-P110),Volsmile,2),0)),$CG110,$CH110,($A110-DateToday)+15,1,0)),P110-$H110),0)))</f>
        <v xml:space="preserve"> </v>
      </c>
      <c r="Z110" s="406" t="str">
        <f t="shared" si="194"/>
        <v xml:space="preserve"> </v>
      </c>
      <c r="AA110" s="254" t="str">
        <f>IF($A110="N/A"," ",IF(VLOOKUP(MONTH(A110),ManualTable,2)=1,(IF(0&lt;&gt;R110,IF(Pricetype=1,(_xll.xSPRDOPT(I110,$E110,$CI110,0,($CD110+IF(Smile=TRUE,VLOOKUP(MAX(-5,$H110-I110),Volsmile,2),0)),$CG110,$CH110,($A110-DateToday)+15,1,1))*(8*$HD110),8*$HD110),0)),0))</f>
        <v xml:space="preserve"> </v>
      </c>
      <c r="AB110" s="254" t="str">
        <f>IF($A110="N/A"," ",IF(VLOOKUP(MONTH(A110),ManualTable,3)=1,(IF(S110&lt;&gt;0,IF(Pricetype=1,(_xll.xSPRDOPT(J110,$E110,$CI110,0,($CD110+IF(Smile=TRUE,VLOOKUP(MAX(-5,$H110-J110),Volsmile,2),0)),$CG110,$CH110,($A110-DateToday)+15,1,1))*(8*$HD110),8*$HD110),0)),0))</f>
        <v xml:space="preserve"> </v>
      </c>
      <c r="AC110" s="254" t="str">
        <f t="shared" si="235"/>
        <v xml:space="preserve"> </v>
      </c>
      <c r="AD110" s="254" t="str">
        <f>IF($A110="N/A"," ",IF(VLOOKUP(MONTH(A110),ManualTable,5)=1,(IF(U110&lt;&gt;0,IF(Pricetype=1,(_xll.xSPRDOPT(L110,$E110,$CI110,0,($CD110+IF(Smile=TRUE,VLOOKUP(MAX(-5,$H110-L110),Volsmile,2),0)),$CG110,$CH110,($A110-DateToday)+15,1,1))*(8*$HE110),8*$HE110),0)),0))</f>
        <v xml:space="preserve"> </v>
      </c>
      <c r="AE110" s="254" t="str">
        <f>IF($A110="N/A"," ",IF(VLOOKUP(MONTH(A110),ManualTable,6)=1,(IF(V110&lt;&gt;0,IF(Pricetype=1,(_xll.xSPRDOPT(M110,$E110,$CI110,0,($CD110+IF(Smile=TRUE,VLOOKUP(MAX(-5,$H110-M110),Volsmile,2),0)),$CG110,$CH110,($A110-DateToday)+15,1,1))*(8*$HE110),8*$HE110),0)),0))</f>
        <v xml:space="preserve"> </v>
      </c>
      <c r="AF110" s="254" t="str">
        <f t="shared" si="236"/>
        <v xml:space="preserve"> </v>
      </c>
      <c r="AG110" s="254" t="str">
        <f>IF($A110="N/A"," ",IF(VLOOKUP(MONTH(A110),ManualTable,8)=1,(IF(X110&lt;&gt;0,IF(Pricetype=1,(_xll.xSPRDOPT(O110,$E110,$CI110,0,($CD110+IF(Smile=TRUE,VLOOKUP(MAX(-5,$H110-O110),Volsmile,2),0)),$CG110,$CH110,($A110-DateToday)+15,1,1))*(8*$HF110),8*$HF110),0)),0))</f>
        <v xml:space="preserve"> </v>
      </c>
      <c r="AH110" s="254" t="str">
        <f>IF($A110="N/A"," ",IF(VLOOKUP(MONTH(A110),ManualTable,9)=1,(IF(Y110&lt;&gt;0,IF(Pricetype=1,(_xll.xSPRDOPT(P110,$E110,$CI110,0,($CD110+IF(Smile=TRUE,VLOOKUP(MAX(-5,$H110-P110),Volsmile,2),0)),$CG110,$CH110,($A110-DateToday)+15,1,1))*(8*$HF110),8*$HF110),0)),0))</f>
        <v xml:space="preserve"> </v>
      </c>
      <c r="AI110" s="254" t="str">
        <f t="shared" si="237"/>
        <v xml:space="preserve"> </v>
      </c>
      <c r="AJ110" s="227" t="str">
        <f t="shared" si="305"/>
        <v xml:space="preserve"> </v>
      </c>
      <c r="AK110" s="228" t="str">
        <f t="shared" si="306"/>
        <v xml:space="preserve"> </v>
      </c>
      <c r="AL110" s="228" t="str">
        <f t="shared" si="306"/>
        <v xml:space="preserve"> </v>
      </c>
      <c r="AM110" s="228" t="str">
        <f t="shared" si="307"/>
        <v xml:space="preserve"> </v>
      </c>
      <c r="AN110" s="228" t="str">
        <f t="shared" si="308"/>
        <v xml:space="preserve"> </v>
      </c>
      <c r="AO110" s="228" t="str">
        <f t="shared" si="308"/>
        <v xml:space="preserve"> </v>
      </c>
      <c r="AP110" s="228" t="str">
        <f t="shared" si="309"/>
        <v xml:space="preserve"> </v>
      </c>
      <c r="AQ110" s="228" t="str">
        <f t="shared" si="310"/>
        <v xml:space="preserve"> </v>
      </c>
      <c r="AR110" s="229" t="str">
        <f t="shared" si="311"/>
        <v xml:space="preserve"> </v>
      </c>
      <c r="AS110" s="262" t="str">
        <f t="shared" si="274"/>
        <v xml:space="preserve"> </v>
      </c>
      <c r="AT110" s="263" t="str">
        <f t="shared" si="275"/>
        <v xml:space="preserve"> </v>
      </c>
      <c r="AU110" s="263" t="str">
        <f t="shared" si="275"/>
        <v xml:space="preserve"> </v>
      </c>
      <c r="AV110" s="263" t="str">
        <f t="shared" si="276"/>
        <v xml:space="preserve"> </v>
      </c>
      <c r="AW110" s="263" t="str">
        <f t="shared" si="277"/>
        <v xml:space="preserve"> </v>
      </c>
      <c r="AX110" s="263" t="str">
        <f t="shared" si="277"/>
        <v xml:space="preserve"> </v>
      </c>
      <c r="AY110" s="263" t="str">
        <f t="shared" si="278"/>
        <v xml:space="preserve"> </v>
      </c>
      <c r="AZ110" s="263" t="str">
        <f t="shared" si="279"/>
        <v xml:space="preserve"> </v>
      </c>
      <c r="BA110" s="263" t="str">
        <f t="shared" si="280"/>
        <v xml:space="preserve"> </v>
      </c>
      <c r="BB110" s="229">
        <f>SUM(AS100:BA111)</f>
        <v>0</v>
      </c>
      <c r="BC110" s="266" t="str">
        <f t="shared" si="298"/>
        <v xml:space="preserve"> </v>
      </c>
      <c r="BD110" s="269" t="str">
        <f t="shared" si="299"/>
        <v xml:space="preserve"> </v>
      </c>
      <c r="BE110" s="269" t="str">
        <f t="shared" si="299"/>
        <v xml:space="preserve"> </v>
      </c>
      <c r="BF110" s="269" t="str">
        <f t="shared" si="300"/>
        <v xml:space="preserve"> </v>
      </c>
      <c r="BG110" s="269" t="str">
        <f t="shared" si="301"/>
        <v xml:space="preserve"> </v>
      </c>
      <c r="BH110" s="269" t="str">
        <f t="shared" si="301"/>
        <v xml:space="preserve"> </v>
      </c>
      <c r="BI110" s="269" t="str">
        <f t="shared" si="302"/>
        <v xml:space="preserve"> </v>
      </c>
      <c r="BJ110" s="269" t="str">
        <f t="shared" si="303"/>
        <v xml:space="preserve"> </v>
      </c>
      <c r="BK110" s="269" t="str">
        <f t="shared" si="304"/>
        <v xml:space="preserve"> </v>
      </c>
      <c r="BL110" s="229">
        <f>SUM(BC100:BK111)</f>
        <v>0</v>
      </c>
      <c r="BM110" s="220" t="str">
        <f>IF($A110="N/A"," ",(IF(MONTH(A110)&gt;=4,IF(MONTH(A110)&lt;=10,Inputs!$F$13-Inputs!$G$13,Inputs!$F$14-Inputs!$G$14),Inputs!$F$14-Inputs!$G$14))*$CK110*Availability)</f>
        <v xml:space="preserve"> </v>
      </c>
      <c r="BN110" s="221" t="str">
        <f t="shared" si="238"/>
        <v xml:space="preserve"> </v>
      </c>
      <c r="BO110" s="221" t="str">
        <f t="shared" si="239"/>
        <v xml:space="preserve"> </v>
      </c>
      <c r="BP110" s="221" t="str">
        <f t="shared" si="240"/>
        <v xml:space="preserve"> </v>
      </c>
      <c r="BQ110" s="221" t="str">
        <f t="shared" si="241"/>
        <v xml:space="preserve"> </v>
      </c>
      <c r="BR110" s="221" t="str">
        <f t="shared" si="242"/>
        <v xml:space="preserve"> </v>
      </c>
      <c r="BS110" s="221" t="str">
        <f t="shared" si="243"/>
        <v xml:space="preserve"> </v>
      </c>
      <c r="BT110" s="221" t="str">
        <f t="shared" si="244"/>
        <v xml:space="preserve"> </v>
      </c>
      <c r="BU110" s="221" t="str">
        <f t="shared" si="245"/>
        <v xml:space="preserve"> </v>
      </c>
      <c r="BV110" s="221" t="str">
        <f t="shared" si="246"/>
        <v xml:space="preserve"> </v>
      </c>
      <c r="BW110" s="221" t="str">
        <f t="shared" si="247"/>
        <v xml:space="preserve"> </v>
      </c>
      <c r="BX110" s="421" t="str">
        <f t="shared" si="248"/>
        <v xml:space="preserve"> </v>
      </c>
      <c r="BY110" s="417" t="str">
        <f t="shared" si="249"/>
        <v xml:space="preserve"> </v>
      </c>
      <c r="BZ110" s="417" t="str">
        <f t="shared" si="250"/>
        <v xml:space="preserve"> </v>
      </c>
      <c r="CA110" s="422" t="str">
        <f t="shared" si="251"/>
        <v xml:space="preserve"> </v>
      </c>
      <c r="CB110" s="347" t="str">
        <f t="shared" si="195"/>
        <v xml:space="preserve"> </v>
      </c>
      <c r="CC110" s="347" t="str">
        <f t="shared" si="252"/>
        <v xml:space="preserve"> </v>
      </c>
      <c r="CD110" s="348" t="str">
        <f t="shared" si="196"/>
        <v xml:space="preserve"> </v>
      </c>
      <c r="CE110" s="347" t="str">
        <f t="shared" si="197"/>
        <v xml:space="preserve"> </v>
      </c>
      <c r="CF110" s="347" t="str">
        <f t="shared" si="198"/>
        <v xml:space="preserve"> </v>
      </c>
      <c r="CG110" s="348" t="str">
        <f t="shared" si="199"/>
        <v xml:space="preserve"> </v>
      </c>
      <c r="CH110" s="347" t="str">
        <f t="shared" si="253"/>
        <v xml:space="preserve"> </v>
      </c>
      <c r="CI110" s="349" t="str">
        <f>IF($A110="N/A"," ",F110+G110+(D110*('Pricing Inputs'!T143)))</f>
        <v xml:space="preserve"> </v>
      </c>
      <c r="CJ110" s="347" t="str">
        <f>IF($A110="N/A"," ",IF(PV=1,0,'Pricing Inputs'!U143))</f>
        <v xml:space="preserve"> </v>
      </c>
      <c r="CK110" s="350" t="str">
        <f t="shared" si="200"/>
        <v xml:space="preserve"> </v>
      </c>
      <c r="CL110" s="365" t="str">
        <f t="shared" si="201"/>
        <v xml:space="preserve"> </v>
      </c>
      <c r="CM110" s="380" t="str">
        <f t="shared" si="254"/>
        <v xml:space="preserve"> </v>
      </c>
      <c r="CN110" s="378" t="str">
        <f t="shared" si="202"/>
        <v xml:space="preserve"> </v>
      </c>
      <c r="CO110" s="378" t="str">
        <f t="shared" si="203"/>
        <v xml:space="preserve"> </v>
      </c>
      <c r="CP110" s="378" t="str">
        <f t="shared" si="204"/>
        <v xml:space="preserve"> </v>
      </c>
      <c r="CQ110" s="378" t="str">
        <f t="shared" si="205"/>
        <v xml:space="preserve"> </v>
      </c>
      <c r="CR110" s="378" t="str">
        <f t="shared" si="206"/>
        <v xml:space="preserve"> </v>
      </c>
      <c r="CS110" s="378" t="str">
        <f t="shared" si="207"/>
        <v xml:space="preserve"> </v>
      </c>
      <c r="CT110" s="378" t="str">
        <f t="shared" si="208"/>
        <v xml:space="preserve"> </v>
      </c>
      <c r="CU110" s="378" t="str">
        <f t="shared" si="209"/>
        <v xml:space="preserve"> </v>
      </c>
      <c r="CV110" s="378" t="str">
        <f t="shared" si="210"/>
        <v xml:space="preserve"> </v>
      </c>
      <c r="CW110" s="254" t="str">
        <f t="shared" si="211"/>
        <v xml:space="preserve"> </v>
      </c>
      <c r="CX110" s="254" t="str">
        <f t="shared" si="212"/>
        <v xml:space="preserve"> </v>
      </c>
      <c r="CY110" s="254" t="str">
        <f t="shared" si="213"/>
        <v xml:space="preserve"> </v>
      </c>
      <c r="CZ110" s="254" t="str">
        <f t="shared" si="214"/>
        <v xml:space="preserve"> </v>
      </c>
      <c r="DA110" s="254" t="str">
        <f t="shared" si="215"/>
        <v xml:space="preserve"> </v>
      </c>
      <c r="DB110" s="254" t="str">
        <f t="shared" si="216"/>
        <v xml:space="preserve"> </v>
      </c>
      <c r="DC110" s="254" t="str">
        <f t="shared" si="217"/>
        <v xml:space="preserve"> </v>
      </c>
      <c r="DD110" s="254" t="str">
        <f t="shared" si="218"/>
        <v xml:space="preserve"> </v>
      </c>
      <c r="DE110" s="254" t="str">
        <f t="shared" si="219"/>
        <v xml:space="preserve"> </v>
      </c>
      <c r="DF110" s="374" t="str">
        <f>IF($A110="N/A"," ",IF(CC=2,(IF(MONTH(A110)&gt;=4,IF(MONTH(A110)&lt;=10,Inputs!$G$13,Inputs!$G$14),Inputs!$G$14))*$CK110,0))</f>
        <v xml:space="preserve"> </v>
      </c>
      <c r="DG110" s="373" t="str">
        <f t="shared" si="220"/>
        <v xml:space="preserve"> </v>
      </c>
      <c r="DH110" s="373" t="str">
        <f t="shared" si="221"/>
        <v xml:space="preserve"> </v>
      </c>
      <c r="DI110" s="373" t="str">
        <f t="shared" si="222"/>
        <v xml:space="preserve"> </v>
      </c>
      <c r="DJ110" s="373" t="str">
        <f t="shared" si="223"/>
        <v xml:space="preserve"> </v>
      </c>
      <c r="DK110" s="373" t="str">
        <f t="shared" si="224"/>
        <v xml:space="preserve"> </v>
      </c>
      <c r="DL110" s="373" t="str">
        <f t="shared" si="225"/>
        <v xml:space="preserve"> </v>
      </c>
      <c r="DM110" s="373" t="str">
        <f t="shared" si="226"/>
        <v xml:space="preserve"> </v>
      </c>
      <c r="DN110" s="373" t="str">
        <f t="shared" si="227"/>
        <v xml:space="preserve"> </v>
      </c>
      <c r="DO110" s="373" t="str">
        <f t="shared" si="228"/>
        <v xml:space="preserve"> </v>
      </c>
      <c r="DP110" s="375" t="str">
        <f t="shared" si="229"/>
        <v xml:space="preserve"> </v>
      </c>
      <c r="DQ110" t="str">
        <f t="shared" si="255"/>
        <v xml:space="preserve"> </v>
      </c>
      <c r="HD110" t="str">
        <f t="shared" si="256"/>
        <v xml:space="preserve"> </v>
      </c>
      <c r="HE110" t="str">
        <f t="shared" si="257"/>
        <v xml:space="preserve"> </v>
      </c>
      <c r="HF110" t="str">
        <f t="shared" si="258"/>
        <v xml:space="preserve"> </v>
      </c>
    </row>
    <row r="111" spans="1:214">
      <c r="A111" s="415" t="str">
        <f>IF(A110="N/A","N/A",IF(EDATE(A110,1)&gt;Inputs!$K$3,"N/A",EDATE(A110,1)))</f>
        <v>N/A</v>
      </c>
      <c r="B111" s="410" t="str">
        <f t="shared" si="230"/>
        <v xml:space="preserve"> </v>
      </c>
      <c r="C111" s="411" t="str">
        <f t="shared" si="231"/>
        <v xml:space="preserve"> </v>
      </c>
      <c r="D111" s="412" t="str">
        <f t="shared" si="232"/>
        <v xml:space="preserve"> </v>
      </c>
      <c r="E111" s="413" t="str">
        <f>IF($A111="N/A"," ",(C111-'Pricing Inputs'!T144)*D111)</f>
        <v xml:space="preserve"> </v>
      </c>
      <c r="F111" s="414" t="str">
        <f t="shared" si="281"/>
        <v xml:space="preserve"> </v>
      </c>
      <c r="G111" s="414" t="str">
        <f t="shared" si="233"/>
        <v xml:space="preserve"> </v>
      </c>
      <c r="H111" s="416" t="str">
        <f t="shared" si="234"/>
        <v xml:space="preserve"> </v>
      </c>
      <c r="I111" s="213" t="str">
        <f t="shared" si="183"/>
        <v xml:space="preserve"> </v>
      </c>
      <c r="J111" s="213" t="str">
        <f t="shared" si="184"/>
        <v xml:space="preserve"> </v>
      </c>
      <c r="K111" s="213" t="str">
        <f t="shared" si="185"/>
        <v xml:space="preserve"> </v>
      </c>
      <c r="L111" s="213" t="str">
        <f t="shared" si="186"/>
        <v xml:space="preserve"> </v>
      </c>
      <c r="M111" s="213" t="str">
        <f t="shared" si="187"/>
        <v xml:space="preserve"> </v>
      </c>
      <c r="N111" s="213" t="str">
        <f t="shared" si="188"/>
        <v xml:space="preserve"> </v>
      </c>
      <c r="O111" s="213" t="str">
        <f t="shared" si="189"/>
        <v xml:space="preserve"> </v>
      </c>
      <c r="P111" s="213" t="str">
        <f t="shared" si="190"/>
        <v xml:space="preserve"> </v>
      </c>
      <c r="Q111" s="213" t="str">
        <f t="shared" si="191"/>
        <v xml:space="preserve"> </v>
      </c>
      <c r="R111" s="405" t="str">
        <f>IF($A111="N/A"," ",IF(Pricetype=2,MAX(I111-$H111,0),IF(Pricetype=1,(_xll.xSPRDOPT(I111,$E111,$CI111,0,($CD111+IF(Smile=TRUE,VLOOKUP(MAX(-5,$H111-I111),Volsmile,2),0)),$CG111,$CH111,($A111-DateToday)+15,1,0)),I111-$H111)))</f>
        <v xml:space="preserve"> </v>
      </c>
      <c r="S111" s="405" t="str">
        <f>IF($A111="N/A"," ",IF(Pricetype=2,MAX(J111-$H111,0),IF(Pricetype=1,(_xll.xSPRDOPT(J111,$E111,$CI111,0,($CD111+IF(Smile=TRUE,VLOOKUP(MAX(-5,$H111-J111),Volsmile,2),0)),$CG111,$CH111,($A111-DateToday)+15,1,0)),J111-$H111)))</f>
        <v xml:space="preserve"> </v>
      </c>
      <c r="T111" s="406" t="str">
        <f t="shared" si="192"/>
        <v xml:space="preserve"> </v>
      </c>
      <c r="U111" s="405" t="str">
        <f>IF($A111="N/A"," ",IF(Pricetype=2,MAX(L111-$H111,0),IF(L111&lt;&gt;0,IF(Pricetype=1,(_xll.xSPRDOPT(L111,$E111,$CI111,0,($CD111+IF(Smile=TRUE,VLOOKUP(MAX(-5,$H111-L111),Volsmile,2),0)),$CG111,$CH111,($A111-DateToday)+15,1,0)),L111-$H111),0)))</f>
        <v xml:space="preserve"> </v>
      </c>
      <c r="V111" s="405" t="str">
        <f>IF($A111="N/A"," ",IF(Pricetype=2,MAX(M111-$H111,0),IF(M111&lt;&gt;0,IF(Pricetype=1,(_xll.xSPRDOPT(M111,$E111,$CI111,0,($CD111+IF(Smile=TRUE,VLOOKUP(MAX(-5,$H111-M111),Volsmile,2),0)),$CG111,$CH111,($A111-DateToday)+15,1,0)),M111-$H111),0)))</f>
        <v xml:space="preserve"> </v>
      </c>
      <c r="W111" s="406" t="str">
        <f t="shared" si="193"/>
        <v xml:space="preserve"> </v>
      </c>
      <c r="X111" s="405" t="str">
        <f>IF($A111="N/A"," ",IF(Pricetype=2,MAX(O111-$H111,0),IF(O111&lt;&gt;0,IF(Pricetype=1,(_xll.xSPRDOPT(O111,$E111,$CI111,0,($CD111+IF(Smile=TRUE,VLOOKUP(MAX(-5,$H111-O111),Volsmile,2),0)),$CG111,$CH111,($A111-DateToday)+15,1,0)),O111-$H111),0)))</f>
        <v xml:space="preserve"> </v>
      </c>
      <c r="Y111" s="405" t="str">
        <f>IF($A111="N/A"," ",IF(Pricetype=2,MAX(P111-$H111,0),IF(P111&lt;&gt;0,IF(Pricetype=1,(_xll.xSPRDOPT(P111,$E111,$CI111,0,($CD111+IF(Smile=TRUE,VLOOKUP(MAX(-5,$H111-P111),Volsmile,2),0)),$CG111,$CH111,($A111-DateToday)+15,1,0)),P111-$H111),0)))</f>
        <v xml:space="preserve"> </v>
      </c>
      <c r="Z111" s="406" t="str">
        <f t="shared" si="194"/>
        <v xml:space="preserve"> </v>
      </c>
      <c r="AA111" s="254" t="str">
        <f>IF($A111="N/A"," ",IF(VLOOKUP(MONTH(A111),ManualTable,2)=1,(IF(0&lt;&gt;R111,IF(Pricetype=1,(_xll.xSPRDOPT(I111,$E111,$CI111,0,($CD111+IF(Smile=TRUE,VLOOKUP(MAX(-5,$H111-I111),Volsmile,2),0)),$CG111,$CH111,($A111-DateToday)+15,1,1))*(8*$HD111),8*$HD111),0)),0))</f>
        <v xml:space="preserve"> </v>
      </c>
      <c r="AB111" s="254" t="str">
        <f>IF($A111="N/A"," ",IF(VLOOKUP(MONTH(A111),ManualTable,3)=1,(IF(S111&lt;&gt;0,IF(Pricetype=1,(_xll.xSPRDOPT(J111,$E111,$CI111,0,($CD111+IF(Smile=TRUE,VLOOKUP(MAX(-5,$H111-J111),Volsmile,2),0)),$CG111,$CH111,($A111-DateToday)+15,1,1))*(8*$HD111),8*$HD111),0)),0))</f>
        <v xml:space="preserve"> </v>
      </c>
      <c r="AC111" s="254" t="str">
        <f t="shared" si="235"/>
        <v xml:space="preserve"> </v>
      </c>
      <c r="AD111" s="254" t="str">
        <f>IF($A111="N/A"," ",IF(VLOOKUP(MONTH(A111),ManualTable,5)=1,(IF(U111&lt;&gt;0,IF(Pricetype=1,(_xll.xSPRDOPT(L111,$E111,$CI111,0,($CD111+IF(Smile=TRUE,VLOOKUP(MAX(-5,$H111-L111),Volsmile,2),0)),$CG111,$CH111,($A111-DateToday)+15,1,1))*(8*$HE111),8*$HE111),0)),0))</f>
        <v xml:space="preserve"> </v>
      </c>
      <c r="AE111" s="254" t="str">
        <f>IF($A111="N/A"," ",IF(VLOOKUP(MONTH(A111),ManualTable,6)=1,(IF(V111&lt;&gt;0,IF(Pricetype=1,(_xll.xSPRDOPT(M111,$E111,$CI111,0,($CD111+IF(Smile=TRUE,VLOOKUP(MAX(-5,$H111-M111),Volsmile,2),0)),$CG111,$CH111,($A111-DateToday)+15,1,1))*(8*$HE111),8*$HE111),0)),0))</f>
        <v xml:space="preserve"> </v>
      </c>
      <c r="AF111" s="254" t="str">
        <f t="shared" si="236"/>
        <v xml:space="preserve"> </v>
      </c>
      <c r="AG111" s="254" t="str">
        <f>IF($A111="N/A"," ",IF(VLOOKUP(MONTH(A111),ManualTable,8)=1,(IF(X111&lt;&gt;0,IF(Pricetype=1,(_xll.xSPRDOPT(O111,$E111,$CI111,0,($CD111+IF(Smile=TRUE,VLOOKUP(MAX(-5,$H111-O111),Volsmile,2),0)),$CG111,$CH111,($A111-DateToday)+15,1,1))*(8*$HF111),8*$HF111),0)),0))</f>
        <v xml:space="preserve"> </v>
      </c>
      <c r="AH111" s="254" t="str">
        <f>IF($A111="N/A"," ",IF(VLOOKUP(MONTH(A111),ManualTable,9)=1,(IF(Y111&lt;&gt;0,IF(Pricetype=1,(_xll.xSPRDOPT(P111,$E111,$CI111,0,($CD111+IF(Smile=TRUE,VLOOKUP(MAX(-5,$H111-P111),Volsmile,2),0)),$CG111,$CH111,($A111-DateToday)+15,1,1))*(8*$HF111),8*$HF111),0)),0))</f>
        <v xml:space="preserve"> </v>
      </c>
      <c r="AI111" s="254" t="str">
        <f t="shared" si="237"/>
        <v xml:space="preserve"> </v>
      </c>
      <c r="AJ111" s="230" t="str">
        <f t="shared" si="305"/>
        <v xml:space="preserve"> </v>
      </c>
      <c r="AK111" s="231" t="str">
        <f t="shared" si="306"/>
        <v xml:space="preserve"> </v>
      </c>
      <c r="AL111" s="231" t="str">
        <f t="shared" si="306"/>
        <v xml:space="preserve"> </v>
      </c>
      <c r="AM111" s="231" t="str">
        <f t="shared" si="307"/>
        <v xml:space="preserve"> </v>
      </c>
      <c r="AN111" s="231" t="str">
        <f t="shared" si="308"/>
        <v xml:space="preserve"> </v>
      </c>
      <c r="AO111" s="231" t="str">
        <f t="shared" si="308"/>
        <v xml:space="preserve"> </v>
      </c>
      <c r="AP111" s="231" t="str">
        <f t="shared" si="309"/>
        <v xml:space="preserve"> </v>
      </c>
      <c r="AQ111" s="231" t="str">
        <f t="shared" si="310"/>
        <v xml:space="preserve"> </v>
      </c>
      <c r="AR111" s="232" t="str">
        <f t="shared" si="311"/>
        <v xml:space="preserve"> </v>
      </c>
      <c r="AS111" s="264" t="str">
        <f t="shared" si="274"/>
        <v xml:space="preserve"> </v>
      </c>
      <c r="AT111" s="265" t="str">
        <f t="shared" si="275"/>
        <v xml:space="preserve"> </v>
      </c>
      <c r="AU111" s="265" t="str">
        <f t="shared" si="275"/>
        <v xml:space="preserve"> </v>
      </c>
      <c r="AV111" s="265" t="str">
        <f t="shared" si="276"/>
        <v xml:space="preserve"> </v>
      </c>
      <c r="AW111" s="265" t="str">
        <f t="shared" si="277"/>
        <v xml:space="preserve"> </v>
      </c>
      <c r="AX111" s="265" t="str">
        <f t="shared" si="277"/>
        <v xml:space="preserve"> </v>
      </c>
      <c r="AY111" s="265" t="str">
        <f t="shared" si="278"/>
        <v xml:space="preserve"> </v>
      </c>
      <c r="AZ111" s="265" t="str">
        <f t="shared" si="279"/>
        <v xml:space="preserve"> </v>
      </c>
      <c r="BA111" s="265" t="str">
        <f t="shared" si="280"/>
        <v xml:space="preserve"> </v>
      </c>
      <c r="BB111" s="232">
        <f>IF(($AZ$2-BB110)&gt;=0,$AZ$2-BB110,0)</f>
        <v>980</v>
      </c>
      <c r="BC111" s="270" t="str">
        <f t="shared" si="298"/>
        <v xml:space="preserve"> </v>
      </c>
      <c r="BD111" s="271" t="str">
        <f t="shared" si="299"/>
        <v xml:space="preserve"> </v>
      </c>
      <c r="BE111" s="269" t="str">
        <f t="shared" si="299"/>
        <v xml:space="preserve"> </v>
      </c>
      <c r="BF111" s="271" t="str">
        <f t="shared" si="300"/>
        <v xml:space="preserve"> </v>
      </c>
      <c r="BG111" s="271" t="str">
        <f t="shared" si="301"/>
        <v xml:space="preserve"> </v>
      </c>
      <c r="BH111" s="269" t="str">
        <f t="shared" si="301"/>
        <v xml:space="preserve"> </v>
      </c>
      <c r="BI111" s="271" t="str">
        <f t="shared" si="302"/>
        <v xml:space="preserve"> </v>
      </c>
      <c r="BJ111" s="271" t="str">
        <f t="shared" si="303"/>
        <v xml:space="preserve"> </v>
      </c>
      <c r="BK111" s="271" t="str">
        <f t="shared" si="304"/>
        <v xml:space="preserve"> </v>
      </c>
      <c r="BL111" s="235">
        <f>BB110+BL110</f>
        <v>0</v>
      </c>
      <c r="BM111" s="220" t="str">
        <f>IF($A111="N/A"," ",(IF(MONTH(A111)&gt;=4,IF(MONTH(A111)&lt;=10,Inputs!$F$13-Inputs!$G$13,Inputs!$F$14-Inputs!$G$14),Inputs!$F$14-Inputs!$G$14))*$CK111*Availability)</f>
        <v xml:space="preserve"> </v>
      </c>
      <c r="BN111" s="221" t="str">
        <f t="shared" si="238"/>
        <v xml:space="preserve"> </v>
      </c>
      <c r="BO111" s="221" t="str">
        <f t="shared" si="239"/>
        <v xml:space="preserve"> </v>
      </c>
      <c r="BP111" s="221" t="str">
        <f t="shared" si="240"/>
        <v xml:space="preserve"> </v>
      </c>
      <c r="BQ111" s="221" t="str">
        <f t="shared" si="241"/>
        <v xml:space="preserve"> </v>
      </c>
      <c r="BR111" s="221" t="str">
        <f t="shared" si="242"/>
        <v xml:space="preserve"> </v>
      </c>
      <c r="BS111" s="221" t="str">
        <f t="shared" si="243"/>
        <v xml:space="preserve"> </v>
      </c>
      <c r="BT111" s="221" t="str">
        <f t="shared" si="244"/>
        <v xml:space="preserve"> </v>
      </c>
      <c r="BU111" s="221" t="str">
        <f t="shared" si="245"/>
        <v xml:space="preserve"> </v>
      </c>
      <c r="BV111" s="221" t="str">
        <f t="shared" si="246"/>
        <v xml:space="preserve"> </v>
      </c>
      <c r="BW111" s="221" t="str">
        <f t="shared" si="247"/>
        <v xml:space="preserve"> </v>
      </c>
      <c r="BX111" s="421" t="str">
        <f t="shared" si="248"/>
        <v xml:space="preserve"> </v>
      </c>
      <c r="BY111" s="417" t="str">
        <f t="shared" si="249"/>
        <v xml:space="preserve"> </v>
      </c>
      <c r="BZ111" s="417" t="str">
        <f t="shared" si="250"/>
        <v xml:space="preserve"> </v>
      </c>
      <c r="CA111" s="422" t="str">
        <f t="shared" si="251"/>
        <v xml:space="preserve"> </v>
      </c>
      <c r="CB111" s="347" t="str">
        <f t="shared" si="195"/>
        <v xml:space="preserve"> </v>
      </c>
      <c r="CC111" s="347" t="str">
        <f t="shared" si="252"/>
        <v xml:space="preserve"> </v>
      </c>
      <c r="CD111" s="348" t="str">
        <f t="shared" si="196"/>
        <v xml:space="preserve"> </v>
      </c>
      <c r="CE111" s="347" t="str">
        <f t="shared" si="197"/>
        <v xml:space="preserve"> </v>
      </c>
      <c r="CF111" s="347" t="str">
        <f t="shared" si="198"/>
        <v xml:space="preserve"> </v>
      </c>
      <c r="CG111" s="348" t="str">
        <f t="shared" si="199"/>
        <v xml:space="preserve"> </v>
      </c>
      <c r="CH111" s="347" t="str">
        <f t="shared" si="253"/>
        <v xml:space="preserve"> </v>
      </c>
      <c r="CI111" s="349" t="str">
        <f>IF($A111="N/A"," ",F111+G111+(D111*('Pricing Inputs'!T144)))</f>
        <v xml:space="preserve"> </v>
      </c>
      <c r="CJ111" s="347" t="str">
        <f>IF($A111="N/A"," ",IF(PV=1,0,'Pricing Inputs'!U144))</f>
        <v xml:space="preserve"> </v>
      </c>
      <c r="CK111" s="350" t="str">
        <f t="shared" si="200"/>
        <v xml:space="preserve"> </v>
      </c>
      <c r="CL111" s="365" t="str">
        <f t="shared" si="201"/>
        <v xml:space="preserve"> </v>
      </c>
      <c r="CM111" s="380" t="str">
        <f t="shared" si="254"/>
        <v xml:space="preserve"> </v>
      </c>
      <c r="CN111" s="378" t="str">
        <f t="shared" si="202"/>
        <v xml:space="preserve"> </v>
      </c>
      <c r="CO111" s="378" t="str">
        <f t="shared" si="203"/>
        <v xml:space="preserve"> </v>
      </c>
      <c r="CP111" s="378" t="str">
        <f t="shared" si="204"/>
        <v xml:space="preserve"> </v>
      </c>
      <c r="CQ111" s="378" t="str">
        <f t="shared" si="205"/>
        <v xml:space="preserve"> </v>
      </c>
      <c r="CR111" s="378" t="str">
        <f t="shared" si="206"/>
        <v xml:space="preserve"> </v>
      </c>
      <c r="CS111" s="378" t="str">
        <f t="shared" si="207"/>
        <v xml:space="preserve"> </v>
      </c>
      <c r="CT111" s="378" t="str">
        <f t="shared" si="208"/>
        <v xml:space="preserve"> </v>
      </c>
      <c r="CU111" s="378" t="str">
        <f t="shared" si="209"/>
        <v xml:space="preserve"> </v>
      </c>
      <c r="CV111" s="378" t="str">
        <f t="shared" si="210"/>
        <v xml:space="preserve"> </v>
      </c>
      <c r="CW111" s="254" t="str">
        <f t="shared" si="211"/>
        <v xml:space="preserve"> </v>
      </c>
      <c r="CX111" s="254" t="str">
        <f t="shared" si="212"/>
        <v xml:space="preserve"> </v>
      </c>
      <c r="CY111" s="254" t="str">
        <f t="shared" si="213"/>
        <v xml:space="preserve"> </v>
      </c>
      <c r="CZ111" s="254" t="str">
        <f t="shared" si="214"/>
        <v xml:space="preserve"> </v>
      </c>
      <c r="DA111" s="254" t="str">
        <f t="shared" si="215"/>
        <v xml:space="preserve"> </v>
      </c>
      <c r="DB111" s="254" t="str">
        <f t="shared" si="216"/>
        <v xml:space="preserve"> </v>
      </c>
      <c r="DC111" s="254" t="str">
        <f t="shared" si="217"/>
        <v xml:space="preserve"> </v>
      </c>
      <c r="DD111" s="254" t="str">
        <f t="shared" si="218"/>
        <v xml:space="preserve"> </v>
      </c>
      <c r="DE111" s="254" t="str">
        <f t="shared" si="219"/>
        <v xml:space="preserve"> </v>
      </c>
      <c r="DF111" s="374" t="str">
        <f>IF($A111="N/A"," ",IF(CC=2,(IF(MONTH(A111)&gt;=4,IF(MONTH(A111)&lt;=10,Inputs!$G$13,Inputs!$G$14),Inputs!$G$14))*$CK111,0))</f>
        <v xml:space="preserve"> </v>
      </c>
      <c r="DG111" s="373" t="str">
        <f t="shared" si="220"/>
        <v xml:space="preserve"> </v>
      </c>
      <c r="DH111" s="373" t="str">
        <f t="shared" si="221"/>
        <v xml:space="preserve"> </v>
      </c>
      <c r="DI111" s="373" t="str">
        <f t="shared" si="222"/>
        <v xml:space="preserve"> </v>
      </c>
      <c r="DJ111" s="373" t="str">
        <f t="shared" si="223"/>
        <v xml:space="preserve"> </v>
      </c>
      <c r="DK111" s="373" t="str">
        <f t="shared" si="224"/>
        <v xml:space="preserve"> </v>
      </c>
      <c r="DL111" s="373" t="str">
        <f t="shared" si="225"/>
        <v xml:space="preserve"> </v>
      </c>
      <c r="DM111" s="373" t="str">
        <f t="shared" si="226"/>
        <v xml:space="preserve"> </v>
      </c>
      <c r="DN111" s="373" t="str">
        <f t="shared" si="227"/>
        <v xml:space="preserve"> </v>
      </c>
      <c r="DO111" s="373" t="str">
        <f t="shared" si="228"/>
        <v xml:space="preserve"> </v>
      </c>
      <c r="DP111" s="375" t="str">
        <f t="shared" si="229"/>
        <v xml:space="preserve"> </v>
      </c>
      <c r="DQ111" t="str">
        <f t="shared" si="255"/>
        <v xml:space="preserve"> </v>
      </c>
      <c r="HD111" t="str">
        <f t="shared" si="256"/>
        <v xml:space="preserve"> </v>
      </c>
      <c r="HE111" t="str">
        <f t="shared" si="257"/>
        <v xml:space="preserve"> </v>
      </c>
      <c r="HF111" t="str">
        <f t="shared" si="258"/>
        <v xml:space="preserve"> </v>
      </c>
    </row>
    <row r="112" spans="1:214">
      <c r="A112" s="415" t="str">
        <f>IF(A111="N/A","N/A",IF(EDATE(A111,1)&gt;Inputs!$K$3,"N/A",EDATE(A111,1)))</f>
        <v>N/A</v>
      </c>
      <c r="B112" s="410" t="str">
        <f t="shared" si="230"/>
        <v xml:space="preserve"> </v>
      </c>
      <c r="C112" s="411" t="str">
        <f t="shared" si="231"/>
        <v xml:space="preserve"> </v>
      </c>
      <c r="D112" s="412" t="str">
        <f t="shared" si="232"/>
        <v xml:space="preserve"> </v>
      </c>
      <c r="E112" s="413" t="str">
        <f>IF($A112="N/A"," ",(C112-'Pricing Inputs'!T145)*D112)</f>
        <v xml:space="preserve"> </v>
      </c>
      <c r="F112" s="414" t="str">
        <f t="shared" si="281"/>
        <v xml:space="preserve"> </v>
      </c>
      <c r="G112" s="414" t="str">
        <f t="shared" si="233"/>
        <v xml:space="preserve"> </v>
      </c>
      <c r="H112" s="416" t="str">
        <f t="shared" si="234"/>
        <v xml:space="preserve"> </v>
      </c>
      <c r="I112" s="213" t="str">
        <f t="shared" si="183"/>
        <v xml:space="preserve"> </v>
      </c>
      <c r="J112" s="213" t="str">
        <f t="shared" si="184"/>
        <v xml:space="preserve"> </v>
      </c>
      <c r="K112" s="213" t="str">
        <f t="shared" si="185"/>
        <v xml:space="preserve"> </v>
      </c>
      <c r="L112" s="213" t="str">
        <f t="shared" si="186"/>
        <v xml:space="preserve"> </v>
      </c>
      <c r="M112" s="213" t="str">
        <f t="shared" si="187"/>
        <v xml:space="preserve"> </v>
      </c>
      <c r="N112" s="213" t="str">
        <f t="shared" si="188"/>
        <v xml:space="preserve"> </v>
      </c>
      <c r="O112" s="213" t="str">
        <f t="shared" si="189"/>
        <v xml:space="preserve"> </v>
      </c>
      <c r="P112" s="213" t="str">
        <f t="shared" si="190"/>
        <v xml:space="preserve"> </v>
      </c>
      <c r="Q112" s="213" t="str">
        <f t="shared" si="191"/>
        <v xml:space="preserve"> </v>
      </c>
      <c r="R112" s="405" t="str">
        <f>IF($A112="N/A"," ",IF(Pricetype=2,MAX(I112-$H112,0),IF(Pricetype=1,(_xll.xSPRDOPT(I112,$E112,$CI112,0,($CD112+IF(Smile=TRUE,VLOOKUP(MAX(-5,$H112-I112),Volsmile,2),0)),$CG112,$CH112,($A112-DateToday)+15,1,0)),I112-$H112)))</f>
        <v xml:space="preserve"> </v>
      </c>
      <c r="S112" s="405" t="str">
        <f>IF($A112="N/A"," ",IF(Pricetype=2,MAX(J112-$H112,0),IF(Pricetype=1,(_xll.xSPRDOPT(J112,$E112,$CI112,0,($CD112+IF(Smile=TRUE,VLOOKUP(MAX(-5,$H112-J112),Volsmile,2),0)),$CG112,$CH112,($A112-DateToday)+15,1,0)),J112-$H112)))</f>
        <v xml:space="preserve"> </v>
      </c>
      <c r="T112" s="406" t="str">
        <f t="shared" si="192"/>
        <v xml:space="preserve"> </v>
      </c>
      <c r="U112" s="405" t="str">
        <f>IF($A112="N/A"," ",IF(Pricetype=2,MAX(L112-$H112,0),IF(L112&lt;&gt;0,IF(Pricetype=1,(_xll.xSPRDOPT(L112,$E112,$CI112,0,($CD112+IF(Smile=TRUE,VLOOKUP(MAX(-5,$H112-L112),Volsmile,2),0)),$CG112,$CH112,($A112-DateToday)+15,1,0)),L112-$H112),0)))</f>
        <v xml:space="preserve"> </v>
      </c>
      <c r="V112" s="405" t="str">
        <f>IF($A112="N/A"," ",IF(Pricetype=2,MAX(M112-$H112,0),IF(M112&lt;&gt;0,IF(Pricetype=1,(_xll.xSPRDOPT(M112,$E112,$CI112,0,($CD112+IF(Smile=TRUE,VLOOKUP(MAX(-5,$H112-M112),Volsmile,2),0)),$CG112,$CH112,($A112-DateToday)+15,1,0)),M112-$H112),0)))</f>
        <v xml:space="preserve"> </v>
      </c>
      <c r="W112" s="406" t="str">
        <f t="shared" si="193"/>
        <v xml:space="preserve"> </v>
      </c>
      <c r="X112" s="405" t="str">
        <f>IF($A112="N/A"," ",IF(Pricetype=2,MAX(O112-$H112,0),IF(O112&lt;&gt;0,IF(Pricetype=1,(_xll.xSPRDOPT(O112,$E112,$CI112,0,($CD112+IF(Smile=TRUE,VLOOKUP(MAX(-5,$H112-O112),Volsmile,2),0)),$CG112,$CH112,($A112-DateToday)+15,1,0)),O112-$H112),0)))</f>
        <v xml:space="preserve"> </v>
      </c>
      <c r="Y112" s="405" t="str">
        <f>IF($A112="N/A"," ",IF(Pricetype=2,MAX(P112-$H112,0),IF(P112&lt;&gt;0,IF(Pricetype=1,(_xll.xSPRDOPT(P112,$E112,$CI112,0,($CD112+IF(Smile=TRUE,VLOOKUP(MAX(-5,$H112-P112),Volsmile,2),0)),$CG112,$CH112,($A112-DateToday)+15,1,0)),P112-$H112),0)))</f>
        <v xml:space="preserve"> </v>
      </c>
      <c r="Z112" s="406" t="str">
        <f t="shared" si="194"/>
        <v xml:space="preserve"> </v>
      </c>
      <c r="AA112" s="254" t="str">
        <f>IF($A112="N/A"," ",IF(VLOOKUP(MONTH(A112),ManualTable,2)=1,(IF(0&lt;&gt;R112,IF(Pricetype=1,(_xll.xSPRDOPT(I112,$E112,$CI112,0,($CD112+IF(Smile=TRUE,VLOOKUP(MAX(-5,$H112-I112),Volsmile,2),0)),$CG112,$CH112,($A112-DateToday)+15,1,1))*(8*$HD112),8*$HD112),0)),0))</f>
        <v xml:space="preserve"> </v>
      </c>
      <c r="AB112" s="254" t="str">
        <f>IF($A112="N/A"," ",IF(VLOOKUP(MONTH(A112),ManualTable,3)=1,(IF(S112&lt;&gt;0,IF(Pricetype=1,(_xll.xSPRDOPT(J112,$E112,$CI112,0,($CD112+IF(Smile=TRUE,VLOOKUP(MAX(-5,$H112-J112),Volsmile,2),0)),$CG112,$CH112,($A112-DateToday)+15,1,1))*(8*$HD112),8*$HD112),0)),0))</f>
        <v xml:space="preserve"> </v>
      </c>
      <c r="AC112" s="254" t="str">
        <f t="shared" si="235"/>
        <v xml:space="preserve"> </v>
      </c>
      <c r="AD112" s="254" t="str">
        <f>IF($A112="N/A"," ",IF(VLOOKUP(MONTH(A112),ManualTable,5)=1,(IF(U112&lt;&gt;0,IF(Pricetype=1,(_xll.xSPRDOPT(L112,$E112,$CI112,0,($CD112+IF(Smile=TRUE,VLOOKUP(MAX(-5,$H112-L112),Volsmile,2),0)),$CG112,$CH112,($A112-DateToday)+15,1,1))*(8*$HE112),8*$HE112),0)),0))</f>
        <v xml:space="preserve"> </v>
      </c>
      <c r="AE112" s="254" t="str">
        <f>IF($A112="N/A"," ",IF(VLOOKUP(MONTH(A112),ManualTable,6)=1,(IF(V112&lt;&gt;0,IF(Pricetype=1,(_xll.xSPRDOPT(M112,$E112,$CI112,0,($CD112+IF(Smile=TRUE,VLOOKUP(MAX(-5,$H112-M112),Volsmile,2),0)),$CG112,$CH112,($A112-DateToday)+15,1,1))*(8*$HE112),8*$HE112),0)),0))</f>
        <v xml:space="preserve"> </v>
      </c>
      <c r="AF112" s="254" t="str">
        <f t="shared" si="236"/>
        <v xml:space="preserve"> </v>
      </c>
      <c r="AG112" s="254" t="str">
        <f>IF($A112="N/A"," ",IF(VLOOKUP(MONTH(A112),ManualTable,8)=1,(IF(X112&lt;&gt;0,IF(Pricetype=1,(_xll.xSPRDOPT(O112,$E112,$CI112,0,($CD112+IF(Smile=TRUE,VLOOKUP(MAX(-5,$H112-O112),Volsmile,2),0)),$CG112,$CH112,($A112-DateToday)+15,1,1))*(8*$HF112),8*$HF112),0)),0))</f>
        <v xml:space="preserve"> </v>
      </c>
      <c r="AH112" s="254" t="str">
        <f>IF($A112="N/A"," ",IF(VLOOKUP(MONTH(A112),ManualTable,9)=1,(IF(Y112&lt;&gt;0,IF(Pricetype=1,(_xll.xSPRDOPT(P112,$E112,$CI112,0,($CD112+IF(Smile=TRUE,VLOOKUP(MAX(-5,$H112-P112),Volsmile,2),0)),$CG112,$CH112,($A112-DateToday)+15,1,1))*(8*$HF112),8*$HF112),0)),0))</f>
        <v xml:space="preserve"> </v>
      </c>
      <c r="AI112" s="254" t="str">
        <f t="shared" si="237"/>
        <v xml:space="preserve"> </v>
      </c>
      <c r="AJ112" s="224" t="str">
        <f t="shared" ref="AJ112:AR112" si="312">IF($A112="N/A"," ",RANK(R112,$R$112:$Z$123))</f>
        <v xml:space="preserve"> </v>
      </c>
      <c r="AK112" s="225" t="str">
        <f t="shared" si="312"/>
        <v xml:space="preserve"> </v>
      </c>
      <c r="AL112" s="225" t="str">
        <f t="shared" si="312"/>
        <v xml:space="preserve"> </v>
      </c>
      <c r="AM112" s="225" t="str">
        <f t="shared" si="312"/>
        <v xml:space="preserve"> </v>
      </c>
      <c r="AN112" s="225" t="str">
        <f t="shared" si="312"/>
        <v xml:space="preserve"> </v>
      </c>
      <c r="AO112" s="225" t="str">
        <f t="shared" si="312"/>
        <v xml:space="preserve"> </v>
      </c>
      <c r="AP112" s="225" t="str">
        <f t="shared" si="312"/>
        <v xml:space="preserve"> </v>
      </c>
      <c r="AQ112" s="225" t="str">
        <f t="shared" si="312"/>
        <v xml:space="preserve"> </v>
      </c>
      <c r="AR112" s="226" t="str">
        <f t="shared" si="312"/>
        <v xml:space="preserve"> </v>
      </c>
      <c r="AS112" s="260" t="str">
        <f t="shared" si="274"/>
        <v xml:space="preserve"> </v>
      </c>
      <c r="AT112" s="261" t="str">
        <f t="shared" si="275"/>
        <v xml:space="preserve"> </v>
      </c>
      <c r="AU112" s="263" t="str">
        <f t="shared" si="275"/>
        <v xml:space="preserve"> </v>
      </c>
      <c r="AV112" s="263" t="str">
        <f t="shared" si="276"/>
        <v xml:space="preserve"> </v>
      </c>
      <c r="AW112" s="263" t="str">
        <f t="shared" si="277"/>
        <v xml:space="preserve"> </v>
      </c>
      <c r="AX112" s="263" t="str">
        <f t="shared" si="277"/>
        <v xml:space="preserve"> </v>
      </c>
      <c r="AY112" s="261" t="str">
        <f t="shared" si="278"/>
        <v xml:space="preserve"> </v>
      </c>
      <c r="AZ112" s="261" t="str">
        <f t="shared" si="279"/>
        <v xml:space="preserve"> </v>
      </c>
      <c r="BA112" s="261" t="str">
        <f t="shared" si="280"/>
        <v xml:space="preserve"> </v>
      </c>
      <c r="BB112" s="226"/>
      <c r="BC112" s="272" t="str">
        <f t="shared" ref="BC112:BC123" si="313">IF($A112="N/A"," ",IF(AND(AJ112=$AR$2+1,AS112=0),MIN($BB$123,AA112),0))</f>
        <v xml:space="preserve"> </v>
      </c>
      <c r="BD112" s="267" t="str">
        <f t="shared" ref="BD112:BE123" si="314">IF($A112="N/A"," ",IF(AND(AK112=$AR$2+1,AT112=0),MIN($BB$123,AB112),0))</f>
        <v xml:space="preserve"> </v>
      </c>
      <c r="BE112" s="267" t="str">
        <f t="shared" si="314"/>
        <v xml:space="preserve"> </v>
      </c>
      <c r="BF112" s="267" t="str">
        <f t="shared" ref="BF112:BF123" si="315">IF($A112="N/A"," ",IF(AND(AM112=$AR$2+1,AV112=0),MIN($BB$123,AD112),0))</f>
        <v xml:space="preserve"> </v>
      </c>
      <c r="BG112" s="267" t="str">
        <f t="shared" ref="BG112:BH123" si="316">IF($A112="N/A"," ",IF(AND(AN112=$AR$2+1,AW112=0),MIN($BB$123,AE112),0))</f>
        <v xml:space="preserve"> </v>
      </c>
      <c r="BH112" s="267" t="str">
        <f t="shared" si="316"/>
        <v xml:space="preserve"> </v>
      </c>
      <c r="BI112" s="267" t="str">
        <f t="shared" ref="BI112:BI123" si="317">IF($A112="N/A"," ",IF(AND(AP112=$AR$2+1,AY112=0),MIN($BB$123,AG112),0))</f>
        <v xml:space="preserve"> </v>
      </c>
      <c r="BJ112" s="267" t="str">
        <f t="shared" ref="BJ112:BJ123" si="318">IF($A112="N/A"," ",IF(AND(AQ112=$AR$2+1,AZ112=0),MIN($BB$123,AH112),0))</f>
        <v xml:space="preserve"> </v>
      </c>
      <c r="BK112" s="267" t="str">
        <f t="shared" ref="BK112:BK123" si="319">IF($A112="N/A"," ",IF(AND(AR112=$AR$2+1,BA112=0),MIN($BB$123,AI112),0))</f>
        <v xml:space="preserve"> </v>
      </c>
      <c r="BL112" s="226"/>
      <c r="BM112" s="220" t="str">
        <f>IF($A112="N/A"," ",(IF(MONTH(A112)&gt;=4,IF(MONTH(A112)&lt;=10,Inputs!$F$13-Inputs!$G$13,Inputs!$F$14-Inputs!$G$14),Inputs!$F$14-Inputs!$G$14))*$CK112*Availability)</f>
        <v xml:space="preserve"> </v>
      </c>
      <c r="BN112" s="221" t="str">
        <f t="shared" si="238"/>
        <v xml:space="preserve"> </v>
      </c>
      <c r="BO112" s="221" t="str">
        <f t="shared" si="239"/>
        <v xml:space="preserve"> </v>
      </c>
      <c r="BP112" s="221" t="str">
        <f t="shared" si="240"/>
        <v xml:space="preserve"> </v>
      </c>
      <c r="BQ112" s="221" t="str">
        <f t="shared" si="241"/>
        <v xml:space="preserve"> </v>
      </c>
      <c r="BR112" s="221" t="str">
        <f t="shared" si="242"/>
        <v xml:space="preserve"> </v>
      </c>
      <c r="BS112" s="221" t="str">
        <f t="shared" si="243"/>
        <v xml:space="preserve"> </v>
      </c>
      <c r="BT112" s="221" t="str">
        <f t="shared" si="244"/>
        <v xml:space="preserve"> </v>
      </c>
      <c r="BU112" s="221" t="str">
        <f t="shared" si="245"/>
        <v xml:space="preserve"> </v>
      </c>
      <c r="BV112" s="221" t="str">
        <f t="shared" si="246"/>
        <v xml:space="preserve"> </v>
      </c>
      <c r="BW112" s="221" t="str">
        <f t="shared" si="247"/>
        <v xml:space="preserve"> </v>
      </c>
      <c r="BX112" s="421" t="str">
        <f t="shared" si="248"/>
        <v xml:space="preserve"> </v>
      </c>
      <c r="BY112" s="417" t="str">
        <f t="shared" si="249"/>
        <v xml:space="preserve"> </v>
      </c>
      <c r="BZ112" s="417" t="str">
        <f t="shared" si="250"/>
        <v xml:space="preserve"> </v>
      </c>
      <c r="CA112" s="422" t="str">
        <f t="shared" si="251"/>
        <v xml:space="preserve"> </v>
      </c>
      <c r="CB112" s="347" t="str">
        <f t="shared" si="195"/>
        <v xml:space="preserve"> </v>
      </c>
      <c r="CC112" s="347" t="str">
        <f t="shared" si="252"/>
        <v xml:space="preserve"> </v>
      </c>
      <c r="CD112" s="348" t="str">
        <f t="shared" si="196"/>
        <v xml:space="preserve"> </v>
      </c>
      <c r="CE112" s="347" t="str">
        <f t="shared" si="197"/>
        <v xml:space="preserve"> </v>
      </c>
      <c r="CF112" s="347" t="str">
        <f t="shared" si="198"/>
        <v xml:space="preserve"> </v>
      </c>
      <c r="CG112" s="348" t="str">
        <f t="shared" si="199"/>
        <v xml:space="preserve"> </v>
      </c>
      <c r="CH112" s="347" t="str">
        <f t="shared" si="253"/>
        <v xml:space="preserve"> </v>
      </c>
      <c r="CI112" s="349" t="str">
        <f>IF($A112="N/A"," ",F112+G112+(D112*('Pricing Inputs'!T145)))</f>
        <v xml:space="preserve"> </v>
      </c>
      <c r="CJ112" s="347" t="str">
        <f>IF($A112="N/A"," ",IF(PV=1,0,'Pricing Inputs'!U145))</f>
        <v xml:space="preserve"> </v>
      </c>
      <c r="CK112" s="350" t="str">
        <f t="shared" si="200"/>
        <v xml:space="preserve"> </v>
      </c>
      <c r="CL112" s="365" t="str">
        <f t="shared" si="201"/>
        <v xml:space="preserve"> </v>
      </c>
      <c r="CM112" s="380" t="str">
        <f t="shared" si="254"/>
        <v xml:space="preserve"> </v>
      </c>
      <c r="CN112" s="378" t="str">
        <f t="shared" si="202"/>
        <v xml:space="preserve"> </v>
      </c>
      <c r="CO112" s="378" t="str">
        <f t="shared" si="203"/>
        <v xml:space="preserve"> </v>
      </c>
      <c r="CP112" s="378" t="str">
        <f t="shared" si="204"/>
        <v xml:space="preserve"> </v>
      </c>
      <c r="CQ112" s="378" t="str">
        <f t="shared" si="205"/>
        <v xml:space="preserve"> </v>
      </c>
      <c r="CR112" s="378" t="str">
        <f t="shared" si="206"/>
        <v xml:space="preserve"> </v>
      </c>
      <c r="CS112" s="378" t="str">
        <f t="shared" si="207"/>
        <v xml:space="preserve"> </v>
      </c>
      <c r="CT112" s="378" t="str">
        <f t="shared" si="208"/>
        <v xml:space="preserve"> </v>
      </c>
      <c r="CU112" s="378" t="str">
        <f t="shared" si="209"/>
        <v xml:space="preserve"> </v>
      </c>
      <c r="CV112" s="378" t="str">
        <f t="shared" si="210"/>
        <v xml:space="preserve"> </v>
      </c>
      <c r="CW112" s="254" t="str">
        <f t="shared" si="211"/>
        <v xml:space="preserve"> </v>
      </c>
      <c r="CX112" s="254" t="str">
        <f t="shared" si="212"/>
        <v xml:space="preserve"> </v>
      </c>
      <c r="CY112" s="254" t="str">
        <f t="shared" si="213"/>
        <v xml:space="preserve"> </v>
      </c>
      <c r="CZ112" s="254" t="str">
        <f t="shared" si="214"/>
        <v xml:space="preserve"> </v>
      </c>
      <c r="DA112" s="254" t="str">
        <f t="shared" si="215"/>
        <v xml:space="preserve"> </v>
      </c>
      <c r="DB112" s="254" t="str">
        <f t="shared" si="216"/>
        <v xml:space="preserve"> </v>
      </c>
      <c r="DC112" s="254" t="str">
        <f t="shared" si="217"/>
        <v xml:space="preserve"> </v>
      </c>
      <c r="DD112" s="254" t="str">
        <f t="shared" si="218"/>
        <v xml:space="preserve"> </v>
      </c>
      <c r="DE112" s="254" t="str">
        <f t="shared" si="219"/>
        <v xml:space="preserve"> </v>
      </c>
      <c r="DF112" s="374" t="str">
        <f>IF($A112="N/A"," ",IF(CC=2,(IF(MONTH(A112)&gt;=4,IF(MONTH(A112)&lt;=10,Inputs!$G$13,Inputs!$G$14),Inputs!$G$14))*$CK112,0))</f>
        <v xml:space="preserve"> </v>
      </c>
      <c r="DG112" s="373" t="str">
        <f t="shared" si="220"/>
        <v xml:space="preserve"> </v>
      </c>
      <c r="DH112" s="373" t="str">
        <f t="shared" si="221"/>
        <v xml:space="preserve"> </v>
      </c>
      <c r="DI112" s="373" t="str">
        <f t="shared" si="222"/>
        <v xml:space="preserve"> </v>
      </c>
      <c r="DJ112" s="373" t="str">
        <f t="shared" si="223"/>
        <v xml:space="preserve"> </v>
      </c>
      <c r="DK112" s="373" t="str">
        <f t="shared" si="224"/>
        <v xml:space="preserve"> </v>
      </c>
      <c r="DL112" s="373" t="str">
        <f t="shared" si="225"/>
        <v xml:space="preserve"> </v>
      </c>
      <c r="DM112" s="373" t="str">
        <f t="shared" si="226"/>
        <v xml:space="preserve"> </v>
      </c>
      <c r="DN112" s="373" t="str">
        <f t="shared" si="227"/>
        <v xml:space="preserve"> </v>
      </c>
      <c r="DO112" s="373" t="str">
        <f t="shared" si="228"/>
        <v xml:space="preserve"> </v>
      </c>
      <c r="DP112" s="375" t="str">
        <f t="shared" si="229"/>
        <v xml:space="preserve"> </v>
      </c>
      <c r="DQ112" t="str">
        <f t="shared" si="255"/>
        <v xml:space="preserve"> </v>
      </c>
      <c r="HD112" t="str">
        <f t="shared" si="256"/>
        <v xml:space="preserve"> </v>
      </c>
      <c r="HE112" t="str">
        <f t="shared" si="257"/>
        <v xml:space="preserve"> </v>
      </c>
      <c r="HF112" t="str">
        <f t="shared" si="258"/>
        <v xml:space="preserve"> </v>
      </c>
    </row>
    <row r="113" spans="1:214">
      <c r="A113" s="415" t="str">
        <f>IF(A112="N/A","N/A",IF(EDATE(A112,1)&gt;Inputs!$K$3,"N/A",EDATE(A112,1)))</f>
        <v>N/A</v>
      </c>
      <c r="B113" s="410" t="str">
        <f t="shared" si="230"/>
        <v xml:space="preserve"> </v>
      </c>
      <c r="C113" s="411" t="str">
        <f t="shared" si="231"/>
        <v xml:space="preserve"> </v>
      </c>
      <c r="D113" s="412" t="str">
        <f t="shared" si="232"/>
        <v xml:space="preserve"> </v>
      </c>
      <c r="E113" s="413" t="str">
        <f>IF($A113="N/A"," ",(C113-'Pricing Inputs'!T146)*D113)</f>
        <v xml:space="preserve"> </v>
      </c>
      <c r="F113" s="414" t="str">
        <f t="shared" si="281"/>
        <v xml:space="preserve"> </v>
      </c>
      <c r="G113" s="414" t="str">
        <f t="shared" si="233"/>
        <v xml:space="preserve"> </v>
      </c>
      <c r="H113" s="416" t="str">
        <f t="shared" si="234"/>
        <v xml:space="preserve"> </v>
      </c>
      <c r="I113" s="213" t="str">
        <f t="shared" si="183"/>
        <v xml:space="preserve"> </v>
      </c>
      <c r="J113" s="213" t="str">
        <f t="shared" si="184"/>
        <v xml:space="preserve"> </v>
      </c>
      <c r="K113" s="213" t="str">
        <f t="shared" si="185"/>
        <v xml:space="preserve"> </v>
      </c>
      <c r="L113" s="213" t="str">
        <f t="shared" si="186"/>
        <v xml:space="preserve"> </v>
      </c>
      <c r="M113" s="213" t="str">
        <f t="shared" si="187"/>
        <v xml:space="preserve"> </v>
      </c>
      <c r="N113" s="213" t="str">
        <f t="shared" si="188"/>
        <v xml:space="preserve"> </v>
      </c>
      <c r="O113" s="213" t="str">
        <f t="shared" si="189"/>
        <v xml:space="preserve"> </v>
      </c>
      <c r="P113" s="213" t="str">
        <f t="shared" si="190"/>
        <v xml:space="preserve"> </v>
      </c>
      <c r="Q113" s="213" t="str">
        <f t="shared" si="191"/>
        <v xml:space="preserve"> </v>
      </c>
      <c r="R113" s="405" t="str">
        <f>IF($A113="N/A"," ",IF(Pricetype=2,MAX(I113-$H113,0),IF(Pricetype=1,(_xll.xSPRDOPT(I113,$E113,$CI113,0,($CD113+IF(Smile=TRUE,VLOOKUP(MAX(-5,$H113-I113),Volsmile,2),0)),$CG113,$CH113,($A113-DateToday)+15,1,0)),I113-$H113)))</f>
        <v xml:space="preserve"> </v>
      </c>
      <c r="S113" s="405" t="str">
        <f>IF($A113="N/A"," ",IF(Pricetype=2,MAX(J113-$H113,0),IF(Pricetype=1,(_xll.xSPRDOPT(J113,$E113,$CI113,0,($CD113+IF(Smile=TRUE,VLOOKUP(MAX(-5,$H113-J113),Volsmile,2),0)),$CG113,$CH113,($A113-DateToday)+15,1,0)),J113-$H113)))</f>
        <v xml:space="preserve"> </v>
      </c>
      <c r="T113" s="406" t="str">
        <f t="shared" si="192"/>
        <v xml:space="preserve"> </v>
      </c>
      <c r="U113" s="405" t="str">
        <f>IF($A113="N/A"," ",IF(Pricetype=2,MAX(L113-$H113,0),IF(L113&lt;&gt;0,IF(Pricetype=1,(_xll.xSPRDOPT(L113,$E113,$CI113,0,($CD113+IF(Smile=TRUE,VLOOKUP(MAX(-5,$H113-L113),Volsmile,2),0)),$CG113,$CH113,($A113-DateToday)+15,1,0)),L113-$H113),0)))</f>
        <v xml:space="preserve"> </v>
      </c>
      <c r="V113" s="405" t="str">
        <f>IF($A113="N/A"," ",IF(Pricetype=2,MAX(M113-$H113,0),IF(M113&lt;&gt;0,IF(Pricetype=1,(_xll.xSPRDOPT(M113,$E113,$CI113,0,($CD113+IF(Smile=TRUE,VLOOKUP(MAX(-5,$H113-M113),Volsmile,2),0)),$CG113,$CH113,($A113-DateToday)+15,1,0)),M113-$H113),0)))</f>
        <v xml:space="preserve"> </v>
      </c>
      <c r="W113" s="406" t="str">
        <f t="shared" si="193"/>
        <v xml:space="preserve"> </v>
      </c>
      <c r="X113" s="405" t="str">
        <f>IF($A113="N/A"," ",IF(Pricetype=2,MAX(O113-$H113,0),IF(O113&lt;&gt;0,IF(Pricetype=1,(_xll.xSPRDOPT(O113,$E113,$CI113,0,($CD113+IF(Smile=TRUE,VLOOKUP(MAX(-5,$H113-O113),Volsmile,2),0)),$CG113,$CH113,($A113-DateToday)+15,1,0)),O113-$H113),0)))</f>
        <v xml:space="preserve"> </v>
      </c>
      <c r="Y113" s="405" t="str">
        <f>IF($A113="N/A"," ",IF(Pricetype=2,MAX(P113-$H113,0),IF(P113&lt;&gt;0,IF(Pricetype=1,(_xll.xSPRDOPT(P113,$E113,$CI113,0,($CD113+IF(Smile=TRUE,VLOOKUP(MAX(-5,$H113-P113),Volsmile,2),0)),$CG113,$CH113,($A113-DateToday)+15,1,0)),P113-$H113),0)))</f>
        <v xml:space="preserve"> </v>
      </c>
      <c r="Z113" s="406" t="str">
        <f t="shared" si="194"/>
        <v xml:space="preserve"> </v>
      </c>
      <c r="AA113" s="254" t="str">
        <f>IF($A113="N/A"," ",IF(VLOOKUP(MONTH(A113),ManualTable,2)=1,(IF(0&lt;&gt;R113,IF(Pricetype=1,(_xll.xSPRDOPT(I113,$E113,$CI113,0,($CD113+IF(Smile=TRUE,VLOOKUP(MAX(-5,$H113-I113),Volsmile,2),0)),$CG113,$CH113,($A113-DateToday)+15,1,1))*(8*$HD113),8*$HD113),0)),0))</f>
        <v xml:space="preserve"> </v>
      </c>
      <c r="AB113" s="254" t="str">
        <f>IF($A113="N/A"," ",IF(VLOOKUP(MONTH(A113),ManualTable,3)=1,(IF(S113&lt;&gt;0,IF(Pricetype=1,(_xll.xSPRDOPT(J113,$E113,$CI113,0,($CD113+IF(Smile=TRUE,VLOOKUP(MAX(-5,$H113-J113),Volsmile,2),0)),$CG113,$CH113,($A113-DateToday)+15,1,1))*(8*$HD113),8*$HD113),0)),0))</f>
        <v xml:space="preserve"> </v>
      </c>
      <c r="AC113" s="254" t="str">
        <f t="shared" si="235"/>
        <v xml:space="preserve"> </v>
      </c>
      <c r="AD113" s="254" t="str">
        <f>IF($A113="N/A"," ",IF(VLOOKUP(MONTH(A113),ManualTable,5)=1,(IF(U113&lt;&gt;0,IF(Pricetype=1,(_xll.xSPRDOPT(L113,$E113,$CI113,0,($CD113+IF(Smile=TRUE,VLOOKUP(MAX(-5,$H113-L113),Volsmile,2),0)),$CG113,$CH113,($A113-DateToday)+15,1,1))*(8*$HE113),8*$HE113),0)),0))</f>
        <v xml:space="preserve"> </v>
      </c>
      <c r="AE113" s="254" t="str">
        <f>IF($A113="N/A"," ",IF(VLOOKUP(MONTH(A113),ManualTable,6)=1,(IF(V113&lt;&gt;0,IF(Pricetype=1,(_xll.xSPRDOPT(M113,$E113,$CI113,0,($CD113+IF(Smile=TRUE,VLOOKUP(MAX(-5,$H113-M113),Volsmile,2),0)),$CG113,$CH113,($A113-DateToday)+15,1,1))*(8*$HE113),8*$HE113),0)),0))</f>
        <v xml:space="preserve"> </v>
      </c>
      <c r="AF113" s="254" t="str">
        <f t="shared" si="236"/>
        <v xml:space="preserve"> </v>
      </c>
      <c r="AG113" s="254" t="str">
        <f>IF($A113="N/A"," ",IF(VLOOKUP(MONTH(A113),ManualTable,8)=1,(IF(X113&lt;&gt;0,IF(Pricetype=1,(_xll.xSPRDOPT(O113,$E113,$CI113,0,($CD113+IF(Smile=TRUE,VLOOKUP(MAX(-5,$H113-O113),Volsmile,2),0)),$CG113,$CH113,($A113-DateToday)+15,1,1))*(8*$HF113),8*$HF113),0)),0))</f>
        <v xml:space="preserve"> </v>
      </c>
      <c r="AH113" s="254" t="str">
        <f>IF($A113="N/A"," ",IF(VLOOKUP(MONTH(A113),ManualTable,9)=1,(IF(Y113&lt;&gt;0,IF(Pricetype=1,(_xll.xSPRDOPT(P113,$E113,$CI113,0,($CD113+IF(Smile=TRUE,VLOOKUP(MAX(-5,$H113-P113),Volsmile,2),0)),$CG113,$CH113,($A113-DateToday)+15,1,1))*(8*$HF113),8*$HF113),0)),0))</f>
        <v xml:space="preserve"> </v>
      </c>
      <c r="AI113" s="254" t="str">
        <f t="shared" si="237"/>
        <v xml:space="preserve"> </v>
      </c>
      <c r="AJ113" s="227" t="str">
        <f t="shared" ref="AJ113:AJ123" si="320">IF($A113="N/A"," ",RANK(R113,$R$112:$Z$123))</f>
        <v xml:space="preserve"> </v>
      </c>
      <c r="AK113" s="228" t="str">
        <f t="shared" ref="AK113:AL123" si="321">IF($A113="N/A"," ",RANK(S113,$R$112:$Z$123))</f>
        <v xml:space="preserve"> </v>
      </c>
      <c r="AL113" s="228" t="str">
        <f t="shared" si="321"/>
        <v xml:space="preserve"> </v>
      </c>
      <c r="AM113" s="228" t="str">
        <f t="shared" ref="AM113:AM123" si="322">IF($A113="N/A"," ",RANK(U113,$R$112:$Z$123))</f>
        <v xml:space="preserve"> </v>
      </c>
      <c r="AN113" s="228" t="str">
        <f t="shared" ref="AN113:AO123" si="323">IF($A113="N/A"," ",RANK(V113,$R$112:$Z$123))</f>
        <v xml:space="preserve"> </v>
      </c>
      <c r="AO113" s="228" t="str">
        <f t="shared" si="323"/>
        <v xml:space="preserve"> </v>
      </c>
      <c r="AP113" s="228" t="str">
        <f t="shared" ref="AP113:AP123" si="324">IF($A113="N/A"," ",RANK(X113,$R$112:$Z$123))</f>
        <v xml:space="preserve"> </v>
      </c>
      <c r="AQ113" s="228" t="str">
        <f t="shared" ref="AQ113:AQ123" si="325">IF($A113="N/A"," ",RANK(Y113,$R$112:$Z$123))</f>
        <v xml:space="preserve"> </v>
      </c>
      <c r="AR113" s="229" t="str">
        <f t="shared" ref="AR113:AR123" si="326">IF($A113="N/A"," ",RANK(Z113,$R$112:$Z$123))</f>
        <v xml:space="preserve"> </v>
      </c>
      <c r="AS113" s="262" t="str">
        <f t="shared" si="274"/>
        <v xml:space="preserve"> </v>
      </c>
      <c r="AT113" s="263" t="str">
        <f t="shared" si="275"/>
        <v xml:space="preserve"> </v>
      </c>
      <c r="AU113" s="263" t="str">
        <f t="shared" si="275"/>
        <v xml:space="preserve"> </v>
      </c>
      <c r="AV113" s="263" t="str">
        <f t="shared" si="276"/>
        <v xml:space="preserve"> </v>
      </c>
      <c r="AW113" s="263" t="str">
        <f t="shared" si="277"/>
        <v xml:space="preserve"> </v>
      </c>
      <c r="AX113" s="263" t="str">
        <f t="shared" si="277"/>
        <v xml:space="preserve"> </v>
      </c>
      <c r="AY113" s="263" t="str">
        <f t="shared" si="278"/>
        <v xml:space="preserve"> </v>
      </c>
      <c r="AZ113" s="263" t="str">
        <f t="shared" si="279"/>
        <v xml:space="preserve"> </v>
      </c>
      <c r="BA113" s="263" t="str">
        <f t="shared" si="280"/>
        <v xml:space="preserve"> </v>
      </c>
      <c r="BB113" s="229"/>
      <c r="BC113" s="266" t="str">
        <f t="shared" si="313"/>
        <v xml:space="preserve"> </v>
      </c>
      <c r="BD113" s="269" t="str">
        <f t="shared" si="314"/>
        <v xml:space="preserve"> </v>
      </c>
      <c r="BE113" s="269" t="str">
        <f t="shared" si="314"/>
        <v xml:space="preserve"> </v>
      </c>
      <c r="BF113" s="269" t="str">
        <f t="shared" si="315"/>
        <v xml:space="preserve"> </v>
      </c>
      <c r="BG113" s="269" t="str">
        <f t="shared" si="316"/>
        <v xml:space="preserve"> </v>
      </c>
      <c r="BH113" s="269" t="str">
        <f t="shared" si="316"/>
        <v xml:space="preserve"> </v>
      </c>
      <c r="BI113" s="269" t="str">
        <f t="shared" si="317"/>
        <v xml:space="preserve"> </v>
      </c>
      <c r="BJ113" s="269" t="str">
        <f t="shared" si="318"/>
        <v xml:space="preserve"> </v>
      </c>
      <c r="BK113" s="269" t="str">
        <f t="shared" si="319"/>
        <v xml:space="preserve"> </v>
      </c>
      <c r="BL113" s="229"/>
      <c r="BM113" s="220" t="str">
        <f>IF($A113="N/A"," ",(IF(MONTH(A113)&gt;=4,IF(MONTH(A113)&lt;=10,Inputs!$F$13-Inputs!$G$13,Inputs!$F$14-Inputs!$G$14),Inputs!$F$14-Inputs!$G$14))*$CK113*Availability)</f>
        <v xml:space="preserve"> </v>
      </c>
      <c r="BN113" s="221" t="str">
        <f t="shared" si="238"/>
        <v xml:space="preserve"> </v>
      </c>
      <c r="BO113" s="221" t="str">
        <f t="shared" si="239"/>
        <v xml:space="preserve"> </v>
      </c>
      <c r="BP113" s="221" t="str">
        <f t="shared" si="240"/>
        <v xml:space="preserve"> </v>
      </c>
      <c r="BQ113" s="221" t="str">
        <f t="shared" si="241"/>
        <v xml:space="preserve"> </v>
      </c>
      <c r="BR113" s="221" t="str">
        <f t="shared" si="242"/>
        <v xml:space="preserve"> </v>
      </c>
      <c r="BS113" s="221" t="str">
        <f t="shared" si="243"/>
        <v xml:space="preserve"> </v>
      </c>
      <c r="BT113" s="221" t="str">
        <f t="shared" si="244"/>
        <v xml:space="preserve"> </v>
      </c>
      <c r="BU113" s="221" t="str">
        <f t="shared" si="245"/>
        <v xml:space="preserve"> </v>
      </c>
      <c r="BV113" s="221" t="str">
        <f t="shared" si="246"/>
        <v xml:space="preserve"> </v>
      </c>
      <c r="BW113" s="221" t="str">
        <f t="shared" si="247"/>
        <v xml:space="preserve"> </v>
      </c>
      <c r="BX113" s="421" t="str">
        <f t="shared" si="248"/>
        <v xml:space="preserve"> </v>
      </c>
      <c r="BY113" s="417" t="str">
        <f t="shared" si="249"/>
        <v xml:space="preserve"> </v>
      </c>
      <c r="BZ113" s="417" t="str">
        <f t="shared" si="250"/>
        <v xml:space="preserve"> </v>
      </c>
      <c r="CA113" s="422" t="str">
        <f t="shared" si="251"/>
        <v xml:space="preserve"> </v>
      </c>
      <c r="CB113" s="347" t="str">
        <f t="shared" si="195"/>
        <v xml:space="preserve"> </v>
      </c>
      <c r="CC113" s="347" t="str">
        <f t="shared" si="252"/>
        <v xml:space="preserve"> </v>
      </c>
      <c r="CD113" s="348" t="str">
        <f t="shared" si="196"/>
        <v xml:space="preserve"> </v>
      </c>
      <c r="CE113" s="347" t="str">
        <f t="shared" si="197"/>
        <v xml:space="preserve"> </v>
      </c>
      <c r="CF113" s="347" t="str">
        <f t="shared" si="198"/>
        <v xml:space="preserve"> </v>
      </c>
      <c r="CG113" s="348" t="str">
        <f t="shared" si="199"/>
        <v xml:space="preserve"> </v>
      </c>
      <c r="CH113" s="347" t="str">
        <f t="shared" si="253"/>
        <v xml:space="preserve"> </v>
      </c>
      <c r="CI113" s="349" t="str">
        <f>IF($A113="N/A"," ",F113+G113+(D113*('Pricing Inputs'!T146)))</f>
        <v xml:space="preserve"> </v>
      </c>
      <c r="CJ113" s="347" t="str">
        <f>IF($A113="N/A"," ",IF(PV=1,0,'Pricing Inputs'!U146))</f>
        <v xml:space="preserve"> </v>
      </c>
      <c r="CK113" s="350" t="str">
        <f t="shared" si="200"/>
        <v xml:space="preserve"> </v>
      </c>
      <c r="CL113" s="365" t="str">
        <f t="shared" si="201"/>
        <v xml:space="preserve"> </v>
      </c>
      <c r="CM113" s="380" t="str">
        <f t="shared" si="254"/>
        <v xml:space="preserve"> </v>
      </c>
      <c r="CN113" s="378" t="str">
        <f t="shared" si="202"/>
        <v xml:space="preserve"> </v>
      </c>
      <c r="CO113" s="378" t="str">
        <f t="shared" si="203"/>
        <v xml:space="preserve"> </v>
      </c>
      <c r="CP113" s="378" t="str">
        <f t="shared" si="204"/>
        <v xml:space="preserve"> </v>
      </c>
      <c r="CQ113" s="378" t="str">
        <f t="shared" si="205"/>
        <v xml:space="preserve"> </v>
      </c>
      <c r="CR113" s="378" t="str">
        <f t="shared" si="206"/>
        <v xml:space="preserve"> </v>
      </c>
      <c r="CS113" s="378" t="str">
        <f t="shared" si="207"/>
        <v xml:space="preserve"> </v>
      </c>
      <c r="CT113" s="378" t="str">
        <f t="shared" si="208"/>
        <v xml:space="preserve"> </v>
      </c>
      <c r="CU113" s="378" t="str">
        <f t="shared" si="209"/>
        <v xml:space="preserve"> </v>
      </c>
      <c r="CV113" s="378" t="str">
        <f t="shared" si="210"/>
        <v xml:space="preserve"> </v>
      </c>
      <c r="CW113" s="254" t="str">
        <f t="shared" si="211"/>
        <v xml:space="preserve"> </v>
      </c>
      <c r="CX113" s="254" t="str">
        <f t="shared" si="212"/>
        <v xml:space="preserve"> </v>
      </c>
      <c r="CY113" s="254" t="str">
        <f t="shared" si="213"/>
        <v xml:space="preserve"> </v>
      </c>
      <c r="CZ113" s="254" t="str">
        <f t="shared" si="214"/>
        <v xml:space="preserve"> </v>
      </c>
      <c r="DA113" s="254" t="str">
        <f t="shared" si="215"/>
        <v xml:space="preserve"> </v>
      </c>
      <c r="DB113" s="254" t="str">
        <f t="shared" si="216"/>
        <v xml:space="preserve"> </v>
      </c>
      <c r="DC113" s="254" t="str">
        <f t="shared" si="217"/>
        <v xml:space="preserve"> </v>
      </c>
      <c r="DD113" s="254" t="str">
        <f t="shared" si="218"/>
        <v xml:space="preserve"> </v>
      </c>
      <c r="DE113" s="254" t="str">
        <f t="shared" si="219"/>
        <v xml:space="preserve"> </v>
      </c>
      <c r="DF113" s="374" t="str">
        <f>IF($A113="N/A"," ",IF(CC=2,(IF(MONTH(A113)&gt;=4,IF(MONTH(A113)&lt;=10,Inputs!$G$13,Inputs!$G$14),Inputs!$G$14))*$CK113,0))</f>
        <v xml:space="preserve"> </v>
      </c>
      <c r="DG113" s="373" t="str">
        <f t="shared" si="220"/>
        <v xml:space="preserve"> </v>
      </c>
      <c r="DH113" s="373" t="str">
        <f t="shared" si="221"/>
        <v xml:space="preserve"> </v>
      </c>
      <c r="DI113" s="373" t="str">
        <f t="shared" si="222"/>
        <v xml:space="preserve"> </v>
      </c>
      <c r="DJ113" s="373" t="str">
        <f t="shared" si="223"/>
        <v xml:space="preserve"> </v>
      </c>
      <c r="DK113" s="373" t="str">
        <f t="shared" si="224"/>
        <v xml:space="preserve"> </v>
      </c>
      <c r="DL113" s="373" t="str">
        <f t="shared" si="225"/>
        <v xml:space="preserve"> </v>
      </c>
      <c r="DM113" s="373" t="str">
        <f t="shared" si="226"/>
        <v xml:space="preserve"> </v>
      </c>
      <c r="DN113" s="373" t="str">
        <f t="shared" si="227"/>
        <v xml:space="preserve"> </v>
      </c>
      <c r="DO113" s="373" t="str">
        <f t="shared" si="228"/>
        <v xml:space="preserve"> </v>
      </c>
      <c r="DP113" s="375" t="str">
        <f t="shared" si="229"/>
        <v xml:space="preserve"> </v>
      </c>
      <c r="DQ113" t="str">
        <f t="shared" si="255"/>
        <v xml:space="preserve"> </v>
      </c>
      <c r="HD113" t="str">
        <f t="shared" si="256"/>
        <v xml:space="preserve"> </v>
      </c>
      <c r="HE113" t="str">
        <f t="shared" si="257"/>
        <v xml:space="preserve"> </v>
      </c>
      <c r="HF113" t="str">
        <f t="shared" si="258"/>
        <v xml:space="preserve"> </v>
      </c>
    </row>
    <row r="114" spans="1:214">
      <c r="A114" s="415" t="str">
        <f>IF(A113="N/A","N/A",IF(EDATE(A113,1)&gt;Inputs!$K$3,"N/A",EDATE(A113,1)))</f>
        <v>N/A</v>
      </c>
      <c r="B114" s="410" t="str">
        <f t="shared" si="230"/>
        <v xml:space="preserve"> </v>
      </c>
      <c r="C114" s="411" t="str">
        <f t="shared" si="231"/>
        <v xml:space="preserve"> </v>
      </c>
      <c r="D114" s="412" t="str">
        <f t="shared" si="232"/>
        <v xml:space="preserve"> </v>
      </c>
      <c r="E114" s="413" t="str">
        <f>IF($A114="N/A"," ",(C114-'Pricing Inputs'!T147)*D114)</f>
        <v xml:space="preserve"> </v>
      </c>
      <c r="F114" s="414" t="str">
        <f t="shared" si="281"/>
        <v xml:space="preserve"> </v>
      </c>
      <c r="G114" s="414" t="str">
        <f t="shared" si="233"/>
        <v xml:space="preserve"> </v>
      </c>
      <c r="H114" s="416" t="str">
        <f t="shared" si="234"/>
        <v xml:space="preserve"> </v>
      </c>
      <c r="I114" s="213" t="str">
        <f t="shared" si="183"/>
        <v xml:space="preserve"> </v>
      </c>
      <c r="J114" s="213" t="str">
        <f t="shared" si="184"/>
        <v xml:space="preserve"> </v>
      </c>
      <c r="K114" s="213" t="str">
        <f t="shared" si="185"/>
        <v xml:space="preserve"> </v>
      </c>
      <c r="L114" s="213" t="str">
        <f t="shared" si="186"/>
        <v xml:space="preserve"> </v>
      </c>
      <c r="M114" s="213" t="str">
        <f t="shared" si="187"/>
        <v xml:space="preserve"> </v>
      </c>
      <c r="N114" s="213" t="str">
        <f t="shared" si="188"/>
        <v xml:space="preserve"> </v>
      </c>
      <c r="O114" s="213" t="str">
        <f t="shared" si="189"/>
        <v xml:space="preserve"> </v>
      </c>
      <c r="P114" s="213" t="str">
        <f t="shared" si="190"/>
        <v xml:space="preserve"> </v>
      </c>
      <c r="Q114" s="213" t="str">
        <f t="shared" si="191"/>
        <v xml:space="preserve"> </v>
      </c>
      <c r="R114" s="405" t="str">
        <f>IF($A114="N/A"," ",IF(Pricetype=2,MAX(I114-$H114,0),IF(Pricetype=1,(_xll.xSPRDOPT(I114,$E114,$CI114,0,($CD114+IF(Smile=TRUE,VLOOKUP(MAX(-5,$H114-I114),Volsmile,2),0)),$CG114,$CH114,($A114-DateToday)+15,1,0)),I114-$H114)))</f>
        <v xml:space="preserve"> </v>
      </c>
      <c r="S114" s="405" t="str">
        <f>IF($A114="N/A"," ",IF(Pricetype=2,MAX(J114-$H114,0),IF(Pricetype=1,(_xll.xSPRDOPT(J114,$E114,$CI114,0,($CD114+IF(Smile=TRUE,VLOOKUP(MAX(-5,$H114-J114),Volsmile,2),0)),$CG114,$CH114,($A114-DateToday)+15,1,0)),J114-$H114)))</f>
        <v xml:space="preserve"> </v>
      </c>
      <c r="T114" s="406" t="str">
        <f t="shared" si="192"/>
        <v xml:space="preserve"> </v>
      </c>
      <c r="U114" s="405" t="str">
        <f>IF($A114="N/A"," ",IF(Pricetype=2,MAX(L114-$H114,0),IF(L114&lt;&gt;0,IF(Pricetype=1,(_xll.xSPRDOPT(L114,$E114,$CI114,0,($CD114+IF(Smile=TRUE,VLOOKUP(MAX(-5,$H114-L114),Volsmile,2),0)),$CG114,$CH114,($A114-DateToday)+15,1,0)),L114-$H114),0)))</f>
        <v xml:space="preserve"> </v>
      </c>
      <c r="V114" s="405" t="str">
        <f>IF($A114="N/A"," ",IF(Pricetype=2,MAX(M114-$H114,0),IF(M114&lt;&gt;0,IF(Pricetype=1,(_xll.xSPRDOPT(M114,$E114,$CI114,0,($CD114+IF(Smile=TRUE,VLOOKUP(MAX(-5,$H114-M114),Volsmile,2),0)),$CG114,$CH114,($A114-DateToday)+15,1,0)),M114-$H114),0)))</f>
        <v xml:space="preserve"> </v>
      </c>
      <c r="W114" s="406" t="str">
        <f t="shared" si="193"/>
        <v xml:space="preserve"> </v>
      </c>
      <c r="X114" s="405" t="str">
        <f>IF($A114="N/A"," ",IF(Pricetype=2,MAX(O114-$H114,0),IF(O114&lt;&gt;0,IF(Pricetype=1,(_xll.xSPRDOPT(O114,$E114,$CI114,0,($CD114+IF(Smile=TRUE,VLOOKUP(MAX(-5,$H114-O114),Volsmile,2),0)),$CG114,$CH114,($A114-DateToday)+15,1,0)),O114-$H114),0)))</f>
        <v xml:space="preserve"> </v>
      </c>
      <c r="Y114" s="405" t="str">
        <f>IF($A114="N/A"," ",IF(Pricetype=2,MAX(P114-$H114,0),IF(P114&lt;&gt;0,IF(Pricetype=1,(_xll.xSPRDOPT(P114,$E114,$CI114,0,($CD114+IF(Smile=TRUE,VLOOKUP(MAX(-5,$H114-P114),Volsmile,2),0)),$CG114,$CH114,($A114-DateToday)+15,1,0)),P114-$H114),0)))</f>
        <v xml:space="preserve"> </v>
      </c>
      <c r="Z114" s="406" t="str">
        <f t="shared" si="194"/>
        <v xml:space="preserve"> </v>
      </c>
      <c r="AA114" s="254" t="str">
        <f>IF($A114="N/A"," ",IF(VLOOKUP(MONTH(A114),ManualTable,2)=1,(IF(0&lt;&gt;R114,IF(Pricetype=1,(_xll.xSPRDOPT(I114,$E114,$CI114,0,($CD114+IF(Smile=TRUE,VLOOKUP(MAX(-5,$H114-I114),Volsmile,2),0)),$CG114,$CH114,($A114-DateToday)+15,1,1))*(8*$HD114),8*$HD114),0)),0))</f>
        <v xml:space="preserve"> </v>
      </c>
      <c r="AB114" s="254" t="str">
        <f>IF($A114="N/A"," ",IF(VLOOKUP(MONTH(A114),ManualTable,3)=1,(IF(S114&lt;&gt;0,IF(Pricetype=1,(_xll.xSPRDOPT(J114,$E114,$CI114,0,($CD114+IF(Smile=TRUE,VLOOKUP(MAX(-5,$H114-J114),Volsmile,2),0)),$CG114,$CH114,($A114-DateToday)+15,1,1))*(8*$HD114),8*$HD114),0)),0))</f>
        <v xml:space="preserve"> </v>
      </c>
      <c r="AC114" s="254" t="str">
        <f t="shared" si="235"/>
        <v xml:space="preserve"> </v>
      </c>
      <c r="AD114" s="254" t="str">
        <f>IF($A114="N/A"," ",IF(VLOOKUP(MONTH(A114),ManualTable,5)=1,(IF(U114&lt;&gt;0,IF(Pricetype=1,(_xll.xSPRDOPT(L114,$E114,$CI114,0,($CD114+IF(Smile=TRUE,VLOOKUP(MAX(-5,$H114-L114),Volsmile,2),0)),$CG114,$CH114,($A114-DateToday)+15,1,1))*(8*$HE114),8*$HE114),0)),0))</f>
        <v xml:space="preserve"> </v>
      </c>
      <c r="AE114" s="254" t="str">
        <f>IF($A114="N/A"," ",IF(VLOOKUP(MONTH(A114),ManualTable,6)=1,(IF(V114&lt;&gt;0,IF(Pricetype=1,(_xll.xSPRDOPT(M114,$E114,$CI114,0,($CD114+IF(Smile=TRUE,VLOOKUP(MAX(-5,$H114-M114),Volsmile,2),0)),$CG114,$CH114,($A114-DateToday)+15,1,1))*(8*$HE114),8*$HE114),0)),0))</f>
        <v xml:space="preserve"> </v>
      </c>
      <c r="AF114" s="254" t="str">
        <f t="shared" si="236"/>
        <v xml:space="preserve"> </v>
      </c>
      <c r="AG114" s="254" t="str">
        <f>IF($A114="N/A"," ",IF(VLOOKUP(MONTH(A114),ManualTable,8)=1,(IF(X114&lt;&gt;0,IF(Pricetype=1,(_xll.xSPRDOPT(O114,$E114,$CI114,0,($CD114+IF(Smile=TRUE,VLOOKUP(MAX(-5,$H114-O114),Volsmile,2),0)),$CG114,$CH114,($A114-DateToday)+15,1,1))*(8*$HF114),8*$HF114),0)),0))</f>
        <v xml:space="preserve"> </v>
      </c>
      <c r="AH114" s="254" t="str">
        <f>IF($A114="N/A"," ",IF(VLOOKUP(MONTH(A114),ManualTable,9)=1,(IF(Y114&lt;&gt;0,IF(Pricetype=1,(_xll.xSPRDOPT(P114,$E114,$CI114,0,($CD114+IF(Smile=TRUE,VLOOKUP(MAX(-5,$H114-P114),Volsmile,2),0)),$CG114,$CH114,($A114-DateToday)+15,1,1))*(8*$HF114),8*$HF114),0)),0))</f>
        <v xml:space="preserve"> </v>
      </c>
      <c r="AI114" s="254" t="str">
        <f t="shared" si="237"/>
        <v xml:space="preserve"> </v>
      </c>
      <c r="AJ114" s="227" t="str">
        <f t="shared" si="320"/>
        <v xml:space="preserve"> </v>
      </c>
      <c r="AK114" s="228" t="str">
        <f t="shared" si="321"/>
        <v xml:space="preserve"> </v>
      </c>
      <c r="AL114" s="228" t="str">
        <f t="shared" si="321"/>
        <v xml:space="preserve"> </v>
      </c>
      <c r="AM114" s="228" t="str">
        <f t="shared" si="322"/>
        <v xml:space="preserve"> </v>
      </c>
      <c r="AN114" s="228" t="str">
        <f t="shared" si="323"/>
        <v xml:space="preserve"> </v>
      </c>
      <c r="AO114" s="228" t="str">
        <f t="shared" si="323"/>
        <v xml:space="preserve"> </v>
      </c>
      <c r="AP114" s="228" t="str">
        <f t="shared" si="324"/>
        <v xml:space="preserve"> </v>
      </c>
      <c r="AQ114" s="228" t="str">
        <f t="shared" si="325"/>
        <v xml:space="preserve"> </v>
      </c>
      <c r="AR114" s="229" t="str">
        <f t="shared" si="326"/>
        <v xml:space="preserve"> </v>
      </c>
      <c r="AS114" s="262" t="str">
        <f t="shared" si="274"/>
        <v xml:space="preserve"> </v>
      </c>
      <c r="AT114" s="263" t="str">
        <f t="shared" si="275"/>
        <v xml:space="preserve"> </v>
      </c>
      <c r="AU114" s="263" t="str">
        <f t="shared" si="275"/>
        <v xml:space="preserve"> </v>
      </c>
      <c r="AV114" s="263" t="str">
        <f t="shared" si="276"/>
        <v xml:space="preserve"> </v>
      </c>
      <c r="AW114" s="263" t="str">
        <f t="shared" si="277"/>
        <v xml:space="preserve"> </v>
      </c>
      <c r="AX114" s="263" t="str">
        <f t="shared" si="277"/>
        <v xml:space="preserve"> </v>
      </c>
      <c r="AY114" s="263" t="str">
        <f t="shared" si="278"/>
        <v xml:space="preserve"> </v>
      </c>
      <c r="AZ114" s="263" t="str">
        <f t="shared" si="279"/>
        <v xml:space="preserve"> </v>
      </c>
      <c r="BA114" s="263" t="str">
        <f t="shared" si="280"/>
        <v xml:space="preserve"> </v>
      </c>
      <c r="BB114" s="229"/>
      <c r="BC114" s="266" t="str">
        <f t="shared" si="313"/>
        <v xml:space="preserve"> </v>
      </c>
      <c r="BD114" s="269" t="str">
        <f t="shared" si="314"/>
        <v xml:space="preserve"> </v>
      </c>
      <c r="BE114" s="269" t="str">
        <f t="shared" si="314"/>
        <v xml:space="preserve"> </v>
      </c>
      <c r="BF114" s="269" t="str">
        <f t="shared" si="315"/>
        <v xml:space="preserve"> </v>
      </c>
      <c r="BG114" s="269" t="str">
        <f t="shared" si="316"/>
        <v xml:space="preserve"> </v>
      </c>
      <c r="BH114" s="269" t="str">
        <f t="shared" si="316"/>
        <v xml:space="preserve"> </v>
      </c>
      <c r="BI114" s="269" t="str">
        <f t="shared" si="317"/>
        <v xml:space="preserve"> </v>
      </c>
      <c r="BJ114" s="269" t="str">
        <f t="shared" si="318"/>
        <v xml:space="preserve"> </v>
      </c>
      <c r="BK114" s="269" t="str">
        <f t="shared" si="319"/>
        <v xml:space="preserve"> </v>
      </c>
      <c r="BL114" s="229"/>
      <c r="BM114" s="220" t="str">
        <f>IF($A114="N/A"," ",(IF(MONTH(A114)&gt;=4,IF(MONTH(A114)&lt;=10,Inputs!$F$13-Inputs!$G$13,Inputs!$F$14-Inputs!$G$14),Inputs!$F$14-Inputs!$G$14))*$CK114*Availability)</f>
        <v xml:space="preserve"> </v>
      </c>
      <c r="BN114" s="221" t="str">
        <f t="shared" si="238"/>
        <v xml:space="preserve"> </v>
      </c>
      <c r="BO114" s="221" t="str">
        <f t="shared" si="239"/>
        <v xml:space="preserve"> </v>
      </c>
      <c r="BP114" s="221" t="str">
        <f t="shared" si="240"/>
        <v xml:space="preserve"> </v>
      </c>
      <c r="BQ114" s="221" t="str">
        <f t="shared" si="241"/>
        <v xml:space="preserve"> </v>
      </c>
      <c r="BR114" s="221" t="str">
        <f t="shared" si="242"/>
        <v xml:space="preserve"> </v>
      </c>
      <c r="BS114" s="221" t="str">
        <f t="shared" si="243"/>
        <v xml:space="preserve"> </v>
      </c>
      <c r="BT114" s="221" t="str">
        <f t="shared" si="244"/>
        <v xml:space="preserve"> </v>
      </c>
      <c r="BU114" s="221" t="str">
        <f t="shared" si="245"/>
        <v xml:space="preserve"> </v>
      </c>
      <c r="BV114" s="221" t="str">
        <f t="shared" si="246"/>
        <v xml:space="preserve"> </v>
      </c>
      <c r="BW114" s="221" t="str">
        <f t="shared" si="247"/>
        <v xml:space="preserve"> </v>
      </c>
      <c r="BX114" s="421" t="str">
        <f t="shared" si="248"/>
        <v xml:space="preserve"> </v>
      </c>
      <c r="BY114" s="417" t="str">
        <f t="shared" si="249"/>
        <v xml:space="preserve"> </v>
      </c>
      <c r="BZ114" s="417" t="str">
        <f t="shared" si="250"/>
        <v xml:space="preserve"> </v>
      </c>
      <c r="CA114" s="422" t="str">
        <f t="shared" si="251"/>
        <v xml:space="preserve"> </v>
      </c>
      <c r="CB114" s="347" t="str">
        <f t="shared" si="195"/>
        <v xml:space="preserve"> </v>
      </c>
      <c r="CC114" s="347" t="str">
        <f t="shared" si="252"/>
        <v xml:space="preserve"> </v>
      </c>
      <c r="CD114" s="348" t="str">
        <f t="shared" si="196"/>
        <v xml:space="preserve"> </v>
      </c>
      <c r="CE114" s="347" t="str">
        <f t="shared" si="197"/>
        <v xml:space="preserve"> </v>
      </c>
      <c r="CF114" s="347" t="str">
        <f t="shared" si="198"/>
        <v xml:space="preserve"> </v>
      </c>
      <c r="CG114" s="348" t="str">
        <f t="shared" si="199"/>
        <v xml:space="preserve"> </v>
      </c>
      <c r="CH114" s="347" t="str">
        <f t="shared" si="253"/>
        <v xml:space="preserve"> </v>
      </c>
      <c r="CI114" s="349" t="str">
        <f>IF($A114="N/A"," ",F114+G114+(D114*('Pricing Inputs'!T147)))</f>
        <v xml:space="preserve"> </v>
      </c>
      <c r="CJ114" s="347" t="str">
        <f>IF($A114="N/A"," ",IF(PV=1,0,'Pricing Inputs'!U147))</f>
        <v xml:space="preserve"> </v>
      </c>
      <c r="CK114" s="350" t="str">
        <f t="shared" si="200"/>
        <v xml:space="preserve"> </v>
      </c>
      <c r="CL114" s="365" t="str">
        <f t="shared" si="201"/>
        <v xml:space="preserve"> </v>
      </c>
      <c r="CM114" s="380" t="str">
        <f t="shared" si="254"/>
        <v xml:space="preserve"> </v>
      </c>
      <c r="CN114" s="378" t="str">
        <f t="shared" si="202"/>
        <v xml:space="preserve"> </v>
      </c>
      <c r="CO114" s="378" t="str">
        <f t="shared" si="203"/>
        <v xml:space="preserve"> </v>
      </c>
      <c r="CP114" s="378" t="str">
        <f t="shared" si="204"/>
        <v xml:space="preserve"> </v>
      </c>
      <c r="CQ114" s="378" t="str">
        <f t="shared" si="205"/>
        <v xml:space="preserve"> </v>
      </c>
      <c r="CR114" s="378" t="str">
        <f t="shared" si="206"/>
        <v xml:space="preserve"> </v>
      </c>
      <c r="CS114" s="378" t="str">
        <f t="shared" si="207"/>
        <v xml:space="preserve"> </v>
      </c>
      <c r="CT114" s="378" t="str">
        <f t="shared" si="208"/>
        <v xml:space="preserve"> </v>
      </c>
      <c r="CU114" s="378" t="str">
        <f t="shared" si="209"/>
        <v xml:space="preserve"> </v>
      </c>
      <c r="CV114" s="378" t="str">
        <f t="shared" si="210"/>
        <v xml:space="preserve"> </v>
      </c>
      <c r="CW114" s="254" t="str">
        <f t="shared" si="211"/>
        <v xml:space="preserve"> </v>
      </c>
      <c r="CX114" s="254" t="str">
        <f t="shared" si="212"/>
        <v xml:space="preserve"> </v>
      </c>
      <c r="CY114" s="254" t="str">
        <f t="shared" si="213"/>
        <v xml:space="preserve"> </v>
      </c>
      <c r="CZ114" s="254" t="str">
        <f t="shared" si="214"/>
        <v xml:space="preserve"> </v>
      </c>
      <c r="DA114" s="254" t="str">
        <f t="shared" si="215"/>
        <v xml:space="preserve"> </v>
      </c>
      <c r="DB114" s="254" t="str">
        <f t="shared" si="216"/>
        <v xml:space="preserve"> </v>
      </c>
      <c r="DC114" s="254" t="str">
        <f t="shared" si="217"/>
        <v xml:space="preserve"> </v>
      </c>
      <c r="DD114" s="254" t="str">
        <f t="shared" si="218"/>
        <v xml:space="preserve"> </v>
      </c>
      <c r="DE114" s="254" t="str">
        <f t="shared" si="219"/>
        <v xml:space="preserve"> </v>
      </c>
      <c r="DF114" s="374" t="str">
        <f>IF($A114="N/A"," ",IF(CC=2,(IF(MONTH(A114)&gt;=4,IF(MONTH(A114)&lt;=10,Inputs!$G$13,Inputs!$G$14),Inputs!$G$14))*$CK114,0))</f>
        <v xml:space="preserve"> </v>
      </c>
      <c r="DG114" s="373" t="str">
        <f t="shared" si="220"/>
        <v xml:space="preserve"> </v>
      </c>
      <c r="DH114" s="373" t="str">
        <f t="shared" si="221"/>
        <v xml:space="preserve"> </v>
      </c>
      <c r="DI114" s="373" t="str">
        <f t="shared" si="222"/>
        <v xml:space="preserve"> </v>
      </c>
      <c r="DJ114" s="373" t="str">
        <f t="shared" si="223"/>
        <v xml:space="preserve"> </v>
      </c>
      <c r="DK114" s="373" t="str">
        <f t="shared" si="224"/>
        <v xml:space="preserve"> </v>
      </c>
      <c r="DL114" s="373" t="str">
        <f t="shared" si="225"/>
        <v xml:space="preserve"> </v>
      </c>
      <c r="DM114" s="373" t="str">
        <f t="shared" si="226"/>
        <v xml:space="preserve"> </v>
      </c>
      <c r="DN114" s="373" t="str">
        <f t="shared" si="227"/>
        <v xml:space="preserve"> </v>
      </c>
      <c r="DO114" s="373" t="str">
        <f t="shared" si="228"/>
        <v xml:space="preserve"> </v>
      </c>
      <c r="DP114" s="375" t="str">
        <f t="shared" si="229"/>
        <v xml:space="preserve"> </v>
      </c>
      <c r="DQ114" t="str">
        <f t="shared" si="255"/>
        <v xml:space="preserve"> </v>
      </c>
      <c r="HD114" t="str">
        <f t="shared" si="256"/>
        <v xml:space="preserve"> </v>
      </c>
      <c r="HE114" t="str">
        <f t="shared" si="257"/>
        <v xml:space="preserve"> </v>
      </c>
      <c r="HF114" t="str">
        <f t="shared" si="258"/>
        <v xml:space="preserve"> </v>
      </c>
    </row>
    <row r="115" spans="1:214">
      <c r="A115" s="415" t="str">
        <f>IF(A114="N/A","N/A",IF(EDATE(A114,1)&gt;Inputs!$K$3,"N/A",EDATE(A114,1)))</f>
        <v>N/A</v>
      </c>
      <c r="B115" s="410" t="str">
        <f t="shared" si="230"/>
        <v xml:space="preserve"> </v>
      </c>
      <c r="C115" s="411" t="str">
        <f t="shared" si="231"/>
        <v xml:space="preserve"> </v>
      </c>
      <c r="D115" s="412" t="str">
        <f t="shared" si="232"/>
        <v xml:space="preserve"> </v>
      </c>
      <c r="E115" s="413" t="str">
        <f>IF($A115="N/A"," ",(C115-'Pricing Inputs'!T148)*D115)</f>
        <v xml:space="preserve"> </v>
      </c>
      <c r="F115" s="414" t="str">
        <f t="shared" si="281"/>
        <v xml:space="preserve"> </v>
      </c>
      <c r="G115" s="414" t="str">
        <f t="shared" si="233"/>
        <v xml:space="preserve"> </v>
      </c>
      <c r="H115" s="416" t="str">
        <f t="shared" si="234"/>
        <v xml:space="preserve"> </v>
      </c>
      <c r="I115" s="213" t="str">
        <f t="shared" si="183"/>
        <v xml:space="preserve"> </v>
      </c>
      <c r="J115" s="213" t="str">
        <f t="shared" si="184"/>
        <v xml:space="preserve"> </v>
      </c>
      <c r="K115" s="213" t="str">
        <f t="shared" si="185"/>
        <v xml:space="preserve"> </v>
      </c>
      <c r="L115" s="213" t="str">
        <f t="shared" si="186"/>
        <v xml:space="preserve"> </v>
      </c>
      <c r="M115" s="213" t="str">
        <f t="shared" si="187"/>
        <v xml:space="preserve"> </v>
      </c>
      <c r="N115" s="213" t="str">
        <f t="shared" si="188"/>
        <v xml:space="preserve"> </v>
      </c>
      <c r="O115" s="213" t="str">
        <f t="shared" si="189"/>
        <v xml:space="preserve"> </v>
      </c>
      <c r="P115" s="213" t="str">
        <f t="shared" si="190"/>
        <v xml:space="preserve"> </v>
      </c>
      <c r="Q115" s="213" t="str">
        <f t="shared" si="191"/>
        <v xml:space="preserve"> </v>
      </c>
      <c r="R115" s="405" t="str">
        <f>IF($A115="N/A"," ",IF(Pricetype=2,MAX(I115-$H115,0),IF(Pricetype=1,(_xll.xSPRDOPT(I115,$E115,$CI115,0,($CD115+IF(Smile=TRUE,VLOOKUP(MAX(-5,$H115-I115),Volsmile,2),0)),$CG115,$CH115,($A115-DateToday)+15,1,0)),I115-$H115)))</f>
        <v xml:space="preserve"> </v>
      </c>
      <c r="S115" s="405" t="str">
        <f>IF($A115="N/A"," ",IF(Pricetype=2,MAX(J115-$H115,0),IF(Pricetype=1,(_xll.xSPRDOPT(J115,$E115,$CI115,0,($CD115+IF(Smile=TRUE,VLOOKUP(MAX(-5,$H115-J115),Volsmile,2),0)),$CG115,$CH115,($A115-DateToday)+15,1,0)),J115-$H115)))</f>
        <v xml:space="preserve"> </v>
      </c>
      <c r="T115" s="406" t="str">
        <f t="shared" si="192"/>
        <v xml:space="preserve"> </v>
      </c>
      <c r="U115" s="405" t="str">
        <f>IF($A115="N/A"," ",IF(Pricetype=2,MAX(L115-$H115,0),IF(L115&lt;&gt;0,IF(Pricetype=1,(_xll.xSPRDOPT(L115,$E115,$CI115,0,($CD115+IF(Smile=TRUE,VLOOKUP(MAX(-5,$H115-L115),Volsmile,2),0)),$CG115,$CH115,($A115-DateToday)+15,1,0)),L115-$H115),0)))</f>
        <v xml:space="preserve"> </v>
      </c>
      <c r="V115" s="405" t="str">
        <f>IF($A115="N/A"," ",IF(Pricetype=2,MAX(M115-$H115,0),IF(M115&lt;&gt;0,IF(Pricetype=1,(_xll.xSPRDOPT(M115,$E115,$CI115,0,($CD115+IF(Smile=TRUE,VLOOKUP(MAX(-5,$H115-M115),Volsmile,2),0)),$CG115,$CH115,($A115-DateToday)+15,1,0)),M115-$H115),0)))</f>
        <v xml:space="preserve"> </v>
      </c>
      <c r="W115" s="406" t="str">
        <f t="shared" si="193"/>
        <v xml:space="preserve"> </v>
      </c>
      <c r="X115" s="405" t="str">
        <f>IF($A115="N/A"," ",IF(Pricetype=2,MAX(O115-$H115,0),IF(O115&lt;&gt;0,IF(Pricetype=1,(_xll.xSPRDOPT(O115,$E115,$CI115,0,($CD115+IF(Smile=TRUE,VLOOKUP(MAX(-5,$H115-O115),Volsmile,2),0)),$CG115,$CH115,($A115-DateToday)+15,1,0)),O115-$H115),0)))</f>
        <v xml:space="preserve"> </v>
      </c>
      <c r="Y115" s="405" t="str">
        <f>IF($A115="N/A"," ",IF(Pricetype=2,MAX(P115-$H115,0),IF(P115&lt;&gt;0,IF(Pricetype=1,(_xll.xSPRDOPT(P115,$E115,$CI115,0,($CD115+IF(Smile=TRUE,VLOOKUP(MAX(-5,$H115-P115),Volsmile,2),0)),$CG115,$CH115,($A115-DateToday)+15,1,0)),P115-$H115),0)))</f>
        <v xml:space="preserve"> </v>
      </c>
      <c r="Z115" s="406" t="str">
        <f t="shared" si="194"/>
        <v xml:space="preserve"> </v>
      </c>
      <c r="AA115" s="254" t="str">
        <f>IF($A115="N/A"," ",IF(VLOOKUP(MONTH(A115),ManualTable,2)=1,(IF(0&lt;&gt;R115,IF(Pricetype=1,(_xll.xSPRDOPT(I115,$E115,$CI115,0,($CD115+IF(Smile=TRUE,VLOOKUP(MAX(-5,$H115-I115),Volsmile,2),0)),$CG115,$CH115,($A115-DateToday)+15,1,1))*(8*$HD115),8*$HD115),0)),0))</f>
        <v xml:space="preserve"> </v>
      </c>
      <c r="AB115" s="254" t="str">
        <f>IF($A115="N/A"," ",IF(VLOOKUP(MONTH(A115),ManualTable,3)=1,(IF(S115&lt;&gt;0,IF(Pricetype=1,(_xll.xSPRDOPT(J115,$E115,$CI115,0,($CD115+IF(Smile=TRUE,VLOOKUP(MAX(-5,$H115-J115),Volsmile,2),0)),$CG115,$CH115,($A115-DateToday)+15,1,1))*(8*$HD115),8*$HD115),0)),0))</f>
        <v xml:space="preserve"> </v>
      </c>
      <c r="AC115" s="254" t="str">
        <f t="shared" si="235"/>
        <v xml:space="preserve"> </v>
      </c>
      <c r="AD115" s="254" t="str">
        <f>IF($A115="N/A"," ",IF(VLOOKUP(MONTH(A115),ManualTable,5)=1,(IF(U115&lt;&gt;0,IF(Pricetype=1,(_xll.xSPRDOPT(L115,$E115,$CI115,0,($CD115+IF(Smile=TRUE,VLOOKUP(MAX(-5,$H115-L115),Volsmile,2),0)),$CG115,$CH115,($A115-DateToday)+15,1,1))*(8*$HE115),8*$HE115),0)),0))</f>
        <v xml:space="preserve"> </v>
      </c>
      <c r="AE115" s="254" t="str">
        <f>IF($A115="N/A"," ",IF(VLOOKUP(MONTH(A115),ManualTable,6)=1,(IF(V115&lt;&gt;0,IF(Pricetype=1,(_xll.xSPRDOPT(M115,$E115,$CI115,0,($CD115+IF(Smile=TRUE,VLOOKUP(MAX(-5,$H115-M115),Volsmile,2),0)),$CG115,$CH115,($A115-DateToday)+15,1,1))*(8*$HE115),8*$HE115),0)),0))</f>
        <v xml:space="preserve"> </v>
      </c>
      <c r="AF115" s="254" t="str">
        <f t="shared" si="236"/>
        <v xml:space="preserve"> </v>
      </c>
      <c r="AG115" s="254" t="str">
        <f>IF($A115="N/A"," ",IF(VLOOKUP(MONTH(A115),ManualTable,8)=1,(IF(X115&lt;&gt;0,IF(Pricetype=1,(_xll.xSPRDOPT(O115,$E115,$CI115,0,($CD115+IF(Smile=TRUE,VLOOKUP(MAX(-5,$H115-O115),Volsmile,2),0)),$CG115,$CH115,($A115-DateToday)+15,1,1))*(8*$HF115),8*$HF115),0)),0))</f>
        <v xml:space="preserve"> </v>
      </c>
      <c r="AH115" s="254" t="str">
        <f>IF($A115="N/A"," ",IF(VLOOKUP(MONTH(A115),ManualTable,9)=1,(IF(Y115&lt;&gt;0,IF(Pricetype=1,(_xll.xSPRDOPT(P115,$E115,$CI115,0,($CD115+IF(Smile=TRUE,VLOOKUP(MAX(-5,$H115-P115),Volsmile,2),0)),$CG115,$CH115,($A115-DateToday)+15,1,1))*(8*$HF115),8*$HF115),0)),0))</f>
        <v xml:space="preserve"> </v>
      </c>
      <c r="AI115" s="254" t="str">
        <f t="shared" si="237"/>
        <v xml:space="preserve"> </v>
      </c>
      <c r="AJ115" s="227" t="str">
        <f t="shared" si="320"/>
        <v xml:space="preserve"> </v>
      </c>
      <c r="AK115" s="228" t="str">
        <f t="shared" si="321"/>
        <v xml:space="preserve"> </v>
      </c>
      <c r="AL115" s="228" t="str">
        <f t="shared" si="321"/>
        <v xml:space="preserve"> </v>
      </c>
      <c r="AM115" s="228" t="str">
        <f t="shared" si="322"/>
        <v xml:space="preserve"> </v>
      </c>
      <c r="AN115" s="228" t="str">
        <f t="shared" si="323"/>
        <v xml:space="preserve"> </v>
      </c>
      <c r="AO115" s="228" t="str">
        <f t="shared" si="323"/>
        <v xml:space="preserve"> </v>
      </c>
      <c r="AP115" s="228" t="str">
        <f t="shared" si="324"/>
        <v xml:space="preserve"> </v>
      </c>
      <c r="AQ115" s="228" t="str">
        <f t="shared" si="325"/>
        <v xml:space="preserve"> </v>
      </c>
      <c r="AR115" s="229" t="str">
        <f t="shared" si="326"/>
        <v xml:space="preserve"> </v>
      </c>
      <c r="AS115" s="262" t="str">
        <f t="shared" si="274"/>
        <v xml:space="preserve"> </v>
      </c>
      <c r="AT115" s="263" t="str">
        <f t="shared" si="275"/>
        <v xml:space="preserve"> </v>
      </c>
      <c r="AU115" s="263" t="str">
        <f t="shared" si="275"/>
        <v xml:space="preserve"> </v>
      </c>
      <c r="AV115" s="263" t="str">
        <f t="shared" si="276"/>
        <v xml:space="preserve"> </v>
      </c>
      <c r="AW115" s="263" t="str">
        <f t="shared" si="277"/>
        <v xml:space="preserve"> </v>
      </c>
      <c r="AX115" s="263" t="str">
        <f t="shared" si="277"/>
        <v xml:space="preserve"> </v>
      </c>
      <c r="AY115" s="263" t="str">
        <f t="shared" si="278"/>
        <v xml:space="preserve"> </v>
      </c>
      <c r="AZ115" s="263" t="str">
        <f t="shared" si="279"/>
        <v xml:space="preserve"> </v>
      </c>
      <c r="BA115" s="263" t="str">
        <f t="shared" si="280"/>
        <v xml:space="preserve"> </v>
      </c>
      <c r="BB115" s="229"/>
      <c r="BC115" s="266" t="str">
        <f t="shared" si="313"/>
        <v xml:space="preserve"> </v>
      </c>
      <c r="BD115" s="269" t="str">
        <f t="shared" si="314"/>
        <v xml:space="preserve"> </v>
      </c>
      <c r="BE115" s="269" t="str">
        <f t="shared" si="314"/>
        <v xml:space="preserve"> </v>
      </c>
      <c r="BF115" s="269" t="str">
        <f t="shared" si="315"/>
        <v xml:space="preserve"> </v>
      </c>
      <c r="BG115" s="269" t="str">
        <f t="shared" si="316"/>
        <v xml:space="preserve"> </v>
      </c>
      <c r="BH115" s="269" t="str">
        <f t="shared" si="316"/>
        <v xml:space="preserve"> </v>
      </c>
      <c r="BI115" s="269" t="str">
        <f t="shared" si="317"/>
        <v xml:space="preserve"> </v>
      </c>
      <c r="BJ115" s="269" t="str">
        <f t="shared" si="318"/>
        <v xml:space="preserve"> </v>
      </c>
      <c r="BK115" s="269" t="str">
        <f t="shared" si="319"/>
        <v xml:space="preserve"> </v>
      </c>
      <c r="BL115" s="229"/>
      <c r="BM115" s="220" t="str">
        <f>IF($A115="N/A"," ",(IF(MONTH(A115)&gt;=4,IF(MONTH(A115)&lt;=10,Inputs!$F$13-Inputs!$G$13,Inputs!$F$14-Inputs!$G$14),Inputs!$F$14-Inputs!$G$14))*$CK115*Availability)</f>
        <v xml:space="preserve"> </v>
      </c>
      <c r="BN115" s="221" t="str">
        <f t="shared" si="238"/>
        <v xml:space="preserve"> </v>
      </c>
      <c r="BO115" s="221" t="str">
        <f t="shared" si="239"/>
        <v xml:space="preserve"> </v>
      </c>
      <c r="BP115" s="221" t="str">
        <f t="shared" si="240"/>
        <v xml:space="preserve"> </v>
      </c>
      <c r="BQ115" s="221" t="str">
        <f t="shared" si="241"/>
        <v xml:space="preserve"> </v>
      </c>
      <c r="BR115" s="221" t="str">
        <f t="shared" si="242"/>
        <v xml:space="preserve"> </v>
      </c>
      <c r="BS115" s="221" t="str">
        <f t="shared" si="243"/>
        <v xml:space="preserve"> </v>
      </c>
      <c r="BT115" s="221" t="str">
        <f t="shared" si="244"/>
        <v xml:space="preserve"> </v>
      </c>
      <c r="BU115" s="221" t="str">
        <f t="shared" si="245"/>
        <v xml:space="preserve"> </v>
      </c>
      <c r="BV115" s="221" t="str">
        <f t="shared" si="246"/>
        <v xml:space="preserve"> </v>
      </c>
      <c r="BW115" s="221" t="str">
        <f t="shared" si="247"/>
        <v xml:space="preserve"> </v>
      </c>
      <c r="BX115" s="421" t="str">
        <f t="shared" si="248"/>
        <v xml:space="preserve"> </v>
      </c>
      <c r="BY115" s="417" t="str">
        <f t="shared" si="249"/>
        <v xml:space="preserve"> </v>
      </c>
      <c r="BZ115" s="417" t="str">
        <f t="shared" si="250"/>
        <v xml:space="preserve"> </v>
      </c>
      <c r="CA115" s="422" t="str">
        <f t="shared" si="251"/>
        <v xml:space="preserve"> </v>
      </c>
      <c r="CB115" s="347" t="str">
        <f t="shared" si="195"/>
        <v xml:space="preserve"> </v>
      </c>
      <c r="CC115" s="347" t="str">
        <f t="shared" si="252"/>
        <v xml:space="preserve"> </v>
      </c>
      <c r="CD115" s="348" t="str">
        <f t="shared" si="196"/>
        <v xml:space="preserve"> </v>
      </c>
      <c r="CE115" s="347" t="str">
        <f t="shared" si="197"/>
        <v xml:space="preserve"> </v>
      </c>
      <c r="CF115" s="347" t="str">
        <f t="shared" si="198"/>
        <v xml:space="preserve"> </v>
      </c>
      <c r="CG115" s="348" t="str">
        <f t="shared" si="199"/>
        <v xml:space="preserve"> </v>
      </c>
      <c r="CH115" s="347" t="str">
        <f t="shared" si="253"/>
        <v xml:space="preserve"> </v>
      </c>
      <c r="CI115" s="349" t="str">
        <f>IF($A115="N/A"," ",F115+G115+(D115*('Pricing Inputs'!T148)))</f>
        <v xml:space="preserve"> </v>
      </c>
      <c r="CJ115" s="347" t="str">
        <f>IF($A115="N/A"," ",IF(PV=1,0,'Pricing Inputs'!U148))</f>
        <v xml:space="preserve"> </v>
      </c>
      <c r="CK115" s="350" t="str">
        <f t="shared" si="200"/>
        <v xml:space="preserve"> </v>
      </c>
      <c r="CL115" s="365" t="str">
        <f t="shared" si="201"/>
        <v xml:space="preserve"> </v>
      </c>
      <c r="CM115" s="380" t="str">
        <f t="shared" si="254"/>
        <v xml:space="preserve"> </v>
      </c>
      <c r="CN115" s="378" t="str">
        <f t="shared" si="202"/>
        <v xml:space="preserve"> </v>
      </c>
      <c r="CO115" s="378" t="str">
        <f t="shared" si="203"/>
        <v xml:space="preserve"> </v>
      </c>
      <c r="CP115" s="378" t="str">
        <f t="shared" si="204"/>
        <v xml:space="preserve"> </v>
      </c>
      <c r="CQ115" s="378" t="str">
        <f t="shared" si="205"/>
        <v xml:space="preserve"> </v>
      </c>
      <c r="CR115" s="378" t="str">
        <f t="shared" si="206"/>
        <v xml:space="preserve"> </v>
      </c>
      <c r="CS115" s="378" t="str">
        <f t="shared" si="207"/>
        <v xml:space="preserve"> </v>
      </c>
      <c r="CT115" s="378" t="str">
        <f t="shared" si="208"/>
        <v xml:space="preserve"> </v>
      </c>
      <c r="CU115" s="378" t="str">
        <f t="shared" si="209"/>
        <v xml:space="preserve"> </v>
      </c>
      <c r="CV115" s="378" t="str">
        <f t="shared" si="210"/>
        <v xml:space="preserve"> </v>
      </c>
      <c r="CW115" s="254" t="str">
        <f t="shared" si="211"/>
        <v xml:space="preserve"> </v>
      </c>
      <c r="CX115" s="254" t="str">
        <f t="shared" si="212"/>
        <v xml:space="preserve"> </v>
      </c>
      <c r="CY115" s="254" t="str">
        <f t="shared" si="213"/>
        <v xml:space="preserve"> </v>
      </c>
      <c r="CZ115" s="254" t="str">
        <f t="shared" si="214"/>
        <v xml:space="preserve"> </v>
      </c>
      <c r="DA115" s="254" t="str">
        <f t="shared" si="215"/>
        <v xml:space="preserve"> </v>
      </c>
      <c r="DB115" s="254" t="str">
        <f t="shared" si="216"/>
        <v xml:space="preserve"> </v>
      </c>
      <c r="DC115" s="254" t="str">
        <f t="shared" si="217"/>
        <v xml:space="preserve"> </v>
      </c>
      <c r="DD115" s="254" t="str">
        <f t="shared" si="218"/>
        <v xml:space="preserve"> </v>
      </c>
      <c r="DE115" s="254" t="str">
        <f t="shared" si="219"/>
        <v xml:space="preserve"> </v>
      </c>
      <c r="DF115" s="374" t="str">
        <f>IF($A115="N/A"," ",IF(CC=2,(IF(MONTH(A115)&gt;=4,IF(MONTH(A115)&lt;=10,Inputs!$G$13,Inputs!$G$14),Inputs!$G$14))*$CK115,0))</f>
        <v xml:space="preserve"> </v>
      </c>
      <c r="DG115" s="373" t="str">
        <f t="shared" si="220"/>
        <v xml:space="preserve"> </v>
      </c>
      <c r="DH115" s="373" t="str">
        <f t="shared" si="221"/>
        <v xml:space="preserve"> </v>
      </c>
      <c r="DI115" s="373" t="str">
        <f t="shared" si="222"/>
        <v xml:space="preserve"> </v>
      </c>
      <c r="DJ115" s="373" t="str">
        <f t="shared" si="223"/>
        <v xml:space="preserve"> </v>
      </c>
      <c r="DK115" s="373" t="str">
        <f t="shared" si="224"/>
        <v xml:space="preserve"> </v>
      </c>
      <c r="DL115" s="373" t="str">
        <f t="shared" si="225"/>
        <v xml:space="preserve"> </v>
      </c>
      <c r="DM115" s="373" t="str">
        <f t="shared" si="226"/>
        <v xml:space="preserve"> </v>
      </c>
      <c r="DN115" s="373" t="str">
        <f t="shared" si="227"/>
        <v xml:space="preserve"> </v>
      </c>
      <c r="DO115" s="373" t="str">
        <f t="shared" si="228"/>
        <v xml:space="preserve"> </v>
      </c>
      <c r="DP115" s="375" t="str">
        <f t="shared" si="229"/>
        <v xml:space="preserve"> </v>
      </c>
      <c r="DQ115" t="str">
        <f t="shared" si="255"/>
        <v xml:space="preserve"> </v>
      </c>
      <c r="HD115" t="str">
        <f t="shared" si="256"/>
        <v xml:space="preserve"> </v>
      </c>
      <c r="HE115" t="str">
        <f t="shared" si="257"/>
        <v xml:space="preserve"> </v>
      </c>
      <c r="HF115" t="str">
        <f t="shared" si="258"/>
        <v xml:space="preserve"> </v>
      </c>
    </row>
    <row r="116" spans="1:214">
      <c r="A116" s="415" t="str">
        <f>IF(A115="N/A","N/A",IF(EDATE(A115,1)&gt;Inputs!$K$3,"N/A",EDATE(A115,1)))</f>
        <v>N/A</v>
      </c>
      <c r="B116" s="410" t="str">
        <f t="shared" si="230"/>
        <v xml:space="preserve"> </v>
      </c>
      <c r="C116" s="411" t="str">
        <f t="shared" si="231"/>
        <v xml:space="preserve"> </v>
      </c>
      <c r="D116" s="412" t="str">
        <f t="shared" si="232"/>
        <v xml:space="preserve"> </v>
      </c>
      <c r="E116" s="413" t="str">
        <f>IF($A116="N/A"," ",(C116-'Pricing Inputs'!T149)*D116)</f>
        <v xml:space="preserve"> </v>
      </c>
      <c r="F116" s="414" t="str">
        <f t="shared" si="281"/>
        <v xml:space="preserve"> </v>
      </c>
      <c r="G116" s="414" t="str">
        <f t="shared" si="233"/>
        <v xml:space="preserve"> </v>
      </c>
      <c r="H116" s="416" t="str">
        <f t="shared" si="234"/>
        <v xml:space="preserve"> </v>
      </c>
      <c r="I116" s="213" t="str">
        <f t="shared" si="183"/>
        <v xml:space="preserve"> </v>
      </c>
      <c r="J116" s="213" t="str">
        <f t="shared" si="184"/>
        <v xml:space="preserve"> </v>
      </c>
      <c r="K116" s="213" t="str">
        <f t="shared" si="185"/>
        <v xml:space="preserve"> </v>
      </c>
      <c r="L116" s="213" t="str">
        <f t="shared" si="186"/>
        <v xml:space="preserve"> </v>
      </c>
      <c r="M116" s="213" t="str">
        <f t="shared" si="187"/>
        <v xml:space="preserve"> </v>
      </c>
      <c r="N116" s="213" t="str">
        <f t="shared" si="188"/>
        <v xml:space="preserve"> </v>
      </c>
      <c r="O116" s="213" t="str">
        <f t="shared" si="189"/>
        <v xml:space="preserve"> </v>
      </c>
      <c r="P116" s="213" t="str">
        <f t="shared" si="190"/>
        <v xml:space="preserve"> </v>
      </c>
      <c r="Q116" s="213" t="str">
        <f t="shared" si="191"/>
        <v xml:space="preserve"> </v>
      </c>
      <c r="R116" s="405" t="str">
        <f>IF($A116="N/A"," ",IF(Pricetype=2,MAX(I116-$H116,0),IF(Pricetype=1,(_xll.xSPRDOPT(I116,$E116,$CI116,0,($CD116+IF(Smile=TRUE,VLOOKUP(MAX(-5,$H116-I116),Volsmile,2),0)),$CG116,$CH116,($A116-DateToday)+15,1,0)),I116-$H116)))</f>
        <v xml:space="preserve"> </v>
      </c>
      <c r="S116" s="405" t="str">
        <f>IF($A116="N/A"," ",IF(Pricetype=2,MAX(J116-$H116,0),IF(Pricetype=1,(_xll.xSPRDOPT(J116,$E116,$CI116,0,($CD116+IF(Smile=TRUE,VLOOKUP(MAX(-5,$H116-J116),Volsmile,2),0)),$CG116,$CH116,($A116-DateToday)+15,1,0)),J116-$H116)))</f>
        <v xml:space="preserve"> </v>
      </c>
      <c r="T116" s="406" t="str">
        <f t="shared" si="192"/>
        <v xml:space="preserve"> </v>
      </c>
      <c r="U116" s="405" t="str">
        <f>IF($A116="N/A"," ",IF(Pricetype=2,MAX(L116-$H116,0),IF(L116&lt;&gt;0,IF(Pricetype=1,(_xll.xSPRDOPT(L116,$E116,$CI116,0,($CD116+IF(Smile=TRUE,VLOOKUP(MAX(-5,$H116-L116),Volsmile,2),0)),$CG116,$CH116,($A116-DateToday)+15,1,0)),L116-$H116),0)))</f>
        <v xml:space="preserve"> </v>
      </c>
      <c r="V116" s="405" t="str">
        <f>IF($A116="N/A"," ",IF(Pricetype=2,MAX(M116-$H116,0),IF(M116&lt;&gt;0,IF(Pricetype=1,(_xll.xSPRDOPT(M116,$E116,$CI116,0,($CD116+IF(Smile=TRUE,VLOOKUP(MAX(-5,$H116-M116),Volsmile,2),0)),$CG116,$CH116,($A116-DateToday)+15,1,0)),M116-$H116),0)))</f>
        <v xml:space="preserve"> </v>
      </c>
      <c r="W116" s="406" t="str">
        <f t="shared" si="193"/>
        <v xml:space="preserve"> </v>
      </c>
      <c r="X116" s="405" t="str">
        <f>IF($A116="N/A"," ",IF(Pricetype=2,MAX(O116-$H116,0),IF(O116&lt;&gt;0,IF(Pricetype=1,(_xll.xSPRDOPT(O116,$E116,$CI116,0,($CD116+IF(Smile=TRUE,VLOOKUP(MAX(-5,$H116-O116),Volsmile,2),0)),$CG116,$CH116,($A116-DateToday)+15,1,0)),O116-$H116),0)))</f>
        <v xml:space="preserve"> </v>
      </c>
      <c r="Y116" s="405" t="str">
        <f>IF($A116="N/A"," ",IF(Pricetype=2,MAX(P116-$H116,0),IF(P116&lt;&gt;0,IF(Pricetype=1,(_xll.xSPRDOPT(P116,$E116,$CI116,0,($CD116+IF(Smile=TRUE,VLOOKUP(MAX(-5,$H116-P116),Volsmile,2),0)),$CG116,$CH116,($A116-DateToday)+15,1,0)),P116-$H116),0)))</f>
        <v xml:space="preserve"> </v>
      </c>
      <c r="Z116" s="406" t="str">
        <f t="shared" si="194"/>
        <v xml:space="preserve"> </v>
      </c>
      <c r="AA116" s="254" t="str">
        <f>IF($A116="N/A"," ",IF(VLOOKUP(MONTH(A116),ManualTable,2)=1,(IF(0&lt;&gt;R116,IF(Pricetype=1,(_xll.xSPRDOPT(I116,$E116,$CI116,0,($CD116+IF(Smile=TRUE,VLOOKUP(MAX(-5,$H116-I116),Volsmile,2),0)),$CG116,$CH116,($A116-DateToday)+15,1,1))*(8*$HD116),8*$HD116),0)),0))</f>
        <v xml:space="preserve"> </v>
      </c>
      <c r="AB116" s="254" t="str">
        <f>IF($A116="N/A"," ",IF(VLOOKUP(MONTH(A116),ManualTable,3)=1,(IF(S116&lt;&gt;0,IF(Pricetype=1,(_xll.xSPRDOPT(J116,$E116,$CI116,0,($CD116+IF(Smile=TRUE,VLOOKUP(MAX(-5,$H116-J116),Volsmile,2),0)),$CG116,$CH116,($A116-DateToday)+15,1,1))*(8*$HD116),8*$HD116),0)),0))</f>
        <v xml:space="preserve"> </v>
      </c>
      <c r="AC116" s="254" t="str">
        <f t="shared" si="235"/>
        <v xml:space="preserve"> </v>
      </c>
      <c r="AD116" s="254" t="str">
        <f>IF($A116="N/A"," ",IF(VLOOKUP(MONTH(A116),ManualTable,5)=1,(IF(U116&lt;&gt;0,IF(Pricetype=1,(_xll.xSPRDOPT(L116,$E116,$CI116,0,($CD116+IF(Smile=TRUE,VLOOKUP(MAX(-5,$H116-L116),Volsmile,2),0)),$CG116,$CH116,($A116-DateToday)+15,1,1))*(8*$HE116),8*$HE116),0)),0))</f>
        <v xml:space="preserve"> </v>
      </c>
      <c r="AE116" s="254" t="str">
        <f>IF($A116="N/A"," ",IF(VLOOKUP(MONTH(A116),ManualTable,6)=1,(IF(V116&lt;&gt;0,IF(Pricetype=1,(_xll.xSPRDOPT(M116,$E116,$CI116,0,($CD116+IF(Smile=TRUE,VLOOKUP(MAX(-5,$H116-M116),Volsmile,2),0)),$CG116,$CH116,($A116-DateToday)+15,1,1))*(8*$HE116),8*$HE116),0)),0))</f>
        <v xml:space="preserve"> </v>
      </c>
      <c r="AF116" s="254" t="str">
        <f t="shared" si="236"/>
        <v xml:space="preserve"> </v>
      </c>
      <c r="AG116" s="254" t="str">
        <f>IF($A116="N/A"," ",IF(VLOOKUP(MONTH(A116),ManualTable,8)=1,(IF(X116&lt;&gt;0,IF(Pricetype=1,(_xll.xSPRDOPT(O116,$E116,$CI116,0,($CD116+IF(Smile=TRUE,VLOOKUP(MAX(-5,$H116-O116),Volsmile,2),0)),$CG116,$CH116,($A116-DateToday)+15,1,1))*(8*$HF116),8*$HF116),0)),0))</f>
        <v xml:space="preserve"> </v>
      </c>
      <c r="AH116" s="254" t="str">
        <f>IF($A116="N/A"," ",IF(VLOOKUP(MONTH(A116),ManualTable,9)=1,(IF(Y116&lt;&gt;0,IF(Pricetype=1,(_xll.xSPRDOPT(P116,$E116,$CI116,0,($CD116+IF(Smile=TRUE,VLOOKUP(MAX(-5,$H116-P116),Volsmile,2),0)),$CG116,$CH116,($A116-DateToday)+15,1,1))*(8*$HF116),8*$HF116),0)),0))</f>
        <v xml:space="preserve"> </v>
      </c>
      <c r="AI116" s="254" t="str">
        <f t="shared" si="237"/>
        <v xml:space="preserve"> </v>
      </c>
      <c r="AJ116" s="227" t="str">
        <f t="shared" si="320"/>
        <v xml:space="preserve"> </v>
      </c>
      <c r="AK116" s="228" t="str">
        <f t="shared" si="321"/>
        <v xml:space="preserve"> </v>
      </c>
      <c r="AL116" s="228" t="str">
        <f t="shared" si="321"/>
        <v xml:space="preserve"> </v>
      </c>
      <c r="AM116" s="228" t="str">
        <f t="shared" si="322"/>
        <v xml:space="preserve"> </v>
      </c>
      <c r="AN116" s="228" t="str">
        <f t="shared" si="323"/>
        <v xml:space="preserve"> </v>
      </c>
      <c r="AO116" s="228" t="str">
        <f t="shared" si="323"/>
        <v xml:space="preserve"> </v>
      </c>
      <c r="AP116" s="228" t="str">
        <f t="shared" si="324"/>
        <v xml:space="preserve"> </v>
      </c>
      <c r="AQ116" s="228" t="str">
        <f t="shared" si="325"/>
        <v xml:space="preserve"> </v>
      </c>
      <c r="AR116" s="229" t="str">
        <f t="shared" si="326"/>
        <v xml:space="preserve"> </v>
      </c>
      <c r="AS116" s="262" t="str">
        <f t="shared" si="274"/>
        <v xml:space="preserve"> </v>
      </c>
      <c r="AT116" s="263" t="str">
        <f t="shared" si="275"/>
        <v xml:space="preserve"> </v>
      </c>
      <c r="AU116" s="263" t="str">
        <f t="shared" si="275"/>
        <v xml:space="preserve"> </v>
      </c>
      <c r="AV116" s="263" t="str">
        <f t="shared" si="276"/>
        <v xml:space="preserve"> </v>
      </c>
      <c r="AW116" s="263" t="str">
        <f t="shared" si="277"/>
        <v xml:space="preserve"> </v>
      </c>
      <c r="AX116" s="263" t="str">
        <f t="shared" si="277"/>
        <v xml:space="preserve"> </v>
      </c>
      <c r="AY116" s="263" t="str">
        <f t="shared" si="278"/>
        <v xml:space="preserve"> </v>
      </c>
      <c r="AZ116" s="263" t="str">
        <f t="shared" si="279"/>
        <v xml:space="preserve"> </v>
      </c>
      <c r="BA116" s="263" t="str">
        <f t="shared" si="280"/>
        <v xml:space="preserve"> </v>
      </c>
      <c r="BB116" s="229"/>
      <c r="BC116" s="266" t="str">
        <f t="shared" si="313"/>
        <v xml:space="preserve"> </v>
      </c>
      <c r="BD116" s="269" t="str">
        <f t="shared" si="314"/>
        <v xml:space="preserve"> </v>
      </c>
      <c r="BE116" s="269" t="str">
        <f t="shared" si="314"/>
        <v xml:space="preserve"> </v>
      </c>
      <c r="BF116" s="269" t="str">
        <f t="shared" si="315"/>
        <v xml:space="preserve"> </v>
      </c>
      <c r="BG116" s="269" t="str">
        <f t="shared" si="316"/>
        <v xml:space="preserve"> </v>
      </c>
      <c r="BH116" s="269" t="str">
        <f t="shared" si="316"/>
        <v xml:space="preserve"> </v>
      </c>
      <c r="BI116" s="269" t="str">
        <f t="shared" si="317"/>
        <v xml:space="preserve"> </v>
      </c>
      <c r="BJ116" s="269" t="str">
        <f t="shared" si="318"/>
        <v xml:space="preserve"> </v>
      </c>
      <c r="BK116" s="269" t="str">
        <f t="shared" si="319"/>
        <v xml:space="preserve"> </v>
      </c>
      <c r="BL116" s="229"/>
      <c r="BM116" s="220" t="str">
        <f>IF($A116="N/A"," ",(IF(MONTH(A116)&gt;=4,IF(MONTH(A116)&lt;=10,Inputs!$F$13-Inputs!$G$13,Inputs!$F$14-Inputs!$G$14),Inputs!$F$14-Inputs!$G$14))*$CK116*Availability)</f>
        <v xml:space="preserve"> </v>
      </c>
      <c r="BN116" s="221" t="str">
        <f t="shared" si="238"/>
        <v xml:space="preserve"> </v>
      </c>
      <c r="BO116" s="221" t="str">
        <f t="shared" si="239"/>
        <v xml:space="preserve"> </v>
      </c>
      <c r="BP116" s="221" t="str">
        <f t="shared" si="240"/>
        <v xml:space="preserve"> </v>
      </c>
      <c r="BQ116" s="221" t="str">
        <f t="shared" si="241"/>
        <v xml:space="preserve"> </v>
      </c>
      <c r="BR116" s="221" t="str">
        <f t="shared" si="242"/>
        <v xml:space="preserve"> </v>
      </c>
      <c r="BS116" s="221" t="str">
        <f t="shared" si="243"/>
        <v xml:space="preserve"> </v>
      </c>
      <c r="BT116" s="221" t="str">
        <f t="shared" si="244"/>
        <v xml:space="preserve"> </v>
      </c>
      <c r="BU116" s="221" t="str">
        <f t="shared" si="245"/>
        <v xml:space="preserve"> </v>
      </c>
      <c r="BV116" s="221" t="str">
        <f t="shared" si="246"/>
        <v xml:space="preserve"> </v>
      </c>
      <c r="BW116" s="221" t="str">
        <f t="shared" si="247"/>
        <v xml:space="preserve"> </v>
      </c>
      <c r="BX116" s="421" t="str">
        <f t="shared" si="248"/>
        <v xml:space="preserve"> </v>
      </c>
      <c r="BY116" s="417" t="str">
        <f t="shared" si="249"/>
        <v xml:space="preserve"> </v>
      </c>
      <c r="BZ116" s="417" t="str">
        <f t="shared" si="250"/>
        <v xml:space="preserve"> </v>
      </c>
      <c r="CA116" s="422" t="str">
        <f t="shared" si="251"/>
        <v xml:space="preserve"> </v>
      </c>
      <c r="CB116" s="347" t="str">
        <f t="shared" si="195"/>
        <v xml:space="preserve"> </v>
      </c>
      <c r="CC116" s="347" t="str">
        <f t="shared" si="252"/>
        <v xml:space="preserve"> </v>
      </c>
      <c r="CD116" s="348" t="str">
        <f t="shared" si="196"/>
        <v xml:space="preserve"> </v>
      </c>
      <c r="CE116" s="347" t="str">
        <f t="shared" si="197"/>
        <v xml:space="preserve"> </v>
      </c>
      <c r="CF116" s="347" t="str">
        <f t="shared" si="198"/>
        <v xml:space="preserve"> </v>
      </c>
      <c r="CG116" s="348" t="str">
        <f t="shared" si="199"/>
        <v xml:space="preserve"> </v>
      </c>
      <c r="CH116" s="347" t="str">
        <f t="shared" si="253"/>
        <v xml:space="preserve"> </v>
      </c>
      <c r="CI116" s="349" t="str">
        <f>IF($A116="N/A"," ",F116+G116+(D116*('Pricing Inputs'!T149)))</f>
        <v xml:space="preserve"> </v>
      </c>
      <c r="CJ116" s="347" t="str">
        <f>IF($A116="N/A"," ",IF(PV=1,0,'Pricing Inputs'!U149))</f>
        <v xml:space="preserve"> </v>
      </c>
      <c r="CK116" s="350" t="str">
        <f t="shared" si="200"/>
        <v xml:space="preserve"> </v>
      </c>
      <c r="CL116" s="365" t="str">
        <f t="shared" si="201"/>
        <v xml:space="preserve"> </v>
      </c>
      <c r="CM116" s="380" t="str">
        <f t="shared" si="254"/>
        <v xml:space="preserve"> </v>
      </c>
      <c r="CN116" s="378" t="str">
        <f t="shared" si="202"/>
        <v xml:space="preserve"> </v>
      </c>
      <c r="CO116" s="378" t="str">
        <f t="shared" si="203"/>
        <v xml:space="preserve"> </v>
      </c>
      <c r="CP116" s="378" t="str">
        <f t="shared" si="204"/>
        <v xml:space="preserve"> </v>
      </c>
      <c r="CQ116" s="378" t="str">
        <f t="shared" si="205"/>
        <v xml:space="preserve"> </v>
      </c>
      <c r="CR116" s="378" t="str">
        <f t="shared" si="206"/>
        <v xml:space="preserve"> </v>
      </c>
      <c r="CS116" s="378" t="str">
        <f t="shared" si="207"/>
        <v xml:space="preserve"> </v>
      </c>
      <c r="CT116" s="378" t="str">
        <f t="shared" si="208"/>
        <v xml:space="preserve"> </v>
      </c>
      <c r="CU116" s="378" t="str">
        <f t="shared" si="209"/>
        <v xml:space="preserve"> </v>
      </c>
      <c r="CV116" s="378" t="str">
        <f t="shared" si="210"/>
        <v xml:space="preserve"> </v>
      </c>
      <c r="CW116" s="254" t="str">
        <f t="shared" si="211"/>
        <v xml:space="preserve"> </v>
      </c>
      <c r="CX116" s="254" t="str">
        <f t="shared" si="212"/>
        <v xml:space="preserve"> </v>
      </c>
      <c r="CY116" s="254" t="str">
        <f t="shared" si="213"/>
        <v xml:space="preserve"> </v>
      </c>
      <c r="CZ116" s="254" t="str">
        <f t="shared" si="214"/>
        <v xml:space="preserve"> </v>
      </c>
      <c r="DA116" s="254" t="str">
        <f t="shared" si="215"/>
        <v xml:space="preserve"> </v>
      </c>
      <c r="DB116" s="254" t="str">
        <f t="shared" si="216"/>
        <v xml:space="preserve"> </v>
      </c>
      <c r="DC116" s="254" t="str">
        <f t="shared" si="217"/>
        <v xml:space="preserve"> </v>
      </c>
      <c r="DD116" s="254" t="str">
        <f t="shared" si="218"/>
        <v xml:space="preserve"> </v>
      </c>
      <c r="DE116" s="254" t="str">
        <f t="shared" si="219"/>
        <v xml:space="preserve"> </v>
      </c>
      <c r="DF116" s="374" t="str">
        <f>IF($A116="N/A"," ",IF(CC=2,(IF(MONTH(A116)&gt;=4,IF(MONTH(A116)&lt;=10,Inputs!$G$13,Inputs!$G$14),Inputs!$G$14))*$CK116,0))</f>
        <v xml:space="preserve"> </v>
      </c>
      <c r="DG116" s="373" t="str">
        <f t="shared" si="220"/>
        <v xml:space="preserve"> </v>
      </c>
      <c r="DH116" s="373" t="str">
        <f t="shared" si="221"/>
        <v xml:space="preserve"> </v>
      </c>
      <c r="DI116" s="373" t="str">
        <f t="shared" si="222"/>
        <v xml:space="preserve"> </v>
      </c>
      <c r="DJ116" s="373" t="str">
        <f t="shared" si="223"/>
        <v xml:space="preserve"> </v>
      </c>
      <c r="DK116" s="373" t="str">
        <f t="shared" si="224"/>
        <v xml:space="preserve"> </v>
      </c>
      <c r="DL116" s="373" t="str">
        <f t="shared" si="225"/>
        <v xml:space="preserve"> </v>
      </c>
      <c r="DM116" s="373" t="str">
        <f t="shared" si="226"/>
        <v xml:space="preserve"> </v>
      </c>
      <c r="DN116" s="373" t="str">
        <f t="shared" si="227"/>
        <v xml:space="preserve"> </v>
      </c>
      <c r="DO116" s="373" t="str">
        <f t="shared" si="228"/>
        <v xml:space="preserve"> </v>
      </c>
      <c r="DP116" s="375" t="str">
        <f t="shared" si="229"/>
        <v xml:space="preserve"> </v>
      </c>
      <c r="DQ116" t="str">
        <f t="shared" si="255"/>
        <v xml:space="preserve"> </v>
      </c>
      <c r="HD116" t="str">
        <f t="shared" si="256"/>
        <v xml:space="preserve"> </v>
      </c>
      <c r="HE116" t="str">
        <f t="shared" si="257"/>
        <v xml:space="preserve"> </v>
      </c>
      <c r="HF116" t="str">
        <f t="shared" si="258"/>
        <v xml:space="preserve"> </v>
      </c>
    </row>
    <row r="117" spans="1:214">
      <c r="A117" s="415" t="str">
        <f>IF(A116="N/A","N/A",IF(EDATE(A116,1)&gt;Inputs!$K$3,"N/A",EDATE(A116,1)))</f>
        <v>N/A</v>
      </c>
      <c r="B117" s="410" t="str">
        <f t="shared" si="230"/>
        <v xml:space="preserve"> </v>
      </c>
      <c r="C117" s="411" t="str">
        <f t="shared" si="231"/>
        <v xml:space="preserve"> </v>
      </c>
      <c r="D117" s="412" t="str">
        <f t="shared" si="232"/>
        <v xml:space="preserve"> </v>
      </c>
      <c r="E117" s="413" t="str">
        <f>IF($A117="N/A"," ",(C117-'Pricing Inputs'!T150)*D117)</f>
        <v xml:space="preserve"> </v>
      </c>
      <c r="F117" s="414" t="str">
        <f t="shared" si="281"/>
        <v xml:space="preserve"> </v>
      </c>
      <c r="G117" s="414" t="str">
        <f t="shared" si="233"/>
        <v xml:space="preserve"> </v>
      </c>
      <c r="H117" s="416" t="str">
        <f t="shared" si="234"/>
        <v xml:space="preserve"> </v>
      </c>
      <c r="I117" s="213" t="str">
        <f t="shared" si="183"/>
        <v xml:space="preserve"> </v>
      </c>
      <c r="J117" s="213" t="str">
        <f t="shared" si="184"/>
        <v xml:space="preserve"> </v>
      </c>
      <c r="K117" s="213" t="str">
        <f t="shared" si="185"/>
        <v xml:space="preserve"> </v>
      </c>
      <c r="L117" s="213" t="str">
        <f t="shared" si="186"/>
        <v xml:space="preserve"> </v>
      </c>
      <c r="M117" s="213" t="str">
        <f t="shared" si="187"/>
        <v xml:space="preserve"> </v>
      </c>
      <c r="N117" s="213" t="str">
        <f t="shared" si="188"/>
        <v xml:space="preserve"> </v>
      </c>
      <c r="O117" s="213" t="str">
        <f t="shared" si="189"/>
        <v xml:space="preserve"> </v>
      </c>
      <c r="P117" s="213" t="str">
        <f t="shared" si="190"/>
        <v xml:space="preserve"> </v>
      </c>
      <c r="Q117" s="213" t="str">
        <f t="shared" si="191"/>
        <v xml:space="preserve"> </v>
      </c>
      <c r="R117" s="405" t="str">
        <f>IF($A117="N/A"," ",IF(Pricetype=2,MAX(I117-$H117,0),IF(Pricetype=1,(_xll.xSPRDOPT(I117,$E117,$CI117,0,($CD117+IF(Smile=TRUE,VLOOKUP(MAX(-5,$H117-I117),Volsmile,2),0)),$CG117,$CH117,($A117-DateToday)+15,1,0)),I117-$H117)))</f>
        <v xml:space="preserve"> </v>
      </c>
      <c r="S117" s="405" t="str">
        <f>IF($A117="N/A"," ",IF(Pricetype=2,MAX(J117-$H117,0),IF(Pricetype=1,(_xll.xSPRDOPT(J117,$E117,$CI117,0,($CD117+IF(Smile=TRUE,VLOOKUP(MAX(-5,$H117-J117),Volsmile,2),0)),$CG117,$CH117,($A117-DateToday)+15,1,0)),J117-$H117)))</f>
        <v xml:space="preserve"> </v>
      </c>
      <c r="T117" s="406" t="str">
        <f t="shared" si="192"/>
        <v xml:space="preserve"> </v>
      </c>
      <c r="U117" s="405" t="str">
        <f>IF($A117="N/A"," ",IF(Pricetype=2,MAX(L117-$H117,0),IF(L117&lt;&gt;0,IF(Pricetype=1,(_xll.xSPRDOPT(L117,$E117,$CI117,0,($CD117+IF(Smile=TRUE,VLOOKUP(MAX(-5,$H117-L117),Volsmile,2),0)),$CG117,$CH117,($A117-DateToday)+15,1,0)),L117-$H117),0)))</f>
        <v xml:space="preserve"> </v>
      </c>
      <c r="V117" s="405" t="str">
        <f>IF($A117="N/A"," ",IF(Pricetype=2,MAX(M117-$H117,0),IF(M117&lt;&gt;0,IF(Pricetype=1,(_xll.xSPRDOPT(M117,$E117,$CI117,0,($CD117+IF(Smile=TRUE,VLOOKUP(MAX(-5,$H117-M117),Volsmile,2),0)),$CG117,$CH117,($A117-DateToday)+15,1,0)),M117-$H117),0)))</f>
        <v xml:space="preserve"> </v>
      </c>
      <c r="W117" s="406" t="str">
        <f t="shared" si="193"/>
        <v xml:space="preserve"> </v>
      </c>
      <c r="X117" s="405" t="str">
        <f>IF($A117="N/A"," ",IF(Pricetype=2,MAX(O117-$H117,0),IF(O117&lt;&gt;0,IF(Pricetype=1,(_xll.xSPRDOPT(O117,$E117,$CI117,0,($CD117+IF(Smile=TRUE,VLOOKUP(MAX(-5,$H117-O117),Volsmile,2),0)),$CG117,$CH117,($A117-DateToday)+15,1,0)),O117-$H117),0)))</f>
        <v xml:space="preserve"> </v>
      </c>
      <c r="Y117" s="405" t="str">
        <f>IF($A117="N/A"," ",IF(Pricetype=2,MAX(P117-$H117,0),IF(P117&lt;&gt;0,IF(Pricetype=1,(_xll.xSPRDOPT(P117,$E117,$CI117,0,($CD117+IF(Smile=TRUE,VLOOKUP(MAX(-5,$H117-P117),Volsmile,2),0)),$CG117,$CH117,($A117-DateToday)+15,1,0)),P117-$H117),0)))</f>
        <v xml:space="preserve"> </v>
      </c>
      <c r="Z117" s="406" t="str">
        <f t="shared" si="194"/>
        <v xml:space="preserve"> </v>
      </c>
      <c r="AA117" s="254" t="str">
        <f>IF($A117="N/A"," ",IF(VLOOKUP(MONTH(A117),ManualTable,2)=1,(IF(0&lt;&gt;R117,IF(Pricetype=1,(_xll.xSPRDOPT(I117,$E117,$CI117,0,($CD117+IF(Smile=TRUE,VLOOKUP(MAX(-5,$H117-I117),Volsmile,2),0)),$CG117,$CH117,($A117-DateToday)+15,1,1))*(8*$HD117),8*$HD117),0)),0))</f>
        <v xml:space="preserve"> </v>
      </c>
      <c r="AB117" s="254" t="str">
        <f>IF($A117="N/A"," ",IF(VLOOKUP(MONTH(A117),ManualTable,3)=1,(IF(S117&lt;&gt;0,IF(Pricetype=1,(_xll.xSPRDOPT(J117,$E117,$CI117,0,($CD117+IF(Smile=TRUE,VLOOKUP(MAX(-5,$H117-J117),Volsmile,2),0)),$CG117,$CH117,($A117-DateToday)+15,1,1))*(8*$HD117),8*$HD117),0)),0))</f>
        <v xml:space="preserve"> </v>
      </c>
      <c r="AC117" s="254" t="str">
        <f t="shared" si="235"/>
        <v xml:space="preserve"> </v>
      </c>
      <c r="AD117" s="254" t="str">
        <f>IF($A117="N/A"," ",IF(VLOOKUP(MONTH(A117),ManualTable,5)=1,(IF(U117&lt;&gt;0,IF(Pricetype=1,(_xll.xSPRDOPT(L117,$E117,$CI117,0,($CD117+IF(Smile=TRUE,VLOOKUP(MAX(-5,$H117-L117),Volsmile,2),0)),$CG117,$CH117,($A117-DateToday)+15,1,1))*(8*$HE117),8*$HE117),0)),0))</f>
        <v xml:space="preserve"> </v>
      </c>
      <c r="AE117" s="254" t="str">
        <f>IF($A117="N/A"," ",IF(VLOOKUP(MONTH(A117),ManualTable,6)=1,(IF(V117&lt;&gt;0,IF(Pricetype=1,(_xll.xSPRDOPT(M117,$E117,$CI117,0,($CD117+IF(Smile=TRUE,VLOOKUP(MAX(-5,$H117-M117),Volsmile,2),0)),$CG117,$CH117,($A117-DateToday)+15,1,1))*(8*$HE117),8*$HE117),0)),0))</f>
        <v xml:space="preserve"> </v>
      </c>
      <c r="AF117" s="254" t="str">
        <f t="shared" si="236"/>
        <v xml:space="preserve"> </v>
      </c>
      <c r="AG117" s="254" t="str">
        <f>IF($A117="N/A"," ",IF(VLOOKUP(MONTH(A117),ManualTable,8)=1,(IF(X117&lt;&gt;0,IF(Pricetype=1,(_xll.xSPRDOPT(O117,$E117,$CI117,0,($CD117+IF(Smile=TRUE,VLOOKUP(MAX(-5,$H117-O117),Volsmile,2),0)),$CG117,$CH117,($A117-DateToday)+15,1,1))*(8*$HF117),8*$HF117),0)),0))</f>
        <v xml:space="preserve"> </v>
      </c>
      <c r="AH117" s="254" t="str">
        <f>IF($A117="N/A"," ",IF(VLOOKUP(MONTH(A117),ManualTable,9)=1,(IF(Y117&lt;&gt;0,IF(Pricetype=1,(_xll.xSPRDOPT(P117,$E117,$CI117,0,($CD117+IF(Smile=TRUE,VLOOKUP(MAX(-5,$H117-P117),Volsmile,2),0)),$CG117,$CH117,($A117-DateToday)+15,1,1))*(8*$HF117),8*$HF117),0)),0))</f>
        <v xml:space="preserve"> </v>
      </c>
      <c r="AI117" s="254" t="str">
        <f t="shared" si="237"/>
        <v xml:space="preserve"> </v>
      </c>
      <c r="AJ117" s="227" t="str">
        <f t="shared" si="320"/>
        <v xml:space="preserve"> </v>
      </c>
      <c r="AK117" s="228" t="str">
        <f t="shared" si="321"/>
        <v xml:space="preserve"> </v>
      </c>
      <c r="AL117" s="228" t="str">
        <f t="shared" si="321"/>
        <v xml:space="preserve"> </v>
      </c>
      <c r="AM117" s="228" t="str">
        <f t="shared" si="322"/>
        <v xml:space="preserve"> </v>
      </c>
      <c r="AN117" s="228" t="str">
        <f t="shared" si="323"/>
        <v xml:space="preserve"> </v>
      </c>
      <c r="AO117" s="228" t="str">
        <f t="shared" si="323"/>
        <v xml:space="preserve"> </v>
      </c>
      <c r="AP117" s="228" t="str">
        <f t="shared" si="324"/>
        <v xml:space="preserve"> </v>
      </c>
      <c r="AQ117" s="228" t="str">
        <f t="shared" si="325"/>
        <v xml:space="preserve"> </v>
      </c>
      <c r="AR117" s="229" t="str">
        <f t="shared" si="326"/>
        <v xml:space="preserve"> </v>
      </c>
      <c r="AS117" s="262" t="str">
        <f t="shared" si="274"/>
        <v xml:space="preserve"> </v>
      </c>
      <c r="AT117" s="263" t="str">
        <f t="shared" si="275"/>
        <v xml:space="preserve"> </v>
      </c>
      <c r="AU117" s="263" t="str">
        <f t="shared" si="275"/>
        <v xml:space="preserve"> </v>
      </c>
      <c r="AV117" s="263" t="str">
        <f t="shared" si="276"/>
        <v xml:space="preserve"> </v>
      </c>
      <c r="AW117" s="263" t="str">
        <f t="shared" si="277"/>
        <v xml:space="preserve"> </v>
      </c>
      <c r="AX117" s="263" t="str">
        <f t="shared" si="277"/>
        <v xml:space="preserve"> </v>
      </c>
      <c r="AY117" s="263" t="str">
        <f t="shared" si="278"/>
        <v xml:space="preserve"> </v>
      </c>
      <c r="AZ117" s="263" t="str">
        <f t="shared" si="279"/>
        <v xml:space="preserve"> </v>
      </c>
      <c r="BA117" s="263" t="str">
        <f t="shared" si="280"/>
        <v xml:space="preserve"> </v>
      </c>
      <c r="BB117" s="229"/>
      <c r="BC117" s="266" t="str">
        <f t="shared" si="313"/>
        <v xml:space="preserve"> </v>
      </c>
      <c r="BD117" s="269" t="str">
        <f t="shared" si="314"/>
        <v xml:space="preserve"> </v>
      </c>
      <c r="BE117" s="269" t="str">
        <f t="shared" si="314"/>
        <v xml:space="preserve"> </v>
      </c>
      <c r="BF117" s="269" t="str">
        <f t="shared" si="315"/>
        <v xml:space="preserve"> </v>
      </c>
      <c r="BG117" s="269" t="str">
        <f t="shared" si="316"/>
        <v xml:space="preserve"> </v>
      </c>
      <c r="BH117" s="269" t="str">
        <f t="shared" si="316"/>
        <v xml:space="preserve"> </v>
      </c>
      <c r="BI117" s="269" t="str">
        <f t="shared" si="317"/>
        <v xml:space="preserve"> </v>
      </c>
      <c r="BJ117" s="269" t="str">
        <f t="shared" si="318"/>
        <v xml:space="preserve"> </v>
      </c>
      <c r="BK117" s="269" t="str">
        <f t="shared" si="319"/>
        <v xml:space="preserve"> </v>
      </c>
      <c r="BL117" s="229"/>
      <c r="BM117" s="220" t="str">
        <f>IF($A117="N/A"," ",(IF(MONTH(A117)&gt;=4,IF(MONTH(A117)&lt;=10,Inputs!$F$13-Inputs!$G$13,Inputs!$F$14-Inputs!$G$14),Inputs!$F$14-Inputs!$G$14))*$CK117*Availability)</f>
        <v xml:space="preserve"> </v>
      </c>
      <c r="BN117" s="221" t="str">
        <f t="shared" si="238"/>
        <v xml:space="preserve"> </v>
      </c>
      <c r="BO117" s="221" t="str">
        <f t="shared" si="239"/>
        <v xml:space="preserve"> </v>
      </c>
      <c r="BP117" s="221" t="str">
        <f t="shared" si="240"/>
        <v xml:space="preserve"> </v>
      </c>
      <c r="BQ117" s="221" t="str">
        <f t="shared" si="241"/>
        <v xml:space="preserve"> </v>
      </c>
      <c r="BR117" s="221" t="str">
        <f t="shared" si="242"/>
        <v xml:space="preserve"> </v>
      </c>
      <c r="BS117" s="221" t="str">
        <f t="shared" si="243"/>
        <v xml:space="preserve"> </v>
      </c>
      <c r="BT117" s="221" t="str">
        <f t="shared" si="244"/>
        <v xml:space="preserve"> </v>
      </c>
      <c r="BU117" s="221" t="str">
        <f t="shared" si="245"/>
        <v xml:space="preserve"> </v>
      </c>
      <c r="BV117" s="221" t="str">
        <f t="shared" si="246"/>
        <v xml:space="preserve"> </v>
      </c>
      <c r="BW117" s="221" t="str">
        <f t="shared" si="247"/>
        <v xml:space="preserve"> </v>
      </c>
      <c r="BX117" s="421" t="str">
        <f t="shared" si="248"/>
        <v xml:space="preserve"> </v>
      </c>
      <c r="BY117" s="417" t="str">
        <f t="shared" si="249"/>
        <v xml:space="preserve"> </v>
      </c>
      <c r="BZ117" s="417" t="str">
        <f t="shared" si="250"/>
        <v xml:space="preserve"> </v>
      </c>
      <c r="CA117" s="422" t="str">
        <f t="shared" si="251"/>
        <v xml:space="preserve"> </v>
      </c>
      <c r="CB117" s="347" t="str">
        <f t="shared" si="195"/>
        <v xml:space="preserve"> </v>
      </c>
      <c r="CC117" s="347" t="str">
        <f t="shared" si="252"/>
        <v xml:space="preserve"> </v>
      </c>
      <c r="CD117" s="348" t="str">
        <f t="shared" si="196"/>
        <v xml:space="preserve"> </v>
      </c>
      <c r="CE117" s="347" t="str">
        <f t="shared" si="197"/>
        <v xml:space="preserve"> </v>
      </c>
      <c r="CF117" s="347" t="str">
        <f t="shared" si="198"/>
        <v xml:space="preserve"> </v>
      </c>
      <c r="CG117" s="348" t="str">
        <f t="shared" si="199"/>
        <v xml:space="preserve"> </v>
      </c>
      <c r="CH117" s="347" t="str">
        <f t="shared" si="253"/>
        <v xml:space="preserve"> </v>
      </c>
      <c r="CI117" s="349" t="str">
        <f>IF($A117="N/A"," ",F117+G117+(D117*('Pricing Inputs'!T150)))</f>
        <v xml:space="preserve"> </v>
      </c>
      <c r="CJ117" s="347" t="str">
        <f>IF($A117="N/A"," ",IF(PV=1,0,'Pricing Inputs'!U150))</f>
        <v xml:space="preserve"> </v>
      </c>
      <c r="CK117" s="350" t="str">
        <f t="shared" si="200"/>
        <v xml:space="preserve"> </v>
      </c>
      <c r="CL117" s="365" t="str">
        <f t="shared" si="201"/>
        <v xml:space="preserve"> </v>
      </c>
      <c r="CM117" s="380" t="str">
        <f t="shared" si="254"/>
        <v xml:space="preserve"> </v>
      </c>
      <c r="CN117" s="378" t="str">
        <f t="shared" si="202"/>
        <v xml:space="preserve"> </v>
      </c>
      <c r="CO117" s="378" t="str">
        <f t="shared" si="203"/>
        <v xml:space="preserve"> </v>
      </c>
      <c r="CP117" s="378" t="str">
        <f t="shared" si="204"/>
        <v xml:space="preserve"> </v>
      </c>
      <c r="CQ117" s="378" t="str">
        <f t="shared" si="205"/>
        <v xml:space="preserve"> </v>
      </c>
      <c r="CR117" s="378" t="str">
        <f t="shared" si="206"/>
        <v xml:space="preserve"> </v>
      </c>
      <c r="CS117" s="378" t="str">
        <f t="shared" si="207"/>
        <v xml:space="preserve"> </v>
      </c>
      <c r="CT117" s="378" t="str">
        <f t="shared" si="208"/>
        <v xml:space="preserve"> </v>
      </c>
      <c r="CU117" s="378" t="str">
        <f t="shared" si="209"/>
        <v xml:space="preserve"> </v>
      </c>
      <c r="CV117" s="378" t="str">
        <f t="shared" si="210"/>
        <v xml:space="preserve"> </v>
      </c>
      <c r="CW117" s="254" t="str">
        <f t="shared" si="211"/>
        <v xml:space="preserve"> </v>
      </c>
      <c r="CX117" s="254" t="str">
        <f t="shared" si="212"/>
        <v xml:space="preserve"> </v>
      </c>
      <c r="CY117" s="254" t="str">
        <f t="shared" si="213"/>
        <v xml:space="preserve"> </v>
      </c>
      <c r="CZ117" s="254" t="str">
        <f t="shared" si="214"/>
        <v xml:space="preserve"> </v>
      </c>
      <c r="DA117" s="254" t="str">
        <f t="shared" si="215"/>
        <v xml:space="preserve"> </v>
      </c>
      <c r="DB117" s="254" t="str">
        <f t="shared" si="216"/>
        <v xml:space="preserve"> </v>
      </c>
      <c r="DC117" s="254" t="str">
        <f t="shared" si="217"/>
        <v xml:space="preserve"> </v>
      </c>
      <c r="DD117" s="254" t="str">
        <f t="shared" si="218"/>
        <v xml:space="preserve"> </v>
      </c>
      <c r="DE117" s="254" t="str">
        <f t="shared" si="219"/>
        <v xml:space="preserve"> </v>
      </c>
      <c r="DF117" s="374" t="str">
        <f>IF($A117="N/A"," ",IF(CC=2,(IF(MONTH(A117)&gt;=4,IF(MONTH(A117)&lt;=10,Inputs!$G$13,Inputs!$G$14),Inputs!$G$14))*$CK117,0))</f>
        <v xml:space="preserve"> </v>
      </c>
      <c r="DG117" s="373" t="str">
        <f t="shared" si="220"/>
        <v xml:space="preserve"> </v>
      </c>
      <c r="DH117" s="373" t="str">
        <f t="shared" si="221"/>
        <v xml:space="preserve"> </v>
      </c>
      <c r="DI117" s="373" t="str">
        <f t="shared" si="222"/>
        <v xml:space="preserve"> </v>
      </c>
      <c r="DJ117" s="373" t="str">
        <f t="shared" si="223"/>
        <v xml:space="preserve"> </v>
      </c>
      <c r="DK117" s="373" t="str">
        <f t="shared" si="224"/>
        <v xml:space="preserve"> </v>
      </c>
      <c r="DL117" s="373" t="str">
        <f t="shared" si="225"/>
        <v xml:space="preserve"> </v>
      </c>
      <c r="DM117" s="373" t="str">
        <f t="shared" si="226"/>
        <v xml:space="preserve"> </v>
      </c>
      <c r="DN117" s="373" t="str">
        <f t="shared" si="227"/>
        <v xml:space="preserve"> </v>
      </c>
      <c r="DO117" s="373" t="str">
        <f t="shared" si="228"/>
        <v xml:space="preserve"> </v>
      </c>
      <c r="DP117" s="375" t="str">
        <f t="shared" si="229"/>
        <v xml:space="preserve"> </v>
      </c>
      <c r="DQ117" t="str">
        <f t="shared" si="255"/>
        <v xml:space="preserve"> </v>
      </c>
      <c r="HD117" t="str">
        <f t="shared" si="256"/>
        <v xml:space="preserve"> </v>
      </c>
      <c r="HE117" t="str">
        <f t="shared" si="257"/>
        <v xml:space="preserve"> </v>
      </c>
      <c r="HF117" t="str">
        <f t="shared" si="258"/>
        <v xml:space="preserve"> </v>
      </c>
    </row>
    <row r="118" spans="1:214">
      <c r="A118" s="415" t="str">
        <f>IF(A117="N/A","N/A",IF(EDATE(A117,1)&gt;Inputs!$K$3,"N/A",EDATE(A117,1)))</f>
        <v>N/A</v>
      </c>
      <c r="B118" s="410" t="str">
        <f t="shared" si="230"/>
        <v xml:space="preserve"> </v>
      </c>
      <c r="C118" s="411" t="str">
        <f t="shared" si="231"/>
        <v xml:space="preserve"> </v>
      </c>
      <c r="D118" s="412" t="str">
        <f t="shared" si="232"/>
        <v xml:space="preserve"> </v>
      </c>
      <c r="E118" s="413" t="str">
        <f>IF($A118="N/A"," ",(C118-'Pricing Inputs'!T151)*D118)</f>
        <v xml:space="preserve"> </v>
      </c>
      <c r="F118" s="414" t="str">
        <f t="shared" si="281"/>
        <v xml:space="preserve"> </v>
      </c>
      <c r="G118" s="414" t="str">
        <f t="shared" si="233"/>
        <v xml:space="preserve"> </v>
      </c>
      <c r="H118" s="416" t="str">
        <f t="shared" si="234"/>
        <v xml:space="preserve"> </v>
      </c>
      <c r="I118" s="213" t="str">
        <f t="shared" si="183"/>
        <v xml:space="preserve"> </v>
      </c>
      <c r="J118" s="213" t="str">
        <f t="shared" si="184"/>
        <v xml:space="preserve"> </v>
      </c>
      <c r="K118" s="213" t="str">
        <f t="shared" si="185"/>
        <v xml:space="preserve"> </v>
      </c>
      <c r="L118" s="213" t="str">
        <f t="shared" si="186"/>
        <v xml:space="preserve"> </v>
      </c>
      <c r="M118" s="213" t="str">
        <f t="shared" si="187"/>
        <v xml:space="preserve"> </v>
      </c>
      <c r="N118" s="213" t="str">
        <f t="shared" si="188"/>
        <v xml:space="preserve"> </v>
      </c>
      <c r="O118" s="213" t="str">
        <f t="shared" si="189"/>
        <v xml:space="preserve"> </v>
      </c>
      <c r="P118" s="213" t="str">
        <f t="shared" si="190"/>
        <v xml:space="preserve"> </v>
      </c>
      <c r="Q118" s="213" t="str">
        <f t="shared" si="191"/>
        <v xml:space="preserve"> </v>
      </c>
      <c r="R118" s="405" t="str">
        <f>IF($A118="N/A"," ",IF(Pricetype=2,MAX(I118-$H118,0),IF(Pricetype=1,(_xll.xSPRDOPT(I118,$E118,$CI118,0,($CD118+IF(Smile=TRUE,VLOOKUP(MAX(-5,$H118-I118),Volsmile,2),0)),$CG118,$CH118,($A118-DateToday)+15,1,0)),I118-$H118)))</f>
        <v xml:space="preserve"> </v>
      </c>
      <c r="S118" s="405" t="str">
        <f>IF($A118="N/A"," ",IF(Pricetype=2,MAX(J118-$H118,0),IF(Pricetype=1,(_xll.xSPRDOPT(J118,$E118,$CI118,0,($CD118+IF(Smile=TRUE,VLOOKUP(MAX(-5,$H118-J118),Volsmile,2),0)),$CG118,$CH118,($A118-DateToday)+15,1,0)),J118-$H118)))</f>
        <v xml:space="preserve"> </v>
      </c>
      <c r="T118" s="406" t="str">
        <f t="shared" si="192"/>
        <v xml:space="preserve"> </v>
      </c>
      <c r="U118" s="405" t="str">
        <f>IF($A118="N/A"," ",IF(Pricetype=2,MAX(L118-$H118,0),IF(L118&lt;&gt;0,IF(Pricetype=1,(_xll.xSPRDOPT(L118,$E118,$CI118,0,($CD118+IF(Smile=TRUE,VLOOKUP(MAX(-5,$H118-L118),Volsmile,2),0)),$CG118,$CH118,($A118-DateToday)+15,1,0)),L118-$H118),0)))</f>
        <v xml:space="preserve"> </v>
      </c>
      <c r="V118" s="405" t="str">
        <f>IF($A118="N/A"," ",IF(Pricetype=2,MAX(M118-$H118,0),IF(M118&lt;&gt;0,IF(Pricetype=1,(_xll.xSPRDOPT(M118,$E118,$CI118,0,($CD118+IF(Smile=TRUE,VLOOKUP(MAX(-5,$H118-M118),Volsmile,2),0)),$CG118,$CH118,($A118-DateToday)+15,1,0)),M118-$H118),0)))</f>
        <v xml:space="preserve"> </v>
      </c>
      <c r="W118" s="406" t="str">
        <f t="shared" si="193"/>
        <v xml:space="preserve"> </v>
      </c>
      <c r="X118" s="405" t="str">
        <f>IF($A118="N/A"," ",IF(Pricetype=2,MAX(O118-$H118,0),IF(O118&lt;&gt;0,IF(Pricetype=1,(_xll.xSPRDOPT(O118,$E118,$CI118,0,($CD118+IF(Smile=TRUE,VLOOKUP(MAX(-5,$H118-O118),Volsmile,2),0)),$CG118,$CH118,($A118-DateToday)+15,1,0)),O118-$H118),0)))</f>
        <v xml:space="preserve"> </v>
      </c>
      <c r="Y118" s="405" t="str">
        <f>IF($A118="N/A"," ",IF(Pricetype=2,MAX(P118-$H118,0),IF(P118&lt;&gt;0,IF(Pricetype=1,(_xll.xSPRDOPT(P118,$E118,$CI118,0,($CD118+IF(Smile=TRUE,VLOOKUP(MAX(-5,$H118-P118),Volsmile,2),0)),$CG118,$CH118,($A118-DateToday)+15,1,0)),P118-$H118),0)))</f>
        <v xml:space="preserve"> </v>
      </c>
      <c r="Z118" s="406" t="str">
        <f t="shared" si="194"/>
        <v xml:space="preserve"> </v>
      </c>
      <c r="AA118" s="254" t="str">
        <f>IF($A118="N/A"," ",IF(VLOOKUP(MONTH(A118),ManualTable,2)=1,(IF(0&lt;&gt;R118,IF(Pricetype=1,(_xll.xSPRDOPT(I118,$E118,$CI118,0,($CD118+IF(Smile=TRUE,VLOOKUP(MAX(-5,$H118-I118),Volsmile,2),0)),$CG118,$CH118,($A118-DateToday)+15,1,1))*(8*$HD118),8*$HD118),0)),0))</f>
        <v xml:space="preserve"> </v>
      </c>
      <c r="AB118" s="254" t="str">
        <f>IF($A118="N/A"," ",IF(VLOOKUP(MONTH(A118),ManualTable,3)=1,(IF(S118&lt;&gt;0,IF(Pricetype=1,(_xll.xSPRDOPT(J118,$E118,$CI118,0,($CD118+IF(Smile=TRUE,VLOOKUP(MAX(-5,$H118-J118),Volsmile,2),0)),$CG118,$CH118,($A118-DateToday)+15,1,1))*(8*$HD118),8*$HD118),0)),0))</f>
        <v xml:space="preserve"> </v>
      </c>
      <c r="AC118" s="254" t="str">
        <f t="shared" si="235"/>
        <v xml:space="preserve"> </v>
      </c>
      <c r="AD118" s="254" t="str">
        <f>IF($A118="N/A"," ",IF(VLOOKUP(MONTH(A118),ManualTable,5)=1,(IF(U118&lt;&gt;0,IF(Pricetype=1,(_xll.xSPRDOPT(L118,$E118,$CI118,0,($CD118+IF(Smile=TRUE,VLOOKUP(MAX(-5,$H118-L118),Volsmile,2),0)),$CG118,$CH118,($A118-DateToday)+15,1,1))*(8*$HE118),8*$HE118),0)),0))</f>
        <v xml:space="preserve"> </v>
      </c>
      <c r="AE118" s="254" t="str">
        <f>IF($A118="N/A"," ",IF(VLOOKUP(MONTH(A118),ManualTable,6)=1,(IF(V118&lt;&gt;0,IF(Pricetype=1,(_xll.xSPRDOPT(M118,$E118,$CI118,0,($CD118+IF(Smile=TRUE,VLOOKUP(MAX(-5,$H118-M118),Volsmile,2),0)),$CG118,$CH118,($A118-DateToday)+15,1,1))*(8*$HE118),8*$HE118),0)),0))</f>
        <v xml:space="preserve"> </v>
      </c>
      <c r="AF118" s="254" t="str">
        <f t="shared" si="236"/>
        <v xml:space="preserve"> </v>
      </c>
      <c r="AG118" s="254" t="str">
        <f>IF($A118="N/A"," ",IF(VLOOKUP(MONTH(A118),ManualTable,8)=1,(IF(X118&lt;&gt;0,IF(Pricetype=1,(_xll.xSPRDOPT(O118,$E118,$CI118,0,($CD118+IF(Smile=TRUE,VLOOKUP(MAX(-5,$H118-O118),Volsmile,2),0)),$CG118,$CH118,($A118-DateToday)+15,1,1))*(8*$HF118),8*$HF118),0)),0))</f>
        <v xml:space="preserve"> </v>
      </c>
      <c r="AH118" s="254" t="str">
        <f>IF($A118="N/A"," ",IF(VLOOKUP(MONTH(A118),ManualTable,9)=1,(IF(Y118&lt;&gt;0,IF(Pricetype=1,(_xll.xSPRDOPT(P118,$E118,$CI118,0,($CD118+IF(Smile=TRUE,VLOOKUP(MAX(-5,$H118-P118),Volsmile,2),0)),$CG118,$CH118,($A118-DateToday)+15,1,1))*(8*$HF118),8*$HF118),0)),0))</f>
        <v xml:space="preserve"> </v>
      </c>
      <c r="AI118" s="254" t="str">
        <f t="shared" si="237"/>
        <v xml:space="preserve"> </v>
      </c>
      <c r="AJ118" s="227" t="str">
        <f t="shared" si="320"/>
        <v xml:space="preserve"> </v>
      </c>
      <c r="AK118" s="228" t="str">
        <f t="shared" si="321"/>
        <v xml:space="preserve"> </v>
      </c>
      <c r="AL118" s="228" t="str">
        <f t="shared" si="321"/>
        <v xml:space="preserve"> </v>
      </c>
      <c r="AM118" s="228" t="str">
        <f t="shared" si="322"/>
        <v xml:space="preserve"> </v>
      </c>
      <c r="AN118" s="228" t="str">
        <f t="shared" si="323"/>
        <v xml:space="preserve"> </v>
      </c>
      <c r="AO118" s="228" t="str">
        <f t="shared" si="323"/>
        <v xml:space="preserve"> </v>
      </c>
      <c r="AP118" s="228" t="str">
        <f t="shared" si="324"/>
        <v xml:space="preserve"> </v>
      </c>
      <c r="AQ118" s="228" t="str">
        <f t="shared" si="325"/>
        <v xml:space="preserve"> </v>
      </c>
      <c r="AR118" s="229" t="str">
        <f t="shared" si="326"/>
        <v xml:space="preserve"> </v>
      </c>
      <c r="AS118" s="262" t="str">
        <f t="shared" si="274"/>
        <v xml:space="preserve"> </v>
      </c>
      <c r="AT118" s="263" t="str">
        <f t="shared" si="275"/>
        <v xml:space="preserve"> </v>
      </c>
      <c r="AU118" s="263" t="str">
        <f t="shared" si="275"/>
        <v xml:space="preserve"> </v>
      </c>
      <c r="AV118" s="263" t="str">
        <f t="shared" si="276"/>
        <v xml:space="preserve"> </v>
      </c>
      <c r="AW118" s="263" t="str">
        <f t="shared" si="277"/>
        <v xml:space="preserve"> </v>
      </c>
      <c r="AX118" s="263" t="str">
        <f t="shared" si="277"/>
        <v xml:space="preserve"> </v>
      </c>
      <c r="AY118" s="263" t="str">
        <f t="shared" si="278"/>
        <v xml:space="preserve"> </v>
      </c>
      <c r="AZ118" s="263" t="str">
        <f t="shared" si="279"/>
        <v xml:space="preserve"> </v>
      </c>
      <c r="BA118" s="263" t="str">
        <f t="shared" si="280"/>
        <v xml:space="preserve"> </v>
      </c>
      <c r="BB118" s="229"/>
      <c r="BC118" s="266" t="str">
        <f t="shared" si="313"/>
        <v xml:space="preserve"> </v>
      </c>
      <c r="BD118" s="269" t="str">
        <f t="shared" si="314"/>
        <v xml:space="preserve"> </v>
      </c>
      <c r="BE118" s="269" t="str">
        <f t="shared" si="314"/>
        <v xml:space="preserve"> </v>
      </c>
      <c r="BF118" s="269" t="str">
        <f t="shared" si="315"/>
        <v xml:space="preserve"> </v>
      </c>
      <c r="BG118" s="269" t="str">
        <f t="shared" si="316"/>
        <v xml:space="preserve"> </v>
      </c>
      <c r="BH118" s="269" t="str">
        <f t="shared" si="316"/>
        <v xml:space="preserve"> </v>
      </c>
      <c r="BI118" s="269" t="str">
        <f t="shared" si="317"/>
        <v xml:space="preserve"> </v>
      </c>
      <c r="BJ118" s="269" t="str">
        <f t="shared" si="318"/>
        <v xml:space="preserve"> </v>
      </c>
      <c r="BK118" s="269" t="str">
        <f t="shared" si="319"/>
        <v xml:space="preserve"> </v>
      </c>
      <c r="BL118" s="229"/>
      <c r="BM118" s="220" t="str">
        <f>IF($A118="N/A"," ",(IF(MONTH(A118)&gt;=4,IF(MONTH(A118)&lt;=10,Inputs!$F$13-Inputs!$G$13,Inputs!$F$14-Inputs!$G$14),Inputs!$F$14-Inputs!$G$14))*$CK118*Availability)</f>
        <v xml:space="preserve"> </v>
      </c>
      <c r="BN118" s="221" t="str">
        <f t="shared" si="238"/>
        <v xml:space="preserve"> </v>
      </c>
      <c r="BO118" s="221" t="str">
        <f t="shared" si="239"/>
        <v xml:space="preserve"> </v>
      </c>
      <c r="BP118" s="221" t="str">
        <f t="shared" si="240"/>
        <v xml:space="preserve"> </v>
      </c>
      <c r="BQ118" s="221" t="str">
        <f t="shared" si="241"/>
        <v xml:space="preserve"> </v>
      </c>
      <c r="BR118" s="221" t="str">
        <f t="shared" si="242"/>
        <v xml:space="preserve"> </v>
      </c>
      <c r="BS118" s="221" t="str">
        <f t="shared" si="243"/>
        <v xml:space="preserve"> </v>
      </c>
      <c r="BT118" s="221" t="str">
        <f t="shared" si="244"/>
        <v xml:space="preserve"> </v>
      </c>
      <c r="BU118" s="221" t="str">
        <f t="shared" si="245"/>
        <v xml:space="preserve"> </v>
      </c>
      <c r="BV118" s="221" t="str">
        <f t="shared" si="246"/>
        <v xml:space="preserve"> </v>
      </c>
      <c r="BW118" s="221" t="str">
        <f t="shared" si="247"/>
        <v xml:space="preserve"> </v>
      </c>
      <c r="BX118" s="421" t="str">
        <f t="shared" si="248"/>
        <v xml:space="preserve"> </v>
      </c>
      <c r="BY118" s="417" t="str">
        <f t="shared" si="249"/>
        <v xml:space="preserve"> </v>
      </c>
      <c r="BZ118" s="417" t="str">
        <f t="shared" si="250"/>
        <v xml:space="preserve"> </v>
      </c>
      <c r="CA118" s="422" t="str">
        <f t="shared" si="251"/>
        <v xml:space="preserve"> </v>
      </c>
      <c r="CB118" s="347" t="str">
        <f t="shared" si="195"/>
        <v xml:space="preserve"> </v>
      </c>
      <c r="CC118" s="347" t="str">
        <f t="shared" si="252"/>
        <v xml:space="preserve"> </v>
      </c>
      <c r="CD118" s="348" t="str">
        <f t="shared" si="196"/>
        <v xml:space="preserve"> </v>
      </c>
      <c r="CE118" s="347" t="str">
        <f t="shared" si="197"/>
        <v xml:space="preserve"> </v>
      </c>
      <c r="CF118" s="347" t="str">
        <f t="shared" si="198"/>
        <v xml:space="preserve"> </v>
      </c>
      <c r="CG118" s="348" t="str">
        <f t="shared" si="199"/>
        <v xml:space="preserve"> </v>
      </c>
      <c r="CH118" s="347" t="str">
        <f t="shared" si="253"/>
        <v xml:space="preserve"> </v>
      </c>
      <c r="CI118" s="349" t="str">
        <f>IF($A118="N/A"," ",F118+G118+(D118*('Pricing Inputs'!T151)))</f>
        <v xml:space="preserve"> </v>
      </c>
      <c r="CJ118" s="347" t="str">
        <f>IF($A118="N/A"," ",IF(PV=1,0,'Pricing Inputs'!U151))</f>
        <v xml:space="preserve"> </v>
      </c>
      <c r="CK118" s="350" t="str">
        <f t="shared" si="200"/>
        <v xml:space="preserve"> </v>
      </c>
      <c r="CL118" s="365" t="str">
        <f t="shared" si="201"/>
        <v xml:space="preserve"> </v>
      </c>
      <c r="CM118" s="380" t="str">
        <f t="shared" si="254"/>
        <v xml:space="preserve"> </v>
      </c>
      <c r="CN118" s="378" t="str">
        <f t="shared" si="202"/>
        <v xml:space="preserve"> </v>
      </c>
      <c r="CO118" s="378" t="str">
        <f t="shared" si="203"/>
        <v xml:space="preserve"> </v>
      </c>
      <c r="CP118" s="378" t="str">
        <f t="shared" si="204"/>
        <v xml:space="preserve"> </v>
      </c>
      <c r="CQ118" s="378" t="str">
        <f t="shared" si="205"/>
        <v xml:space="preserve"> </v>
      </c>
      <c r="CR118" s="378" t="str">
        <f t="shared" si="206"/>
        <v xml:space="preserve"> </v>
      </c>
      <c r="CS118" s="378" t="str">
        <f t="shared" si="207"/>
        <v xml:space="preserve"> </v>
      </c>
      <c r="CT118" s="378" t="str">
        <f t="shared" si="208"/>
        <v xml:space="preserve"> </v>
      </c>
      <c r="CU118" s="378" t="str">
        <f t="shared" si="209"/>
        <v xml:space="preserve"> </v>
      </c>
      <c r="CV118" s="378" t="str">
        <f t="shared" si="210"/>
        <v xml:space="preserve"> </v>
      </c>
      <c r="CW118" s="254" t="str">
        <f t="shared" si="211"/>
        <v xml:space="preserve"> </v>
      </c>
      <c r="CX118" s="254" t="str">
        <f t="shared" si="212"/>
        <v xml:space="preserve"> </v>
      </c>
      <c r="CY118" s="254" t="str">
        <f t="shared" si="213"/>
        <v xml:space="preserve"> </v>
      </c>
      <c r="CZ118" s="254" t="str">
        <f t="shared" si="214"/>
        <v xml:space="preserve"> </v>
      </c>
      <c r="DA118" s="254" t="str">
        <f t="shared" si="215"/>
        <v xml:space="preserve"> </v>
      </c>
      <c r="DB118" s="254" t="str">
        <f t="shared" si="216"/>
        <v xml:space="preserve"> </v>
      </c>
      <c r="DC118" s="254" t="str">
        <f t="shared" si="217"/>
        <v xml:space="preserve"> </v>
      </c>
      <c r="DD118" s="254" t="str">
        <f t="shared" si="218"/>
        <v xml:space="preserve"> </v>
      </c>
      <c r="DE118" s="254" t="str">
        <f t="shared" si="219"/>
        <v xml:space="preserve"> </v>
      </c>
      <c r="DF118" s="374" t="str">
        <f>IF($A118="N/A"," ",IF(CC=2,(IF(MONTH(A118)&gt;=4,IF(MONTH(A118)&lt;=10,Inputs!$G$13,Inputs!$G$14),Inputs!$G$14))*$CK118,0))</f>
        <v xml:space="preserve"> </v>
      </c>
      <c r="DG118" s="373" t="str">
        <f t="shared" si="220"/>
        <v xml:space="preserve"> </v>
      </c>
      <c r="DH118" s="373" t="str">
        <f t="shared" si="221"/>
        <v xml:space="preserve"> </v>
      </c>
      <c r="DI118" s="373" t="str">
        <f t="shared" si="222"/>
        <v xml:space="preserve"> </v>
      </c>
      <c r="DJ118" s="373" t="str">
        <f t="shared" si="223"/>
        <v xml:space="preserve"> </v>
      </c>
      <c r="DK118" s="373" t="str">
        <f t="shared" si="224"/>
        <v xml:space="preserve"> </v>
      </c>
      <c r="DL118" s="373" t="str">
        <f t="shared" si="225"/>
        <v xml:space="preserve"> </v>
      </c>
      <c r="DM118" s="373" t="str">
        <f t="shared" si="226"/>
        <v xml:space="preserve"> </v>
      </c>
      <c r="DN118" s="373" t="str">
        <f t="shared" si="227"/>
        <v xml:space="preserve"> </v>
      </c>
      <c r="DO118" s="373" t="str">
        <f t="shared" si="228"/>
        <v xml:space="preserve"> </v>
      </c>
      <c r="DP118" s="375" t="str">
        <f t="shared" si="229"/>
        <v xml:space="preserve"> </v>
      </c>
      <c r="DQ118" t="str">
        <f t="shared" si="255"/>
        <v xml:space="preserve"> </v>
      </c>
      <c r="HD118" t="str">
        <f t="shared" si="256"/>
        <v xml:space="preserve"> </v>
      </c>
      <c r="HE118" t="str">
        <f t="shared" si="257"/>
        <v xml:space="preserve"> </v>
      </c>
      <c r="HF118" t="str">
        <f t="shared" si="258"/>
        <v xml:space="preserve"> </v>
      </c>
    </row>
    <row r="119" spans="1:214">
      <c r="A119" s="415" t="str">
        <f>IF(A118="N/A","N/A",IF(EDATE(A118,1)&gt;Inputs!$K$3,"N/A",EDATE(A118,1)))</f>
        <v>N/A</v>
      </c>
      <c r="B119" s="410" t="str">
        <f t="shared" si="230"/>
        <v xml:space="preserve"> </v>
      </c>
      <c r="C119" s="411" t="str">
        <f t="shared" si="231"/>
        <v xml:space="preserve"> </v>
      </c>
      <c r="D119" s="412" t="str">
        <f t="shared" si="232"/>
        <v xml:space="preserve"> </v>
      </c>
      <c r="E119" s="413" t="str">
        <f>IF($A119="N/A"," ",(C119-'Pricing Inputs'!T152)*D119)</f>
        <v xml:space="preserve"> </v>
      </c>
      <c r="F119" s="414" t="str">
        <f t="shared" si="281"/>
        <v xml:space="preserve"> </v>
      </c>
      <c r="G119" s="414" t="str">
        <f t="shared" si="233"/>
        <v xml:space="preserve"> </v>
      </c>
      <c r="H119" s="416" t="str">
        <f t="shared" si="234"/>
        <v xml:space="preserve"> </v>
      </c>
      <c r="I119" s="213" t="str">
        <f t="shared" si="183"/>
        <v xml:space="preserve"> </v>
      </c>
      <c r="J119" s="213" t="str">
        <f t="shared" si="184"/>
        <v xml:space="preserve"> </v>
      </c>
      <c r="K119" s="213" t="str">
        <f t="shared" si="185"/>
        <v xml:space="preserve"> </v>
      </c>
      <c r="L119" s="213" t="str">
        <f t="shared" si="186"/>
        <v xml:space="preserve"> </v>
      </c>
      <c r="M119" s="213" t="str">
        <f t="shared" si="187"/>
        <v xml:space="preserve"> </v>
      </c>
      <c r="N119" s="213" t="str">
        <f t="shared" si="188"/>
        <v xml:space="preserve"> </v>
      </c>
      <c r="O119" s="213" t="str">
        <f t="shared" si="189"/>
        <v xml:space="preserve"> </v>
      </c>
      <c r="P119" s="213" t="str">
        <f t="shared" si="190"/>
        <v xml:space="preserve"> </v>
      </c>
      <c r="Q119" s="213" t="str">
        <f t="shared" si="191"/>
        <v xml:space="preserve"> </v>
      </c>
      <c r="R119" s="405" t="str">
        <f>IF($A119="N/A"," ",IF(Pricetype=2,MAX(I119-$H119,0),IF(Pricetype=1,(_xll.xSPRDOPT(I119,$E119,$CI119,0,($CD119+IF(Smile=TRUE,VLOOKUP(MAX(-5,$H119-I119),Volsmile,2),0)),$CG119,$CH119,($A119-DateToday)+15,1,0)),I119-$H119)))</f>
        <v xml:space="preserve"> </v>
      </c>
      <c r="S119" s="405" t="str">
        <f>IF($A119="N/A"," ",IF(Pricetype=2,MAX(J119-$H119,0),IF(Pricetype=1,(_xll.xSPRDOPT(J119,$E119,$CI119,0,($CD119+IF(Smile=TRUE,VLOOKUP(MAX(-5,$H119-J119),Volsmile,2),0)),$CG119,$CH119,($A119-DateToday)+15,1,0)),J119-$H119)))</f>
        <v xml:space="preserve"> </v>
      </c>
      <c r="T119" s="406" t="str">
        <f t="shared" si="192"/>
        <v xml:space="preserve"> </v>
      </c>
      <c r="U119" s="405" t="str">
        <f>IF($A119="N/A"," ",IF(Pricetype=2,MAX(L119-$H119,0),IF(L119&lt;&gt;0,IF(Pricetype=1,(_xll.xSPRDOPT(L119,$E119,$CI119,0,($CD119+IF(Smile=TRUE,VLOOKUP(MAX(-5,$H119-L119),Volsmile,2),0)),$CG119,$CH119,($A119-DateToday)+15,1,0)),L119-$H119),0)))</f>
        <v xml:space="preserve"> </v>
      </c>
      <c r="V119" s="405" t="str">
        <f>IF($A119="N/A"," ",IF(Pricetype=2,MAX(M119-$H119,0),IF(M119&lt;&gt;0,IF(Pricetype=1,(_xll.xSPRDOPT(M119,$E119,$CI119,0,($CD119+IF(Smile=TRUE,VLOOKUP(MAX(-5,$H119-M119),Volsmile,2),0)),$CG119,$CH119,($A119-DateToday)+15,1,0)),M119-$H119),0)))</f>
        <v xml:space="preserve"> </v>
      </c>
      <c r="W119" s="406" t="str">
        <f t="shared" si="193"/>
        <v xml:space="preserve"> </v>
      </c>
      <c r="X119" s="405" t="str">
        <f>IF($A119="N/A"," ",IF(Pricetype=2,MAX(O119-$H119,0),IF(O119&lt;&gt;0,IF(Pricetype=1,(_xll.xSPRDOPT(O119,$E119,$CI119,0,($CD119+IF(Smile=TRUE,VLOOKUP(MAX(-5,$H119-O119),Volsmile,2),0)),$CG119,$CH119,($A119-DateToday)+15,1,0)),O119-$H119),0)))</f>
        <v xml:space="preserve"> </v>
      </c>
      <c r="Y119" s="405" t="str">
        <f>IF($A119="N/A"," ",IF(Pricetype=2,MAX(P119-$H119,0),IF(P119&lt;&gt;0,IF(Pricetype=1,(_xll.xSPRDOPT(P119,$E119,$CI119,0,($CD119+IF(Smile=TRUE,VLOOKUP(MAX(-5,$H119-P119),Volsmile,2),0)),$CG119,$CH119,($A119-DateToday)+15,1,0)),P119-$H119),0)))</f>
        <v xml:space="preserve"> </v>
      </c>
      <c r="Z119" s="406" t="str">
        <f t="shared" si="194"/>
        <v xml:space="preserve"> </v>
      </c>
      <c r="AA119" s="254" t="str">
        <f>IF($A119="N/A"," ",IF(VLOOKUP(MONTH(A119),ManualTable,2)=1,(IF(0&lt;&gt;R119,IF(Pricetype=1,(_xll.xSPRDOPT(I119,$E119,$CI119,0,($CD119+IF(Smile=TRUE,VLOOKUP(MAX(-5,$H119-I119),Volsmile,2),0)),$CG119,$CH119,($A119-DateToday)+15,1,1))*(8*$HD119),8*$HD119),0)),0))</f>
        <v xml:space="preserve"> </v>
      </c>
      <c r="AB119" s="254" t="str">
        <f>IF($A119="N/A"," ",IF(VLOOKUP(MONTH(A119),ManualTable,3)=1,(IF(S119&lt;&gt;0,IF(Pricetype=1,(_xll.xSPRDOPT(J119,$E119,$CI119,0,($CD119+IF(Smile=TRUE,VLOOKUP(MAX(-5,$H119-J119),Volsmile,2),0)),$CG119,$CH119,($A119-DateToday)+15,1,1))*(8*$HD119),8*$HD119),0)),0))</f>
        <v xml:space="preserve"> </v>
      </c>
      <c r="AC119" s="254" t="str">
        <f t="shared" si="235"/>
        <v xml:space="preserve"> </v>
      </c>
      <c r="AD119" s="254" t="str">
        <f>IF($A119="N/A"," ",IF(VLOOKUP(MONTH(A119),ManualTable,5)=1,(IF(U119&lt;&gt;0,IF(Pricetype=1,(_xll.xSPRDOPT(L119,$E119,$CI119,0,($CD119+IF(Smile=TRUE,VLOOKUP(MAX(-5,$H119-L119),Volsmile,2),0)),$CG119,$CH119,($A119-DateToday)+15,1,1))*(8*$HE119),8*$HE119),0)),0))</f>
        <v xml:space="preserve"> </v>
      </c>
      <c r="AE119" s="254" t="str">
        <f>IF($A119="N/A"," ",IF(VLOOKUP(MONTH(A119),ManualTable,6)=1,(IF(V119&lt;&gt;0,IF(Pricetype=1,(_xll.xSPRDOPT(M119,$E119,$CI119,0,($CD119+IF(Smile=TRUE,VLOOKUP(MAX(-5,$H119-M119),Volsmile,2),0)),$CG119,$CH119,($A119-DateToday)+15,1,1))*(8*$HE119),8*$HE119),0)),0))</f>
        <v xml:space="preserve"> </v>
      </c>
      <c r="AF119" s="254" t="str">
        <f t="shared" si="236"/>
        <v xml:space="preserve"> </v>
      </c>
      <c r="AG119" s="254" t="str">
        <f>IF($A119="N/A"," ",IF(VLOOKUP(MONTH(A119),ManualTable,8)=1,(IF(X119&lt;&gt;0,IF(Pricetype=1,(_xll.xSPRDOPT(O119,$E119,$CI119,0,($CD119+IF(Smile=TRUE,VLOOKUP(MAX(-5,$H119-O119),Volsmile,2),0)),$CG119,$CH119,($A119-DateToday)+15,1,1))*(8*$HF119),8*$HF119),0)),0))</f>
        <v xml:space="preserve"> </v>
      </c>
      <c r="AH119" s="254" t="str">
        <f>IF($A119="N/A"," ",IF(VLOOKUP(MONTH(A119),ManualTable,9)=1,(IF(Y119&lt;&gt;0,IF(Pricetype=1,(_xll.xSPRDOPT(P119,$E119,$CI119,0,($CD119+IF(Smile=TRUE,VLOOKUP(MAX(-5,$H119-P119),Volsmile,2),0)),$CG119,$CH119,($A119-DateToday)+15,1,1))*(8*$HF119),8*$HF119),0)),0))</f>
        <v xml:space="preserve"> </v>
      </c>
      <c r="AI119" s="254" t="str">
        <f t="shared" si="237"/>
        <v xml:space="preserve"> </v>
      </c>
      <c r="AJ119" s="227" t="str">
        <f t="shared" si="320"/>
        <v xml:space="preserve"> </v>
      </c>
      <c r="AK119" s="228" t="str">
        <f t="shared" si="321"/>
        <v xml:space="preserve"> </v>
      </c>
      <c r="AL119" s="228" t="str">
        <f t="shared" si="321"/>
        <v xml:space="preserve"> </v>
      </c>
      <c r="AM119" s="228" t="str">
        <f t="shared" si="322"/>
        <v xml:space="preserve"> </v>
      </c>
      <c r="AN119" s="228" t="str">
        <f t="shared" si="323"/>
        <v xml:space="preserve"> </v>
      </c>
      <c r="AO119" s="228" t="str">
        <f t="shared" si="323"/>
        <v xml:space="preserve"> </v>
      </c>
      <c r="AP119" s="228" t="str">
        <f t="shared" si="324"/>
        <v xml:space="preserve"> </v>
      </c>
      <c r="AQ119" s="228" t="str">
        <f t="shared" si="325"/>
        <v xml:space="preserve"> </v>
      </c>
      <c r="AR119" s="229" t="str">
        <f t="shared" si="326"/>
        <v xml:space="preserve"> </v>
      </c>
      <c r="AS119" s="262" t="str">
        <f t="shared" si="274"/>
        <v xml:space="preserve"> </v>
      </c>
      <c r="AT119" s="263" t="str">
        <f t="shared" si="275"/>
        <v xml:space="preserve"> </v>
      </c>
      <c r="AU119" s="263" t="str">
        <f t="shared" si="275"/>
        <v xml:space="preserve"> </v>
      </c>
      <c r="AV119" s="263" t="str">
        <f t="shared" si="276"/>
        <v xml:space="preserve"> </v>
      </c>
      <c r="AW119" s="263" t="str">
        <f t="shared" si="277"/>
        <v xml:space="preserve"> </v>
      </c>
      <c r="AX119" s="263" t="str">
        <f t="shared" si="277"/>
        <v xml:space="preserve"> </v>
      </c>
      <c r="AY119" s="263" t="str">
        <f t="shared" si="278"/>
        <v xml:space="preserve"> </v>
      </c>
      <c r="AZ119" s="263" t="str">
        <f t="shared" si="279"/>
        <v xml:space="preserve"> </v>
      </c>
      <c r="BA119" s="263" t="str">
        <f t="shared" si="280"/>
        <v xml:space="preserve"> </v>
      </c>
      <c r="BB119" s="229"/>
      <c r="BC119" s="266" t="str">
        <f t="shared" si="313"/>
        <v xml:space="preserve"> </v>
      </c>
      <c r="BD119" s="269" t="str">
        <f t="shared" si="314"/>
        <v xml:space="preserve"> </v>
      </c>
      <c r="BE119" s="269" t="str">
        <f t="shared" si="314"/>
        <v xml:space="preserve"> </v>
      </c>
      <c r="BF119" s="269" t="str">
        <f t="shared" si="315"/>
        <v xml:space="preserve"> </v>
      </c>
      <c r="BG119" s="269" t="str">
        <f t="shared" si="316"/>
        <v xml:space="preserve"> </v>
      </c>
      <c r="BH119" s="269" t="str">
        <f t="shared" si="316"/>
        <v xml:space="preserve"> </v>
      </c>
      <c r="BI119" s="269" t="str">
        <f t="shared" si="317"/>
        <v xml:space="preserve"> </v>
      </c>
      <c r="BJ119" s="269" t="str">
        <f t="shared" si="318"/>
        <v xml:space="preserve"> </v>
      </c>
      <c r="BK119" s="269" t="str">
        <f t="shared" si="319"/>
        <v xml:space="preserve"> </v>
      </c>
      <c r="BL119" s="229"/>
      <c r="BM119" s="220" t="str">
        <f>IF($A119="N/A"," ",(IF(MONTH(A119)&gt;=4,IF(MONTH(A119)&lt;=10,Inputs!$F$13-Inputs!$G$13,Inputs!$F$14-Inputs!$G$14),Inputs!$F$14-Inputs!$G$14))*$CK119*Availability)</f>
        <v xml:space="preserve"> </v>
      </c>
      <c r="BN119" s="221" t="str">
        <f t="shared" si="238"/>
        <v xml:space="preserve"> </v>
      </c>
      <c r="BO119" s="221" t="str">
        <f t="shared" si="239"/>
        <v xml:space="preserve"> </v>
      </c>
      <c r="BP119" s="221" t="str">
        <f t="shared" si="240"/>
        <v xml:space="preserve"> </v>
      </c>
      <c r="BQ119" s="221" t="str">
        <f t="shared" si="241"/>
        <v xml:space="preserve"> </v>
      </c>
      <c r="BR119" s="221" t="str">
        <f t="shared" si="242"/>
        <v xml:space="preserve"> </v>
      </c>
      <c r="BS119" s="221" t="str">
        <f t="shared" si="243"/>
        <v xml:space="preserve"> </v>
      </c>
      <c r="BT119" s="221" t="str">
        <f t="shared" si="244"/>
        <v xml:space="preserve"> </v>
      </c>
      <c r="BU119" s="221" t="str">
        <f t="shared" si="245"/>
        <v xml:space="preserve"> </v>
      </c>
      <c r="BV119" s="221" t="str">
        <f t="shared" si="246"/>
        <v xml:space="preserve"> </v>
      </c>
      <c r="BW119" s="221" t="str">
        <f t="shared" si="247"/>
        <v xml:space="preserve"> </v>
      </c>
      <c r="BX119" s="421" t="str">
        <f t="shared" si="248"/>
        <v xml:space="preserve"> </v>
      </c>
      <c r="BY119" s="417" t="str">
        <f t="shared" si="249"/>
        <v xml:space="preserve"> </v>
      </c>
      <c r="BZ119" s="417" t="str">
        <f t="shared" si="250"/>
        <v xml:space="preserve"> </v>
      </c>
      <c r="CA119" s="422" t="str">
        <f t="shared" si="251"/>
        <v xml:space="preserve"> </v>
      </c>
      <c r="CB119" s="347" t="str">
        <f t="shared" si="195"/>
        <v xml:space="preserve"> </v>
      </c>
      <c r="CC119" s="347" t="str">
        <f t="shared" si="252"/>
        <v xml:space="preserve"> </v>
      </c>
      <c r="CD119" s="348" t="str">
        <f t="shared" si="196"/>
        <v xml:space="preserve"> </v>
      </c>
      <c r="CE119" s="347" t="str">
        <f t="shared" si="197"/>
        <v xml:space="preserve"> </v>
      </c>
      <c r="CF119" s="347" t="str">
        <f t="shared" si="198"/>
        <v xml:space="preserve"> </v>
      </c>
      <c r="CG119" s="348" t="str">
        <f t="shared" si="199"/>
        <v xml:space="preserve"> </v>
      </c>
      <c r="CH119" s="347" t="str">
        <f t="shared" si="253"/>
        <v xml:space="preserve"> </v>
      </c>
      <c r="CI119" s="349" t="str">
        <f>IF($A119="N/A"," ",F119+G119+(D119*('Pricing Inputs'!T152)))</f>
        <v xml:space="preserve"> </v>
      </c>
      <c r="CJ119" s="347" t="str">
        <f>IF($A119="N/A"," ",IF(PV=1,0,'Pricing Inputs'!U152))</f>
        <v xml:space="preserve"> </v>
      </c>
      <c r="CK119" s="350" t="str">
        <f t="shared" si="200"/>
        <v xml:space="preserve"> </v>
      </c>
      <c r="CL119" s="365" t="str">
        <f t="shared" si="201"/>
        <v xml:space="preserve"> </v>
      </c>
      <c r="CM119" s="380" t="str">
        <f t="shared" si="254"/>
        <v xml:space="preserve"> </v>
      </c>
      <c r="CN119" s="378" t="str">
        <f t="shared" si="202"/>
        <v xml:space="preserve"> </v>
      </c>
      <c r="CO119" s="378" t="str">
        <f t="shared" si="203"/>
        <v xml:space="preserve"> </v>
      </c>
      <c r="CP119" s="378" t="str">
        <f t="shared" si="204"/>
        <v xml:space="preserve"> </v>
      </c>
      <c r="CQ119" s="378" t="str">
        <f t="shared" si="205"/>
        <v xml:space="preserve"> </v>
      </c>
      <c r="CR119" s="378" t="str">
        <f t="shared" si="206"/>
        <v xml:space="preserve"> </v>
      </c>
      <c r="CS119" s="378" t="str">
        <f t="shared" si="207"/>
        <v xml:space="preserve"> </v>
      </c>
      <c r="CT119" s="378" t="str">
        <f t="shared" si="208"/>
        <v xml:space="preserve"> </v>
      </c>
      <c r="CU119" s="378" t="str">
        <f t="shared" si="209"/>
        <v xml:space="preserve"> </v>
      </c>
      <c r="CV119" s="378" t="str">
        <f t="shared" si="210"/>
        <v xml:space="preserve"> </v>
      </c>
      <c r="CW119" s="254" t="str">
        <f t="shared" si="211"/>
        <v xml:space="preserve"> </v>
      </c>
      <c r="CX119" s="254" t="str">
        <f t="shared" si="212"/>
        <v xml:space="preserve"> </v>
      </c>
      <c r="CY119" s="254" t="str">
        <f t="shared" si="213"/>
        <v xml:space="preserve"> </v>
      </c>
      <c r="CZ119" s="254" t="str">
        <f t="shared" si="214"/>
        <v xml:space="preserve"> </v>
      </c>
      <c r="DA119" s="254" t="str">
        <f t="shared" si="215"/>
        <v xml:space="preserve"> </v>
      </c>
      <c r="DB119" s="254" t="str">
        <f t="shared" si="216"/>
        <v xml:space="preserve"> </v>
      </c>
      <c r="DC119" s="254" t="str">
        <f t="shared" si="217"/>
        <v xml:space="preserve"> </v>
      </c>
      <c r="DD119" s="254" t="str">
        <f t="shared" si="218"/>
        <v xml:space="preserve"> </v>
      </c>
      <c r="DE119" s="254" t="str">
        <f t="shared" si="219"/>
        <v xml:space="preserve"> </v>
      </c>
      <c r="DF119" s="374" t="str">
        <f>IF($A119="N/A"," ",IF(CC=2,(IF(MONTH(A119)&gt;=4,IF(MONTH(A119)&lt;=10,Inputs!$G$13,Inputs!$G$14),Inputs!$G$14))*$CK119,0))</f>
        <v xml:space="preserve"> </v>
      </c>
      <c r="DG119" s="373" t="str">
        <f t="shared" si="220"/>
        <v xml:space="preserve"> </v>
      </c>
      <c r="DH119" s="373" t="str">
        <f t="shared" si="221"/>
        <v xml:space="preserve"> </v>
      </c>
      <c r="DI119" s="373" t="str">
        <f t="shared" si="222"/>
        <v xml:space="preserve"> </v>
      </c>
      <c r="DJ119" s="373" t="str">
        <f t="shared" si="223"/>
        <v xml:space="preserve"> </v>
      </c>
      <c r="DK119" s="373" t="str">
        <f t="shared" si="224"/>
        <v xml:space="preserve"> </v>
      </c>
      <c r="DL119" s="373" t="str">
        <f t="shared" si="225"/>
        <v xml:space="preserve"> </v>
      </c>
      <c r="DM119" s="373" t="str">
        <f t="shared" si="226"/>
        <v xml:space="preserve"> </v>
      </c>
      <c r="DN119" s="373" t="str">
        <f t="shared" si="227"/>
        <v xml:space="preserve"> </v>
      </c>
      <c r="DO119" s="373" t="str">
        <f t="shared" si="228"/>
        <v xml:space="preserve"> </v>
      </c>
      <c r="DP119" s="375" t="str">
        <f t="shared" si="229"/>
        <v xml:space="preserve"> </v>
      </c>
      <c r="DQ119" t="str">
        <f t="shared" si="255"/>
        <v xml:space="preserve"> </v>
      </c>
      <c r="HD119" t="str">
        <f t="shared" si="256"/>
        <v xml:space="preserve"> </v>
      </c>
      <c r="HE119" t="str">
        <f t="shared" si="257"/>
        <v xml:space="preserve"> </v>
      </c>
      <c r="HF119" t="str">
        <f t="shared" si="258"/>
        <v xml:space="preserve"> </v>
      </c>
    </row>
    <row r="120" spans="1:214">
      <c r="A120" s="415" t="str">
        <f>IF(A119="N/A","N/A",IF(EDATE(A119,1)&gt;Inputs!$K$3,"N/A",EDATE(A119,1)))</f>
        <v>N/A</v>
      </c>
      <c r="B120" s="410" t="str">
        <f t="shared" si="230"/>
        <v xml:space="preserve"> </v>
      </c>
      <c r="C120" s="411" t="str">
        <f t="shared" si="231"/>
        <v xml:space="preserve"> </v>
      </c>
      <c r="D120" s="412" t="str">
        <f t="shared" si="232"/>
        <v xml:space="preserve"> </v>
      </c>
      <c r="E120" s="413" t="str">
        <f>IF($A120="N/A"," ",(C120-'Pricing Inputs'!T153)*D120)</f>
        <v xml:space="preserve"> </v>
      </c>
      <c r="F120" s="414" t="str">
        <f t="shared" si="281"/>
        <v xml:space="preserve"> </v>
      </c>
      <c r="G120" s="414" t="str">
        <f t="shared" si="233"/>
        <v xml:space="preserve"> </v>
      </c>
      <c r="H120" s="416" t="str">
        <f t="shared" si="234"/>
        <v xml:space="preserve"> </v>
      </c>
      <c r="I120" s="213" t="str">
        <f t="shared" si="183"/>
        <v xml:space="preserve"> </v>
      </c>
      <c r="J120" s="213" t="str">
        <f t="shared" si="184"/>
        <v xml:space="preserve"> </v>
      </c>
      <c r="K120" s="213" t="str">
        <f t="shared" si="185"/>
        <v xml:space="preserve"> </v>
      </c>
      <c r="L120" s="213" t="str">
        <f t="shared" si="186"/>
        <v xml:space="preserve"> </v>
      </c>
      <c r="M120" s="213" t="str">
        <f t="shared" si="187"/>
        <v xml:space="preserve"> </v>
      </c>
      <c r="N120" s="213" t="str">
        <f t="shared" si="188"/>
        <v xml:space="preserve"> </v>
      </c>
      <c r="O120" s="213" t="str">
        <f t="shared" si="189"/>
        <v xml:space="preserve"> </v>
      </c>
      <c r="P120" s="213" t="str">
        <f t="shared" si="190"/>
        <v xml:space="preserve"> </v>
      </c>
      <c r="Q120" s="213" t="str">
        <f t="shared" si="191"/>
        <v xml:space="preserve"> </v>
      </c>
      <c r="R120" s="405" t="str">
        <f>IF($A120="N/A"," ",IF(Pricetype=2,MAX(I120-$H120,0),IF(Pricetype=1,(_xll.xSPRDOPT(I120,$E120,$CI120,0,($CD120+IF(Smile=TRUE,VLOOKUP(MAX(-5,$H120-I120),Volsmile,2),0)),$CG120,$CH120,($A120-DateToday)+15,1,0)),I120-$H120)))</f>
        <v xml:space="preserve"> </v>
      </c>
      <c r="S120" s="405" t="str">
        <f>IF($A120="N/A"," ",IF(Pricetype=2,MAX(J120-$H120,0),IF(Pricetype=1,(_xll.xSPRDOPT(J120,$E120,$CI120,0,($CD120+IF(Smile=TRUE,VLOOKUP(MAX(-5,$H120-J120),Volsmile,2),0)),$CG120,$CH120,($A120-DateToday)+15,1,0)),J120-$H120)))</f>
        <v xml:space="preserve"> </v>
      </c>
      <c r="T120" s="406" t="str">
        <f t="shared" si="192"/>
        <v xml:space="preserve"> </v>
      </c>
      <c r="U120" s="405" t="str">
        <f>IF($A120="N/A"," ",IF(Pricetype=2,MAX(L120-$H120,0),IF(L120&lt;&gt;0,IF(Pricetype=1,(_xll.xSPRDOPT(L120,$E120,$CI120,0,($CD120+IF(Smile=TRUE,VLOOKUP(MAX(-5,$H120-L120),Volsmile,2),0)),$CG120,$CH120,($A120-DateToday)+15,1,0)),L120-$H120),0)))</f>
        <v xml:space="preserve"> </v>
      </c>
      <c r="V120" s="405" t="str">
        <f>IF($A120="N/A"," ",IF(Pricetype=2,MAX(M120-$H120,0),IF(M120&lt;&gt;0,IF(Pricetype=1,(_xll.xSPRDOPT(M120,$E120,$CI120,0,($CD120+IF(Smile=TRUE,VLOOKUP(MAX(-5,$H120-M120),Volsmile,2),0)),$CG120,$CH120,($A120-DateToday)+15,1,0)),M120-$H120),0)))</f>
        <v xml:space="preserve"> </v>
      </c>
      <c r="W120" s="406" t="str">
        <f t="shared" si="193"/>
        <v xml:space="preserve"> </v>
      </c>
      <c r="X120" s="405" t="str">
        <f>IF($A120="N/A"," ",IF(Pricetype=2,MAX(O120-$H120,0),IF(O120&lt;&gt;0,IF(Pricetype=1,(_xll.xSPRDOPT(O120,$E120,$CI120,0,($CD120+IF(Smile=TRUE,VLOOKUP(MAX(-5,$H120-O120),Volsmile,2),0)),$CG120,$CH120,($A120-DateToday)+15,1,0)),O120-$H120),0)))</f>
        <v xml:space="preserve"> </v>
      </c>
      <c r="Y120" s="405" t="str">
        <f>IF($A120="N/A"," ",IF(Pricetype=2,MAX(P120-$H120,0),IF(P120&lt;&gt;0,IF(Pricetype=1,(_xll.xSPRDOPT(P120,$E120,$CI120,0,($CD120+IF(Smile=TRUE,VLOOKUP(MAX(-5,$H120-P120),Volsmile,2),0)),$CG120,$CH120,($A120-DateToday)+15,1,0)),P120-$H120),0)))</f>
        <v xml:space="preserve"> </v>
      </c>
      <c r="Z120" s="406" t="str">
        <f t="shared" si="194"/>
        <v xml:space="preserve"> </v>
      </c>
      <c r="AA120" s="254" t="str">
        <f>IF($A120="N/A"," ",IF(VLOOKUP(MONTH(A120),ManualTable,2)=1,(IF(0&lt;&gt;R120,IF(Pricetype=1,(_xll.xSPRDOPT(I120,$E120,$CI120,0,($CD120+IF(Smile=TRUE,VLOOKUP(MAX(-5,$H120-I120),Volsmile,2),0)),$CG120,$CH120,($A120-DateToday)+15,1,1))*(8*$HD120),8*$HD120),0)),0))</f>
        <v xml:space="preserve"> </v>
      </c>
      <c r="AB120" s="254" t="str">
        <f>IF($A120="N/A"," ",IF(VLOOKUP(MONTH(A120),ManualTable,3)=1,(IF(S120&lt;&gt;0,IF(Pricetype=1,(_xll.xSPRDOPT(J120,$E120,$CI120,0,($CD120+IF(Smile=TRUE,VLOOKUP(MAX(-5,$H120-J120),Volsmile,2),0)),$CG120,$CH120,($A120-DateToday)+15,1,1))*(8*$HD120),8*$HD120),0)),0))</f>
        <v xml:space="preserve"> </v>
      </c>
      <c r="AC120" s="254" t="str">
        <f t="shared" si="235"/>
        <v xml:space="preserve"> </v>
      </c>
      <c r="AD120" s="254" t="str">
        <f>IF($A120="N/A"," ",IF(VLOOKUP(MONTH(A120),ManualTable,5)=1,(IF(U120&lt;&gt;0,IF(Pricetype=1,(_xll.xSPRDOPT(L120,$E120,$CI120,0,($CD120+IF(Smile=TRUE,VLOOKUP(MAX(-5,$H120-L120),Volsmile,2),0)),$CG120,$CH120,($A120-DateToday)+15,1,1))*(8*$HE120),8*$HE120),0)),0))</f>
        <v xml:space="preserve"> </v>
      </c>
      <c r="AE120" s="254" t="str">
        <f>IF($A120="N/A"," ",IF(VLOOKUP(MONTH(A120),ManualTable,6)=1,(IF(V120&lt;&gt;0,IF(Pricetype=1,(_xll.xSPRDOPT(M120,$E120,$CI120,0,($CD120+IF(Smile=TRUE,VLOOKUP(MAX(-5,$H120-M120),Volsmile,2),0)),$CG120,$CH120,($A120-DateToday)+15,1,1))*(8*$HE120),8*$HE120),0)),0))</f>
        <v xml:space="preserve"> </v>
      </c>
      <c r="AF120" s="254" t="str">
        <f t="shared" si="236"/>
        <v xml:space="preserve"> </v>
      </c>
      <c r="AG120" s="254" t="str">
        <f>IF($A120="N/A"," ",IF(VLOOKUP(MONTH(A120),ManualTable,8)=1,(IF(X120&lt;&gt;0,IF(Pricetype=1,(_xll.xSPRDOPT(O120,$E120,$CI120,0,($CD120+IF(Smile=TRUE,VLOOKUP(MAX(-5,$H120-O120),Volsmile,2),0)),$CG120,$CH120,($A120-DateToday)+15,1,1))*(8*$HF120),8*$HF120),0)),0))</f>
        <v xml:space="preserve"> </v>
      </c>
      <c r="AH120" s="254" t="str">
        <f>IF($A120="N/A"," ",IF(VLOOKUP(MONTH(A120),ManualTable,9)=1,(IF(Y120&lt;&gt;0,IF(Pricetype=1,(_xll.xSPRDOPT(P120,$E120,$CI120,0,($CD120+IF(Smile=TRUE,VLOOKUP(MAX(-5,$H120-P120),Volsmile,2),0)),$CG120,$CH120,($A120-DateToday)+15,1,1))*(8*$HF120),8*$HF120),0)),0))</f>
        <v xml:space="preserve"> </v>
      </c>
      <c r="AI120" s="254" t="str">
        <f t="shared" si="237"/>
        <v xml:space="preserve"> </v>
      </c>
      <c r="AJ120" s="227" t="str">
        <f t="shared" si="320"/>
        <v xml:space="preserve"> </v>
      </c>
      <c r="AK120" s="228" t="str">
        <f t="shared" si="321"/>
        <v xml:space="preserve"> </v>
      </c>
      <c r="AL120" s="228" t="str">
        <f t="shared" si="321"/>
        <v xml:space="preserve"> </v>
      </c>
      <c r="AM120" s="228" t="str">
        <f t="shared" si="322"/>
        <v xml:space="preserve"> </v>
      </c>
      <c r="AN120" s="228" t="str">
        <f t="shared" si="323"/>
        <v xml:space="preserve"> </v>
      </c>
      <c r="AO120" s="228" t="str">
        <f t="shared" si="323"/>
        <v xml:space="preserve"> </v>
      </c>
      <c r="AP120" s="228" t="str">
        <f t="shared" si="324"/>
        <v xml:space="preserve"> </v>
      </c>
      <c r="AQ120" s="228" t="str">
        <f t="shared" si="325"/>
        <v xml:space="preserve"> </v>
      </c>
      <c r="AR120" s="229" t="str">
        <f t="shared" si="326"/>
        <v xml:space="preserve"> </v>
      </c>
      <c r="AS120" s="262" t="str">
        <f t="shared" si="274"/>
        <v xml:space="preserve"> </v>
      </c>
      <c r="AT120" s="263" t="str">
        <f t="shared" si="275"/>
        <v xml:space="preserve"> </v>
      </c>
      <c r="AU120" s="263" t="str">
        <f t="shared" si="275"/>
        <v xml:space="preserve"> </v>
      </c>
      <c r="AV120" s="263" t="str">
        <f t="shared" si="276"/>
        <v xml:space="preserve"> </v>
      </c>
      <c r="AW120" s="263" t="str">
        <f t="shared" si="277"/>
        <v xml:space="preserve"> </v>
      </c>
      <c r="AX120" s="263" t="str">
        <f t="shared" si="277"/>
        <v xml:space="preserve"> </v>
      </c>
      <c r="AY120" s="263" t="str">
        <f t="shared" si="278"/>
        <v xml:space="preserve"> </v>
      </c>
      <c r="AZ120" s="263" t="str">
        <f t="shared" si="279"/>
        <v xml:space="preserve"> </v>
      </c>
      <c r="BA120" s="263" t="str">
        <f t="shared" si="280"/>
        <v xml:space="preserve"> </v>
      </c>
      <c r="BB120" s="229"/>
      <c r="BC120" s="266" t="str">
        <f t="shared" si="313"/>
        <v xml:space="preserve"> </v>
      </c>
      <c r="BD120" s="269" t="str">
        <f t="shared" si="314"/>
        <v xml:space="preserve"> </v>
      </c>
      <c r="BE120" s="269" t="str">
        <f t="shared" si="314"/>
        <v xml:space="preserve"> </v>
      </c>
      <c r="BF120" s="269" t="str">
        <f t="shared" si="315"/>
        <v xml:space="preserve"> </v>
      </c>
      <c r="BG120" s="269" t="str">
        <f t="shared" si="316"/>
        <v xml:space="preserve"> </v>
      </c>
      <c r="BH120" s="269" t="str">
        <f t="shared" si="316"/>
        <v xml:space="preserve"> </v>
      </c>
      <c r="BI120" s="269" t="str">
        <f t="shared" si="317"/>
        <v xml:space="preserve"> </v>
      </c>
      <c r="BJ120" s="269" t="str">
        <f t="shared" si="318"/>
        <v xml:space="preserve"> </v>
      </c>
      <c r="BK120" s="269" t="str">
        <f t="shared" si="319"/>
        <v xml:space="preserve"> </v>
      </c>
      <c r="BL120" s="229"/>
      <c r="BM120" s="220" t="str">
        <f>IF($A120="N/A"," ",(IF(MONTH(A120)&gt;=4,IF(MONTH(A120)&lt;=10,Inputs!$F$13-Inputs!$G$13,Inputs!$F$14-Inputs!$G$14),Inputs!$F$14-Inputs!$G$14))*$CK120*Availability)</f>
        <v xml:space="preserve"> </v>
      </c>
      <c r="BN120" s="221" t="str">
        <f t="shared" si="238"/>
        <v xml:space="preserve"> </v>
      </c>
      <c r="BO120" s="221" t="str">
        <f t="shared" si="239"/>
        <v xml:space="preserve"> </v>
      </c>
      <c r="BP120" s="221" t="str">
        <f t="shared" si="240"/>
        <v xml:space="preserve"> </v>
      </c>
      <c r="BQ120" s="221" t="str">
        <f t="shared" si="241"/>
        <v xml:space="preserve"> </v>
      </c>
      <c r="BR120" s="221" t="str">
        <f t="shared" si="242"/>
        <v xml:space="preserve"> </v>
      </c>
      <c r="BS120" s="221" t="str">
        <f t="shared" si="243"/>
        <v xml:space="preserve"> </v>
      </c>
      <c r="BT120" s="221" t="str">
        <f t="shared" si="244"/>
        <v xml:space="preserve"> </v>
      </c>
      <c r="BU120" s="221" t="str">
        <f t="shared" si="245"/>
        <v xml:space="preserve"> </v>
      </c>
      <c r="BV120" s="221" t="str">
        <f t="shared" si="246"/>
        <v xml:space="preserve"> </v>
      </c>
      <c r="BW120" s="221" t="str">
        <f t="shared" si="247"/>
        <v xml:space="preserve"> </v>
      </c>
      <c r="BX120" s="421" t="str">
        <f t="shared" si="248"/>
        <v xml:space="preserve"> </v>
      </c>
      <c r="BY120" s="417" t="str">
        <f t="shared" si="249"/>
        <v xml:space="preserve"> </v>
      </c>
      <c r="BZ120" s="417" t="str">
        <f t="shared" si="250"/>
        <v xml:space="preserve"> </v>
      </c>
      <c r="CA120" s="422" t="str">
        <f t="shared" si="251"/>
        <v xml:space="preserve"> </v>
      </c>
      <c r="CB120" s="347" t="str">
        <f t="shared" si="195"/>
        <v xml:space="preserve"> </v>
      </c>
      <c r="CC120" s="347" t="str">
        <f t="shared" si="252"/>
        <v xml:space="preserve"> </v>
      </c>
      <c r="CD120" s="348" t="str">
        <f t="shared" si="196"/>
        <v xml:space="preserve"> </v>
      </c>
      <c r="CE120" s="347" t="str">
        <f t="shared" si="197"/>
        <v xml:space="preserve"> </v>
      </c>
      <c r="CF120" s="347" t="str">
        <f t="shared" si="198"/>
        <v xml:space="preserve"> </v>
      </c>
      <c r="CG120" s="348" t="str">
        <f t="shared" si="199"/>
        <v xml:space="preserve"> </v>
      </c>
      <c r="CH120" s="347" t="str">
        <f t="shared" si="253"/>
        <v xml:space="preserve"> </v>
      </c>
      <c r="CI120" s="349" t="str">
        <f>IF($A120="N/A"," ",F120+G120+(D120*('Pricing Inputs'!T153)))</f>
        <v xml:space="preserve"> </v>
      </c>
      <c r="CJ120" s="347" t="str">
        <f>IF($A120="N/A"," ",IF(PV=1,0,'Pricing Inputs'!U153))</f>
        <v xml:space="preserve"> </v>
      </c>
      <c r="CK120" s="350" t="str">
        <f t="shared" si="200"/>
        <v xml:space="preserve"> </v>
      </c>
      <c r="CL120" s="365" t="str">
        <f t="shared" si="201"/>
        <v xml:space="preserve"> </v>
      </c>
      <c r="CM120" s="380" t="str">
        <f t="shared" si="254"/>
        <v xml:space="preserve"> </v>
      </c>
      <c r="CN120" s="378" t="str">
        <f t="shared" si="202"/>
        <v xml:space="preserve"> </v>
      </c>
      <c r="CO120" s="378" t="str">
        <f t="shared" si="203"/>
        <v xml:space="preserve"> </v>
      </c>
      <c r="CP120" s="378" t="str">
        <f t="shared" si="204"/>
        <v xml:space="preserve"> </v>
      </c>
      <c r="CQ120" s="378" t="str">
        <f t="shared" si="205"/>
        <v xml:space="preserve"> </v>
      </c>
      <c r="CR120" s="378" t="str">
        <f t="shared" si="206"/>
        <v xml:space="preserve"> </v>
      </c>
      <c r="CS120" s="378" t="str">
        <f t="shared" si="207"/>
        <v xml:space="preserve"> </v>
      </c>
      <c r="CT120" s="378" t="str">
        <f t="shared" si="208"/>
        <v xml:space="preserve"> </v>
      </c>
      <c r="CU120" s="378" t="str">
        <f t="shared" si="209"/>
        <v xml:space="preserve"> </v>
      </c>
      <c r="CV120" s="378" t="str">
        <f t="shared" si="210"/>
        <v xml:space="preserve"> </v>
      </c>
      <c r="CW120" s="254" t="str">
        <f t="shared" si="211"/>
        <v xml:space="preserve"> </v>
      </c>
      <c r="CX120" s="254" t="str">
        <f t="shared" si="212"/>
        <v xml:space="preserve"> </v>
      </c>
      <c r="CY120" s="254" t="str">
        <f t="shared" si="213"/>
        <v xml:space="preserve"> </v>
      </c>
      <c r="CZ120" s="254" t="str">
        <f t="shared" si="214"/>
        <v xml:space="preserve"> </v>
      </c>
      <c r="DA120" s="254" t="str">
        <f t="shared" si="215"/>
        <v xml:space="preserve"> </v>
      </c>
      <c r="DB120" s="254" t="str">
        <f t="shared" si="216"/>
        <v xml:space="preserve"> </v>
      </c>
      <c r="DC120" s="254" t="str">
        <f t="shared" si="217"/>
        <v xml:space="preserve"> </v>
      </c>
      <c r="DD120" s="254" t="str">
        <f t="shared" si="218"/>
        <v xml:space="preserve"> </v>
      </c>
      <c r="DE120" s="254" t="str">
        <f t="shared" si="219"/>
        <v xml:space="preserve"> </v>
      </c>
      <c r="DF120" s="374" t="str">
        <f>IF($A120="N/A"," ",IF(CC=2,(IF(MONTH(A120)&gt;=4,IF(MONTH(A120)&lt;=10,Inputs!$G$13,Inputs!$G$14),Inputs!$G$14))*$CK120,0))</f>
        <v xml:space="preserve"> </v>
      </c>
      <c r="DG120" s="373" t="str">
        <f t="shared" si="220"/>
        <v xml:space="preserve"> </v>
      </c>
      <c r="DH120" s="373" t="str">
        <f t="shared" si="221"/>
        <v xml:space="preserve"> </v>
      </c>
      <c r="DI120" s="373" t="str">
        <f t="shared" si="222"/>
        <v xml:space="preserve"> </v>
      </c>
      <c r="DJ120" s="373" t="str">
        <f t="shared" si="223"/>
        <v xml:space="preserve"> </v>
      </c>
      <c r="DK120" s="373" t="str">
        <f t="shared" si="224"/>
        <v xml:space="preserve"> </v>
      </c>
      <c r="DL120" s="373" t="str">
        <f t="shared" si="225"/>
        <v xml:space="preserve"> </v>
      </c>
      <c r="DM120" s="373" t="str">
        <f t="shared" si="226"/>
        <v xml:space="preserve"> </v>
      </c>
      <c r="DN120" s="373" t="str">
        <f t="shared" si="227"/>
        <v xml:space="preserve"> </v>
      </c>
      <c r="DO120" s="373" t="str">
        <f t="shared" si="228"/>
        <v xml:space="preserve"> </v>
      </c>
      <c r="DP120" s="375" t="str">
        <f t="shared" si="229"/>
        <v xml:space="preserve"> </v>
      </c>
      <c r="DQ120" t="str">
        <f t="shared" si="255"/>
        <v xml:space="preserve"> </v>
      </c>
      <c r="HD120" t="str">
        <f t="shared" si="256"/>
        <v xml:space="preserve"> </v>
      </c>
      <c r="HE120" t="str">
        <f t="shared" si="257"/>
        <v xml:space="preserve"> </v>
      </c>
      <c r="HF120" t="str">
        <f t="shared" si="258"/>
        <v xml:space="preserve"> </v>
      </c>
    </row>
    <row r="121" spans="1:214">
      <c r="A121" s="415" t="str">
        <f>IF(A120="N/A","N/A",IF(EDATE(A120,1)&gt;Inputs!$K$3,"N/A",EDATE(A120,1)))</f>
        <v>N/A</v>
      </c>
      <c r="B121" s="410" t="str">
        <f t="shared" si="230"/>
        <v xml:space="preserve"> </v>
      </c>
      <c r="C121" s="411" t="str">
        <f t="shared" si="231"/>
        <v xml:space="preserve"> </v>
      </c>
      <c r="D121" s="412" t="str">
        <f t="shared" si="232"/>
        <v xml:space="preserve"> </v>
      </c>
      <c r="E121" s="413" t="str">
        <f>IF($A121="N/A"," ",(C121-'Pricing Inputs'!T154)*D121)</f>
        <v xml:space="preserve"> </v>
      </c>
      <c r="F121" s="414" t="str">
        <f t="shared" si="281"/>
        <v xml:space="preserve"> </v>
      </c>
      <c r="G121" s="414" t="str">
        <f t="shared" si="233"/>
        <v xml:space="preserve"> </v>
      </c>
      <c r="H121" s="416" t="str">
        <f t="shared" si="234"/>
        <v xml:space="preserve"> </v>
      </c>
      <c r="I121" s="213" t="str">
        <f t="shared" si="183"/>
        <v xml:space="preserve"> </v>
      </c>
      <c r="J121" s="213" t="str">
        <f t="shared" si="184"/>
        <v xml:space="preserve"> </v>
      </c>
      <c r="K121" s="213" t="str">
        <f t="shared" si="185"/>
        <v xml:space="preserve"> </v>
      </c>
      <c r="L121" s="213" t="str">
        <f t="shared" si="186"/>
        <v xml:space="preserve"> </v>
      </c>
      <c r="M121" s="213" t="str">
        <f t="shared" si="187"/>
        <v xml:space="preserve"> </v>
      </c>
      <c r="N121" s="213" t="str">
        <f t="shared" si="188"/>
        <v xml:space="preserve"> </v>
      </c>
      <c r="O121" s="213" t="str">
        <f t="shared" si="189"/>
        <v xml:space="preserve"> </v>
      </c>
      <c r="P121" s="213" t="str">
        <f t="shared" si="190"/>
        <v xml:space="preserve"> </v>
      </c>
      <c r="Q121" s="213" t="str">
        <f t="shared" si="191"/>
        <v xml:space="preserve"> </v>
      </c>
      <c r="R121" s="405" t="str">
        <f>IF($A121="N/A"," ",IF(Pricetype=2,MAX(I121-$H121,0),IF(Pricetype=1,(_xll.xSPRDOPT(I121,$E121,$CI121,0,($CD121+IF(Smile=TRUE,VLOOKUP(MAX(-5,$H121-I121),Volsmile,2),0)),$CG121,$CH121,($A121-DateToday)+15,1,0)),I121-$H121)))</f>
        <v xml:space="preserve"> </v>
      </c>
      <c r="S121" s="405" t="str">
        <f>IF($A121="N/A"," ",IF(Pricetype=2,MAX(J121-$H121,0),IF(Pricetype=1,(_xll.xSPRDOPT(J121,$E121,$CI121,0,($CD121+IF(Smile=TRUE,VLOOKUP(MAX(-5,$H121-J121),Volsmile,2),0)),$CG121,$CH121,($A121-DateToday)+15,1,0)),J121-$H121)))</f>
        <v xml:space="preserve"> </v>
      </c>
      <c r="T121" s="406" t="str">
        <f t="shared" si="192"/>
        <v xml:space="preserve"> </v>
      </c>
      <c r="U121" s="405" t="str">
        <f>IF($A121="N/A"," ",IF(Pricetype=2,MAX(L121-$H121,0),IF(L121&lt;&gt;0,IF(Pricetype=1,(_xll.xSPRDOPT(L121,$E121,$CI121,0,($CD121+IF(Smile=TRUE,VLOOKUP(MAX(-5,$H121-L121),Volsmile,2),0)),$CG121,$CH121,($A121-DateToday)+15,1,0)),L121-$H121),0)))</f>
        <v xml:space="preserve"> </v>
      </c>
      <c r="V121" s="405" t="str">
        <f>IF($A121="N/A"," ",IF(Pricetype=2,MAX(M121-$H121,0),IF(M121&lt;&gt;0,IF(Pricetype=1,(_xll.xSPRDOPT(M121,$E121,$CI121,0,($CD121+IF(Smile=TRUE,VLOOKUP(MAX(-5,$H121-M121),Volsmile,2),0)),$CG121,$CH121,($A121-DateToday)+15,1,0)),M121-$H121),0)))</f>
        <v xml:space="preserve"> </v>
      </c>
      <c r="W121" s="406" t="str">
        <f t="shared" si="193"/>
        <v xml:space="preserve"> </v>
      </c>
      <c r="X121" s="405" t="str">
        <f>IF($A121="N/A"," ",IF(Pricetype=2,MAX(O121-$H121,0),IF(O121&lt;&gt;0,IF(Pricetype=1,(_xll.xSPRDOPT(O121,$E121,$CI121,0,($CD121+IF(Smile=TRUE,VLOOKUP(MAX(-5,$H121-O121),Volsmile,2),0)),$CG121,$CH121,($A121-DateToday)+15,1,0)),O121-$H121),0)))</f>
        <v xml:space="preserve"> </v>
      </c>
      <c r="Y121" s="405" t="str">
        <f>IF($A121="N/A"," ",IF(Pricetype=2,MAX(P121-$H121,0),IF(P121&lt;&gt;0,IF(Pricetype=1,(_xll.xSPRDOPT(P121,$E121,$CI121,0,($CD121+IF(Smile=TRUE,VLOOKUP(MAX(-5,$H121-P121),Volsmile,2),0)),$CG121,$CH121,($A121-DateToday)+15,1,0)),P121-$H121),0)))</f>
        <v xml:space="preserve"> </v>
      </c>
      <c r="Z121" s="406" t="str">
        <f t="shared" si="194"/>
        <v xml:space="preserve"> </v>
      </c>
      <c r="AA121" s="254" t="str">
        <f>IF($A121="N/A"," ",IF(VLOOKUP(MONTH(A121),ManualTable,2)=1,(IF(0&lt;&gt;R121,IF(Pricetype=1,(_xll.xSPRDOPT(I121,$E121,$CI121,0,($CD121+IF(Smile=TRUE,VLOOKUP(MAX(-5,$H121-I121),Volsmile,2),0)),$CG121,$CH121,($A121-DateToday)+15,1,1))*(8*$HD121),8*$HD121),0)),0))</f>
        <v xml:space="preserve"> </v>
      </c>
      <c r="AB121" s="254" t="str">
        <f>IF($A121="N/A"," ",IF(VLOOKUP(MONTH(A121),ManualTable,3)=1,(IF(S121&lt;&gt;0,IF(Pricetype=1,(_xll.xSPRDOPT(J121,$E121,$CI121,0,($CD121+IF(Smile=TRUE,VLOOKUP(MAX(-5,$H121-J121),Volsmile,2),0)),$CG121,$CH121,($A121-DateToday)+15,1,1))*(8*$HD121),8*$HD121),0)),0))</f>
        <v xml:space="preserve"> </v>
      </c>
      <c r="AC121" s="254" t="str">
        <f t="shared" si="235"/>
        <v xml:space="preserve"> </v>
      </c>
      <c r="AD121" s="254" t="str">
        <f>IF($A121="N/A"," ",IF(VLOOKUP(MONTH(A121),ManualTable,5)=1,(IF(U121&lt;&gt;0,IF(Pricetype=1,(_xll.xSPRDOPT(L121,$E121,$CI121,0,($CD121+IF(Smile=TRUE,VLOOKUP(MAX(-5,$H121-L121),Volsmile,2),0)),$CG121,$CH121,($A121-DateToday)+15,1,1))*(8*$HE121),8*$HE121),0)),0))</f>
        <v xml:space="preserve"> </v>
      </c>
      <c r="AE121" s="254" t="str">
        <f>IF($A121="N/A"," ",IF(VLOOKUP(MONTH(A121),ManualTable,6)=1,(IF(V121&lt;&gt;0,IF(Pricetype=1,(_xll.xSPRDOPT(M121,$E121,$CI121,0,($CD121+IF(Smile=TRUE,VLOOKUP(MAX(-5,$H121-M121),Volsmile,2),0)),$CG121,$CH121,($A121-DateToday)+15,1,1))*(8*$HE121),8*$HE121),0)),0))</f>
        <v xml:space="preserve"> </v>
      </c>
      <c r="AF121" s="254" t="str">
        <f t="shared" si="236"/>
        <v xml:space="preserve"> </v>
      </c>
      <c r="AG121" s="254" t="str">
        <f>IF($A121="N/A"," ",IF(VLOOKUP(MONTH(A121),ManualTable,8)=1,(IF(X121&lt;&gt;0,IF(Pricetype=1,(_xll.xSPRDOPT(O121,$E121,$CI121,0,($CD121+IF(Smile=TRUE,VLOOKUP(MAX(-5,$H121-O121),Volsmile,2),0)),$CG121,$CH121,($A121-DateToday)+15,1,1))*(8*$HF121),8*$HF121),0)),0))</f>
        <v xml:space="preserve"> </v>
      </c>
      <c r="AH121" s="254" t="str">
        <f>IF($A121="N/A"," ",IF(VLOOKUP(MONTH(A121),ManualTable,9)=1,(IF(Y121&lt;&gt;0,IF(Pricetype=1,(_xll.xSPRDOPT(P121,$E121,$CI121,0,($CD121+IF(Smile=TRUE,VLOOKUP(MAX(-5,$H121-P121),Volsmile,2),0)),$CG121,$CH121,($A121-DateToday)+15,1,1))*(8*$HF121),8*$HF121),0)),0))</f>
        <v xml:space="preserve"> </v>
      </c>
      <c r="AI121" s="254" t="str">
        <f t="shared" si="237"/>
        <v xml:space="preserve"> </v>
      </c>
      <c r="AJ121" s="227" t="str">
        <f t="shared" si="320"/>
        <v xml:space="preserve"> </v>
      </c>
      <c r="AK121" s="228" t="str">
        <f t="shared" si="321"/>
        <v xml:space="preserve"> </v>
      </c>
      <c r="AL121" s="228" t="str">
        <f t="shared" si="321"/>
        <v xml:space="preserve"> </v>
      </c>
      <c r="AM121" s="228" t="str">
        <f t="shared" si="322"/>
        <v xml:space="preserve"> </v>
      </c>
      <c r="AN121" s="228" t="str">
        <f t="shared" si="323"/>
        <v xml:space="preserve"> </v>
      </c>
      <c r="AO121" s="228" t="str">
        <f t="shared" si="323"/>
        <v xml:space="preserve"> </v>
      </c>
      <c r="AP121" s="228" t="str">
        <f t="shared" si="324"/>
        <v xml:space="preserve"> </v>
      </c>
      <c r="AQ121" s="228" t="str">
        <f t="shared" si="325"/>
        <v xml:space="preserve"> </v>
      </c>
      <c r="AR121" s="229" t="str">
        <f t="shared" si="326"/>
        <v xml:space="preserve"> </v>
      </c>
      <c r="AS121" s="262" t="str">
        <f t="shared" si="274"/>
        <v xml:space="preserve"> </v>
      </c>
      <c r="AT121" s="263" t="str">
        <f t="shared" si="275"/>
        <v xml:space="preserve"> </v>
      </c>
      <c r="AU121" s="263" t="str">
        <f t="shared" si="275"/>
        <v xml:space="preserve"> </v>
      </c>
      <c r="AV121" s="263" t="str">
        <f t="shared" si="276"/>
        <v xml:space="preserve"> </v>
      </c>
      <c r="AW121" s="263" t="str">
        <f t="shared" si="277"/>
        <v xml:space="preserve"> </v>
      </c>
      <c r="AX121" s="263" t="str">
        <f t="shared" si="277"/>
        <v xml:space="preserve"> </v>
      </c>
      <c r="AY121" s="263" t="str">
        <f t="shared" si="278"/>
        <v xml:space="preserve"> </v>
      </c>
      <c r="AZ121" s="263" t="str">
        <f t="shared" si="279"/>
        <v xml:space="preserve"> </v>
      </c>
      <c r="BA121" s="263" t="str">
        <f t="shared" si="280"/>
        <v xml:space="preserve"> </v>
      </c>
      <c r="BB121" s="234" t="s">
        <v>1271</v>
      </c>
      <c r="BC121" s="266" t="str">
        <f t="shared" si="313"/>
        <v xml:space="preserve"> </v>
      </c>
      <c r="BD121" s="269" t="str">
        <f t="shared" si="314"/>
        <v xml:space="preserve"> </v>
      </c>
      <c r="BE121" s="269" t="str">
        <f t="shared" si="314"/>
        <v xml:space="preserve"> </v>
      </c>
      <c r="BF121" s="269" t="str">
        <f t="shared" si="315"/>
        <v xml:space="preserve"> </v>
      </c>
      <c r="BG121" s="269" t="str">
        <f t="shared" si="316"/>
        <v xml:space="preserve"> </v>
      </c>
      <c r="BH121" s="269" t="str">
        <f t="shared" si="316"/>
        <v xml:space="preserve"> </v>
      </c>
      <c r="BI121" s="269" t="str">
        <f t="shared" si="317"/>
        <v xml:space="preserve"> </v>
      </c>
      <c r="BJ121" s="269" t="str">
        <f t="shared" si="318"/>
        <v xml:space="preserve"> </v>
      </c>
      <c r="BK121" s="269" t="str">
        <f t="shared" si="319"/>
        <v xml:space="preserve"> </v>
      </c>
      <c r="BL121" s="233" t="s">
        <v>1283</v>
      </c>
      <c r="BM121" s="220" t="str">
        <f>IF($A121="N/A"," ",(IF(MONTH(A121)&gt;=4,IF(MONTH(A121)&lt;=10,Inputs!$F$13-Inputs!$G$13,Inputs!$F$14-Inputs!$G$14),Inputs!$F$14-Inputs!$G$14))*$CK121*Availability)</f>
        <v xml:space="preserve"> </v>
      </c>
      <c r="BN121" s="221" t="str">
        <f t="shared" si="238"/>
        <v xml:space="preserve"> </v>
      </c>
      <c r="BO121" s="221" t="str">
        <f t="shared" si="239"/>
        <v xml:space="preserve"> </v>
      </c>
      <c r="BP121" s="221" t="str">
        <f t="shared" si="240"/>
        <v xml:space="preserve"> </v>
      </c>
      <c r="BQ121" s="221" t="str">
        <f t="shared" si="241"/>
        <v xml:space="preserve"> </v>
      </c>
      <c r="BR121" s="221" t="str">
        <f t="shared" si="242"/>
        <v xml:space="preserve"> </v>
      </c>
      <c r="BS121" s="221" t="str">
        <f t="shared" si="243"/>
        <v xml:space="preserve"> </v>
      </c>
      <c r="BT121" s="221" t="str">
        <f t="shared" si="244"/>
        <v xml:space="preserve"> </v>
      </c>
      <c r="BU121" s="221" t="str">
        <f t="shared" si="245"/>
        <v xml:space="preserve"> </v>
      </c>
      <c r="BV121" s="221" t="str">
        <f t="shared" si="246"/>
        <v xml:space="preserve"> </v>
      </c>
      <c r="BW121" s="221" t="str">
        <f t="shared" si="247"/>
        <v xml:space="preserve"> </v>
      </c>
      <c r="BX121" s="421" t="str">
        <f t="shared" si="248"/>
        <v xml:space="preserve"> </v>
      </c>
      <c r="BY121" s="417" t="str">
        <f t="shared" si="249"/>
        <v xml:space="preserve"> </v>
      </c>
      <c r="BZ121" s="417" t="str">
        <f t="shared" si="250"/>
        <v xml:space="preserve"> </v>
      </c>
      <c r="CA121" s="422" t="str">
        <f t="shared" si="251"/>
        <v xml:space="preserve"> </v>
      </c>
      <c r="CB121" s="347" t="str">
        <f t="shared" si="195"/>
        <v xml:space="preserve"> </v>
      </c>
      <c r="CC121" s="347" t="str">
        <f t="shared" si="252"/>
        <v xml:space="preserve"> </v>
      </c>
      <c r="CD121" s="348" t="str">
        <f t="shared" si="196"/>
        <v xml:space="preserve"> </v>
      </c>
      <c r="CE121" s="347" t="str">
        <f t="shared" si="197"/>
        <v xml:space="preserve"> </v>
      </c>
      <c r="CF121" s="347" t="str">
        <f t="shared" si="198"/>
        <v xml:space="preserve"> </v>
      </c>
      <c r="CG121" s="348" t="str">
        <f t="shared" si="199"/>
        <v xml:space="preserve"> </v>
      </c>
      <c r="CH121" s="347" t="str">
        <f t="shared" si="253"/>
        <v xml:space="preserve"> </v>
      </c>
      <c r="CI121" s="349" t="str">
        <f>IF($A121="N/A"," ",F121+G121+(D121*('Pricing Inputs'!T154)))</f>
        <v xml:space="preserve"> </v>
      </c>
      <c r="CJ121" s="347" t="str">
        <f>IF($A121="N/A"," ",IF(PV=1,0,'Pricing Inputs'!U154))</f>
        <v xml:space="preserve"> </v>
      </c>
      <c r="CK121" s="350" t="str">
        <f t="shared" si="200"/>
        <v xml:space="preserve"> </v>
      </c>
      <c r="CL121" s="365" t="str">
        <f t="shared" si="201"/>
        <v xml:space="preserve"> </v>
      </c>
      <c r="CM121" s="380" t="str">
        <f t="shared" si="254"/>
        <v xml:space="preserve"> </v>
      </c>
      <c r="CN121" s="378" t="str">
        <f t="shared" si="202"/>
        <v xml:space="preserve"> </v>
      </c>
      <c r="CO121" s="378" t="str">
        <f t="shared" si="203"/>
        <v xml:space="preserve"> </v>
      </c>
      <c r="CP121" s="378" t="str">
        <f t="shared" si="204"/>
        <v xml:space="preserve"> </v>
      </c>
      <c r="CQ121" s="378" t="str">
        <f t="shared" si="205"/>
        <v xml:space="preserve"> </v>
      </c>
      <c r="CR121" s="378" t="str">
        <f t="shared" si="206"/>
        <v xml:space="preserve"> </v>
      </c>
      <c r="CS121" s="378" t="str">
        <f t="shared" si="207"/>
        <v xml:space="preserve"> </v>
      </c>
      <c r="CT121" s="378" t="str">
        <f t="shared" si="208"/>
        <v xml:space="preserve"> </v>
      </c>
      <c r="CU121" s="378" t="str">
        <f t="shared" si="209"/>
        <v xml:space="preserve"> </v>
      </c>
      <c r="CV121" s="378" t="str">
        <f t="shared" si="210"/>
        <v xml:space="preserve"> </v>
      </c>
      <c r="CW121" s="254" t="str">
        <f t="shared" si="211"/>
        <v xml:space="preserve"> </v>
      </c>
      <c r="CX121" s="254" t="str">
        <f t="shared" si="212"/>
        <v xml:space="preserve"> </v>
      </c>
      <c r="CY121" s="254" t="str">
        <f t="shared" si="213"/>
        <v xml:space="preserve"> </v>
      </c>
      <c r="CZ121" s="254" t="str">
        <f t="shared" si="214"/>
        <v xml:space="preserve"> </v>
      </c>
      <c r="DA121" s="254" t="str">
        <f t="shared" si="215"/>
        <v xml:space="preserve"> </v>
      </c>
      <c r="DB121" s="254" t="str">
        <f t="shared" si="216"/>
        <v xml:space="preserve"> </v>
      </c>
      <c r="DC121" s="254" t="str">
        <f t="shared" si="217"/>
        <v xml:space="preserve"> </v>
      </c>
      <c r="DD121" s="254" t="str">
        <f t="shared" si="218"/>
        <v xml:space="preserve"> </v>
      </c>
      <c r="DE121" s="254" t="str">
        <f t="shared" si="219"/>
        <v xml:space="preserve"> </v>
      </c>
      <c r="DF121" s="374" t="str">
        <f>IF($A121="N/A"," ",IF(CC=2,(IF(MONTH(A121)&gt;=4,IF(MONTH(A121)&lt;=10,Inputs!$G$13,Inputs!$G$14),Inputs!$G$14))*$CK121,0))</f>
        <v xml:space="preserve"> </v>
      </c>
      <c r="DG121" s="373" t="str">
        <f t="shared" si="220"/>
        <v xml:space="preserve"> </v>
      </c>
      <c r="DH121" s="373" t="str">
        <f t="shared" si="221"/>
        <v xml:space="preserve"> </v>
      </c>
      <c r="DI121" s="373" t="str">
        <f t="shared" si="222"/>
        <v xml:space="preserve"> </v>
      </c>
      <c r="DJ121" s="373" t="str">
        <f t="shared" si="223"/>
        <v xml:space="preserve"> </v>
      </c>
      <c r="DK121" s="373" t="str">
        <f t="shared" si="224"/>
        <v xml:space="preserve"> </v>
      </c>
      <c r="DL121" s="373" t="str">
        <f t="shared" si="225"/>
        <v xml:space="preserve"> </v>
      </c>
      <c r="DM121" s="373" t="str">
        <f t="shared" si="226"/>
        <v xml:space="preserve"> </v>
      </c>
      <c r="DN121" s="373" t="str">
        <f t="shared" si="227"/>
        <v xml:space="preserve"> </v>
      </c>
      <c r="DO121" s="373" t="str">
        <f t="shared" si="228"/>
        <v xml:space="preserve"> </v>
      </c>
      <c r="DP121" s="375" t="str">
        <f t="shared" si="229"/>
        <v xml:space="preserve"> </v>
      </c>
      <c r="DQ121" t="str">
        <f t="shared" si="255"/>
        <v xml:space="preserve"> </v>
      </c>
      <c r="HD121" t="str">
        <f t="shared" si="256"/>
        <v xml:space="preserve"> </v>
      </c>
      <c r="HE121" t="str">
        <f t="shared" si="257"/>
        <v xml:space="preserve"> </v>
      </c>
      <c r="HF121" t="str">
        <f t="shared" si="258"/>
        <v xml:space="preserve"> </v>
      </c>
    </row>
    <row r="122" spans="1:214">
      <c r="A122" s="415" t="str">
        <f>IF(A121="N/A","N/A",IF(EDATE(A121,1)&gt;Inputs!$K$3,"N/A",EDATE(A121,1)))</f>
        <v>N/A</v>
      </c>
      <c r="B122" s="410" t="str">
        <f t="shared" si="230"/>
        <v xml:space="preserve"> </v>
      </c>
      <c r="C122" s="411" t="str">
        <f t="shared" si="231"/>
        <v xml:space="preserve"> </v>
      </c>
      <c r="D122" s="412" t="str">
        <f t="shared" si="232"/>
        <v xml:space="preserve"> </v>
      </c>
      <c r="E122" s="413" t="str">
        <f>IF($A122="N/A"," ",(C122-'Pricing Inputs'!T155)*D122)</f>
        <v xml:space="preserve"> </v>
      </c>
      <c r="F122" s="414" t="str">
        <f t="shared" si="281"/>
        <v xml:space="preserve"> </v>
      </c>
      <c r="G122" s="414" t="str">
        <f t="shared" si="233"/>
        <v xml:space="preserve"> </v>
      </c>
      <c r="H122" s="416" t="str">
        <f t="shared" si="234"/>
        <v xml:space="preserve"> </v>
      </c>
      <c r="I122" s="213" t="str">
        <f t="shared" si="183"/>
        <v xml:space="preserve"> </v>
      </c>
      <c r="J122" s="213" t="str">
        <f t="shared" si="184"/>
        <v xml:space="preserve"> </v>
      </c>
      <c r="K122" s="213" t="str">
        <f t="shared" si="185"/>
        <v xml:space="preserve"> </v>
      </c>
      <c r="L122" s="213" t="str">
        <f t="shared" si="186"/>
        <v xml:space="preserve"> </v>
      </c>
      <c r="M122" s="213" t="str">
        <f t="shared" si="187"/>
        <v xml:space="preserve"> </v>
      </c>
      <c r="N122" s="213" t="str">
        <f t="shared" si="188"/>
        <v xml:space="preserve"> </v>
      </c>
      <c r="O122" s="213" t="str">
        <f t="shared" si="189"/>
        <v xml:space="preserve"> </v>
      </c>
      <c r="P122" s="213" t="str">
        <f t="shared" si="190"/>
        <v xml:space="preserve"> </v>
      </c>
      <c r="Q122" s="213" t="str">
        <f t="shared" si="191"/>
        <v xml:space="preserve"> </v>
      </c>
      <c r="R122" s="405" t="str">
        <f>IF($A122="N/A"," ",IF(Pricetype=2,MAX(I122-$H122,0),IF(Pricetype=1,(_xll.xSPRDOPT(I122,$E122,$CI122,0,($CD122+IF(Smile=TRUE,VLOOKUP(MAX(-5,$H122-I122),Volsmile,2),0)),$CG122,$CH122,($A122-DateToday)+15,1,0)),I122-$H122)))</f>
        <v xml:space="preserve"> </v>
      </c>
      <c r="S122" s="405" t="str">
        <f>IF($A122="N/A"," ",IF(Pricetype=2,MAX(J122-$H122,0),IF(Pricetype=1,(_xll.xSPRDOPT(J122,$E122,$CI122,0,($CD122+IF(Smile=TRUE,VLOOKUP(MAX(-5,$H122-J122),Volsmile,2),0)),$CG122,$CH122,($A122-DateToday)+15,1,0)),J122-$H122)))</f>
        <v xml:space="preserve"> </v>
      </c>
      <c r="T122" s="406" t="str">
        <f t="shared" si="192"/>
        <v xml:space="preserve"> </v>
      </c>
      <c r="U122" s="405" t="str">
        <f>IF($A122="N/A"," ",IF(Pricetype=2,MAX(L122-$H122,0),IF(L122&lt;&gt;0,IF(Pricetype=1,(_xll.xSPRDOPT(L122,$E122,$CI122,0,($CD122+IF(Smile=TRUE,VLOOKUP(MAX(-5,$H122-L122),Volsmile,2),0)),$CG122,$CH122,($A122-DateToday)+15,1,0)),L122-$H122),0)))</f>
        <v xml:space="preserve"> </v>
      </c>
      <c r="V122" s="405" t="str">
        <f>IF($A122="N/A"," ",IF(Pricetype=2,MAX(M122-$H122,0),IF(M122&lt;&gt;0,IF(Pricetype=1,(_xll.xSPRDOPT(M122,$E122,$CI122,0,($CD122+IF(Smile=TRUE,VLOOKUP(MAX(-5,$H122-M122),Volsmile,2),0)),$CG122,$CH122,($A122-DateToday)+15,1,0)),M122-$H122),0)))</f>
        <v xml:space="preserve"> </v>
      </c>
      <c r="W122" s="406" t="str">
        <f t="shared" si="193"/>
        <v xml:space="preserve"> </v>
      </c>
      <c r="X122" s="405" t="str">
        <f>IF($A122="N/A"," ",IF(Pricetype=2,MAX(O122-$H122,0),IF(O122&lt;&gt;0,IF(Pricetype=1,(_xll.xSPRDOPT(O122,$E122,$CI122,0,($CD122+IF(Smile=TRUE,VLOOKUP(MAX(-5,$H122-O122),Volsmile,2),0)),$CG122,$CH122,($A122-DateToday)+15,1,0)),O122-$H122),0)))</f>
        <v xml:space="preserve"> </v>
      </c>
      <c r="Y122" s="405" t="str">
        <f>IF($A122="N/A"," ",IF(Pricetype=2,MAX(P122-$H122,0),IF(P122&lt;&gt;0,IF(Pricetype=1,(_xll.xSPRDOPT(P122,$E122,$CI122,0,($CD122+IF(Smile=TRUE,VLOOKUP(MAX(-5,$H122-P122),Volsmile,2),0)),$CG122,$CH122,($A122-DateToday)+15,1,0)),P122-$H122),0)))</f>
        <v xml:space="preserve"> </v>
      </c>
      <c r="Z122" s="406" t="str">
        <f t="shared" si="194"/>
        <v xml:space="preserve"> </v>
      </c>
      <c r="AA122" s="254" t="str">
        <f>IF($A122="N/A"," ",IF(VLOOKUP(MONTH(A122),ManualTable,2)=1,(IF(0&lt;&gt;R122,IF(Pricetype=1,(_xll.xSPRDOPT(I122,$E122,$CI122,0,($CD122+IF(Smile=TRUE,VLOOKUP(MAX(-5,$H122-I122),Volsmile,2),0)),$CG122,$CH122,($A122-DateToday)+15,1,1))*(8*$HD122),8*$HD122),0)),0))</f>
        <v xml:space="preserve"> </v>
      </c>
      <c r="AB122" s="254" t="str">
        <f>IF($A122="N/A"," ",IF(VLOOKUP(MONTH(A122),ManualTable,3)=1,(IF(S122&lt;&gt;0,IF(Pricetype=1,(_xll.xSPRDOPT(J122,$E122,$CI122,0,($CD122+IF(Smile=TRUE,VLOOKUP(MAX(-5,$H122-J122),Volsmile,2),0)),$CG122,$CH122,($A122-DateToday)+15,1,1))*(8*$HD122),8*$HD122),0)),0))</f>
        <v xml:space="preserve"> </v>
      </c>
      <c r="AC122" s="254" t="str">
        <f t="shared" si="235"/>
        <v xml:space="preserve"> </v>
      </c>
      <c r="AD122" s="254" t="str">
        <f>IF($A122="N/A"," ",IF(VLOOKUP(MONTH(A122),ManualTable,5)=1,(IF(U122&lt;&gt;0,IF(Pricetype=1,(_xll.xSPRDOPT(L122,$E122,$CI122,0,($CD122+IF(Smile=TRUE,VLOOKUP(MAX(-5,$H122-L122),Volsmile,2),0)),$CG122,$CH122,($A122-DateToday)+15,1,1))*(8*$HE122),8*$HE122),0)),0))</f>
        <v xml:space="preserve"> </v>
      </c>
      <c r="AE122" s="254" t="str">
        <f>IF($A122="N/A"," ",IF(VLOOKUP(MONTH(A122),ManualTable,6)=1,(IF(V122&lt;&gt;0,IF(Pricetype=1,(_xll.xSPRDOPT(M122,$E122,$CI122,0,($CD122+IF(Smile=TRUE,VLOOKUP(MAX(-5,$H122-M122),Volsmile,2),0)),$CG122,$CH122,($A122-DateToday)+15,1,1))*(8*$HE122),8*$HE122),0)),0))</f>
        <v xml:space="preserve"> </v>
      </c>
      <c r="AF122" s="254" t="str">
        <f t="shared" si="236"/>
        <v xml:space="preserve"> </v>
      </c>
      <c r="AG122" s="254" t="str">
        <f>IF($A122="N/A"," ",IF(VLOOKUP(MONTH(A122),ManualTable,8)=1,(IF(X122&lt;&gt;0,IF(Pricetype=1,(_xll.xSPRDOPT(O122,$E122,$CI122,0,($CD122+IF(Smile=TRUE,VLOOKUP(MAX(-5,$H122-O122),Volsmile,2),0)),$CG122,$CH122,($A122-DateToday)+15,1,1))*(8*$HF122),8*$HF122),0)),0))</f>
        <v xml:space="preserve"> </v>
      </c>
      <c r="AH122" s="254" t="str">
        <f>IF($A122="N/A"," ",IF(VLOOKUP(MONTH(A122),ManualTable,9)=1,(IF(Y122&lt;&gt;0,IF(Pricetype=1,(_xll.xSPRDOPT(P122,$E122,$CI122,0,($CD122+IF(Smile=TRUE,VLOOKUP(MAX(-5,$H122-P122),Volsmile,2),0)),$CG122,$CH122,($A122-DateToday)+15,1,1))*(8*$HF122),8*$HF122),0)),0))</f>
        <v xml:space="preserve"> </v>
      </c>
      <c r="AI122" s="254" t="str">
        <f t="shared" si="237"/>
        <v xml:space="preserve"> </v>
      </c>
      <c r="AJ122" s="227" t="str">
        <f t="shared" si="320"/>
        <v xml:space="preserve"> </v>
      </c>
      <c r="AK122" s="228" t="str">
        <f t="shared" si="321"/>
        <v xml:space="preserve"> </v>
      </c>
      <c r="AL122" s="228" t="str">
        <f t="shared" si="321"/>
        <v xml:space="preserve"> </v>
      </c>
      <c r="AM122" s="228" t="str">
        <f t="shared" si="322"/>
        <v xml:space="preserve"> </v>
      </c>
      <c r="AN122" s="228" t="str">
        <f t="shared" si="323"/>
        <v xml:space="preserve"> </v>
      </c>
      <c r="AO122" s="228" t="str">
        <f t="shared" si="323"/>
        <v xml:space="preserve"> </v>
      </c>
      <c r="AP122" s="228" t="str">
        <f t="shared" si="324"/>
        <v xml:space="preserve"> </v>
      </c>
      <c r="AQ122" s="228" t="str">
        <f t="shared" si="325"/>
        <v xml:space="preserve"> </v>
      </c>
      <c r="AR122" s="229" t="str">
        <f t="shared" si="326"/>
        <v xml:space="preserve"> </v>
      </c>
      <c r="AS122" s="262" t="str">
        <f t="shared" si="274"/>
        <v xml:space="preserve"> </v>
      </c>
      <c r="AT122" s="263" t="str">
        <f t="shared" si="275"/>
        <v xml:space="preserve"> </v>
      </c>
      <c r="AU122" s="263" t="str">
        <f t="shared" si="275"/>
        <v xml:space="preserve"> </v>
      </c>
      <c r="AV122" s="263" t="str">
        <f t="shared" si="276"/>
        <v xml:space="preserve"> </v>
      </c>
      <c r="AW122" s="263" t="str">
        <f t="shared" si="277"/>
        <v xml:space="preserve"> </v>
      </c>
      <c r="AX122" s="263" t="str">
        <f t="shared" si="277"/>
        <v xml:space="preserve"> </v>
      </c>
      <c r="AY122" s="263" t="str">
        <f t="shared" si="278"/>
        <v xml:space="preserve"> </v>
      </c>
      <c r="AZ122" s="263" t="str">
        <f t="shared" si="279"/>
        <v xml:space="preserve"> </v>
      </c>
      <c r="BA122" s="263" t="str">
        <f t="shared" si="280"/>
        <v xml:space="preserve"> </v>
      </c>
      <c r="BB122" s="229">
        <f>SUM(AS112:BA123)</f>
        <v>0</v>
      </c>
      <c r="BC122" s="266" t="str">
        <f t="shared" si="313"/>
        <v xml:space="preserve"> </v>
      </c>
      <c r="BD122" s="269" t="str">
        <f t="shared" si="314"/>
        <v xml:space="preserve"> </v>
      </c>
      <c r="BE122" s="269" t="str">
        <f t="shared" si="314"/>
        <v xml:space="preserve"> </v>
      </c>
      <c r="BF122" s="269" t="str">
        <f t="shared" si="315"/>
        <v xml:space="preserve"> </v>
      </c>
      <c r="BG122" s="269" t="str">
        <f t="shared" si="316"/>
        <v xml:space="preserve"> </v>
      </c>
      <c r="BH122" s="269" t="str">
        <f t="shared" si="316"/>
        <v xml:space="preserve"> </v>
      </c>
      <c r="BI122" s="269" t="str">
        <f t="shared" si="317"/>
        <v xml:space="preserve"> </v>
      </c>
      <c r="BJ122" s="269" t="str">
        <f t="shared" si="318"/>
        <v xml:space="preserve"> </v>
      </c>
      <c r="BK122" s="269" t="str">
        <f t="shared" si="319"/>
        <v xml:space="preserve"> </v>
      </c>
      <c r="BL122" s="229">
        <f>SUM(BC112:BK123)</f>
        <v>0</v>
      </c>
      <c r="BM122" s="220" t="str">
        <f>IF($A122="N/A"," ",(IF(MONTH(A122)&gt;=4,IF(MONTH(A122)&lt;=10,Inputs!$F$13-Inputs!$G$13,Inputs!$F$14-Inputs!$G$14),Inputs!$F$14-Inputs!$G$14))*$CK122*Availability)</f>
        <v xml:space="preserve"> </v>
      </c>
      <c r="BN122" s="221" t="str">
        <f t="shared" si="238"/>
        <v xml:space="preserve"> </v>
      </c>
      <c r="BO122" s="221" t="str">
        <f t="shared" si="239"/>
        <v xml:space="preserve"> </v>
      </c>
      <c r="BP122" s="221" t="str">
        <f t="shared" si="240"/>
        <v xml:space="preserve"> </v>
      </c>
      <c r="BQ122" s="221" t="str">
        <f t="shared" si="241"/>
        <v xml:space="preserve"> </v>
      </c>
      <c r="BR122" s="221" t="str">
        <f t="shared" si="242"/>
        <v xml:space="preserve"> </v>
      </c>
      <c r="BS122" s="221" t="str">
        <f t="shared" si="243"/>
        <v xml:space="preserve"> </v>
      </c>
      <c r="BT122" s="221" t="str">
        <f t="shared" si="244"/>
        <v xml:space="preserve"> </v>
      </c>
      <c r="BU122" s="221" t="str">
        <f t="shared" si="245"/>
        <v xml:space="preserve"> </v>
      </c>
      <c r="BV122" s="221" t="str">
        <f t="shared" si="246"/>
        <v xml:space="preserve"> </v>
      </c>
      <c r="BW122" s="221" t="str">
        <f t="shared" si="247"/>
        <v xml:space="preserve"> </v>
      </c>
      <c r="BX122" s="421" t="str">
        <f t="shared" si="248"/>
        <v xml:space="preserve"> </v>
      </c>
      <c r="BY122" s="417" t="str">
        <f t="shared" si="249"/>
        <v xml:space="preserve"> </v>
      </c>
      <c r="BZ122" s="417" t="str">
        <f t="shared" si="250"/>
        <v xml:space="preserve"> </v>
      </c>
      <c r="CA122" s="422" t="str">
        <f t="shared" si="251"/>
        <v xml:space="preserve"> </v>
      </c>
      <c r="CB122" s="347" t="str">
        <f t="shared" si="195"/>
        <v xml:space="preserve"> </v>
      </c>
      <c r="CC122" s="347" t="str">
        <f t="shared" si="252"/>
        <v xml:space="preserve"> </v>
      </c>
      <c r="CD122" s="348" t="str">
        <f t="shared" si="196"/>
        <v xml:space="preserve"> </v>
      </c>
      <c r="CE122" s="347" t="str">
        <f t="shared" si="197"/>
        <v xml:space="preserve"> </v>
      </c>
      <c r="CF122" s="347" t="str">
        <f t="shared" si="198"/>
        <v xml:space="preserve"> </v>
      </c>
      <c r="CG122" s="348" t="str">
        <f t="shared" si="199"/>
        <v xml:space="preserve"> </v>
      </c>
      <c r="CH122" s="347" t="str">
        <f t="shared" si="253"/>
        <v xml:space="preserve"> </v>
      </c>
      <c r="CI122" s="349" t="str">
        <f>IF($A122="N/A"," ",F122+G122+(D122*('Pricing Inputs'!T155)))</f>
        <v xml:space="preserve"> </v>
      </c>
      <c r="CJ122" s="347" t="str">
        <f>IF($A122="N/A"," ",IF(PV=1,0,'Pricing Inputs'!U155))</f>
        <v xml:space="preserve"> </v>
      </c>
      <c r="CK122" s="350" t="str">
        <f t="shared" si="200"/>
        <v xml:space="preserve"> </v>
      </c>
      <c r="CL122" s="365" t="str">
        <f t="shared" si="201"/>
        <v xml:space="preserve"> </v>
      </c>
      <c r="CM122" s="380" t="str">
        <f t="shared" si="254"/>
        <v xml:space="preserve"> </v>
      </c>
      <c r="CN122" s="378" t="str">
        <f t="shared" si="202"/>
        <v xml:space="preserve"> </v>
      </c>
      <c r="CO122" s="378" t="str">
        <f t="shared" si="203"/>
        <v xml:space="preserve"> </v>
      </c>
      <c r="CP122" s="378" t="str">
        <f t="shared" si="204"/>
        <v xml:space="preserve"> </v>
      </c>
      <c r="CQ122" s="378" t="str">
        <f t="shared" si="205"/>
        <v xml:space="preserve"> </v>
      </c>
      <c r="CR122" s="378" t="str">
        <f t="shared" si="206"/>
        <v xml:space="preserve"> </v>
      </c>
      <c r="CS122" s="378" t="str">
        <f t="shared" si="207"/>
        <v xml:space="preserve"> </v>
      </c>
      <c r="CT122" s="378" t="str">
        <f t="shared" si="208"/>
        <v xml:space="preserve"> </v>
      </c>
      <c r="CU122" s="378" t="str">
        <f t="shared" si="209"/>
        <v xml:space="preserve"> </v>
      </c>
      <c r="CV122" s="378" t="str">
        <f t="shared" si="210"/>
        <v xml:space="preserve"> </v>
      </c>
      <c r="CW122" s="254" t="str">
        <f t="shared" si="211"/>
        <v xml:space="preserve"> </v>
      </c>
      <c r="CX122" s="254" t="str">
        <f t="shared" si="212"/>
        <v xml:space="preserve"> </v>
      </c>
      <c r="CY122" s="254" t="str">
        <f t="shared" si="213"/>
        <v xml:space="preserve"> </v>
      </c>
      <c r="CZ122" s="254" t="str">
        <f t="shared" si="214"/>
        <v xml:space="preserve"> </v>
      </c>
      <c r="DA122" s="254" t="str">
        <f t="shared" si="215"/>
        <v xml:space="preserve"> </v>
      </c>
      <c r="DB122" s="254" t="str">
        <f t="shared" si="216"/>
        <v xml:space="preserve"> </v>
      </c>
      <c r="DC122" s="254" t="str">
        <f t="shared" si="217"/>
        <v xml:space="preserve"> </v>
      </c>
      <c r="DD122" s="254" t="str">
        <f t="shared" si="218"/>
        <v xml:space="preserve"> </v>
      </c>
      <c r="DE122" s="254" t="str">
        <f t="shared" si="219"/>
        <v xml:space="preserve"> </v>
      </c>
      <c r="DF122" s="374" t="str">
        <f>IF($A122="N/A"," ",IF(CC=2,(IF(MONTH(A122)&gt;=4,IF(MONTH(A122)&lt;=10,Inputs!$G$13,Inputs!$G$14),Inputs!$G$14))*$CK122,0))</f>
        <v xml:space="preserve"> </v>
      </c>
      <c r="DG122" s="373" t="str">
        <f t="shared" si="220"/>
        <v xml:space="preserve"> </v>
      </c>
      <c r="DH122" s="373" t="str">
        <f t="shared" si="221"/>
        <v xml:space="preserve"> </v>
      </c>
      <c r="DI122" s="373" t="str">
        <f t="shared" si="222"/>
        <v xml:space="preserve"> </v>
      </c>
      <c r="DJ122" s="373" t="str">
        <f t="shared" si="223"/>
        <v xml:space="preserve"> </v>
      </c>
      <c r="DK122" s="373" t="str">
        <f t="shared" si="224"/>
        <v xml:space="preserve"> </v>
      </c>
      <c r="DL122" s="373" t="str">
        <f t="shared" si="225"/>
        <v xml:space="preserve"> </v>
      </c>
      <c r="DM122" s="373" t="str">
        <f t="shared" si="226"/>
        <v xml:space="preserve"> </v>
      </c>
      <c r="DN122" s="373" t="str">
        <f t="shared" si="227"/>
        <v xml:space="preserve"> </v>
      </c>
      <c r="DO122" s="373" t="str">
        <f t="shared" si="228"/>
        <v xml:space="preserve"> </v>
      </c>
      <c r="DP122" s="375" t="str">
        <f t="shared" si="229"/>
        <v xml:space="preserve"> </v>
      </c>
      <c r="DQ122" t="str">
        <f t="shared" si="255"/>
        <v xml:space="preserve"> </v>
      </c>
      <c r="HD122" t="str">
        <f t="shared" si="256"/>
        <v xml:space="preserve"> </v>
      </c>
      <c r="HE122" t="str">
        <f t="shared" si="257"/>
        <v xml:space="preserve"> </v>
      </c>
      <c r="HF122" t="str">
        <f t="shared" si="258"/>
        <v xml:space="preserve"> </v>
      </c>
    </row>
    <row r="123" spans="1:214">
      <c r="A123" s="415" t="str">
        <f>IF(A122="N/A","N/A",IF(EDATE(A122,1)&gt;Inputs!$K$3,"N/A",EDATE(A122,1)))</f>
        <v>N/A</v>
      </c>
      <c r="B123" s="410" t="str">
        <f t="shared" si="230"/>
        <v xml:space="preserve"> </v>
      </c>
      <c r="C123" s="411" t="str">
        <f t="shared" si="231"/>
        <v xml:space="preserve"> </v>
      </c>
      <c r="D123" s="412" t="str">
        <f t="shared" si="232"/>
        <v xml:space="preserve"> </v>
      </c>
      <c r="E123" s="413" t="str">
        <f>IF($A123="N/A"," ",(C123-'Pricing Inputs'!T156)*D123)</f>
        <v xml:space="preserve"> </v>
      </c>
      <c r="F123" s="414" t="str">
        <f t="shared" si="281"/>
        <v xml:space="preserve"> </v>
      </c>
      <c r="G123" s="414" t="str">
        <f t="shared" si="233"/>
        <v xml:space="preserve"> </v>
      </c>
      <c r="H123" s="416" t="str">
        <f t="shared" si="234"/>
        <v xml:space="preserve"> </v>
      </c>
      <c r="I123" s="213" t="str">
        <f t="shared" si="183"/>
        <v xml:space="preserve"> </v>
      </c>
      <c r="J123" s="213" t="str">
        <f t="shared" si="184"/>
        <v xml:space="preserve"> </v>
      </c>
      <c r="K123" s="213" t="str">
        <f t="shared" si="185"/>
        <v xml:space="preserve"> </v>
      </c>
      <c r="L123" s="213" t="str">
        <f t="shared" si="186"/>
        <v xml:space="preserve"> </v>
      </c>
      <c r="M123" s="213" t="str">
        <f t="shared" si="187"/>
        <v xml:space="preserve"> </v>
      </c>
      <c r="N123" s="213" t="str">
        <f t="shared" si="188"/>
        <v xml:space="preserve"> </v>
      </c>
      <c r="O123" s="213" t="str">
        <f t="shared" si="189"/>
        <v xml:space="preserve"> </v>
      </c>
      <c r="P123" s="213" t="str">
        <f t="shared" si="190"/>
        <v xml:space="preserve"> </v>
      </c>
      <c r="Q123" s="213" t="str">
        <f t="shared" si="191"/>
        <v xml:space="preserve"> </v>
      </c>
      <c r="R123" s="405" t="str">
        <f>IF($A123="N/A"," ",IF(Pricetype=2,MAX(I123-$H123,0),IF(Pricetype=1,(_xll.xSPRDOPT(I123,$E123,$CI123,0,($CD123+IF(Smile=TRUE,VLOOKUP(MAX(-5,$H123-I123),Volsmile,2),0)),$CG123,$CH123,($A123-DateToday)+15,1,0)),I123-$H123)))</f>
        <v xml:space="preserve"> </v>
      </c>
      <c r="S123" s="405" t="str">
        <f>IF($A123="N/A"," ",IF(Pricetype=2,MAX(J123-$H123,0),IF(Pricetype=1,(_xll.xSPRDOPT(J123,$E123,$CI123,0,($CD123+IF(Smile=TRUE,VLOOKUP(MAX(-5,$H123-J123),Volsmile,2),0)),$CG123,$CH123,($A123-DateToday)+15,1,0)),J123-$H123)))</f>
        <v xml:space="preserve"> </v>
      </c>
      <c r="T123" s="406" t="str">
        <f t="shared" si="192"/>
        <v xml:space="preserve"> </v>
      </c>
      <c r="U123" s="405" t="str">
        <f>IF($A123="N/A"," ",IF(Pricetype=2,MAX(L123-$H123,0),IF(L123&lt;&gt;0,IF(Pricetype=1,(_xll.xSPRDOPT(L123,$E123,$CI123,0,($CD123+IF(Smile=TRUE,VLOOKUP(MAX(-5,$H123-L123),Volsmile,2),0)),$CG123,$CH123,($A123-DateToday)+15,1,0)),L123-$H123),0)))</f>
        <v xml:space="preserve"> </v>
      </c>
      <c r="V123" s="405" t="str">
        <f>IF($A123="N/A"," ",IF(Pricetype=2,MAX(M123-$H123,0),IF(M123&lt;&gt;0,IF(Pricetype=1,(_xll.xSPRDOPT(M123,$E123,$CI123,0,($CD123+IF(Smile=TRUE,VLOOKUP(MAX(-5,$H123-M123),Volsmile,2),0)),$CG123,$CH123,($A123-DateToday)+15,1,0)),M123-$H123),0)))</f>
        <v xml:space="preserve"> </v>
      </c>
      <c r="W123" s="406" t="str">
        <f t="shared" si="193"/>
        <v xml:space="preserve"> </v>
      </c>
      <c r="X123" s="405" t="str">
        <f>IF($A123="N/A"," ",IF(Pricetype=2,MAX(O123-$H123,0),IF(O123&lt;&gt;0,IF(Pricetype=1,(_xll.xSPRDOPT(O123,$E123,$CI123,0,($CD123+IF(Smile=TRUE,VLOOKUP(MAX(-5,$H123-O123),Volsmile,2),0)),$CG123,$CH123,($A123-DateToday)+15,1,0)),O123-$H123),0)))</f>
        <v xml:space="preserve"> </v>
      </c>
      <c r="Y123" s="405" t="str">
        <f>IF($A123="N/A"," ",IF(Pricetype=2,MAX(P123-$H123,0),IF(P123&lt;&gt;0,IF(Pricetype=1,(_xll.xSPRDOPT(P123,$E123,$CI123,0,($CD123+IF(Smile=TRUE,VLOOKUP(MAX(-5,$H123-P123),Volsmile,2),0)),$CG123,$CH123,($A123-DateToday)+15,1,0)),P123-$H123),0)))</f>
        <v xml:space="preserve"> </v>
      </c>
      <c r="Z123" s="406" t="str">
        <f t="shared" si="194"/>
        <v xml:space="preserve"> </v>
      </c>
      <c r="AA123" s="254" t="str">
        <f>IF($A123="N/A"," ",IF(VLOOKUP(MONTH(A123),ManualTable,2)=1,(IF(0&lt;&gt;R123,IF(Pricetype=1,(_xll.xSPRDOPT(I123,$E123,$CI123,0,($CD123+IF(Smile=TRUE,VLOOKUP(MAX(-5,$H123-I123),Volsmile,2),0)),$CG123,$CH123,($A123-DateToday)+15,1,1))*(8*$HD123),8*$HD123),0)),0))</f>
        <v xml:space="preserve"> </v>
      </c>
      <c r="AB123" s="254" t="str">
        <f>IF($A123="N/A"," ",IF(VLOOKUP(MONTH(A123),ManualTable,3)=1,(IF(S123&lt;&gt;0,IF(Pricetype=1,(_xll.xSPRDOPT(J123,$E123,$CI123,0,($CD123+IF(Smile=TRUE,VLOOKUP(MAX(-5,$H123-J123),Volsmile,2),0)),$CG123,$CH123,($A123-DateToday)+15,1,1))*(8*$HD123),8*$HD123),0)),0))</f>
        <v xml:space="preserve"> </v>
      </c>
      <c r="AC123" s="254" t="str">
        <f t="shared" si="235"/>
        <v xml:space="preserve"> </v>
      </c>
      <c r="AD123" s="254" t="str">
        <f>IF($A123="N/A"," ",IF(VLOOKUP(MONTH(A123),ManualTable,5)=1,(IF(U123&lt;&gt;0,IF(Pricetype=1,(_xll.xSPRDOPT(L123,$E123,$CI123,0,($CD123+IF(Smile=TRUE,VLOOKUP(MAX(-5,$H123-L123),Volsmile,2),0)),$CG123,$CH123,($A123-DateToday)+15,1,1))*(8*$HE123),8*$HE123),0)),0))</f>
        <v xml:space="preserve"> </v>
      </c>
      <c r="AE123" s="254" t="str">
        <f>IF($A123="N/A"," ",IF(VLOOKUP(MONTH(A123),ManualTable,6)=1,(IF(V123&lt;&gt;0,IF(Pricetype=1,(_xll.xSPRDOPT(M123,$E123,$CI123,0,($CD123+IF(Smile=TRUE,VLOOKUP(MAX(-5,$H123-M123),Volsmile,2),0)),$CG123,$CH123,($A123-DateToday)+15,1,1))*(8*$HE123),8*$HE123),0)),0))</f>
        <v xml:space="preserve"> </v>
      </c>
      <c r="AF123" s="254" t="str">
        <f t="shared" si="236"/>
        <v xml:space="preserve"> </v>
      </c>
      <c r="AG123" s="254" t="str">
        <f>IF($A123="N/A"," ",IF(VLOOKUP(MONTH(A123),ManualTable,8)=1,(IF(X123&lt;&gt;0,IF(Pricetype=1,(_xll.xSPRDOPT(O123,$E123,$CI123,0,($CD123+IF(Smile=TRUE,VLOOKUP(MAX(-5,$H123-O123),Volsmile,2),0)),$CG123,$CH123,($A123-DateToday)+15,1,1))*(8*$HF123),8*$HF123),0)),0))</f>
        <v xml:space="preserve"> </v>
      </c>
      <c r="AH123" s="254" t="str">
        <f>IF($A123="N/A"," ",IF(VLOOKUP(MONTH(A123),ManualTable,9)=1,(IF(Y123&lt;&gt;0,IF(Pricetype=1,(_xll.xSPRDOPT(P123,$E123,$CI123,0,($CD123+IF(Smile=TRUE,VLOOKUP(MAX(-5,$H123-P123),Volsmile,2),0)),$CG123,$CH123,($A123-DateToday)+15,1,1))*(8*$HF123),8*$HF123),0)),0))</f>
        <v xml:space="preserve"> </v>
      </c>
      <c r="AI123" s="254" t="str">
        <f t="shared" si="237"/>
        <v xml:space="preserve"> </v>
      </c>
      <c r="AJ123" s="230" t="str">
        <f t="shared" si="320"/>
        <v xml:space="preserve"> </v>
      </c>
      <c r="AK123" s="231" t="str">
        <f t="shared" si="321"/>
        <v xml:space="preserve"> </v>
      </c>
      <c r="AL123" s="231" t="str">
        <f t="shared" si="321"/>
        <v xml:space="preserve"> </v>
      </c>
      <c r="AM123" s="231" t="str">
        <f t="shared" si="322"/>
        <v xml:space="preserve"> </v>
      </c>
      <c r="AN123" s="231" t="str">
        <f t="shared" si="323"/>
        <v xml:space="preserve"> </v>
      </c>
      <c r="AO123" s="231" t="str">
        <f t="shared" si="323"/>
        <v xml:space="preserve"> </v>
      </c>
      <c r="AP123" s="231" t="str">
        <f t="shared" si="324"/>
        <v xml:space="preserve"> </v>
      </c>
      <c r="AQ123" s="231" t="str">
        <f t="shared" si="325"/>
        <v xml:space="preserve"> </v>
      </c>
      <c r="AR123" s="232" t="str">
        <f t="shared" si="326"/>
        <v xml:space="preserve"> </v>
      </c>
      <c r="AS123" s="264" t="str">
        <f t="shared" si="274"/>
        <v xml:space="preserve"> </v>
      </c>
      <c r="AT123" s="265" t="str">
        <f t="shared" si="275"/>
        <v xml:space="preserve"> </v>
      </c>
      <c r="AU123" s="265" t="str">
        <f t="shared" si="275"/>
        <v xml:space="preserve"> </v>
      </c>
      <c r="AV123" s="265" t="str">
        <f t="shared" si="276"/>
        <v xml:space="preserve"> </v>
      </c>
      <c r="AW123" s="265" t="str">
        <f t="shared" si="277"/>
        <v xml:space="preserve"> </v>
      </c>
      <c r="AX123" s="265" t="str">
        <f t="shared" si="277"/>
        <v xml:space="preserve"> </v>
      </c>
      <c r="AY123" s="265" t="str">
        <f t="shared" si="278"/>
        <v xml:space="preserve"> </v>
      </c>
      <c r="AZ123" s="265" t="str">
        <f t="shared" si="279"/>
        <v xml:space="preserve"> </v>
      </c>
      <c r="BA123" s="265" t="str">
        <f t="shared" si="280"/>
        <v xml:space="preserve"> </v>
      </c>
      <c r="BB123" s="232">
        <f>IF(($AZ$2-BB122)&gt;=0,$AZ$2-BB122,0)</f>
        <v>980</v>
      </c>
      <c r="BC123" s="270" t="str">
        <f t="shared" si="313"/>
        <v xml:space="preserve"> </v>
      </c>
      <c r="BD123" s="271" t="str">
        <f t="shared" si="314"/>
        <v xml:space="preserve"> </v>
      </c>
      <c r="BE123" s="269" t="str">
        <f t="shared" si="314"/>
        <v xml:space="preserve"> </v>
      </c>
      <c r="BF123" s="271" t="str">
        <f t="shared" si="315"/>
        <v xml:space="preserve"> </v>
      </c>
      <c r="BG123" s="271" t="str">
        <f t="shared" si="316"/>
        <v xml:space="preserve"> </v>
      </c>
      <c r="BH123" s="269" t="str">
        <f t="shared" si="316"/>
        <v xml:space="preserve"> </v>
      </c>
      <c r="BI123" s="271" t="str">
        <f t="shared" si="317"/>
        <v xml:space="preserve"> </v>
      </c>
      <c r="BJ123" s="271" t="str">
        <f t="shared" si="318"/>
        <v xml:space="preserve"> </v>
      </c>
      <c r="BK123" s="271" t="str">
        <f t="shared" si="319"/>
        <v xml:space="preserve"> </v>
      </c>
      <c r="BL123" s="235">
        <f>BB122+BL122</f>
        <v>0</v>
      </c>
      <c r="BM123" s="220" t="str">
        <f>IF($A123="N/A"," ",(IF(MONTH(A123)&gt;=4,IF(MONTH(A123)&lt;=10,Inputs!$F$13-Inputs!$G$13,Inputs!$F$14-Inputs!$G$14),Inputs!$F$14-Inputs!$G$14))*$CK123*Availability)</f>
        <v xml:space="preserve"> </v>
      </c>
      <c r="BN123" s="221" t="str">
        <f t="shared" si="238"/>
        <v xml:space="preserve"> </v>
      </c>
      <c r="BO123" s="221" t="str">
        <f t="shared" si="239"/>
        <v xml:space="preserve"> </v>
      </c>
      <c r="BP123" s="221" t="str">
        <f t="shared" si="240"/>
        <v xml:space="preserve"> </v>
      </c>
      <c r="BQ123" s="221" t="str">
        <f t="shared" si="241"/>
        <v xml:space="preserve"> </v>
      </c>
      <c r="BR123" s="221" t="str">
        <f t="shared" si="242"/>
        <v xml:space="preserve"> </v>
      </c>
      <c r="BS123" s="221" t="str">
        <f t="shared" si="243"/>
        <v xml:space="preserve"> </v>
      </c>
      <c r="BT123" s="221" t="str">
        <f t="shared" si="244"/>
        <v xml:space="preserve"> </v>
      </c>
      <c r="BU123" s="221" t="str">
        <f t="shared" si="245"/>
        <v xml:space="preserve"> </v>
      </c>
      <c r="BV123" s="221" t="str">
        <f t="shared" si="246"/>
        <v xml:space="preserve"> </v>
      </c>
      <c r="BW123" s="221" t="str">
        <f t="shared" si="247"/>
        <v xml:space="preserve"> </v>
      </c>
      <c r="BX123" s="421" t="str">
        <f t="shared" si="248"/>
        <v xml:space="preserve"> </v>
      </c>
      <c r="BY123" s="417" t="str">
        <f t="shared" si="249"/>
        <v xml:space="preserve"> </v>
      </c>
      <c r="BZ123" s="417" t="str">
        <f t="shared" si="250"/>
        <v xml:space="preserve"> </v>
      </c>
      <c r="CA123" s="422" t="str">
        <f t="shared" si="251"/>
        <v xml:space="preserve"> </v>
      </c>
      <c r="CB123" s="347" t="str">
        <f t="shared" si="195"/>
        <v xml:space="preserve"> </v>
      </c>
      <c r="CC123" s="347" t="str">
        <f t="shared" si="252"/>
        <v xml:space="preserve"> </v>
      </c>
      <c r="CD123" s="348" t="str">
        <f t="shared" si="196"/>
        <v xml:space="preserve"> </v>
      </c>
      <c r="CE123" s="347" t="str">
        <f t="shared" si="197"/>
        <v xml:space="preserve"> </v>
      </c>
      <c r="CF123" s="347" t="str">
        <f t="shared" si="198"/>
        <v xml:space="preserve"> </v>
      </c>
      <c r="CG123" s="348" t="str">
        <f t="shared" si="199"/>
        <v xml:space="preserve"> </v>
      </c>
      <c r="CH123" s="347" t="str">
        <f t="shared" si="253"/>
        <v xml:space="preserve"> </v>
      </c>
      <c r="CI123" s="349" t="str">
        <f>IF($A123="N/A"," ",F123+G123+(D123*('Pricing Inputs'!T156)))</f>
        <v xml:space="preserve"> </v>
      </c>
      <c r="CJ123" s="347" t="str">
        <f>IF($A123="N/A"," ",IF(PV=1,0,'Pricing Inputs'!U156))</f>
        <v xml:space="preserve"> </v>
      </c>
      <c r="CK123" s="350" t="str">
        <f t="shared" si="200"/>
        <v xml:space="preserve"> </v>
      </c>
      <c r="CL123" s="365" t="str">
        <f t="shared" si="201"/>
        <v xml:space="preserve"> </v>
      </c>
      <c r="CM123" s="380" t="str">
        <f t="shared" si="254"/>
        <v xml:space="preserve"> </v>
      </c>
      <c r="CN123" s="378" t="str">
        <f t="shared" si="202"/>
        <v xml:space="preserve"> </v>
      </c>
      <c r="CO123" s="378" t="str">
        <f t="shared" si="203"/>
        <v xml:space="preserve"> </v>
      </c>
      <c r="CP123" s="378" t="str">
        <f t="shared" si="204"/>
        <v xml:space="preserve"> </v>
      </c>
      <c r="CQ123" s="378" t="str">
        <f t="shared" si="205"/>
        <v xml:space="preserve"> </v>
      </c>
      <c r="CR123" s="378" t="str">
        <f t="shared" si="206"/>
        <v xml:space="preserve"> </v>
      </c>
      <c r="CS123" s="378" t="str">
        <f t="shared" si="207"/>
        <v xml:space="preserve"> </v>
      </c>
      <c r="CT123" s="378" t="str">
        <f t="shared" si="208"/>
        <v xml:space="preserve"> </v>
      </c>
      <c r="CU123" s="378" t="str">
        <f t="shared" si="209"/>
        <v xml:space="preserve"> </v>
      </c>
      <c r="CV123" s="378" t="str">
        <f t="shared" si="210"/>
        <v xml:space="preserve"> </v>
      </c>
      <c r="CW123" s="254" t="str">
        <f t="shared" si="211"/>
        <v xml:space="preserve"> </v>
      </c>
      <c r="CX123" s="254" t="str">
        <f t="shared" si="212"/>
        <v xml:space="preserve"> </v>
      </c>
      <c r="CY123" s="254" t="str">
        <f t="shared" si="213"/>
        <v xml:space="preserve"> </v>
      </c>
      <c r="CZ123" s="254" t="str">
        <f t="shared" si="214"/>
        <v xml:space="preserve"> </v>
      </c>
      <c r="DA123" s="254" t="str">
        <f t="shared" si="215"/>
        <v xml:space="preserve"> </v>
      </c>
      <c r="DB123" s="254" t="str">
        <f t="shared" si="216"/>
        <v xml:space="preserve"> </v>
      </c>
      <c r="DC123" s="254" t="str">
        <f t="shared" si="217"/>
        <v xml:space="preserve"> </v>
      </c>
      <c r="DD123" s="254" t="str">
        <f t="shared" si="218"/>
        <v xml:space="preserve"> </v>
      </c>
      <c r="DE123" s="254" t="str">
        <f t="shared" si="219"/>
        <v xml:space="preserve"> </v>
      </c>
      <c r="DF123" s="374" t="str">
        <f>IF($A123="N/A"," ",IF(CC=2,(IF(MONTH(A123)&gt;=4,IF(MONTH(A123)&lt;=10,Inputs!$G$13,Inputs!$G$14),Inputs!$G$14))*$CK123,0))</f>
        <v xml:space="preserve"> </v>
      </c>
      <c r="DG123" s="373" t="str">
        <f t="shared" si="220"/>
        <v xml:space="preserve"> </v>
      </c>
      <c r="DH123" s="373" t="str">
        <f t="shared" si="221"/>
        <v xml:space="preserve"> </v>
      </c>
      <c r="DI123" s="373" t="str">
        <f t="shared" si="222"/>
        <v xml:space="preserve"> </v>
      </c>
      <c r="DJ123" s="373" t="str">
        <f t="shared" si="223"/>
        <v xml:space="preserve"> </v>
      </c>
      <c r="DK123" s="373" t="str">
        <f t="shared" si="224"/>
        <v xml:space="preserve"> </v>
      </c>
      <c r="DL123" s="373" t="str">
        <f t="shared" si="225"/>
        <v xml:space="preserve"> </v>
      </c>
      <c r="DM123" s="373" t="str">
        <f t="shared" si="226"/>
        <v xml:space="preserve"> </v>
      </c>
      <c r="DN123" s="373" t="str">
        <f t="shared" si="227"/>
        <v xml:space="preserve"> </v>
      </c>
      <c r="DO123" s="373" t="str">
        <f t="shared" si="228"/>
        <v xml:space="preserve"> </v>
      </c>
      <c r="DP123" s="375" t="str">
        <f t="shared" si="229"/>
        <v xml:space="preserve"> </v>
      </c>
      <c r="DQ123" t="str">
        <f t="shared" si="255"/>
        <v xml:space="preserve"> </v>
      </c>
      <c r="HD123" t="str">
        <f t="shared" si="256"/>
        <v xml:space="preserve"> </v>
      </c>
      <c r="HE123" t="str">
        <f t="shared" si="257"/>
        <v xml:space="preserve"> </v>
      </c>
      <c r="HF123" t="str">
        <f t="shared" si="258"/>
        <v xml:space="preserve"> </v>
      </c>
    </row>
    <row r="124" spans="1:214">
      <c r="A124" s="415" t="str">
        <f>IF(A123="N/A","N/A",IF(EDATE(A123,1)&gt;Inputs!$K$3,"N/A",EDATE(A123,1)))</f>
        <v>N/A</v>
      </c>
      <c r="B124" s="410" t="str">
        <f t="shared" si="230"/>
        <v xml:space="preserve"> </v>
      </c>
      <c r="C124" s="411" t="str">
        <f t="shared" si="231"/>
        <v xml:space="preserve"> </v>
      </c>
      <c r="D124" s="412" t="str">
        <f t="shared" si="232"/>
        <v xml:space="preserve"> </v>
      </c>
      <c r="E124" s="413" t="str">
        <f>IF($A124="N/A"," ",(C124-'Pricing Inputs'!T157)*D124)</f>
        <v xml:space="preserve"> </v>
      </c>
      <c r="F124" s="414" t="str">
        <f t="shared" si="281"/>
        <v xml:space="preserve"> </v>
      </c>
      <c r="G124" s="414" t="str">
        <f t="shared" si="233"/>
        <v xml:space="preserve"> </v>
      </c>
      <c r="H124" s="416" t="str">
        <f t="shared" si="234"/>
        <v xml:space="preserve"> </v>
      </c>
      <c r="I124" s="213" t="str">
        <f t="shared" si="183"/>
        <v xml:space="preserve"> </v>
      </c>
      <c r="J124" s="213" t="str">
        <f t="shared" si="184"/>
        <v xml:space="preserve"> </v>
      </c>
      <c r="K124" s="213" t="str">
        <f t="shared" si="185"/>
        <v xml:space="preserve"> </v>
      </c>
      <c r="L124" s="213" t="str">
        <f t="shared" si="186"/>
        <v xml:space="preserve"> </v>
      </c>
      <c r="M124" s="213" t="str">
        <f t="shared" si="187"/>
        <v xml:space="preserve"> </v>
      </c>
      <c r="N124" s="213" t="str">
        <f t="shared" si="188"/>
        <v xml:space="preserve"> </v>
      </c>
      <c r="O124" s="213" t="str">
        <f t="shared" si="189"/>
        <v xml:space="preserve"> </v>
      </c>
      <c r="P124" s="213" t="str">
        <f t="shared" si="190"/>
        <v xml:space="preserve"> </v>
      </c>
      <c r="Q124" s="213" t="str">
        <f t="shared" si="191"/>
        <v xml:space="preserve"> </v>
      </c>
      <c r="R124" s="405" t="str">
        <f>IF($A124="N/A"," ",IF(Pricetype=2,MAX(I124-$H124,0),IF(Pricetype=1,(_xll.xSPRDOPT(I124,$E124,$CI124,0,($CD124+IF(Smile=TRUE,VLOOKUP(MAX(-5,$H124-I124),Volsmile,2),0)),$CG124,$CH124,($A124-DateToday)+15,1,0)),I124-$H124)))</f>
        <v xml:space="preserve"> </v>
      </c>
      <c r="S124" s="405" t="str">
        <f>IF($A124="N/A"," ",IF(Pricetype=2,MAX(J124-$H124,0),IF(Pricetype=1,(_xll.xSPRDOPT(J124,$E124,$CI124,0,($CD124+IF(Smile=TRUE,VLOOKUP(MAX(-5,$H124-J124),Volsmile,2),0)),$CG124,$CH124,($A124-DateToday)+15,1,0)),J124-$H124)))</f>
        <v xml:space="preserve"> </v>
      </c>
      <c r="T124" s="406" t="str">
        <f t="shared" si="192"/>
        <v xml:space="preserve"> </v>
      </c>
      <c r="U124" s="405" t="str">
        <f>IF($A124="N/A"," ",IF(Pricetype=2,MAX(L124-$H124,0),IF(L124&lt;&gt;0,IF(Pricetype=1,(_xll.xSPRDOPT(L124,$E124,$CI124,0,($CD124+IF(Smile=TRUE,VLOOKUP(MAX(-5,$H124-L124),Volsmile,2),0)),$CG124,$CH124,($A124-DateToday)+15,1,0)),L124-$H124),0)))</f>
        <v xml:space="preserve"> </v>
      </c>
      <c r="V124" s="405" t="str">
        <f>IF($A124="N/A"," ",IF(Pricetype=2,MAX(M124-$H124,0),IF(M124&lt;&gt;0,IF(Pricetype=1,(_xll.xSPRDOPT(M124,$E124,$CI124,0,($CD124+IF(Smile=TRUE,VLOOKUP(MAX(-5,$H124-M124),Volsmile,2),0)),$CG124,$CH124,($A124-DateToday)+15,1,0)),M124-$H124),0)))</f>
        <v xml:space="preserve"> </v>
      </c>
      <c r="W124" s="406" t="str">
        <f t="shared" si="193"/>
        <v xml:space="preserve"> </v>
      </c>
      <c r="X124" s="405" t="str">
        <f>IF($A124="N/A"," ",IF(Pricetype=2,MAX(O124-$H124,0),IF(O124&lt;&gt;0,IF(Pricetype=1,(_xll.xSPRDOPT(O124,$E124,$CI124,0,($CD124+IF(Smile=TRUE,VLOOKUP(MAX(-5,$H124-O124),Volsmile,2),0)),$CG124,$CH124,($A124-DateToday)+15,1,0)),O124-$H124),0)))</f>
        <v xml:space="preserve"> </v>
      </c>
      <c r="Y124" s="405" t="str">
        <f>IF($A124="N/A"," ",IF(Pricetype=2,MAX(P124-$H124,0),IF(P124&lt;&gt;0,IF(Pricetype=1,(_xll.xSPRDOPT(P124,$E124,$CI124,0,($CD124+IF(Smile=TRUE,VLOOKUP(MAX(-5,$H124-P124),Volsmile,2),0)),$CG124,$CH124,($A124-DateToday)+15,1,0)),P124-$H124),0)))</f>
        <v xml:space="preserve"> </v>
      </c>
      <c r="Z124" s="406" t="str">
        <f t="shared" si="194"/>
        <v xml:space="preserve"> </v>
      </c>
      <c r="AA124" s="254" t="str">
        <f>IF($A124="N/A"," ",IF(VLOOKUP(MONTH(A124),ManualTable,2)=1,(IF(0&lt;&gt;R124,IF(Pricetype=1,(_xll.xSPRDOPT(I124,$E124,$CI124,0,($CD124+IF(Smile=TRUE,VLOOKUP(MAX(-5,$H124-I124),Volsmile,2),0)),$CG124,$CH124,($A124-DateToday)+15,1,1))*(8*$HD124),8*$HD124),0)),0))</f>
        <v xml:space="preserve"> </v>
      </c>
      <c r="AB124" s="254" t="str">
        <f>IF($A124="N/A"," ",IF(VLOOKUP(MONTH(A124),ManualTable,3)=1,(IF(S124&lt;&gt;0,IF(Pricetype=1,(_xll.xSPRDOPT(J124,$E124,$CI124,0,($CD124+IF(Smile=TRUE,VLOOKUP(MAX(-5,$H124-J124),Volsmile,2),0)),$CG124,$CH124,($A124-DateToday)+15,1,1))*(8*$HD124),8*$HD124),0)),0))</f>
        <v xml:space="preserve"> </v>
      </c>
      <c r="AC124" s="254" t="str">
        <f t="shared" si="235"/>
        <v xml:space="preserve"> </v>
      </c>
      <c r="AD124" s="254" t="str">
        <f>IF($A124="N/A"," ",IF(VLOOKUP(MONTH(A124),ManualTable,5)=1,(IF(U124&lt;&gt;0,IF(Pricetype=1,(_xll.xSPRDOPT(L124,$E124,$CI124,0,($CD124+IF(Smile=TRUE,VLOOKUP(MAX(-5,$H124-L124),Volsmile,2),0)),$CG124,$CH124,($A124-DateToday)+15,1,1))*(8*$HE124),8*$HE124),0)),0))</f>
        <v xml:space="preserve"> </v>
      </c>
      <c r="AE124" s="254" t="str">
        <f>IF($A124="N/A"," ",IF(VLOOKUP(MONTH(A124),ManualTable,6)=1,(IF(V124&lt;&gt;0,IF(Pricetype=1,(_xll.xSPRDOPT(M124,$E124,$CI124,0,($CD124+IF(Smile=TRUE,VLOOKUP(MAX(-5,$H124-M124),Volsmile,2),0)),$CG124,$CH124,($A124-DateToday)+15,1,1))*(8*$HE124),8*$HE124),0)),0))</f>
        <v xml:space="preserve"> </v>
      </c>
      <c r="AF124" s="254" t="str">
        <f t="shared" si="236"/>
        <v xml:space="preserve"> </v>
      </c>
      <c r="AG124" s="254" t="str">
        <f>IF($A124="N/A"," ",IF(VLOOKUP(MONTH(A124),ManualTable,8)=1,(IF(X124&lt;&gt;0,IF(Pricetype=1,(_xll.xSPRDOPT(O124,$E124,$CI124,0,($CD124+IF(Smile=TRUE,VLOOKUP(MAX(-5,$H124-O124),Volsmile,2),0)),$CG124,$CH124,($A124-DateToday)+15,1,1))*(8*$HF124),8*$HF124),0)),0))</f>
        <v xml:space="preserve"> </v>
      </c>
      <c r="AH124" s="254" t="str">
        <f>IF($A124="N/A"," ",IF(VLOOKUP(MONTH(A124),ManualTable,9)=1,(IF(Y124&lt;&gt;0,IF(Pricetype=1,(_xll.xSPRDOPT(P124,$E124,$CI124,0,($CD124+IF(Smile=TRUE,VLOOKUP(MAX(-5,$H124-P124),Volsmile,2),0)),$CG124,$CH124,($A124-DateToday)+15,1,1))*(8*$HF124),8*$HF124),0)),0))</f>
        <v xml:space="preserve"> </v>
      </c>
      <c r="AI124" s="254" t="str">
        <f t="shared" si="237"/>
        <v xml:space="preserve"> </v>
      </c>
      <c r="AJ124" s="224" t="str">
        <f t="shared" ref="AJ124:AR124" si="327">IF($A124="N/A"," ",RANK(R124,$R$124:$Z$135))</f>
        <v xml:space="preserve"> </v>
      </c>
      <c r="AK124" s="225" t="str">
        <f t="shared" si="327"/>
        <v xml:space="preserve"> </v>
      </c>
      <c r="AL124" s="225" t="str">
        <f t="shared" si="327"/>
        <v xml:space="preserve"> </v>
      </c>
      <c r="AM124" s="225" t="str">
        <f t="shared" si="327"/>
        <v xml:space="preserve"> </v>
      </c>
      <c r="AN124" s="225" t="str">
        <f t="shared" si="327"/>
        <v xml:space="preserve"> </v>
      </c>
      <c r="AO124" s="225" t="str">
        <f t="shared" si="327"/>
        <v xml:space="preserve"> </v>
      </c>
      <c r="AP124" s="225" t="str">
        <f t="shared" si="327"/>
        <v xml:space="preserve"> </v>
      </c>
      <c r="AQ124" s="225" t="str">
        <f t="shared" si="327"/>
        <v xml:space="preserve"> </v>
      </c>
      <c r="AR124" s="226" t="str">
        <f t="shared" si="327"/>
        <v xml:space="preserve"> </v>
      </c>
      <c r="AS124" s="260" t="str">
        <f t="shared" si="274"/>
        <v xml:space="preserve"> </v>
      </c>
      <c r="AT124" s="261" t="str">
        <f t="shared" si="275"/>
        <v xml:space="preserve"> </v>
      </c>
      <c r="AU124" s="263" t="str">
        <f t="shared" si="275"/>
        <v xml:space="preserve"> </v>
      </c>
      <c r="AV124" s="263" t="str">
        <f t="shared" si="276"/>
        <v xml:space="preserve"> </v>
      </c>
      <c r="AW124" s="263" t="str">
        <f t="shared" si="277"/>
        <v xml:space="preserve"> </v>
      </c>
      <c r="AX124" s="263" t="str">
        <f t="shared" si="277"/>
        <v xml:space="preserve"> </v>
      </c>
      <c r="AY124" s="261" t="str">
        <f t="shared" si="278"/>
        <v xml:space="preserve"> </v>
      </c>
      <c r="AZ124" s="261" t="str">
        <f t="shared" si="279"/>
        <v xml:space="preserve"> </v>
      </c>
      <c r="BA124" s="261" t="str">
        <f t="shared" si="280"/>
        <v xml:space="preserve"> </v>
      </c>
      <c r="BB124" s="226"/>
      <c r="BC124" s="272" t="str">
        <f t="shared" ref="BC124:BC135" si="328">IF($A124="N/A"," ",IF(AND(AJ124=$AR$2+1,AS124=0),MIN($BB$135,AA124),0))</f>
        <v xml:space="preserve"> </v>
      </c>
      <c r="BD124" s="267" t="str">
        <f t="shared" ref="BD124:BE135" si="329">IF($A124="N/A"," ",IF(AND(AK124=$AR$2+1,AT124=0),MIN($BB$135,AB124),0))</f>
        <v xml:space="preserve"> </v>
      </c>
      <c r="BE124" s="267" t="str">
        <f t="shared" si="329"/>
        <v xml:space="preserve"> </v>
      </c>
      <c r="BF124" s="267" t="str">
        <f t="shared" ref="BF124:BF135" si="330">IF($A124="N/A"," ",IF(AND(AM124=$AR$2+1,AV124=0),MIN($BB$135,AD124),0))</f>
        <v xml:space="preserve"> </v>
      </c>
      <c r="BG124" s="267" t="str">
        <f t="shared" ref="BG124:BH135" si="331">IF($A124="N/A"," ",IF(AND(AN124=$AR$2+1,AW124=0),MIN($BB$135,AE124),0))</f>
        <v xml:space="preserve"> </v>
      </c>
      <c r="BH124" s="267" t="str">
        <f t="shared" si="331"/>
        <v xml:space="preserve"> </v>
      </c>
      <c r="BI124" s="267" t="str">
        <f t="shared" ref="BI124:BI135" si="332">IF($A124="N/A"," ",IF(AND(AP124=$AR$2+1,AY124=0),MIN($BB$135,AG124),0))</f>
        <v xml:space="preserve"> </v>
      </c>
      <c r="BJ124" s="267" t="str">
        <f t="shared" ref="BJ124:BJ135" si="333">IF($A124="N/A"," ",IF(AND(AQ124=$AR$2+1,AZ124=0),MIN($BB$135,AH124),0))</f>
        <v xml:space="preserve"> </v>
      </c>
      <c r="BK124" s="267" t="str">
        <f t="shared" ref="BK124:BK135" si="334">IF($A124="N/A"," ",IF(AND(AR124=$AR$2+1,BA124=0),MIN($BB$135,AI124),0))</f>
        <v xml:space="preserve"> </v>
      </c>
      <c r="BL124" s="226"/>
      <c r="BM124" s="220" t="str">
        <f>IF($A124="N/A"," ",(IF(MONTH(A124)&gt;=4,IF(MONTH(A124)&lt;=10,Inputs!$F$13-Inputs!$G$13,Inputs!$F$14-Inputs!$G$14),Inputs!$F$14-Inputs!$G$14))*$CK124*Availability)</f>
        <v xml:space="preserve"> </v>
      </c>
      <c r="BN124" s="221" t="str">
        <f t="shared" si="238"/>
        <v xml:space="preserve"> </v>
      </c>
      <c r="BO124" s="221" t="str">
        <f t="shared" si="239"/>
        <v xml:space="preserve"> </v>
      </c>
      <c r="BP124" s="221" t="str">
        <f t="shared" si="240"/>
        <v xml:space="preserve"> </v>
      </c>
      <c r="BQ124" s="221" t="str">
        <f t="shared" si="241"/>
        <v xml:space="preserve"> </v>
      </c>
      <c r="BR124" s="221" t="str">
        <f t="shared" si="242"/>
        <v xml:space="preserve"> </v>
      </c>
      <c r="BS124" s="221" t="str">
        <f t="shared" si="243"/>
        <v xml:space="preserve"> </v>
      </c>
      <c r="BT124" s="221" t="str">
        <f t="shared" si="244"/>
        <v xml:space="preserve"> </v>
      </c>
      <c r="BU124" s="221" t="str">
        <f t="shared" si="245"/>
        <v xml:space="preserve"> </v>
      </c>
      <c r="BV124" s="221" t="str">
        <f t="shared" si="246"/>
        <v xml:space="preserve"> </v>
      </c>
      <c r="BW124" s="221" t="str">
        <f t="shared" si="247"/>
        <v xml:space="preserve"> </v>
      </c>
      <c r="BX124" s="421" t="str">
        <f t="shared" si="248"/>
        <v xml:space="preserve"> </v>
      </c>
      <c r="BY124" s="417" t="str">
        <f t="shared" si="249"/>
        <v xml:space="preserve"> </v>
      </c>
      <c r="BZ124" s="417" t="str">
        <f t="shared" si="250"/>
        <v xml:space="preserve"> </v>
      </c>
      <c r="CA124" s="422" t="str">
        <f t="shared" si="251"/>
        <v xml:space="preserve"> </v>
      </c>
      <c r="CB124" s="347" t="str">
        <f t="shared" si="195"/>
        <v xml:space="preserve"> </v>
      </c>
      <c r="CC124" s="347" t="str">
        <f t="shared" si="252"/>
        <v xml:space="preserve"> </v>
      </c>
      <c r="CD124" s="348" t="str">
        <f t="shared" si="196"/>
        <v xml:space="preserve"> </v>
      </c>
      <c r="CE124" s="347" t="str">
        <f t="shared" si="197"/>
        <v xml:space="preserve"> </v>
      </c>
      <c r="CF124" s="347" t="str">
        <f t="shared" si="198"/>
        <v xml:space="preserve"> </v>
      </c>
      <c r="CG124" s="348" t="str">
        <f t="shared" si="199"/>
        <v xml:space="preserve"> </v>
      </c>
      <c r="CH124" s="347" t="str">
        <f t="shared" si="253"/>
        <v xml:space="preserve"> </v>
      </c>
      <c r="CI124" s="349" t="str">
        <f>IF($A124="N/A"," ",F124+G124+(D124*('Pricing Inputs'!T157)))</f>
        <v xml:space="preserve"> </v>
      </c>
      <c r="CJ124" s="347" t="str">
        <f>IF($A124="N/A"," ",IF(PV=1,0,'Pricing Inputs'!U157))</f>
        <v xml:space="preserve"> </v>
      </c>
      <c r="CK124" s="350" t="str">
        <f t="shared" si="200"/>
        <v xml:space="preserve"> </v>
      </c>
      <c r="CL124" s="365" t="str">
        <f t="shared" si="201"/>
        <v xml:space="preserve"> </v>
      </c>
      <c r="CM124" s="380" t="str">
        <f t="shared" si="254"/>
        <v xml:space="preserve"> </v>
      </c>
      <c r="CN124" s="378" t="str">
        <f t="shared" si="202"/>
        <v xml:space="preserve"> </v>
      </c>
      <c r="CO124" s="378" t="str">
        <f t="shared" si="203"/>
        <v xml:space="preserve"> </v>
      </c>
      <c r="CP124" s="378" t="str">
        <f t="shared" si="204"/>
        <v xml:space="preserve"> </v>
      </c>
      <c r="CQ124" s="378" t="str">
        <f t="shared" si="205"/>
        <v xml:space="preserve"> </v>
      </c>
      <c r="CR124" s="378" t="str">
        <f t="shared" si="206"/>
        <v xml:space="preserve"> </v>
      </c>
      <c r="CS124" s="378" t="str">
        <f t="shared" si="207"/>
        <v xml:space="preserve"> </v>
      </c>
      <c r="CT124" s="378" t="str">
        <f t="shared" si="208"/>
        <v xml:space="preserve"> </v>
      </c>
      <c r="CU124" s="378" t="str">
        <f t="shared" si="209"/>
        <v xml:space="preserve"> </v>
      </c>
      <c r="CV124" s="378" t="str">
        <f t="shared" si="210"/>
        <v xml:space="preserve"> </v>
      </c>
      <c r="CW124" s="254" t="str">
        <f t="shared" si="211"/>
        <v xml:space="preserve"> </v>
      </c>
      <c r="CX124" s="254" t="str">
        <f t="shared" si="212"/>
        <v xml:space="preserve"> </v>
      </c>
      <c r="CY124" s="254" t="str">
        <f t="shared" si="213"/>
        <v xml:space="preserve"> </v>
      </c>
      <c r="CZ124" s="254" t="str">
        <f t="shared" si="214"/>
        <v xml:space="preserve"> </v>
      </c>
      <c r="DA124" s="254" t="str">
        <f t="shared" si="215"/>
        <v xml:space="preserve"> </v>
      </c>
      <c r="DB124" s="254" t="str">
        <f t="shared" si="216"/>
        <v xml:space="preserve"> </v>
      </c>
      <c r="DC124" s="254" t="str">
        <f t="shared" si="217"/>
        <v xml:space="preserve"> </v>
      </c>
      <c r="DD124" s="254" t="str">
        <f t="shared" si="218"/>
        <v xml:space="preserve"> </v>
      </c>
      <c r="DE124" s="254" t="str">
        <f t="shared" si="219"/>
        <v xml:space="preserve"> </v>
      </c>
      <c r="DF124" s="374" t="str">
        <f>IF($A124="N/A"," ",IF(CC=2,(IF(MONTH(A124)&gt;=4,IF(MONTH(A124)&lt;=10,Inputs!$G$13,Inputs!$G$14),Inputs!$G$14))*$CK124,0))</f>
        <v xml:space="preserve"> </v>
      </c>
      <c r="DG124" s="373" t="str">
        <f t="shared" si="220"/>
        <v xml:space="preserve"> </v>
      </c>
      <c r="DH124" s="373" t="str">
        <f t="shared" si="221"/>
        <v xml:space="preserve"> </v>
      </c>
      <c r="DI124" s="373" t="str">
        <f t="shared" si="222"/>
        <v xml:space="preserve"> </v>
      </c>
      <c r="DJ124" s="373" t="str">
        <f t="shared" si="223"/>
        <v xml:space="preserve"> </v>
      </c>
      <c r="DK124" s="373" t="str">
        <f t="shared" si="224"/>
        <v xml:space="preserve"> </v>
      </c>
      <c r="DL124" s="373" t="str">
        <f t="shared" si="225"/>
        <v xml:space="preserve"> </v>
      </c>
      <c r="DM124" s="373" t="str">
        <f t="shared" si="226"/>
        <v xml:space="preserve"> </v>
      </c>
      <c r="DN124" s="373" t="str">
        <f t="shared" si="227"/>
        <v xml:space="preserve"> </v>
      </c>
      <c r="DO124" s="373" t="str">
        <f t="shared" si="228"/>
        <v xml:space="preserve"> </v>
      </c>
      <c r="DP124" s="375" t="str">
        <f t="shared" si="229"/>
        <v xml:space="preserve"> </v>
      </c>
      <c r="DQ124" t="str">
        <f t="shared" si="255"/>
        <v xml:space="preserve"> </v>
      </c>
      <c r="HD124" t="str">
        <f t="shared" si="256"/>
        <v xml:space="preserve"> </v>
      </c>
      <c r="HE124" t="str">
        <f t="shared" si="257"/>
        <v xml:space="preserve"> </v>
      </c>
      <c r="HF124" t="str">
        <f t="shared" si="258"/>
        <v xml:space="preserve"> </v>
      </c>
    </row>
    <row r="125" spans="1:214">
      <c r="A125" s="415" t="str">
        <f>IF(A124="N/A","N/A",IF(EDATE(A124,1)&gt;Inputs!$K$3,"N/A",EDATE(A124,1)))</f>
        <v>N/A</v>
      </c>
      <c r="B125" s="410" t="str">
        <f t="shared" si="230"/>
        <v xml:space="preserve"> </v>
      </c>
      <c r="C125" s="411" t="str">
        <f t="shared" si="231"/>
        <v xml:space="preserve"> </v>
      </c>
      <c r="D125" s="412" t="str">
        <f t="shared" si="232"/>
        <v xml:space="preserve"> </v>
      </c>
      <c r="E125" s="413" t="str">
        <f>IF($A125="N/A"," ",(C125-'Pricing Inputs'!T158)*D125)</f>
        <v xml:space="preserve"> </v>
      </c>
      <c r="F125" s="414" t="str">
        <f t="shared" si="281"/>
        <v xml:space="preserve"> </v>
      </c>
      <c r="G125" s="414" t="str">
        <f t="shared" si="233"/>
        <v xml:space="preserve"> </v>
      </c>
      <c r="H125" s="416" t="str">
        <f t="shared" si="234"/>
        <v xml:space="preserve"> </v>
      </c>
      <c r="I125" s="213" t="str">
        <f t="shared" si="183"/>
        <v xml:space="preserve"> </v>
      </c>
      <c r="J125" s="213" t="str">
        <f t="shared" si="184"/>
        <v xml:space="preserve"> </v>
      </c>
      <c r="K125" s="213" t="str">
        <f t="shared" si="185"/>
        <v xml:space="preserve"> </v>
      </c>
      <c r="L125" s="213" t="str">
        <f t="shared" si="186"/>
        <v xml:space="preserve"> </v>
      </c>
      <c r="M125" s="213" t="str">
        <f t="shared" si="187"/>
        <v xml:space="preserve"> </v>
      </c>
      <c r="N125" s="213" t="str">
        <f t="shared" si="188"/>
        <v xml:space="preserve"> </v>
      </c>
      <c r="O125" s="213" t="str">
        <f t="shared" si="189"/>
        <v xml:space="preserve"> </v>
      </c>
      <c r="P125" s="213" t="str">
        <f t="shared" si="190"/>
        <v xml:space="preserve"> </v>
      </c>
      <c r="Q125" s="213" t="str">
        <f t="shared" si="191"/>
        <v xml:space="preserve"> </v>
      </c>
      <c r="R125" s="405" t="str">
        <f>IF($A125="N/A"," ",IF(Pricetype=2,MAX(I125-$H125,0),IF(Pricetype=1,(_xll.xSPRDOPT(I125,$E125,$CI125,0,($CD125+IF(Smile=TRUE,VLOOKUP(MAX(-5,$H125-I125),Volsmile,2),0)),$CG125,$CH125,($A125-DateToday)+15,1,0)),I125-$H125)))</f>
        <v xml:space="preserve"> </v>
      </c>
      <c r="S125" s="405" t="str">
        <f>IF($A125="N/A"," ",IF(Pricetype=2,MAX(J125-$H125,0),IF(Pricetype=1,(_xll.xSPRDOPT(J125,$E125,$CI125,0,($CD125+IF(Smile=TRUE,VLOOKUP(MAX(-5,$H125-J125),Volsmile,2),0)),$CG125,$CH125,($A125-DateToday)+15,1,0)),J125-$H125)))</f>
        <v xml:space="preserve"> </v>
      </c>
      <c r="T125" s="406" t="str">
        <f t="shared" si="192"/>
        <v xml:space="preserve"> </v>
      </c>
      <c r="U125" s="405" t="str">
        <f>IF($A125="N/A"," ",IF(Pricetype=2,MAX(L125-$H125,0),IF(L125&lt;&gt;0,IF(Pricetype=1,(_xll.xSPRDOPT(L125,$E125,$CI125,0,($CD125+IF(Smile=TRUE,VLOOKUP(MAX(-5,$H125-L125),Volsmile,2),0)),$CG125,$CH125,($A125-DateToday)+15,1,0)),L125-$H125),0)))</f>
        <v xml:space="preserve"> </v>
      </c>
      <c r="V125" s="405" t="str">
        <f>IF($A125="N/A"," ",IF(Pricetype=2,MAX(M125-$H125,0),IF(M125&lt;&gt;0,IF(Pricetype=1,(_xll.xSPRDOPT(M125,$E125,$CI125,0,($CD125+IF(Smile=TRUE,VLOOKUP(MAX(-5,$H125-M125),Volsmile,2),0)),$CG125,$CH125,($A125-DateToday)+15,1,0)),M125-$H125),0)))</f>
        <v xml:space="preserve"> </v>
      </c>
      <c r="W125" s="406" t="str">
        <f t="shared" si="193"/>
        <v xml:space="preserve"> </v>
      </c>
      <c r="X125" s="405" t="str">
        <f>IF($A125="N/A"," ",IF(Pricetype=2,MAX(O125-$H125,0),IF(O125&lt;&gt;0,IF(Pricetype=1,(_xll.xSPRDOPT(O125,$E125,$CI125,0,($CD125+IF(Smile=TRUE,VLOOKUP(MAX(-5,$H125-O125),Volsmile,2),0)),$CG125,$CH125,($A125-DateToday)+15,1,0)),O125-$H125),0)))</f>
        <v xml:space="preserve"> </v>
      </c>
      <c r="Y125" s="405" t="str">
        <f>IF($A125="N/A"," ",IF(Pricetype=2,MAX(P125-$H125,0),IF(P125&lt;&gt;0,IF(Pricetype=1,(_xll.xSPRDOPT(P125,$E125,$CI125,0,($CD125+IF(Smile=TRUE,VLOOKUP(MAX(-5,$H125-P125),Volsmile,2),0)),$CG125,$CH125,($A125-DateToday)+15,1,0)),P125-$H125),0)))</f>
        <v xml:space="preserve"> </v>
      </c>
      <c r="Z125" s="406" t="str">
        <f t="shared" si="194"/>
        <v xml:space="preserve"> </v>
      </c>
      <c r="AA125" s="254" t="str">
        <f>IF($A125="N/A"," ",IF(VLOOKUP(MONTH(A125),ManualTable,2)=1,(IF(0&lt;&gt;R125,IF(Pricetype=1,(_xll.xSPRDOPT(I125,$E125,$CI125,0,($CD125+IF(Smile=TRUE,VLOOKUP(MAX(-5,$H125-I125),Volsmile,2),0)),$CG125,$CH125,($A125-DateToday)+15,1,1))*(8*$HD125),8*$HD125),0)),0))</f>
        <v xml:space="preserve"> </v>
      </c>
      <c r="AB125" s="254" t="str">
        <f>IF($A125="N/A"," ",IF(VLOOKUP(MONTH(A125),ManualTable,3)=1,(IF(S125&lt;&gt;0,IF(Pricetype=1,(_xll.xSPRDOPT(J125,$E125,$CI125,0,($CD125+IF(Smile=TRUE,VLOOKUP(MAX(-5,$H125-J125),Volsmile,2),0)),$CG125,$CH125,($A125-DateToday)+15,1,1))*(8*$HD125),8*$HD125),0)),0))</f>
        <v xml:space="preserve"> </v>
      </c>
      <c r="AC125" s="254" t="str">
        <f t="shared" si="235"/>
        <v xml:space="preserve"> </v>
      </c>
      <c r="AD125" s="254" t="str">
        <f>IF($A125="N/A"," ",IF(VLOOKUP(MONTH(A125),ManualTable,5)=1,(IF(U125&lt;&gt;0,IF(Pricetype=1,(_xll.xSPRDOPT(L125,$E125,$CI125,0,($CD125+IF(Smile=TRUE,VLOOKUP(MAX(-5,$H125-L125),Volsmile,2),0)),$CG125,$CH125,($A125-DateToday)+15,1,1))*(8*$HE125),8*$HE125),0)),0))</f>
        <v xml:space="preserve"> </v>
      </c>
      <c r="AE125" s="254" t="str">
        <f>IF($A125="N/A"," ",IF(VLOOKUP(MONTH(A125),ManualTable,6)=1,(IF(V125&lt;&gt;0,IF(Pricetype=1,(_xll.xSPRDOPT(M125,$E125,$CI125,0,($CD125+IF(Smile=TRUE,VLOOKUP(MAX(-5,$H125-M125),Volsmile,2),0)),$CG125,$CH125,($A125-DateToday)+15,1,1))*(8*$HE125),8*$HE125),0)),0))</f>
        <v xml:space="preserve"> </v>
      </c>
      <c r="AF125" s="254" t="str">
        <f t="shared" si="236"/>
        <v xml:space="preserve"> </v>
      </c>
      <c r="AG125" s="254" t="str">
        <f>IF($A125="N/A"," ",IF(VLOOKUP(MONTH(A125),ManualTable,8)=1,(IF(X125&lt;&gt;0,IF(Pricetype=1,(_xll.xSPRDOPT(O125,$E125,$CI125,0,($CD125+IF(Smile=TRUE,VLOOKUP(MAX(-5,$H125-O125),Volsmile,2),0)),$CG125,$CH125,($A125-DateToday)+15,1,1))*(8*$HF125),8*$HF125),0)),0))</f>
        <v xml:space="preserve"> </v>
      </c>
      <c r="AH125" s="254" t="str">
        <f>IF($A125="N/A"," ",IF(VLOOKUP(MONTH(A125),ManualTable,9)=1,(IF(Y125&lt;&gt;0,IF(Pricetype=1,(_xll.xSPRDOPT(P125,$E125,$CI125,0,($CD125+IF(Smile=TRUE,VLOOKUP(MAX(-5,$H125-P125),Volsmile,2),0)),$CG125,$CH125,($A125-DateToday)+15,1,1))*(8*$HF125),8*$HF125),0)),0))</f>
        <v xml:space="preserve"> </v>
      </c>
      <c r="AI125" s="254" t="str">
        <f t="shared" si="237"/>
        <v xml:space="preserve"> </v>
      </c>
      <c r="AJ125" s="227" t="str">
        <f t="shared" ref="AJ125:AJ135" si="335">IF($A125="N/A"," ",RANK(R125,$R$124:$Z$135))</f>
        <v xml:space="preserve"> </v>
      </c>
      <c r="AK125" s="228" t="str">
        <f t="shared" ref="AK125:AL135" si="336">IF($A125="N/A"," ",RANK(S125,$R$124:$Z$135))</f>
        <v xml:space="preserve"> </v>
      </c>
      <c r="AL125" s="228" t="str">
        <f t="shared" si="336"/>
        <v xml:space="preserve"> </v>
      </c>
      <c r="AM125" s="228" t="str">
        <f t="shared" ref="AM125:AM135" si="337">IF($A125="N/A"," ",RANK(U125,$R$124:$Z$135))</f>
        <v xml:space="preserve"> </v>
      </c>
      <c r="AN125" s="228" t="str">
        <f t="shared" ref="AN125:AO135" si="338">IF($A125="N/A"," ",RANK(V125,$R$124:$Z$135))</f>
        <v xml:space="preserve"> </v>
      </c>
      <c r="AO125" s="228" t="str">
        <f t="shared" si="338"/>
        <v xml:space="preserve"> </v>
      </c>
      <c r="AP125" s="228" t="str">
        <f t="shared" ref="AP125:AP135" si="339">IF($A125="N/A"," ",RANK(X125,$R$124:$Z$135))</f>
        <v xml:space="preserve"> </v>
      </c>
      <c r="AQ125" s="228" t="str">
        <f t="shared" ref="AQ125:AQ135" si="340">IF($A125="N/A"," ",RANK(Y125,$R$124:$Z$135))</f>
        <v xml:space="preserve"> </v>
      </c>
      <c r="AR125" s="229" t="str">
        <f t="shared" ref="AR125:AR135" si="341">IF($A125="N/A"," ",RANK(Z125,$R$124:$Z$135))</f>
        <v xml:space="preserve"> </v>
      </c>
      <c r="AS125" s="262" t="str">
        <f t="shared" si="274"/>
        <v xml:space="preserve"> </v>
      </c>
      <c r="AT125" s="263" t="str">
        <f t="shared" si="275"/>
        <v xml:space="preserve"> </v>
      </c>
      <c r="AU125" s="263" t="str">
        <f t="shared" si="275"/>
        <v xml:space="preserve"> </v>
      </c>
      <c r="AV125" s="263" t="str">
        <f t="shared" si="276"/>
        <v xml:space="preserve"> </v>
      </c>
      <c r="AW125" s="263" t="str">
        <f t="shared" si="277"/>
        <v xml:space="preserve"> </v>
      </c>
      <c r="AX125" s="263" t="str">
        <f t="shared" si="277"/>
        <v xml:space="preserve"> </v>
      </c>
      <c r="AY125" s="263" t="str">
        <f t="shared" si="278"/>
        <v xml:space="preserve"> </v>
      </c>
      <c r="AZ125" s="263" t="str">
        <f t="shared" si="279"/>
        <v xml:space="preserve"> </v>
      </c>
      <c r="BA125" s="263" t="str">
        <f t="shared" si="280"/>
        <v xml:space="preserve"> </v>
      </c>
      <c r="BB125" s="229"/>
      <c r="BC125" s="266" t="str">
        <f t="shared" si="328"/>
        <v xml:space="preserve"> </v>
      </c>
      <c r="BD125" s="269" t="str">
        <f t="shared" si="329"/>
        <v xml:space="preserve"> </v>
      </c>
      <c r="BE125" s="269" t="str">
        <f t="shared" si="329"/>
        <v xml:space="preserve"> </v>
      </c>
      <c r="BF125" s="269" t="str">
        <f t="shared" si="330"/>
        <v xml:space="preserve"> </v>
      </c>
      <c r="BG125" s="269" t="str">
        <f t="shared" si="331"/>
        <v xml:space="preserve"> </v>
      </c>
      <c r="BH125" s="269" t="str">
        <f t="shared" si="331"/>
        <v xml:space="preserve"> </v>
      </c>
      <c r="BI125" s="269" t="str">
        <f t="shared" si="332"/>
        <v xml:space="preserve"> </v>
      </c>
      <c r="BJ125" s="269" t="str">
        <f t="shared" si="333"/>
        <v xml:space="preserve"> </v>
      </c>
      <c r="BK125" s="269" t="str">
        <f t="shared" si="334"/>
        <v xml:space="preserve"> </v>
      </c>
      <c r="BL125" s="229"/>
      <c r="BM125" s="220" t="str">
        <f>IF($A125="N/A"," ",(IF(MONTH(A125)&gt;=4,IF(MONTH(A125)&lt;=10,Inputs!$F$13-Inputs!$G$13,Inputs!$F$14-Inputs!$G$14),Inputs!$F$14-Inputs!$G$14))*$CK125*Availability)</f>
        <v xml:space="preserve"> </v>
      </c>
      <c r="BN125" s="221" t="str">
        <f t="shared" si="238"/>
        <v xml:space="preserve"> </v>
      </c>
      <c r="BO125" s="221" t="str">
        <f t="shared" si="239"/>
        <v xml:space="preserve"> </v>
      </c>
      <c r="BP125" s="221" t="str">
        <f t="shared" si="240"/>
        <v xml:space="preserve"> </v>
      </c>
      <c r="BQ125" s="221" t="str">
        <f t="shared" si="241"/>
        <v xml:space="preserve"> </v>
      </c>
      <c r="BR125" s="221" t="str">
        <f t="shared" si="242"/>
        <v xml:space="preserve"> </v>
      </c>
      <c r="BS125" s="221" t="str">
        <f t="shared" si="243"/>
        <v xml:space="preserve"> </v>
      </c>
      <c r="BT125" s="221" t="str">
        <f t="shared" si="244"/>
        <v xml:space="preserve"> </v>
      </c>
      <c r="BU125" s="221" t="str">
        <f t="shared" si="245"/>
        <v xml:space="preserve"> </v>
      </c>
      <c r="BV125" s="221" t="str">
        <f t="shared" si="246"/>
        <v xml:space="preserve"> </v>
      </c>
      <c r="BW125" s="221" t="str">
        <f t="shared" si="247"/>
        <v xml:space="preserve"> </v>
      </c>
      <c r="BX125" s="421" t="str">
        <f t="shared" si="248"/>
        <v xml:space="preserve"> </v>
      </c>
      <c r="BY125" s="417" t="str">
        <f t="shared" si="249"/>
        <v xml:space="preserve"> </v>
      </c>
      <c r="BZ125" s="417" t="str">
        <f t="shared" si="250"/>
        <v xml:space="preserve"> </v>
      </c>
      <c r="CA125" s="422" t="str">
        <f t="shared" si="251"/>
        <v xml:space="preserve"> </v>
      </c>
      <c r="CB125" s="347" t="str">
        <f t="shared" si="195"/>
        <v xml:space="preserve"> </v>
      </c>
      <c r="CC125" s="347" t="str">
        <f t="shared" si="252"/>
        <v xml:space="preserve"> </v>
      </c>
      <c r="CD125" s="348" t="str">
        <f t="shared" si="196"/>
        <v xml:space="preserve"> </v>
      </c>
      <c r="CE125" s="347" t="str">
        <f t="shared" si="197"/>
        <v xml:space="preserve"> </v>
      </c>
      <c r="CF125" s="347" t="str">
        <f t="shared" si="198"/>
        <v xml:space="preserve"> </v>
      </c>
      <c r="CG125" s="348" t="str">
        <f t="shared" si="199"/>
        <v xml:space="preserve"> </v>
      </c>
      <c r="CH125" s="347" t="str">
        <f t="shared" si="253"/>
        <v xml:space="preserve"> </v>
      </c>
      <c r="CI125" s="349" t="str">
        <f>IF($A125="N/A"," ",F125+G125+(D125*('Pricing Inputs'!T158)))</f>
        <v xml:space="preserve"> </v>
      </c>
      <c r="CJ125" s="347" t="str">
        <f>IF($A125="N/A"," ",IF(PV=1,0,'Pricing Inputs'!U158))</f>
        <v xml:space="preserve"> </v>
      </c>
      <c r="CK125" s="350" t="str">
        <f t="shared" si="200"/>
        <v xml:space="preserve"> </v>
      </c>
      <c r="CL125" s="365" t="str">
        <f t="shared" si="201"/>
        <v xml:space="preserve"> </v>
      </c>
      <c r="CM125" s="380" t="str">
        <f t="shared" si="254"/>
        <v xml:space="preserve"> </v>
      </c>
      <c r="CN125" s="378" t="str">
        <f t="shared" si="202"/>
        <v xml:space="preserve"> </v>
      </c>
      <c r="CO125" s="378" t="str">
        <f t="shared" si="203"/>
        <v xml:space="preserve"> </v>
      </c>
      <c r="CP125" s="378" t="str">
        <f t="shared" si="204"/>
        <v xml:space="preserve"> </v>
      </c>
      <c r="CQ125" s="378" t="str">
        <f t="shared" si="205"/>
        <v xml:space="preserve"> </v>
      </c>
      <c r="CR125" s="378" t="str">
        <f t="shared" si="206"/>
        <v xml:space="preserve"> </v>
      </c>
      <c r="CS125" s="378" t="str">
        <f t="shared" si="207"/>
        <v xml:space="preserve"> </v>
      </c>
      <c r="CT125" s="378" t="str">
        <f t="shared" si="208"/>
        <v xml:space="preserve"> </v>
      </c>
      <c r="CU125" s="378" t="str">
        <f t="shared" si="209"/>
        <v xml:space="preserve"> </v>
      </c>
      <c r="CV125" s="378" t="str">
        <f t="shared" si="210"/>
        <v xml:space="preserve"> </v>
      </c>
      <c r="CW125" s="254" t="str">
        <f t="shared" si="211"/>
        <v xml:space="preserve"> </v>
      </c>
      <c r="CX125" s="254" t="str">
        <f t="shared" si="212"/>
        <v xml:space="preserve"> </v>
      </c>
      <c r="CY125" s="254" t="str">
        <f t="shared" si="213"/>
        <v xml:space="preserve"> </v>
      </c>
      <c r="CZ125" s="254" t="str">
        <f t="shared" si="214"/>
        <v xml:space="preserve"> </v>
      </c>
      <c r="DA125" s="254" t="str">
        <f t="shared" si="215"/>
        <v xml:space="preserve"> </v>
      </c>
      <c r="DB125" s="254" t="str">
        <f t="shared" si="216"/>
        <v xml:space="preserve"> </v>
      </c>
      <c r="DC125" s="254" t="str">
        <f t="shared" si="217"/>
        <v xml:space="preserve"> </v>
      </c>
      <c r="DD125" s="254" t="str">
        <f t="shared" si="218"/>
        <v xml:space="preserve"> </v>
      </c>
      <c r="DE125" s="254" t="str">
        <f t="shared" si="219"/>
        <v xml:space="preserve"> </v>
      </c>
      <c r="DF125" s="374" t="str">
        <f>IF($A125="N/A"," ",IF(CC=2,(IF(MONTH(A125)&gt;=4,IF(MONTH(A125)&lt;=10,Inputs!$G$13,Inputs!$G$14),Inputs!$G$14))*$CK125,0))</f>
        <v xml:space="preserve"> </v>
      </c>
      <c r="DG125" s="373" t="str">
        <f t="shared" si="220"/>
        <v xml:space="preserve"> </v>
      </c>
      <c r="DH125" s="373" t="str">
        <f t="shared" si="221"/>
        <v xml:space="preserve"> </v>
      </c>
      <c r="DI125" s="373" t="str">
        <f t="shared" si="222"/>
        <v xml:space="preserve"> </v>
      </c>
      <c r="DJ125" s="373" t="str">
        <f t="shared" si="223"/>
        <v xml:space="preserve"> </v>
      </c>
      <c r="DK125" s="373" t="str">
        <f t="shared" si="224"/>
        <v xml:space="preserve"> </v>
      </c>
      <c r="DL125" s="373" t="str">
        <f t="shared" si="225"/>
        <v xml:space="preserve"> </v>
      </c>
      <c r="DM125" s="373" t="str">
        <f t="shared" si="226"/>
        <v xml:space="preserve"> </v>
      </c>
      <c r="DN125" s="373" t="str">
        <f t="shared" si="227"/>
        <v xml:space="preserve"> </v>
      </c>
      <c r="DO125" s="373" t="str">
        <f t="shared" si="228"/>
        <v xml:space="preserve"> </v>
      </c>
      <c r="DP125" s="375" t="str">
        <f t="shared" si="229"/>
        <v xml:space="preserve"> </v>
      </c>
      <c r="DQ125" t="str">
        <f t="shared" si="255"/>
        <v xml:space="preserve"> </v>
      </c>
      <c r="HD125" t="str">
        <f t="shared" si="256"/>
        <v xml:space="preserve"> </v>
      </c>
      <c r="HE125" t="str">
        <f t="shared" si="257"/>
        <v xml:space="preserve"> </v>
      </c>
      <c r="HF125" t="str">
        <f t="shared" si="258"/>
        <v xml:space="preserve"> </v>
      </c>
    </row>
    <row r="126" spans="1:214">
      <c r="A126" s="415" t="str">
        <f>IF(A125="N/A","N/A",IF(EDATE(A125,1)&gt;Inputs!$K$3,"N/A",EDATE(A125,1)))</f>
        <v>N/A</v>
      </c>
      <c r="B126" s="410" t="str">
        <f t="shared" si="230"/>
        <v xml:space="preserve"> </v>
      </c>
      <c r="C126" s="411" t="str">
        <f t="shared" si="231"/>
        <v xml:space="preserve"> </v>
      </c>
      <c r="D126" s="412" t="str">
        <f t="shared" si="232"/>
        <v xml:space="preserve"> </v>
      </c>
      <c r="E126" s="413" t="str">
        <f>IF($A126="N/A"," ",(C126-'Pricing Inputs'!T159)*D126)</f>
        <v xml:space="preserve"> </v>
      </c>
      <c r="F126" s="414" t="str">
        <f t="shared" si="281"/>
        <v xml:space="preserve"> </v>
      </c>
      <c r="G126" s="414" t="str">
        <f t="shared" si="233"/>
        <v xml:space="preserve"> </v>
      </c>
      <c r="H126" s="416" t="str">
        <f t="shared" si="234"/>
        <v xml:space="preserve"> </v>
      </c>
      <c r="I126" s="213" t="str">
        <f t="shared" si="183"/>
        <v xml:space="preserve"> </v>
      </c>
      <c r="J126" s="213" t="str">
        <f t="shared" si="184"/>
        <v xml:space="preserve"> </v>
      </c>
      <c r="K126" s="213" t="str">
        <f t="shared" si="185"/>
        <v xml:space="preserve"> </v>
      </c>
      <c r="L126" s="213" t="str">
        <f t="shared" si="186"/>
        <v xml:space="preserve"> </v>
      </c>
      <c r="M126" s="213" t="str">
        <f t="shared" si="187"/>
        <v xml:space="preserve"> </v>
      </c>
      <c r="N126" s="213" t="str">
        <f t="shared" si="188"/>
        <v xml:space="preserve"> </v>
      </c>
      <c r="O126" s="213" t="str">
        <f t="shared" si="189"/>
        <v xml:space="preserve"> </v>
      </c>
      <c r="P126" s="213" t="str">
        <f t="shared" si="190"/>
        <v xml:space="preserve"> </v>
      </c>
      <c r="Q126" s="213" t="str">
        <f t="shared" si="191"/>
        <v xml:space="preserve"> </v>
      </c>
      <c r="R126" s="405" t="str">
        <f>IF($A126="N/A"," ",IF(Pricetype=2,MAX(I126-$H126,0),IF(Pricetype=1,(_xll.xSPRDOPT(I126,$E126,$CI126,0,($CD126+IF(Smile=TRUE,VLOOKUP(MAX(-5,$H126-I126),Volsmile,2),0)),$CG126,$CH126,($A126-DateToday)+15,1,0)),I126-$H126)))</f>
        <v xml:space="preserve"> </v>
      </c>
      <c r="S126" s="405" t="str">
        <f>IF($A126="N/A"," ",IF(Pricetype=2,MAX(J126-$H126,0),IF(Pricetype=1,(_xll.xSPRDOPT(J126,$E126,$CI126,0,($CD126+IF(Smile=TRUE,VLOOKUP(MAX(-5,$H126-J126),Volsmile,2),0)),$CG126,$CH126,($A126-DateToday)+15,1,0)),J126-$H126)))</f>
        <v xml:space="preserve"> </v>
      </c>
      <c r="T126" s="406" t="str">
        <f t="shared" si="192"/>
        <v xml:space="preserve"> </v>
      </c>
      <c r="U126" s="405" t="str">
        <f>IF($A126="N/A"," ",IF(Pricetype=2,MAX(L126-$H126,0),IF(L126&lt;&gt;0,IF(Pricetype=1,(_xll.xSPRDOPT(L126,$E126,$CI126,0,($CD126+IF(Smile=TRUE,VLOOKUP(MAX(-5,$H126-L126),Volsmile,2),0)),$CG126,$CH126,($A126-DateToday)+15,1,0)),L126-$H126),0)))</f>
        <v xml:space="preserve"> </v>
      </c>
      <c r="V126" s="405" t="str">
        <f>IF($A126="N/A"," ",IF(Pricetype=2,MAX(M126-$H126,0),IF(M126&lt;&gt;0,IF(Pricetype=1,(_xll.xSPRDOPT(M126,$E126,$CI126,0,($CD126+IF(Smile=TRUE,VLOOKUP(MAX(-5,$H126-M126),Volsmile,2),0)),$CG126,$CH126,($A126-DateToday)+15,1,0)),M126-$H126),0)))</f>
        <v xml:space="preserve"> </v>
      </c>
      <c r="W126" s="406" t="str">
        <f t="shared" si="193"/>
        <v xml:space="preserve"> </v>
      </c>
      <c r="X126" s="405" t="str">
        <f>IF($A126="N/A"," ",IF(Pricetype=2,MAX(O126-$H126,0),IF(O126&lt;&gt;0,IF(Pricetype=1,(_xll.xSPRDOPT(O126,$E126,$CI126,0,($CD126+IF(Smile=TRUE,VLOOKUP(MAX(-5,$H126-O126),Volsmile,2),0)),$CG126,$CH126,($A126-DateToday)+15,1,0)),O126-$H126),0)))</f>
        <v xml:space="preserve"> </v>
      </c>
      <c r="Y126" s="405" t="str">
        <f>IF($A126="N/A"," ",IF(Pricetype=2,MAX(P126-$H126,0),IF(P126&lt;&gt;0,IF(Pricetype=1,(_xll.xSPRDOPT(P126,$E126,$CI126,0,($CD126+IF(Smile=TRUE,VLOOKUP(MAX(-5,$H126-P126),Volsmile,2),0)),$CG126,$CH126,($A126-DateToday)+15,1,0)),P126-$H126),0)))</f>
        <v xml:space="preserve"> </v>
      </c>
      <c r="Z126" s="406" t="str">
        <f t="shared" si="194"/>
        <v xml:space="preserve"> </v>
      </c>
      <c r="AA126" s="254" t="str">
        <f>IF($A126="N/A"," ",IF(VLOOKUP(MONTH(A126),ManualTable,2)=1,(IF(0&lt;&gt;R126,IF(Pricetype=1,(_xll.xSPRDOPT(I126,$E126,$CI126,0,($CD126+IF(Smile=TRUE,VLOOKUP(MAX(-5,$H126-I126),Volsmile,2),0)),$CG126,$CH126,($A126-DateToday)+15,1,1))*(8*$HD126),8*$HD126),0)),0))</f>
        <v xml:space="preserve"> </v>
      </c>
      <c r="AB126" s="254" t="str">
        <f>IF($A126="N/A"," ",IF(VLOOKUP(MONTH(A126),ManualTable,3)=1,(IF(S126&lt;&gt;0,IF(Pricetype=1,(_xll.xSPRDOPT(J126,$E126,$CI126,0,($CD126+IF(Smile=TRUE,VLOOKUP(MAX(-5,$H126-J126),Volsmile,2),0)),$CG126,$CH126,($A126-DateToday)+15,1,1))*(8*$HD126),8*$HD126),0)),0))</f>
        <v xml:space="preserve"> </v>
      </c>
      <c r="AC126" s="254" t="str">
        <f t="shared" si="235"/>
        <v xml:space="preserve"> </v>
      </c>
      <c r="AD126" s="254" t="str">
        <f>IF($A126="N/A"," ",IF(VLOOKUP(MONTH(A126),ManualTable,5)=1,(IF(U126&lt;&gt;0,IF(Pricetype=1,(_xll.xSPRDOPT(L126,$E126,$CI126,0,($CD126+IF(Smile=TRUE,VLOOKUP(MAX(-5,$H126-L126),Volsmile,2),0)),$CG126,$CH126,($A126-DateToday)+15,1,1))*(8*$HE126),8*$HE126),0)),0))</f>
        <v xml:space="preserve"> </v>
      </c>
      <c r="AE126" s="254" t="str">
        <f>IF($A126="N/A"," ",IF(VLOOKUP(MONTH(A126),ManualTable,6)=1,(IF(V126&lt;&gt;0,IF(Pricetype=1,(_xll.xSPRDOPT(M126,$E126,$CI126,0,($CD126+IF(Smile=TRUE,VLOOKUP(MAX(-5,$H126-M126),Volsmile,2),0)),$CG126,$CH126,($A126-DateToday)+15,1,1))*(8*$HE126),8*$HE126),0)),0))</f>
        <v xml:space="preserve"> </v>
      </c>
      <c r="AF126" s="254" t="str">
        <f t="shared" si="236"/>
        <v xml:space="preserve"> </v>
      </c>
      <c r="AG126" s="254" t="str">
        <f>IF($A126="N/A"," ",IF(VLOOKUP(MONTH(A126),ManualTable,8)=1,(IF(X126&lt;&gt;0,IF(Pricetype=1,(_xll.xSPRDOPT(O126,$E126,$CI126,0,($CD126+IF(Smile=TRUE,VLOOKUP(MAX(-5,$H126-O126),Volsmile,2),0)),$CG126,$CH126,($A126-DateToday)+15,1,1))*(8*$HF126),8*$HF126),0)),0))</f>
        <v xml:space="preserve"> </v>
      </c>
      <c r="AH126" s="254" t="str">
        <f>IF($A126="N/A"," ",IF(VLOOKUP(MONTH(A126),ManualTable,9)=1,(IF(Y126&lt;&gt;0,IF(Pricetype=1,(_xll.xSPRDOPT(P126,$E126,$CI126,0,($CD126+IF(Smile=TRUE,VLOOKUP(MAX(-5,$H126-P126),Volsmile,2),0)),$CG126,$CH126,($A126-DateToday)+15,1,1))*(8*$HF126),8*$HF126),0)),0))</f>
        <v xml:space="preserve"> </v>
      </c>
      <c r="AI126" s="254" t="str">
        <f t="shared" si="237"/>
        <v xml:space="preserve"> </v>
      </c>
      <c r="AJ126" s="227" t="str">
        <f t="shared" si="335"/>
        <v xml:space="preserve"> </v>
      </c>
      <c r="AK126" s="228" t="str">
        <f t="shared" si="336"/>
        <v xml:space="preserve"> </v>
      </c>
      <c r="AL126" s="228" t="str">
        <f t="shared" si="336"/>
        <v xml:space="preserve"> </v>
      </c>
      <c r="AM126" s="228" t="str">
        <f t="shared" si="337"/>
        <v xml:space="preserve"> </v>
      </c>
      <c r="AN126" s="228" t="str">
        <f t="shared" si="338"/>
        <v xml:space="preserve"> </v>
      </c>
      <c r="AO126" s="228" t="str">
        <f t="shared" si="338"/>
        <v xml:space="preserve"> </v>
      </c>
      <c r="AP126" s="228" t="str">
        <f t="shared" si="339"/>
        <v xml:space="preserve"> </v>
      </c>
      <c r="AQ126" s="228" t="str">
        <f t="shared" si="340"/>
        <v xml:space="preserve"> </v>
      </c>
      <c r="AR126" s="229" t="str">
        <f t="shared" si="341"/>
        <v xml:space="preserve"> </v>
      </c>
      <c r="AS126" s="262" t="str">
        <f t="shared" si="274"/>
        <v xml:space="preserve"> </v>
      </c>
      <c r="AT126" s="263" t="str">
        <f t="shared" si="275"/>
        <v xml:space="preserve"> </v>
      </c>
      <c r="AU126" s="263" t="str">
        <f t="shared" si="275"/>
        <v xml:space="preserve"> </v>
      </c>
      <c r="AV126" s="263" t="str">
        <f t="shared" si="276"/>
        <v xml:space="preserve"> </v>
      </c>
      <c r="AW126" s="263" t="str">
        <f t="shared" si="277"/>
        <v xml:space="preserve"> </v>
      </c>
      <c r="AX126" s="263" t="str">
        <f t="shared" si="277"/>
        <v xml:space="preserve"> </v>
      </c>
      <c r="AY126" s="263" t="str">
        <f t="shared" si="278"/>
        <v xml:space="preserve"> </v>
      </c>
      <c r="AZ126" s="263" t="str">
        <f t="shared" si="279"/>
        <v xml:space="preserve"> </v>
      </c>
      <c r="BA126" s="263" t="str">
        <f t="shared" si="280"/>
        <v xml:space="preserve"> </v>
      </c>
      <c r="BB126" s="229"/>
      <c r="BC126" s="266" t="str">
        <f t="shared" si="328"/>
        <v xml:space="preserve"> </v>
      </c>
      <c r="BD126" s="269" t="str">
        <f t="shared" si="329"/>
        <v xml:space="preserve"> </v>
      </c>
      <c r="BE126" s="269" t="str">
        <f t="shared" si="329"/>
        <v xml:space="preserve"> </v>
      </c>
      <c r="BF126" s="269" t="str">
        <f t="shared" si="330"/>
        <v xml:space="preserve"> </v>
      </c>
      <c r="BG126" s="269" t="str">
        <f t="shared" si="331"/>
        <v xml:space="preserve"> </v>
      </c>
      <c r="BH126" s="269" t="str">
        <f t="shared" si="331"/>
        <v xml:space="preserve"> </v>
      </c>
      <c r="BI126" s="269" t="str">
        <f t="shared" si="332"/>
        <v xml:space="preserve"> </v>
      </c>
      <c r="BJ126" s="269" t="str">
        <f t="shared" si="333"/>
        <v xml:space="preserve"> </v>
      </c>
      <c r="BK126" s="269" t="str">
        <f t="shared" si="334"/>
        <v xml:space="preserve"> </v>
      </c>
      <c r="BL126" s="229"/>
      <c r="BM126" s="220" t="str">
        <f>IF($A126="N/A"," ",(IF(MONTH(A126)&gt;=4,IF(MONTH(A126)&lt;=10,Inputs!$F$13-Inputs!$G$13,Inputs!$F$14-Inputs!$G$14),Inputs!$F$14-Inputs!$G$14))*$CK126*Availability)</f>
        <v xml:space="preserve"> </v>
      </c>
      <c r="BN126" s="221" t="str">
        <f t="shared" si="238"/>
        <v xml:space="preserve"> </v>
      </c>
      <c r="BO126" s="221" t="str">
        <f t="shared" si="239"/>
        <v xml:space="preserve"> </v>
      </c>
      <c r="BP126" s="221" t="str">
        <f t="shared" si="240"/>
        <v xml:space="preserve"> </v>
      </c>
      <c r="BQ126" s="221" t="str">
        <f t="shared" si="241"/>
        <v xml:space="preserve"> </v>
      </c>
      <c r="BR126" s="221" t="str">
        <f t="shared" si="242"/>
        <v xml:space="preserve"> </v>
      </c>
      <c r="BS126" s="221" t="str">
        <f t="shared" si="243"/>
        <v xml:space="preserve"> </v>
      </c>
      <c r="BT126" s="221" t="str">
        <f t="shared" si="244"/>
        <v xml:space="preserve"> </v>
      </c>
      <c r="BU126" s="221" t="str">
        <f t="shared" si="245"/>
        <v xml:space="preserve"> </v>
      </c>
      <c r="BV126" s="221" t="str">
        <f t="shared" si="246"/>
        <v xml:space="preserve"> </v>
      </c>
      <c r="BW126" s="221" t="str">
        <f t="shared" si="247"/>
        <v xml:space="preserve"> </v>
      </c>
      <c r="BX126" s="421" t="str">
        <f t="shared" si="248"/>
        <v xml:space="preserve"> </v>
      </c>
      <c r="BY126" s="417" t="str">
        <f t="shared" si="249"/>
        <v xml:space="preserve"> </v>
      </c>
      <c r="BZ126" s="417" t="str">
        <f t="shared" si="250"/>
        <v xml:space="preserve"> </v>
      </c>
      <c r="CA126" s="422" t="str">
        <f t="shared" si="251"/>
        <v xml:space="preserve"> </v>
      </c>
      <c r="CB126" s="347" t="str">
        <f t="shared" si="195"/>
        <v xml:space="preserve"> </v>
      </c>
      <c r="CC126" s="347" t="str">
        <f t="shared" si="252"/>
        <v xml:space="preserve"> </v>
      </c>
      <c r="CD126" s="348" t="str">
        <f t="shared" si="196"/>
        <v xml:space="preserve"> </v>
      </c>
      <c r="CE126" s="347" t="str">
        <f t="shared" si="197"/>
        <v xml:space="preserve"> </v>
      </c>
      <c r="CF126" s="347" t="str">
        <f t="shared" si="198"/>
        <v xml:space="preserve"> </v>
      </c>
      <c r="CG126" s="348" t="str">
        <f t="shared" si="199"/>
        <v xml:space="preserve"> </v>
      </c>
      <c r="CH126" s="347" t="str">
        <f t="shared" si="253"/>
        <v xml:space="preserve"> </v>
      </c>
      <c r="CI126" s="349" t="str">
        <f>IF($A126="N/A"," ",F126+G126+(D126*('Pricing Inputs'!T159)))</f>
        <v xml:space="preserve"> </v>
      </c>
      <c r="CJ126" s="347" t="str">
        <f>IF($A126="N/A"," ",IF(PV=1,0,'Pricing Inputs'!U159))</f>
        <v xml:space="preserve"> </v>
      </c>
      <c r="CK126" s="350" t="str">
        <f t="shared" si="200"/>
        <v xml:space="preserve"> </v>
      </c>
      <c r="CL126" s="365" t="str">
        <f t="shared" si="201"/>
        <v xml:space="preserve"> </v>
      </c>
      <c r="CM126" s="380" t="str">
        <f t="shared" si="254"/>
        <v xml:space="preserve"> </v>
      </c>
      <c r="CN126" s="378" t="str">
        <f t="shared" si="202"/>
        <v xml:space="preserve"> </v>
      </c>
      <c r="CO126" s="378" t="str">
        <f t="shared" si="203"/>
        <v xml:space="preserve"> </v>
      </c>
      <c r="CP126" s="378" t="str">
        <f t="shared" si="204"/>
        <v xml:space="preserve"> </v>
      </c>
      <c r="CQ126" s="378" t="str">
        <f t="shared" si="205"/>
        <v xml:space="preserve"> </v>
      </c>
      <c r="CR126" s="378" t="str">
        <f t="shared" si="206"/>
        <v xml:space="preserve"> </v>
      </c>
      <c r="CS126" s="378" t="str">
        <f t="shared" si="207"/>
        <v xml:space="preserve"> </v>
      </c>
      <c r="CT126" s="378" t="str">
        <f t="shared" si="208"/>
        <v xml:space="preserve"> </v>
      </c>
      <c r="CU126" s="378" t="str">
        <f t="shared" si="209"/>
        <v xml:space="preserve"> </v>
      </c>
      <c r="CV126" s="378" t="str">
        <f t="shared" si="210"/>
        <v xml:space="preserve"> </v>
      </c>
      <c r="CW126" s="254" t="str">
        <f t="shared" si="211"/>
        <v xml:space="preserve"> </v>
      </c>
      <c r="CX126" s="254" t="str">
        <f t="shared" si="212"/>
        <v xml:space="preserve"> </v>
      </c>
      <c r="CY126" s="254" t="str">
        <f t="shared" si="213"/>
        <v xml:space="preserve"> </v>
      </c>
      <c r="CZ126" s="254" t="str">
        <f t="shared" si="214"/>
        <v xml:space="preserve"> </v>
      </c>
      <c r="DA126" s="254" t="str">
        <f t="shared" si="215"/>
        <v xml:space="preserve"> </v>
      </c>
      <c r="DB126" s="254" t="str">
        <f t="shared" si="216"/>
        <v xml:space="preserve"> </v>
      </c>
      <c r="DC126" s="254" t="str">
        <f t="shared" si="217"/>
        <v xml:space="preserve"> </v>
      </c>
      <c r="DD126" s="254" t="str">
        <f t="shared" si="218"/>
        <v xml:space="preserve"> </v>
      </c>
      <c r="DE126" s="254" t="str">
        <f t="shared" si="219"/>
        <v xml:space="preserve"> </v>
      </c>
      <c r="DF126" s="374" t="str">
        <f>IF($A126="N/A"," ",IF(CC=2,(IF(MONTH(A126)&gt;=4,IF(MONTH(A126)&lt;=10,Inputs!$G$13,Inputs!$G$14),Inputs!$G$14))*$CK126,0))</f>
        <v xml:space="preserve"> </v>
      </c>
      <c r="DG126" s="373" t="str">
        <f t="shared" si="220"/>
        <v xml:space="preserve"> </v>
      </c>
      <c r="DH126" s="373" t="str">
        <f t="shared" si="221"/>
        <v xml:space="preserve"> </v>
      </c>
      <c r="DI126" s="373" t="str">
        <f t="shared" si="222"/>
        <v xml:space="preserve"> </v>
      </c>
      <c r="DJ126" s="373" t="str">
        <f t="shared" si="223"/>
        <v xml:space="preserve"> </v>
      </c>
      <c r="DK126" s="373" t="str">
        <f t="shared" si="224"/>
        <v xml:space="preserve"> </v>
      </c>
      <c r="DL126" s="373" t="str">
        <f t="shared" si="225"/>
        <v xml:space="preserve"> </v>
      </c>
      <c r="DM126" s="373" t="str">
        <f t="shared" si="226"/>
        <v xml:space="preserve"> </v>
      </c>
      <c r="DN126" s="373" t="str">
        <f t="shared" si="227"/>
        <v xml:space="preserve"> </v>
      </c>
      <c r="DO126" s="373" t="str">
        <f t="shared" si="228"/>
        <v xml:space="preserve"> </v>
      </c>
      <c r="DP126" s="375" t="str">
        <f t="shared" si="229"/>
        <v xml:space="preserve"> </v>
      </c>
      <c r="DQ126" t="str">
        <f t="shared" si="255"/>
        <v xml:space="preserve"> </v>
      </c>
      <c r="HD126" t="str">
        <f t="shared" si="256"/>
        <v xml:space="preserve"> </v>
      </c>
      <c r="HE126" t="str">
        <f t="shared" si="257"/>
        <v xml:space="preserve"> </v>
      </c>
      <c r="HF126" t="str">
        <f t="shared" si="258"/>
        <v xml:space="preserve"> </v>
      </c>
    </row>
    <row r="127" spans="1:214">
      <c r="A127" s="415" t="str">
        <f>IF(A126="N/A","N/A",IF(EDATE(A126,1)&gt;Inputs!$K$3,"N/A",EDATE(A126,1)))</f>
        <v>N/A</v>
      </c>
      <c r="B127" s="410" t="str">
        <f t="shared" si="230"/>
        <v xml:space="preserve"> </v>
      </c>
      <c r="C127" s="411" t="str">
        <f t="shared" si="231"/>
        <v xml:space="preserve"> </v>
      </c>
      <c r="D127" s="412" t="str">
        <f t="shared" si="232"/>
        <v xml:space="preserve"> </v>
      </c>
      <c r="E127" s="413" t="str">
        <f>IF($A127="N/A"," ",(C127-'Pricing Inputs'!T160)*D127)</f>
        <v xml:space="preserve"> </v>
      </c>
      <c r="F127" s="414" t="str">
        <f t="shared" si="281"/>
        <v xml:space="preserve"> </v>
      </c>
      <c r="G127" s="414" t="str">
        <f t="shared" si="233"/>
        <v xml:space="preserve"> </v>
      </c>
      <c r="H127" s="416" t="str">
        <f t="shared" si="234"/>
        <v xml:space="preserve"> </v>
      </c>
      <c r="I127" s="213" t="str">
        <f t="shared" si="183"/>
        <v xml:space="preserve"> </v>
      </c>
      <c r="J127" s="213" t="str">
        <f t="shared" si="184"/>
        <v xml:space="preserve"> </v>
      </c>
      <c r="K127" s="213" t="str">
        <f t="shared" si="185"/>
        <v xml:space="preserve"> </v>
      </c>
      <c r="L127" s="213" t="str">
        <f t="shared" si="186"/>
        <v xml:space="preserve"> </v>
      </c>
      <c r="M127" s="213" t="str">
        <f t="shared" si="187"/>
        <v xml:space="preserve"> </v>
      </c>
      <c r="N127" s="213" t="str">
        <f t="shared" si="188"/>
        <v xml:space="preserve"> </v>
      </c>
      <c r="O127" s="213" t="str">
        <f t="shared" si="189"/>
        <v xml:space="preserve"> </v>
      </c>
      <c r="P127" s="213" t="str">
        <f t="shared" si="190"/>
        <v xml:space="preserve"> </v>
      </c>
      <c r="Q127" s="213" t="str">
        <f t="shared" si="191"/>
        <v xml:space="preserve"> </v>
      </c>
      <c r="R127" s="405" t="str">
        <f>IF($A127="N/A"," ",IF(Pricetype=2,MAX(I127-$H127,0),IF(Pricetype=1,(_xll.xSPRDOPT(I127,$E127,$CI127,0,($CD127+IF(Smile=TRUE,VLOOKUP(MAX(-5,$H127-I127),Volsmile,2),0)),$CG127,$CH127,($A127-DateToday)+15,1,0)),I127-$H127)))</f>
        <v xml:space="preserve"> </v>
      </c>
      <c r="S127" s="405" t="str">
        <f>IF($A127="N/A"," ",IF(Pricetype=2,MAX(J127-$H127,0),IF(Pricetype=1,(_xll.xSPRDOPT(J127,$E127,$CI127,0,($CD127+IF(Smile=TRUE,VLOOKUP(MAX(-5,$H127-J127),Volsmile,2),0)),$CG127,$CH127,($A127-DateToday)+15,1,0)),J127-$H127)))</f>
        <v xml:space="preserve"> </v>
      </c>
      <c r="T127" s="406" t="str">
        <f t="shared" si="192"/>
        <v xml:space="preserve"> </v>
      </c>
      <c r="U127" s="405" t="str">
        <f>IF($A127="N/A"," ",IF(Pricetype=2,MAX(L127-$H127,0),IF(L127&lt;&gt;0,IF(Pricetype=1,(_xll.xSPRDOPT(L127,$E127,$CI127,0,($CD127+IF(Smile=TRUE,VLOOKUP(MAX(-5,$H127-L127),Volsmile,2),0)),$CG127,$CH127,($A127-DateToday)+15,1,0)),L127-$H127),0)))</f>
        <v xml:space="preserve"> </v>
      </c>
      <c r="V127" s="405" t="str">
        <f>IF($A127="N/A"," ",IF(Pricetype=2,MAX(M127-$H127,0),IF(M127&lt;&gt;0,IF(Pricetype=1,(_xll.xSPRDOPT(M127,$E127,$CI127,0,($CD127+IF(Smile=TRUE,VLOOKUP(MAX(-5,$H127-M127),Volsmile,2),0)),$CG127,$CH127,($A127-DateToday)+15,1,0)),M127-$H127),0)))</f>
        <v xml:space="preserve"> </v>
      </c>
      <c r="W127" s="406" t="str">
        <f t="shared" si="193"/>
        <v xml:space="preserve"> </v>
      </c>
      <c r="X127" s="405" t="str">
        <f>IF($A127="N/A"," ",IF(Pricetype=2,MAX(O127-$H127,0),IF(O127&lt;&gt;0,IF(Pricetype=1,(_xll.xSPRDOPT(O127,$E127,$CI127,0,($CD127+IF(Smile=TRUE,VLOOKUP(MAX(-5,$H127-O127),Volsmile,2),0)),$CG127,$CH127,($A127-DateToday)+15,1,0)),O127-$H127),0)))</f>
        <v xml:space="preserve"> </v>
      </c>
      <c r="Y127" s="405" t="str">
        <f>IF($A127="N/A"," ",IF(Pricetype=2,MAX(P127-$H127,0),IF(P127&lt;&gt;0,IF(Pricetype=1,(_xll.xSPRDOPT(P127,$E127,$CI127,0,($CD127+IF(Smile=TRUE,VLOOKUP(MAX(-5,$H127-P127),Volsmile,2),0)),$CG127,$CH127,($A127-DateToday)+15,1,0)),P127-$H127),0)))</f>
        <v xml:space="preserve"> </v>
      </c>
      <c r="Z127" s="406" t="str">
        <f t="shared" si="194"/>
        <v xml:space="preserve"> </v>
      </c>
      <c r="AA127" s="254" t="str">
        <f>IF($A127="N/A"," ",IF(VLOOKUP(MONTH(A127),ManualTable,2)=1,(IF(0&lt;&gt;R127,IF(Pricetype=1,(_xll.xSPRDOPT(I127,$E127,$CI127,0,($CD127+IF(Smile=TRUE,VLOOKUP(MAX(-5,$H127-I127),Volsmile,2),0)),$CG127,$CH127,($A127-DateToday)+15,1,1))*(8*$HD127),8*$HD127),0)),0))</f>
        <v xml:space="preserve"> </v>
      </c>
      <c r="AB127" s="254" t="str">
        <f>IF($A127="N/A"," ",IF(VLOOKUP(MONTH(A127),ManualTable,3)=1,(IF(S127&lt;&gt;0,IF(Pricetype=1,(_xll.xSPRDOPT(J127,$E127,$CI127,0,($CD127+IF(Smile=TRUE,VLOOKUP(MAX(-5,$H127-J127),Volsmile,2),0)),$CG127,$CH127,($A127-DateToday)+15,1,1))*(8*$HD127),8*$HD127),0)),0))</f>
        <v xml:space="preserve"> </v>
      </c>
      <c r="AC127" s="254" t="str">
        <f t="shared" si="235"/>
        <v xml:space="preserve"> </v>
      </c>
      <c r="AD127" s="254" t="str">
        <f>IF($A127="N/A"," ",IF(VLOOKUP(MONTH(A127),ManualTable,5)=1,(IF(U127&lt;&gt;0,IF(Pricetype=1,(_xll.xSPRDOPT(L127,$E127,$CI127,0,($CD127+IF(Smile=TRUE,VLOOKUP(MAX(-5,$H127-L127),Volsmile,2),0)),$CG127,$CH127,($A127-DateToday)+15,1,1))*(8*$HE127),8*$HE127),0)),0))</f>
        <v xml:space="preserve"> </v>
      </c>
      <c r="AE127" s="254" t="str">
        <f>IF($A127="N/A"," ",IF(VLOOKUP(MONTH(A127),ManualTable,6)=1,(IF(V127&lt;&gt;0,IF(Pricetype=1,(_xll.xSPRDOPT(M127,$E127,$CI127,0,($CD127+IF(Smile=TRUE,VLOOKUP(MAX(-5,$H127-M127),Volsmile,2),0)),$CG127,$CH127,($A127-DateToday)+15,1,1))*(8*$HE127),8*$HE127),0)),0))</f>
        <v xml:space="preserve"> </v>
      </c>
      <c r="AF127" s="254" t="str">
        <f t="shared" si="236"/>
        <v xml:space="preserve"> </v>
      </c>
      <c r="AG127" s="254" t="str">
        <f>IF($A127="N/A"," ",IF(VLOOKUP(MONTH(A127),ManualTable,8)=1,(IF(X127&lt;&gt;0,IF(Pricetype=1,(_xll.xSPRDOPT(O127,$E127,$CI127,0,($CD127+IF(Smile=TRUE,VLOOKUP(MAX(-5,$H127-O127),Volsmile,2),0)),$CG127,$CH127,($A127-DateToday)+15,1,1))*(8*$HF127),8*$HF127),0)),0))</f>
        <v xml:space="preserve"> </v>
      </c>
      <c r="AH127" s="254" t="str">
        <f>IF($A127="N/A"," ",IF(VLOOKUP(MONTH(A127),ManualTable,9)=1,(IF(Y127&lt;&gt;0,IF(Pricetype=1,(_xll.xSPRDOPT(P127,$E127,$CI127,0,($CD127+IF(Smile=TRUE,VLOOKUP(MAX(-5,$H127-P127),Volsmile,2),0)),$CG127,$CH127,($A127-DateToday)+15,1,1))*(8*$HF127),8*$HF127),0)),0))</f>
        <v xml:space="preserve"> </v>
      </c>
      <c r="AI127" s="254" t="str">
        <f t="shared" si="237"/>
        <v xml:space="preserve"> </v>
      </c>
      <c r="AJ127" s="227" t="str">
        <f t="shared" si="335"/>
        <v xml:space="preserve"> </v>
      </c>
      <c r="AK127" s="228" t="str">
        <f t="shared" si="336"/>
        <v xml:space="preserve"> </v>
      </c>
      <c r="AL127" s="228" t="str">
        <f t="shared" si="336"/>
        <v xml:space="preserve"> </v>
      </c>
      <c r="AM127" s="228" t="str">
        <f t="shared" si="337"/>
        <v xml:space="preserve"> </v>
      </c>
      <c r="AN127" s="228" t="str">
        <f t="shared" si="338"/>
        <v xml:space="preserve"> </v>
      </c>
      <c r="AO127" s="228" t="str">
        <f t="shared" si="338"/>
        <v xml:space="preserve"> </v>
      </c>
      <c r="AP127" s="228" t="str">
        <f t="shared" si="339"/>
        <v xml:space="preserve"> </v>
      </c>
      <c r="AQ127" s="228" t="str">
        <f t="shared" si="340"/>
        <v xml:space="preserve"> </v>
      </c>
      <c r="AR127" s="229" t="str">
        <f t="shared" si="341"/>
        <v xml:space="preserve"> </v>
      </c>
      <c r="AS127" s="262" t="str">
        <f t="shared" si="274"/>
        <v xml:space="preserve"> </v>
      </c>
      <c r="AT127" s="263" t="str">
        <f t="shared" si="275"/>
        <v xml:space="preserve"> </v>
      </c>
      <c r="AU127" s="263" t="str">
        <f t="shared" si="275"/>
        <v xml:space="preserve"> </v>
      </c>
      <c r="AV127" s="263" t="str">
        <f t="shared" si="276"/>
        <v xml:space="preserve"> </v>
      </c>
      <c r="AW127" s="263" t="str">
        <f t="shared" si="277"/>
        <v xml:space="preserve"> </v>
      </c>
      <c r="AX127" s="263" t="str">
        <f t="shared" si="277"/>
        <v xml:space="preserve"> </v>
      </c>
      <c r="AY127" s="263" t="str">
        <f t="shared" si="278"/>
        <v xml:space="preserve"> </v>
      </c>
      <c r="AZ127" s="263" t="str">
        <f t="shared" si="279"/>
        <v xml:space="preserve"> </v>
      </c>
      <c r="BA127" s="263" t="str">
        <f t="shared" si="280"/>
        <v xml:space="preserve"> </v>
      </c>
      <c r="BB127" s="229"/>
      <c r="BC127" s="266" t="str">
        <f t="shared" si="328"/>
        <v xml:space="preserve"> </v>
      </c>
      <c r="BD127" s="269" t="str">
        <f t="shared" si="329"/>
        <v xml:space="preserve"> </v>
      </c>
      <c r="BE127" s="269" t="str">
        <f t="shared" si="329"/>
        <v xml:space="preserve"> </v>
      </c>
      <c r="BF127" s="269" t="str">
        <f t="shared" si="330"/>
        <v xml:space="preserve"> </v>
      </c>
      <c r="BG127" s="269" t="str">
        <f t="shared" si="331"/>
        <v xml:space="preserve"> </v>
      </c>
      <c r="BH127" s="269" t="str">
        <f t="shared" si="331"/>
        <v xml:space="preserve"> </v>
      </c>
      <c r="BI127" s="269" t="str">
        <f t="shared" si="332"/>
        <v xml:space="preserve"> </v>
      </c>
      <c r="BJ127" s="269" t="str">
        <f t="shared" si="333"/>
        <v xml:space="preserve"> </v>
      </c>
      <c r="BK127" s="269" t="str">
        <f t="shared" si="334"/>
        <v xml:space="preserve"> </v>
      </c>
      <c r="BL127" s="229"/>
      <c r="BM127" s="220" t="str">
        <f>IF($A127="N/A"," ",(IF(MONTH(A127)&gt;=4,IF(MONTH(A127)&lt;=10,Inputs!$F$13-Inputs!$G$13,Inputs!$F$14-Inputs!$G$14),Inputs!$F$14-Inputs!$G$14))*$CK127*Availability)</f>
        <v xml:space="preserve"> </v>
      </c>
      <c r="BN127" s="221" t="str">
        <f t="shared" si="238"/>
        <v xml:space="preserve"> </v>
      </c>
      <c r="BO127" s="221" t="str">
        <f t="shared" si="239"/>
        <v xml:space="preserve"> </v>
      </c>
      <c r="BP127" s="221" t="str">
        <f t="shared" si="240"/>
        <v xml:space="preserve"> </v>
      </c>
      <c r="BQ127" s="221" t="str">
        <f t="shared" si="241"/>
        <v xml:space="preserve"> </v>
      </c>
      <c r="BR127" s="221" t="str">
        <f t="shared" si="242"/>
        <v xml:space="preserve"> </v>
      </c>
      <c r="BS127" s="221" t="str">
        <f t="shared" si="243"/>
        <v xml:space="preserve"> </v>
      </c>
      <c r="BT127" s="221" t="str">
        <f t="shared" si="244"/>
        <v xml:space="preserve"> </v>
      </c>
      <c r="BU127" s="221" t="str">
        <f t="shared" si="245"/>
        <v xml:space="preserve"> </v>
      </c>
      <c r="BV127" s="221" t="str">
        <f t="shared" si="246"/>
        <v xml:space="preserve"> </v>
      </c>
      <c r="BW127" s="221" t="str">
        <f t="shared" si="247"/>
        <v xml:space="preserve"> </v>
      </c>
      <c r="BX127" s="421" t="str">
        <f t="shared" si="248"/>
        <v xml:space="preserve"> </v>
      </c>
      <c r="BY127" s="417" t="str">
        <f t="shared" si="249"/>
        <v xml:space="preserve"> </v>
      </c>
      <c r="BZ127" s="417" t="str">
        <f t="shared" si="250"/>
        <v xml:space="preserve"> </v>
      </c>
      <c r="CA127" s="422" t="str">
        <f t="shared" si="251"/>
        <v xml:space="preserve"> </v>
      </c>
      <c r="CB127" s="347" t="str">
        <f t="shared" si="195"/>
        <v xml:space="preserve"> </v>
      </c>
      <c r="CC127" s="347" t="str">
        <f t="shared" si="252"/>
        <v xml:space="preserve"> </v>
      </c>
      <c r="CD127" s="348" t="str">
        <f t="shared" si="196"/>
        <v xml:space="preserve"> </v>
      </c>
      <c r="CE127" s="347" t="str">
        <f t="shared" si="197"/>
        <v xml:space="preserve"> </v>
      </c>
      <c r="CF127" s="347" t="str">
        <f t="shared" si="198"/>
        <v xml:space="preserve"> </v>
      </c>
      <c r="CG127" s="348" t="str">
        <f t="shared" si="199"/>
        <v xml:space="preserve"> </v>
      </c>
      <c r="CH127" s="347" t="str">
        <f t="shared" si="253"/>
        <v xml:space="preserve"> </v>
      </c>
      <c r="CI127" s="349" t="str">
        <f>IF($A127="N/A"," ",F127+G127+(D127*('Pricing Inputs'!T160)))</f>
        <v xml:space="preserve"> </v>
      </c>
      <c r="CJ127" s="347" t="str">
        <f>IF($A127="N/A"," ",IF(PV=1,0,'Pricing Inputs'!U160))</f>
        <v xml:space="preserve"> </v>
      </c>
      <c r="CK127" s="350" t="str">
        <f t="shared" si="200"/>
        <v xml:space="preserve"> </v>
      </c>
      <c r="CL127" s="365" t="str">
        <f t="shared" si="201"/>
        <v xml:space="preserve"> </v>
      </c>
      <c r="CM127" s="380" t="str">
        <f t="shared" si="254"/>
        <v xml:space="preserve"> </v>
      </c>
      <c r="CN127" s="378" t="str">
        <f t="shared" si="202"/>
        <v xml:space="preserve"> </v>
      </c>
      <c r="CO127" s="378" t="str">
        <f t="shared" si="203"/>
        <v xml:space="preserve"> </v>
      </c>
      <c r="CP127" s="378" t="str">
        <f t="shared" si="204"/>
        <v xml:space="preserve"> </v>
      </c>
      <c r="CQ127" s="378" t="str">
        <f t="shared" si="205"/>
        <v xml:space="preserve"> </v>
      </c>
      <c r="CR127" s="378" t="str">
        <f t="shared" si="206"/>
        <v xml:space="preserve"> </v>
      </c>
      <c r="CS127" s="378" t="str">
        <f t="shared" si="207"/>
        <v xml:space="preserve"> </v>
      </c>
      <c r="CT127" s="378" t="str">
        <f t="shared" si="208"/>
        <v xml:space="preserve"> </v>
      </c>
      <c r="CU127" s="378" t="str">
        <f t="shared" si="209"/>
        <v xml:space="preserve"> </v>
      </c>
      <c r="CV127" s="378" t="str">
        <f t="shared" si="210"/>
        <v xml:space="preserve"> </v>
      </c>
      <c r="CW127" s="254" t="str">
        <f t="shared" si="211"/>
        <v xml:space="preserve"> </v>
      </c>
      <c r="CX127" s="254" t="str">
        <f t="shared" si="212"/>
        <v xml:space="preserve"> </v>
      </c>
      <c r="CY127" s="254" t="str">
        <f t="shared" si="213"/>
        <v xml:space="preserve"> </v>
      </c>
      <c r="CZ127" s="254" t="str">
        <f t="shared" si="214"/>
        <v xml:space="preserve"> </v>
      </c>
      <c r="DA127" s="254" t="str">
        <f t="shared" si="215"/>
        <v xml:space="preserve"> </v>
      </c>
      <c r="DB127" s="254" t="str">
        <f t="shared" si="216"/>
        <v xml:space="preserve"> </v>
      </c>
      <c r="DC127" s="254" t="str">
        <f t="shared" si="217"/>
        <v xml:space="preserve"> </v>
      </c>
      <c r="DD127" s="254" t="str">
        <f t="shared" si="218"/>
        <v xml:space="preserve"> </v>
      </c>
      <c r="DE127" s="254" t="str">
        <f t="shared" si="219"/>
        <v xml:space="preserve"> </v>
      </c>
      <c r="DF127" s="374" t="str">
        <f>IF($A127="N/A"," ",IF(CC=2,(IF(MONTH(A127)&gt;=4,IF(MONTH(A127)&lt;=10,Inputs!$G$13,Inputs!$G$14),Inputs!$G$14))*$CK127,0))</f>
        <v xml:space="preserve"> </v>
      </c>
      <c r="DG127" s="373" t="str">
        <f t="shared" si="220"/>
        <v xml:space="preserve"> </v>
      </c>
      <c r="DH127" s="373" t="str">
        <f t="shared" si="221"/>
        <v xml:space="preserve"> </v>
      </c>
      <c r="DI127" s="373" t="str">
        <f t="shared" si="222"/>
        <v xml:space="preserve"> </v>
      </c>
      <c r="DJ127" s="373" t="str">
        <f t="shared" si="223"/>
        <v xml:space="preserve"> </v>
      </c>
      <c r="DK127" s="373" t="str">
        <f t="shared" si="224"/>
        <v xml:space="preserve"> </v>
      </c>
      <c r="DL127" s="373" t="str">
        <f t="shared" si="225"/>
        <v xml:space="preserve"> </v>
      </c>
      <c r="DM127" s="373" t="str">
        <f t="shared" si="226"/>
        <v xml:space="preserve"> </v>
      </c>
      <c r="DN127" s="373" t="str">
        <f t="shared" si="227"/>
        <v xml:space="preserve"> </v>
      </c>
      <c r="DO127" s="373" t="str">
        <f t="shared" si="228"/>
        <v xml:space="preserve"> </v>
      </c>
      <c r="DP127" s="375" t="str">
        <f t="shared" si="229"/>
        <v xml:space="preserve"> </v>
      </c>
      <c r="DQ127" t="str">
        <f t="shared" si="255"/>
        <v xml:space="preserve"> </v>
      </c>
      <c r="HD127" t="str">
        <f t="shared" si="256"/>
        <v xml:space="preserve"> </v>
      </c>
      <c r="HE127" t="str">
        <f t="shared" si="257"/>
        <v xml:space="preserve"> </v>
      </c>
      <c r="HF127" t="str">
        <f t="shared" si="258"/>
        <v xml:space="preserve"> </v>
      </c>
    </row>
    <row r="128" spans="1:214">
      <c r="A128" s="415" t="str">
        <f>IF(A127="N/A","N/A",IF(EDATE(A127,1)&gt;Inputs!$K$3,"N/A",EDATE(A127,1)))</f>
        <v>N/A</v>
      </c>
      <c r="B128" s="410" t="str">
        <f t="shared" si="230"/>
        <v xml:space="preserve"> </v>
      </c>
      <c r="C128" s="411" t="str">
        <f t="shared" si="231"/>
        <v xml:space="preserve"> </v>
      </c>
      <c r="D128" s="412" t="str">
        <f t="shared" si="232"/>
        <v xml:space="preserve"> </v>
      </c>
      <c r="E128" s="413" t="str">
        <f>IF($A128="N/A"," ",(C128-'Pricing Inputs'!T161)*D128)</f>
        <v xml:space="preserve"> </v>
      </c>
      <c r="F128" s="414" t="str">
        <f t="shared" si="281"/>
        <v xml:space="preserve"> </v>
      </c>
      <c r="G128" s="414" t="str">
        <f t="shared" si="233"/>
        <v xml:space="preserve"> </v>
      </c>
      <c r="H128" s="416" t="str">
        <f t="shared" si="234"/>
        <v xml:space="preserve"> </v>
      </c>
      <c r="I128" s="213" t="str">
        <f t="shared" si="183"/>
        <v xml:space="preserve"> </v>
      </c>
      <c r="J128" s="213" t="str">
        <f t="shared" si="184"/>
        <v xml:space="preserve"> </v>
      </c>
      <c r="K128" s="213" t="str">
        <f t="shared" si="185"/>
        <v xml:space="preserve"> </v>
      </c>
      <c r="L128" s="213" t="str">
        <f t="shared" si="186"/>
        <v xml:space="preserve"> </v>
      </c>
      <c r="M128" s="213" t="str">
        <f t="shared" si="187"/>
        <v xml:space="preserve"> </v>
      </c>
      <c r="N128" s="213" t="str">
        <f t="shared" si="188"/>
        <v xml:space="preserve"> </v>
      </c>
      <c r="O128" s="213" t="str">
        <f t="shared" si="189"/>
        <v xml:space="preserve"> </v>
      </c>
      <c r="P128" s="213" t="str">
        <f t="shared" si="190"/>
        <v xml:space="preserve"> </v>
      </c>
      <c r="Q128" s="213" t="str">
        <f t="shared" si="191"/>
        <v xml:space="preserve"> </v>
      </c>
      <c r="R128" s="405" t="str">
        <f>IF($A128="N/A"," ",IF(Pricetype=2,MAX(I128-$H128,0),IF(Pricetype=1,(_xll.xSPRDOPT(I128,$E128,$CI128,0,($CD128+IF(Smile=TRUE,VLOOKUP(MAX(-5,$H128-I128),Volsmile,2),0)),$CG128,$CH128,($A128-DateToday)+15,1,0)),I128-$H128)))</f>
        <v xml:space="preserve"> </v>
      </c>
      <c r="S128" s="405" t="str">
        <f>IF($A128="N/A"," ",IF(Pricetype=2,MAX(J128-$H128,0),IF(Pricetype=1,(_xll.xSPRDOPT(J128,$E128,$CI128,0,($CD128+IF(Smile=TRUE,VLOOKUP(MAX(-5,$H128-J128),Volsmile,2),0)),$CG128,$CH128,($A128-DateToday)+15,1,0)),J128-$H128)))</f>
        <v xml:space="preserve"> </v>
      </c>
      <c r="T128" s="406" t="str">
        <f t="shared" si="192"/>
        <v xml:space="preserve"> </v>
      </c>
      <c r="U128" s="405" t="str">
        <f>IF($A128="N/A"," ",IF(Pricetype=2,MAX(L128-$H128,0),IF(L128&lt;&gt;0,IF(Pricetype=1,(_xll.xSPRDOPT(L128,$E128,$CI128,0,($CD128+IF(Smile=TRUE,VLOOKUP(MAX(-5,$H128-L128),Volsmile,2),0)),$CG128,$CH128,($A128-DateToday)+15,1,0)),L128-$H128),0)))</f>
        <v xml:space="preserve"> </v>
      </c>
      <c r="V128" s="405" t="str">
        <f>IF($A128="N/A"," ",IF(Pricetype=2,MAX(M128-$H128,0),IF(M128&lt;&gt;0,IF(Pricetype=1,(_xll.xSPRDOPT(M128,$E128,$CI128,0,($CD128+IF(Smile=TRUE,VLOOKUP(MAX(-5,$H128-M128),Volsmile,2),0)),$CG128,$CH128,($A128-DateToday)+15,1,0)),M128-$H128),0)))</f>
        <v xml:space="preserve"> </v>
      </c>
      <c r="W128" s="406" t="str">
        <f t="shared" si="193"/>
        <v xml:space="preserve"> </v>
      </c>
      <c r="X128" s="405" t="str">
        <f>IF($A128="N/A"," ",IF(Pricetype=2,MAX(O128-$H128,0),IF(O128&lt;&gt;0,IF(Pricetype=1,(_xll.xSPRDOPT(O128,$E128,$CI128,0,($CD128+IF(Smile=TRUE,VLOOKUP(MAX(-5,$H128-O128),Volsmile,2),0)),$CG128,$CH128,($A128-DateToday)+15,1,0)),O128-$H128),0)))</f>
        <v xml:space="preserve"> </v>
      </c>
      <c r="Y128" s="405" t="str">
        <f>IF($A128="N/A"," ",IF(Pricetype=2,MAX(P128-$H128,0),IF(P128&lt;&gt;0,IF(Pricetype=1,(_xll.xSPRDOPT(P128,$E128,$CI128,0,($CD128+IF(Smile=TRUE,VLOOKUP(MAX(-5,$H128-P128),Volsmile,2),0)),$CG128,$CH128,($A128-DateToday)+15,1,0)),P128-$H128),0)))</f>
        <v xml:space="preserve"> </v>
      </c>
      <c r="Z128" s="406" t="str">
        <f t="shared" si="194"/>
        <v xml:space="preserve"> </v>
      </c>
      <c r="AA128" s="254" t="str">
        <f>IF($A128="N/A"," ",IF(VLOOKUP(MONTH(A128),ManualTable,2)=1,(IF(0&lt;&gt;R128,IF(Pricetype=1,(_xll.xSPRDOPT(I128,$E128,$CI128,0,($CD128+IF(Smile=TRUE,VLOOKUP(MAX(-5,$H128-I128),Volsmile,2),0)),$CG128,$CH128,($A128-DateToday)+15,1,1))*(8*$HD128),8*$HD128),0)),0))</f>
        <v xml:space="preserve"> </v>
      </c>
      <c r="AB128" s="254" t="str">
        <f>IF($A128="N/A"," ",IF(VLOOKUP(MONTH(A128),ManualTable,3)=1,(IF(S128&lt;&gt;0,IF(Pricetype=1,(_xll.xSPRDOPT(J128,$E128,$CI128,0,($CD128+IF(Smile=TRUE,VLOOKUP(MAX(-5,$H128-J128),Volsmile,2),0)),$CG128,$CH128,($A128-DateToday)+15,1,1))*(8*$HD128),8*$HD128),0)),0))</f>
        <v xml:space="preserve"> </v>
      </c>
      <c r="AC128" s="254" t="str">
        <f t="shared" si="235"/>
        <v xml:space="preserve"> </v>
      </c>
      <c r="AD128" s="254" t="str">
        <f>IF($A128="N/A"," ",IF(VLOOKUP(MONTH(A128),ManualTable,5)=1,(IF(U128&lt;&gt;0,IF(Pricetype=1,(_xll.xSPRDOPT(L128,$E128,$CI128,0,($CD128+IF(Smile=TRUE,VLOOKUP(MAX(-5,$H128-L128),Volsmile,2),0)),$CG128,$CH128,($A128-DateToday)+15,1,1))*(8*$HE128),8*$HE128),0)),0))</f>
        <v xml:space="preserve"> </v>
      </c>
      <c r="AE128" s="254" t="str">
        <f>IF($A128="N/A"," ",IF(VLOOKUP(MONTH(A128),ManualTable,6)=1,(IF(V128&lt;&gt;0,IF(Pricetype=1,(_xll.xSPRDOPT(M128,$E128,$CI128,0,($CD128+IF(Smile=TRUE,VLOOKUP(MAX(-5,$H128-M128),Volsmile,2),0)),$CG128,$CH128,($A128-DateToday)+15,1,1))*(8*$HE128),8*$HE128),0)),0))</f>
        <v xml:space="preserve"> </v>
      </c>
      <c r="AF128" s="254" t="str">
        <f t="shared" si="236"/>
        <v xml:space="preserve"> </v>
      </c>
      <c r="AG128" s="254" t="str">
        <f>IF($A128="N/A"," ",IF(VLOOKUP(MONTH(A128),ManualTable,8)=1,(IF(X128&lt;&gt;0,IF(Pricetype=1,(_xll.xSPRDOPT(O128,$E128,$CI128,0,($CD128+IF(Smile=TRUE,VLOOKUP(MAX(-5,$H128-O128),Volsmile,2),0)),$CG128,$CH128,($A128-DateToday)+15,1,1))*(8*$HF128),8*$HF128),0)),0))</f>
        <v xml:space="preserve"> </v>
      </c>
      <c r="AH128" s="254" t="str">
        <f>IF($A128="N/A"," ",IF(VLOOKUP(MONTH(A128),ManualTable,9)=1,(IF(Y128&lt;&gt;0,IF(Pricetype=1,(_xll.xSPRDOPT(P128,$E128,$CI128,0,($CD128+IF(Smile=TRUE,VLOOKUP(MAX(-5,$H128-P128),Volsmile,2),0)),$CG128,$CH128,($A128-DateToday)+15,1,1))*(8*$HF128),8*$HF128),0)),0))</f>
        <v xml:space="preserve"> </v>
      </c>
      <c r="AI128" s="254" t="str">
        <f t="shared" si="237"/>
        <v xml:space="preserve"> </v>
      </c>
      <c r="AJ128" s="227" t="str">
        <f t="shared" si="335"/>
        <v xml:space="preserve"> </v>
      </c>
      <c r="AK128" s="228" t="str">
        <f t="shared" si="336"/>
        <v xml:space="preserve"> </v>
      </c>
      <c r="AL128" s="228" t="str">
        <f t="shared" si="336"/>
        <v xml:space="preserve"> </v>
      </c>
      <c r="AM128" s="228" t="str">
        <f t="shared" si="337"/>
        <v xml:space="preserve"> </v>
      </c>
      <c r="AN128" s="228" t="str">
        <f t="shared" si="338"/>
        <v xml:space="preserve"> </v>
      </c>
      <c r="AO128" s="228" t="str">
        <f t="shared" si="338"/>
        <v xml:space="preserve"> </v>
      </c>
      <c r="AP128" s="228" t="str">
        <f t="shared" si="339"/>
        <v xml:space="preserve"> </v>
      </c>
      <c r="AQ128" s="228" t="str">
        <f t="shared" si="340"/>
        <v xml:space="preserve"> </v>
      </c>
      <c r="AR128" s="229" t="str">
        <f t="shared" si="341"/>
        <v xml:space="preserve"> </v>
      </c>
      <c r="AS128" s="262" t="str">
        <f t="shared" si="274"/>
        <v xml:space="preserve"> </v>
      </c>
      <c r="AT128" s="263" t="str">
        <f t="shared" si="275"/>
        <v xml:space="preserve"> </v>
      </c>
      <c r="AU128" s="263" t="str">
        <f t="shared" si="275"/>
        <v xml:space="preserve"> </v>
      </c>
      <c r="AV128" s="263" t="str">
        <f t="shared" si="276"/>
        <v xml:space="preserve"> </v>
      </c>
      <c r="AW128" s="263" t="str">
        <f t="shared" si="277"/>
        <v xml:space="preserve"> </v>
      </c>
      <c r="AX128" s="263" t="str">
        <f t="shared" si="277"/>
        <v xml:space="preserve"> </v>
      </c>
      <c r="AY128" s="263" t="str">
        <f t="shared" si="278"/>
        <v xml:space="preserve"> </v>
      </c>
      <c r="AZ128" s="263" t="str">
        <f t="shared" si="279"/>
        <v xml:space="preserve"> </v>
      </c>
      <c r="BA128" s="263" t="str">
        <f t="shared" si="280"/>
        <v xml:space="preserve"> </v>
      </c>
      <c r="BB128" s="229"/>
      <c r="BC128" s="266" t="str">
        <f t="shared" si="328"/>
        <v xml:space="preserve"> </v>
      </c>
      <c r="BD128" s="269" t="str">
        <f t="shared" si="329"/>
        <v xml:space="preserve"> </v>
      </c>
      <c r="BE128" s="269" t="str">
        <f t="shared" si="329"/>
        <v xml:space="preserve"> </v>
      </c>
      <c r="BF128" s="269" t="str">
        <f t="shared" si="330"/>
        <v xml:space="preserve"> </v>
      </c>
      <c r="BG128" s="269" t="str">
        <f t="shared" si="331"/>
        <v xml:space="preserve"> </v>
      </c>
      <c r="BH128" s="269" t="str">
        <f t="shared" si="331"/>
        <v xml:space="preserve"> </v>
      </c>
      <c r="BI128" s="269" t="str">
        <f t="shared" si="332"/>
        <v xml:space="preserve"> </v>
      </c>
      <c r="BJ128" s="269" t="str">
        <f t="shared" si="333"/>
        <v xml:space="preserve"> </v>
      </c>
      <c r="BK128" s="269" t="str">
        <f t="shared" si="334"/>
        <v xml:space="preserve"> </v>
      </c>
      <c r="BL128" s="229"/>
      <c r="BM128" s="220" t="str">
        <f>IF($A128="N/A"," ",(IF(MONTH(A128)&gt;=4,IF(MONTH(A128)&lt;=10,Inputs!$F$13-Inputs!$G$13,Inputs!$F$14-Inputs!$G$14),Inputs!$F$14-Inputs!$G$14))*$CK128*Availability)</f>
        <v xml:space="preserve"> </v>
      </c>
      <c r="BN128" s="221" t="str">
        <f t="shared" si="238"/>
        <v xml:space="preserve"> </v>
      </c>
      <c r="BO128" s="221" t="str">
        <f t="shared" si="239"/>
        <v xml:space="preserve"> </v>
      </c>
      <c r="BP128" s="221" t="str">
        <f t="shared" si="240"/>
        <v xml:space="preserve"> </v>
      </c>
      <c r="BQ128" s="221" t="str">
        <f t="shared" si="241"/>
        <v xml:space="preserve"> </v>
      </c>
      <c r="BR128" s="221" t="str">
        <f t="shared" si="242"/>
        <v xml:space="preserve"> </v>
      </c>
      <c r="BS128" s="221" t="str">
        <f t="shared" si="243"/>
        <v xml:space="preserve"> </v>
      </c>
      <c r="BT128" s="221" t="str">
        <f t="shared" si="244"/>
        <v xml:space="preserve"> </v>
      </c>
      <c r="BU128" s="221" t="str">
        <f t="shared" si="245"/>
        <v xml:space="preserve"> </v>
      </c>
      <c r="BV128" s="221" t="str">
        <f t="shared" si="246"/>
        <v xml:space="preserve"> </v>
      </c>
      <c r="BW128" s="221" t="str">
        <f t="shared" si="247"/>
        <v xml:space="preserve"> </v>
      </c>
      <c r="BX128" s="421" t="str">
        <f t="shared" si="248"/>
        <v xml:space="preserve"> </v>
      </c>
      <c r="BY128" s="417" t="str">
        <f t="shared" si="249"/>
        <v xml:space="preserve"> </v>
      </c>
      <c r="BZ128" s="417" t="str">
        <f t="shared" si="250"/>
        <v xml:space="preserve"> </v>
      </c>
      <c r="CA128" s="422" t="str">
        <f t="shared" si="251"/>
        <v xml:space="preserve"> </v>
      </c>
      <c r="CB128" s="347" t="str">
        <f t="shared" si="195"/>
        <v xml:space="preserve"> </v>
      </c>
      <c r="CC128" s="347" t="str">
        <f t="shared" si="252"/>
        <v xml:space="preserve"> </v>
      </c>
      <c r="CD128" s="348" t="str">
        <f t="shared" si="196"/>
        <v xml:space="preserve"> </v>
      </c>
      <c r="CE128" s="347" t="str">
        <f t="shared" si="197"/>
        <v xml:space="preserve"> </v>
      </c>
      <c r="CF128" s="347" t="str">
        <f t="shared" si="198"/>
        <v xml:space="preserve"> </v>
      </c>
      <c r="CG128" s="348" t="str">
        <f t="shared" si="199"/>
        <v xml:space="preserve"> </v>
      </c>
      <c r="CH128" s="347" t="str">
        <f t="shared" si="253"/>
        <v xml:space="preserve"> </v>
      </c>
      <c r="CI128" s="349" t="str">
        <f>IF($A128="N/A"," ",F128+G128+(D128*('Pricing Inputs'!T161)))</f>
        <v xml:space="preserve"> </v>
      </c>
      <c r="CJ128" s="347" t="str">
        <f>IF($A128="N/A"," ",IF(PV=1,0,'Pricing Inputs'!U161))</f>
        <v xml:space="preserve"> </v>
      </c>
      <c r="CK128" s="350" t="str">
        <f t="shared" si="200"/>
        <v xml:space="preserve"> </v>
      </c>
      <c r="CL128" s="365" t="str">
        <f t="shared" si="201"/>
        <v xml:space="preserve"> </v>
      </c>
      <c r="CM128" s="380" t="str">
        <f t="shared" si="254"/>
        <v xml:space="preserve"> </v>
      </c>
      <c r="CN128" s="378" t="str">
        <f t="shared" si="202"/>
        <v xml:space="preserve"> </v>
      </c>
      <c r="CO128" s="378" t="str">
        <f t="shared" si="203"/>
        <v xml:space="preserve"> </v>
      </c>
      <c r="CP128" s="378" t="str">
        <f t="shared" si="204"/>
        <v xml:space="preserve"> </v>
      </c>
      <c r="CQ128" s="378" t="str">
        <f t="shared" si="205"/>
        <v xml:space="preserve"> </v>
      </c>
      <c r="CR128" s="378" t="str">
        <f t="shared" si="206"/>
        <v xml:space="preserve"> </v>
      </c>
      <c r="CS128" s="378" t="str">
        <f t="shared" si="207"/>
        <v xml:space="preserve"> </v>
      </c>
      <c r="CT128" s="378" t="str">
        <f t="shared" si="208"/>
        <v xml:space="preserve"> </v>
      </c>
      <c r="CU128" s="378" t="str">
        <f t="shared" si="209"/>
        <v xml:space="preserve"> </v>
      </c>
      <c r="CV128" s="378" t="str">
        <f t="shared" si="210"/>
        <v xml:space="preserve"> </v>
      </c>
      <c r="CW128" s="254" t="str">
        <f t="shared" si="211"/>
        <v xml:space="preserve"> </v>
      </c>
      <c r="CX128" s="254" t="str">
        <f t="shared" si="212"/>
        <v xml:space="preserve"> </v>
      </c>
      <c r="CY128" s="254" t="str">
        <f t="shared" si="213"/>
        <v xml:space="preserve"> </v>
      </c>
      <c r="CZ128" s="254" t="str">
        <f t="shared" si="214"/>
        <v xml:space="preserve"> </v>
      </c>
      <c r="DA128" s="254" t="str">
        <f t="shared" si="215"/>
        <v xml:space="preserve"> </v>
      </c>
      <c r="DB128" s="254" t="str">
        <f t="shared" si="216"/>
        <v xml:space="preserve"> </v>
      </c>
      <c r="DC128" s="254" t="str">
        <f t="shared" si="217"/>
        <v xml:space="preserve"> </v>
      </c>
      <c r="DD128" s="254" t="str">
        <f t="shared" si="218"/>
        <v xml:space="preserve"> </v>
      </c>
      <c r="DE128" s="254" t="str">
        <f t="shared" si="219"/>
        <v xml:space="preserve"> </v>
      </c>
      <c r="DF128" s="374" t="str">
        <f>IF($A128="N/A"," ",IF(CC=2,(IF(MONTH(A128)&gt;=4,IF(MONTH(A128)&lt;=10,Inputs!$G$13,Inputs!$G$14),Inputs!$G$14))*$CK128,0))</f>
        <v xml:space="preserve"> </v>
      </c>
      <c r="DG128" s="373" t="str">
        <f t="shared" si="220"/>
        <v xml:space="preserve"> </v>
      </c>
      <c r="DH128" s="373" t="str">
        <f t="shared" si="221"/>
        <v xml:space="preserve"> </v>
      </c>
      <c r="DI128" s="373" t="str">
        <f t="shared" si="222"/>
        <v xml:space="preserve"> </v>
      </c>
      <c r="DJ128" s="373" t="str">
        <f t="shared" si="223"/>
        <v xml:space="preserve"> </v>
      </c>
      <c r="DK128" s="373" t="str">
        <f t="shared" si="224"/>
        <v xml:space="preserve"> </v>
      </c>
      <c r="DL128" s="373" t="str">
        <f t="shared" si="225"/>
        <v xml:space="preserve"> </v>
      </c>
      <c r="DM128" s="373" t="str">
        <f t="shared" si="226"/>
        <v xml:space="preserve"> </v>
      </c>
      <c r="DN128" s="373" t="str">
        <f t="shared" si="227"/>
        <v xml:space="preserve"> </v>
      </c>
      <c r="DO128" s="373" t="str">
        <f t="shared" si="228"/>
        <v xml:space="preserve"> </v>
      </c>
      <c r="DP128" s="375" t="str">
        <f t="shared" si="229"/>
        <v xml:space="preserve"> </v>
      </c>
      <c r="DQ128" t="str">
        <f t="shared" si="255"/>
        <v xml:space="preserve"> </v>
      </c>
      <c r="HD128" t="str">
        <f t="shared" si="256"/>
        <v xml:space="preserve"> </v>
      </c>
      <c r="HE128" t="str">
        <f t="shared" si="257"/>
        <v xml:space="preserve"> </v>
      </c>
      <c r="HF128" t="str">
        <f t="shared" si="258"/>
        <v xml:space="preserve"> </v>
      </c>
    </row>
    <row r="129" spans="1:214">
      <c r="A129" s="415" t="str">
        <f>IF(A128="N/A","N/A",IF(EDATE(A128,1)&gt;Inputs!$K$3,"N/A",EDATE(A128,1)))</f>
        <v>N/A</v>
      </c>
      <c r="B129" s="410" t="str">
        <f t="shared" si="230"/>
        <v xml:space="preserve"> </v>
      </c>
      <c r="C129" s="411" t="str">
        <f t="shared" si="231"/>
        <v xml:space="preserve"> </v>
      </c>
      <c r="D129" s="412" t="str">
        <f t="shared" si="232"/>
        <v xml:space="preserve"> </v>
      </c>
      <c r="E129" s="413" t="str">
        <f>IF($A129="N/A"," ",(C129-'Pricing Inputs'!T162)*D129)</f>
        <v xml:space="preserve"> </v>
      </c>
      <c r="F129" s="414" t="str">
        <f t="shared" si="281"/>
        <v xml:space="preserve"> </v>
      </c>
      <c r="G129" s="414" t="str">
        <f t="shared" si="233"/>
        <v xml:space="preserve"> </v>
      </c>
      <c r="H129" s="416" t="str">
        <f t="shared" si="234"/>
        <v xml:space="preserve"> </v>
      </c>
      <c r="I129" s="213" t="str">
        <f t="shared" si="183"/>
        <v xml:space="preserve"> </v>
      </c>
      <c r="J129" s="213" t="str">
        <f t="shared" si="184"/>
        <v xml:space="preserve"> </v>
      </c>
      <c r="K129" s="213" t="str">
        <f t="shared" si="185"/>
        <v xml:space="preserve"> </v>
      </c>
      <c r="L129" s="213" t="str">
        <f t="shared" si="186"/>
        <v xml:space="preserve"> </v>
      </c>
      <c r="M129" s="213" t="str">
        <f t="shared" si="187"/>
        <v xml:space="preserve"> </v>
      </c>
      <c r="N129" s="213" t="str">
        <f t="shared" si="188"/>
        <v xml:space="preserve"> </v>
      </c>
      <c r="O129" s="213" t="str">
        <f t="shared" si="189"/>
        <v xml:space="preserve"> </v>
      </c>
      <c r="P129" s="213" t="str">
        <f t="shared" si="190"/>
        <v xml:space="preserve"> </v>
      </c>
      <c r="Q129" s="213" t="str">
        <f t="shared" si="191"/>
        <v xml:space="preserve"> </v>
      </c>
      <c r="R129" s="405" t="str">
        <f>IF($A129="N/A"," ",IF(Pricetype=2,MAX(I129-$H129,0),IF(Pricetype=1,(_xll.xSPRDOPT(I129,$E129,$CI129,0,($CD129+IF(Smile=TRUE,VLOOKUP(MAX(-5,$H129-I129),Volsmile,2),0)),$CG129,$CH129,($A129-DateToday)+15,1,0)),I129-$H129)))</f>
        <v xml:space="preserve"> </v>
      </c>
      <c r="S129" s="405" t="str">
        <f>IF($A129="N/A"," ",IF(Pricetype=2,MAX(J129-$H129,0),IF(Pricetype=1,(_xll.xSPRDOPT(J129,$E129,$CI129,0,($CD129+IF(Smile=TRUE,VLOOKUP(MAX(-5,$H129-J129),Volsmile,2),0)),$CG129,$CH129,($A129-DateToday)+15,1,0)),J129-$H129)))</f>
        <v xml:space="preserve"> </v>
      </c>
      <c r="T129" s="406" t="str">
        <f t="shared" si="192"/>
        <v xml:space="preserve"> </v>
      </c>
      <c r="U129" s="405" t="str">
        <f>IF($A129="N/A"," ",IF(Pricetype=2,MAX(L129-$H129,0),IF(L129&lt;&gt;0,IF(Pricetype=1,(_xll.xSPRDOPT(L129,$E129,$CI129,0,($CD129+IF(Smile=TRUE,VLOOKUP(MAX(-5,$H129-L129),Volsmile,2),0)),$CG129,$CH129,($A129-DateToday)+15,1,0)),L129-$H129),0)))</f>
        <v xml:space="preserve"> </v>
      </c>
      <c r="V129" s="405" t="str">
        <f>IF($A129="N/A"," ",IF(Pricetype=2,MAX(M129-$H129,0),IF(M129&lt;&gt;0,IF(Pricetype=1,(_xll.xSPRDOPT(M129,$E129,$CI129,0,($CD129+IF(Smile=TRUE,VLOOKUP(MAX(-5,$H129-M129),Volsmile,2),0)),$CG129,$CH129,($A129-DateToday)+15,1,0)),M129-$H129),0)))</f>
        <v xml:space="preserve"> </v>
      </c>
      <c r="W129" s="406" t="str">
        <f t="shared" si="193"/>
        <v xml:space="preserve"> </v>
      </c>
      <c r="X129" s="405" t="str">
        <f>IF($A129="N/A"," ",IF(Pricetype=2,MAX(O129-$H129,0),IF(O129&lt;&gt;0,IF(Pricetype=1,(_xll.xSPRDOPT(O129,$E129,$CI129,0,($CD129+IF(Smile=TRUE,VLOOKUP(MAX(-5,$H129-O129),Volsmile,2),0)),$CG129,$CH129,($A129-DateToday)+15,1,0)),O129-$H129),0)))</f>
        <v xml:space="preserve"> </v>
      </c>
      <c r="Y129" s="405" t="str">
        <f>IF($A129="N/A"," ",IF(Pricetype=2,MAX(P129-$H129,0),IF(P129&lt;&gt;0,IF(Pricetype=1,(_xll.xSPRDOPT(P129,$E129,$CI129,0,($CD129+IF(Smile=TRUE,VLOOKUP(MAX(-5,$H129-P129),Volsmile,2),0)),$CG129,$CH129,($A129-DateToday)+15,1,0)),P129-$H129),0)))</f>
        <v xml:space="preserve"> </v>
      </c>
      <c r="Z129" s="406" t="str">
        <f t="shared" si="194"/>
        <v xml:space="preserve"> </v>
      </c>
      <c r="AA129" s="254" t="str">
        <f>IF($A129="N/A"," ",IF(VLOOKUP(MONTH(A129),ManualTable,2)=1,(IF(0&lt;&gt;R129,IF(Pricetype=1,(_xll.xSPRDOPT(I129,$E129,$CI129,0,($CD129+IF(Smile=TRUE,VLOOKUP(MAX(-5,$H129-I129),Volsmile,2),0)),$CG129,$CH129,($A129-DateToday)+15,1,1))*(8*$HD129),8*$HD129),0)),0))</f>
        <v xml:space="preserve"> </v>
      </c>
      <c r="AB129" s="254" t="str">
        <f>IF($A129="N/A"," ",IF(VLOOKUP(MONTH(A129),ManualTable,3)=1,(IF(S129&lt;&gt;0,IF(Pricetype=1,(_xll.xSPRDOPT(J129,$E129,$CI129,0,($CD129+IF(Smile=TRUE,VLOOKUP(MAX(-5,$H129-J129),Volsmile,2),0)),$CG129,$CH129,($A129-DateToday)+15,1,1))*(8*$HD129),8*$HD129),0)),0))</f>
        <v xml:space="preserve"> </v>
      </c>
      <c r="AC129" s="254" t="str">
        <f t="shared" si="235"/>
        <v xml:space="preserve"> </v>
      </c>
      <c r="AD129" s="254" t="str">
        <f>IF($A129="N/A"," ",IF(VLOOKUP(MONTH(A129),ManualTable,5)=1,(IF(U129&lt;&gt;0,IF(Pricetype=1,(_xll.xSPRDOPT(L129,$E129,$CI129,0,($CD129+IF(Smile=TRUE,VLOOKUP(MAX(-5,$H129-L129),Volsmile,2),0)),$CG129,$CH129,($A129-DateToday)+15,1,1))*(8*$HE129),8*$HE129),0)),0))</f>
        <v xml:space="preserve"> </v>
      </c>
      <c r="AE129" s="254" t="str">
        <f>IF($A129="N/A"," ",IF(VLOOKUP(MONTH(A129),ManualTable,6)=1,(IF(V129&lt;&gt;0,IF(Pricetype=1,(_xll.xSPRDOPT(M129,$E129,$CI129,0,($CD129+IF(Smile=TRUE,VLOOKUP(MAX(-5,$H129-M129),Volsmile,2),0)),$CG129,$CH129,($A129-DateToday)+15,1,1))*(8*$HE129),8*$HE129),0)),0))</f>
        <v xml:space="preserve"> </v>
      </c>
      <c r="AF129" s="254" t="str">
        <f t="shared" si="236"/>
        <v xml:space="preserve"> </v>
      </c>
      <c r="AG129" s="254" t="str">
        <f>IF($A129="N/A"," ",IF(VLOOKUP(MONTH(A129),ManualTable,8)=1,(IF(X129&lt;&gt;0,IF(Pricetype=1,(_xll.xSPRDOPT(O129,$E129,$CI129,0,($CD129+IF(Smile=TRUE,VLOOKUP(MAX(-5,$H129-O129),Volsmile,2),0)),$CG129,$CH129,($A129-DateToday)+15,1,1))*(8*$HF129),8*$HF129),0)),0))</f>
        <v xml:space="preserve"> </v>
      </c>
      <c r="AH129" s="254" t="str">
        <f>IF($A129="N/A"," ",IF(VLOOKUP(MONTH(A129),ManualTable,9)=1,(IF(Y129&lt;&gt;0,IF(Pricetype=1,(_xll.xSPRDOPT(P129,$E129,$CI129,0,($CD129+IF(Smile=TRUE,VLOOKUP(MAX(-5,$H129-P129),Volsmile,2),0)),$CG129,$CH129,($A129-DateToday)+15,1,1))*(8*$HF129),8*$HF129),0)),0))</f>
        <v xml:space="preserve"> </v>
      </c>
      <c r="AI129" s="254" t="str">
        <f t="shared" si="237"/>
        <v xml:space="preserve"> </v>
      </c>
      <c r="AJ129" s="227" t="str">
        <f t="shared" si="335"/>
        <v xml:space="preserve"> </v>
      </c>
      <c r="AK129" s="228" t="str">
        <f t="shared" si="336"/>
        <v xml:space="preserve"> </v>
      </c>
      <c r="AL129" s="228" t="str">
        <f t="shared" si="336"/>
        <v xml:space="preserve"> </v>
      </c>
      <c r="AM129" s="228" t="str">
        <f t="shared" si="337"/>
        <v xml:space="preserve"> </v>
      </c>
      <c r="AN129" s="228" t="str">
        <f t="shared" si="338"/>
        <v xml:space="preserve"> </v>
      </c>
      <c r="AO129" s="228" t="str">
        <f t="shared" si="338"/>
        <v xml:space="preserve"> </v>
      </c>
      <c r="AP129" s="228" t="str">
        <f t="shared" si="339"/>
        <v xml:space="preserve"> </v>
      </c>
      <c r="AQ129" s="228" t="str">
        <f t="shared" si="340"/>
        <v xml:space="preserve"> </v>
      </c>
      <c r="AR129" s="229" t="str">
        <f t="shared" si="341"/>
        <v xml:space="preserve"> </v>
      </c>
      <c r="AS129" s="262" t="str">
        <f t="shared" si="274"/>
        <v xml:space="preserve"> </v>
      </c>
      <c r="AT129" s="263" t="str">
        <f t="shared" si="275"/>
        <v xml:space="preserve"> </v>
      </c>
      <c r="AU129" s="263" t="str">
        <f t="shared" si="275"/>
        <v xml:space="preserve"> </v>
      </c>
      <c r="AV129" s="263" t="str">
        <f t="shared" si="276"/>
        <v xml:space="preserve"> </v>
      </c>
      <c r="AW129" s="263" t="str">
        <f t="shared" si="277"/>
        <v xml:space="preserve"> </v>
      </c>
      <c r="AX129" s="263" t="str">
        <f t="shared" si="277"/>
        <v xml:space="preserve"> </v>
      </c>
      <c r="AY129" s="263" t="str">
        <f t="shared" si="278"/>
        <v xml:space="preserve"> </v>
      </c>
      <c r="AZ129" s="263" t="str">
        <f t="shared" si="279"/>
        <v xml:space="preserve"> </v>
      </c>
      <c r="BA129" s="263" t="str">
        <f t="shared" si="280"/>
        <v xml:space="preserve"> </v>
      </c>
      <c r="BB129" s="229"/>
      <c r="BC129" s="266" t="str">
        <f t="shared" si="328"/>
        <v xml:space="preserve"> </v>
      </c>
      <c r="BD129" s="269" t="str">
        <f t="shared" si="329"/>
        <v xml:space="preserve"> </v>
      </c>
      <c r="BE129" s="269" t="str">
        <f t="shared" si="329"/>
        <v xml:space="preserve"> </v>
      </c>
      <c r="BF129" s="269" t="str">
        <f t="shared" si="330"/>
        <v xml:space="preserve"> </v>
      </c>
      <c r="BG129" s="269" t="str">
        <f t="shared" si="331"/>
        <v xml:space="preserve"> </v>
      </c>
      <c r="BH129" s="269" t="str">
        <f t="shared" si="331"/>
        <v xml:space="preserve"> </v>
      </c>
      <c r="BI129" s="269" t="str">
        <f t="shared" si="332"/>
        <v xml:space="preserve"> </v>
      </c>
      <c r="BJ129" s="269" t="str">
        <f t="shared" si="333"/>
        <v xml:space="preserve"> </v>
      </c>
      <c r="BK129" s="269" t="str">
        <f t="shared" si="334"/>
        <v xml:space="preserve"> </v>
      </c>
      <c r="BL129" s="229"/>
      <c r="BM129" s="220" t="str">
        <f>IF($A129="N/A"," ",(IF(MONTH(A129)&gt;=4,IF(MONTH(A129)&lt;=10,Inputs!$F$13-Inputs!$G$13,Inputs!$F$14-Inputs!$G$14),Inputs!$F$14-Inputs!$G$14))*$CK129*Availability)</f>
        <v xml:space="preserve"> </v>
      </c>
      <c r="BN129" s="221" t="str">
        <f t="shared" si="238"/>
        <v xml:space="preserve"> </v>
      </c>
      <c r="BO129" s="221" t="str">
        <f t="shared" si="239"/>
        <v xml:space="preserve"> </v>
      </c>
      <c r="BP129" s="221" t="str">
        <f t="shared" si="240"/>
        <v xml:space="preserve"> </v>
      </c>
      <c r="BQ129" s="221" t="str">
        <f t="shared" si="241"/>
        <v xml:space="preserve"> </v>
      </c>
      <c r="BR129" s="221" t="str">
        <f t="shared" si="242"/>
        <v xml:space="preserve"> </v>
      </c>
      <c r="BS129" s="221" t="str">
        <f t="shared" si="243"/>
        <v xml:space="preserve"> </v>
      </c>
      <c r="BT129" s="221" t="str">
        <f t="shared" si="244"/>
        <v xml:space="preserve"> </v>
      </c>
      <c r="BU129" s="221" t="str">
        <f t="shared" si="245"/>
        <v xml:space="preserve"> </v>
      </c>
      <c r="BV129" s="221" t="str">
        <f t="shared" si="246"/>
        <v xml:space="preserve"> </v>
      </c>
      <c r="BW129" s="221" t="str">
        <f t="shared" si="247"/>
        <v xml:space="preserve"> </v>
      </c>
      <c r="BX129" s="421" t="str">
        <f t="shared" si="248"/>
        <v xml:space="preserve"> </v>
      </c>
      <c r="BY129" s="417" t="str">
        <f t="shared" si="249"/>
        <v xml:space="preserve"> </v>
      </c>
      <c r="BZ129" s="417" t="str">
        <f t="shared" si="250"/>
        <v xml:space="preserve"> </v>
      </c>
      <c r="CA129" s="422" t="str">
        <f t="shared" si="251"/>
        <v xml:space="preserve"> </v>
      </c>
      <c r="CB129" s="347" t="str">
        <f t="shared" si="195"/>
        <v xml:space="preserve"> </v>
      </c>
      <c r="CC129" s="347" t="str">
        <f t="shared" si="252"/>
        <v xml:space="preserve"> </v>
      </c>
      <c r="CD129" s="348" t="str">
        <f t="shared" si="196"/>
        <v xml:space="preserve"> </v>
      </c>
      <c r="CE129" s="347" t="str">
        <f t="shared" si="197"/>
        <v xml:space="preserve"> </v>
      </c>
      <c r="CF129" s="347" t="str">
        <f t="shared" si="198"/>
        <v xml:space="preserve"> </v>
      </c>
      <c r="CG129" s="348" t="str">
        <f t="shared" si="199"/>
        <v xml:space="preserve"> </v>
      </c>
      <c r="CH129" s="347" t="str">
        <f t="shared" si="253"/>
        <v xml:space="preserve"> </v>
      </c>
      <c r="CI129" s="349" t="str">
        <f>IF($A129="N/A"," ",F129+G129+(D129*('Pricing Inputs'!T162)))</f>
        <v xml:space="preserve"> </v>
      </c>
      <c r="CJ129" s="347" t="str">
        <f>IF($A129="N/A"," ",IF(PV=1,0,'Pricing Inputs'!U162))</f>
        <v xml:space="preserve"> </v>
      </c>
      <c r="CK129" s="350" t="str">
        <f t="shared" si="200"/>
        <v xml:space="preserve"> </v>
      </c>
      <c r="CL129" s="365" t="str">
        <f t="shared" si="201"/>
        <v xml:space="preserve"> </v>
      </c>
      <c r="CM129" s="380" t="str">
        <f t="shared" si="254"/>
        <v xml:space="preserve"> </v>
      </c>
      <c r="CN129" s="378" t="str">
        <f t="shared" si="202"/>
        <v xml:space="preserve"> </v>
      </c>
      <c r="CO129" s="378" t="str">
        <f t="shared" si="203"/>
        <v xml:space="preserve"> </v>
      </c>
      <c r="CP129" s="378" t="str">
        <f t="shared" si="204"/>
        <v xml:space="preserve"> </v>
      </c>
      <c r="CQ129" s="378" t="str">
        <f t="shared" si="205"/>
        <v xml:space="preserve"> </v>
      </c>
      <c r="CR129" s="378" t="str">
        <f t="shared" si="206"/>
        <v xml:space="preserve"> </v>
      </c>
      <c r="CS129" s="378" t="str">
        <f t="shared" si="207"/>
        <v xml:space="preserve"> </v>
      </c>
      <c r="CT129" s="378" t="str">
        <f t="shared" si="208"/>
        <v xml:space="preserve"> </v>
      </c>
      <c r="CU129" s="378" t="str">
        <f t="shared" si="209"/>
        <v xml:space="preserve"> </v>
      </c>
      <c r="CV129" s="378" t="str">
        <f t="shared" si="210"/>
        <v xml:space="preserve"> </v>
      </c>
      <c r="CW129" s="254" t="str">
        <f t="shared" si="211"/>
        <v xml:space="preserve"> </v>
      </c>
      <c r="CX129" s="254" t="str">
        <f t="shared" si="212"/>
        <v xml:space="preserve"> </v>
      </c>
      <c r="CY129" s="254" t="str">
        <f t="shared" si="213"/>
        <v xml:space="preserve"> </v>
      </c>
      <c r="CZ129" s="254" t="str">
        <f t="shared" si="214"/>
        <v xml:space="preserve"> </v>
      </c>
      <c r="DA129" s="254" t="str">
        <f t="shared" si="215"/>
        <v xml:space="preserve"> </v>
      </c>
      <c r="DB129" s="254" t="str">
        <f t="shared" si="216"/>
        <v xml:space="preserve"> </v>
      </c>
      <c r="DC129" s="254" t="str">
        <f t="shared" si="217"/>
        <v xml:space="preserve"> </v>
      </c>
      <c r="DD129" s="254" t="str">
        <f t="shared" si="218"/>
        <v xml:space="preserve"> </v>
      </c>
      <c r="DE129" s="254" t="str">
        <f t="shared" si="219"/>
        <v xml:space="preserve"> </v>
      </c>
      <c r="DF129" s="374" t="str">
        <f>IF($A129="N/A"," ",IF(CC=2,(IF(MONTH(A129)&gt;=4,IF(MONTH(A129)&lt;=10,Inputs!$G$13,Inputs!$G$14),Inputs!$G$14))*$CK129,0))</f>
        <v xml:space="preserve"> </v>
      </c>
      <c r="DG129" s="373" t="str">
        <f t="shared" si="220"/>
        <v xml:space="preserve"> </v>
      </c>
      <c r="DH129" s="373" t="str">
        <f t="shared" si="221"/>
        <v xml:space="preserve"> </v>
      </c>
      <c r="DI129" s="373" t="str">
        <f t="shared" si="222"/>
        <v xml:space="preserve"> </v>
      </c>
      <c r="DJ129" s="373" t="str">
        <f t="shared" si="223"/>
        <v xml:space="preserve"> </v>
      </c>
      <c r="DK129" s="373" t="str">
        <f t="shared" si="224"/>
        <v xml:space="preserve"> </v>
      </c>
      <c r="DL129" s="373" t="str">
        <f t="shared" si="225"/>
        <v xml:space="preserve"> </v>
      </c>
      <c r="DM129" s="373" t="str">
        <f t="shared" si="226"/>
        <v xml:space="preserve"> </v>
      </c>
      <c r="DN129" s="373" t="str">
        <f t="shared" si="227"/>
        <v xml:space="preserve"> </v>
      </c>
      <c r="DO129" s="373" t="str">
        <f t="shared" si="228"/>
        <v xml:space="preserve"> </v>
      </c>
      <c r="DP129" s="375" t="str">
        <f t="shared" si="229"/>
        <v xml:space="preserve"> </v>
      </c>
      <c r="DQ129" t="str">
        <f t="shared" si="255"/>
        <v xml:space="preserve"> </v>
      </c>
      <c r="HD129" t="str">
        <f t="shared" si="256"/>
        <v xml:space="preserve"> </v>
      </c>
      <c r="HE129" t="str">
        <f t="shared" si="257"/>
        <v xml:space="preserve"> </v>
      </c>
      <c r="HF129" t="str">
        <f t="shared" si="258"/>
        <v xml:space="preserve"> </v>
      </c>
    </row>
    <row r="130" spans="1:214">
      <c r="A130" s="415" t="str">
        <f>IF(A129="N/A","N/A",IF(EDATE(A129,1)&gt;Inputs!$K$3,"N/A",EDATE(A129,1)))</f>
        <v>N/A</v>
      </c>
      <c r="B130" s="410" t="str">
        <f t="shared" si="230"/>
        <v xml:space="preserve"> </v>
      </c>
      <c r="C130" s="411" t="str">
        <f t="shared" si="231"/>
        <v xml:space="preserve"> </v>
      </c>
      <c r="D130" s="412" t="str">
        <f t="shared" si="232"/>
        <v xml:space="preserve"> </v>
      </c>
      <c r="E130" s="413" t="str">
        <f>IF($A130="N/A"," ",(C130-'Pricing Inputs'!T163)*D130)</f>
        <v xml:space="preserve"> </v>
      </c>
      <c r="F130" s="414" t="str">
        <f t="shared" si="281"/>
        <v xml:space="preserve"> </v>
      </c>
      <c r="G130" s="414" t="str">
        <f t="shared" si="233"/>
        <v xml:space="preserve"> </v>
      </c>
      <c r="H130" s="416" t="str">
        <f t="shared" si="234"/>
        <v xml:space="preserve"> </v>
      </c>
      <c r="I130" s="213" t="str">
        <f t="shared" si="183"/>
        <v xml:space="preserve"> </v>
      </c>
      <c r="J130" s="213" t="str">
        <f t="shared" si="184"/>
        <v xml:space="preserve"> </v>
      </c>
      <c r="K130" s="213" t="str">
        <f t="shared" si="185"/>
        <v xml:space="preserve"> </v>
      </c>
      <c r="L130" s="213" t="str">
        <f t="shared" si="186"/>
        <v xml:space="preserve"> </v>
      </c>
      <c r="M130" s="213" t="str">
        <f t="shared" si="187"/>
        <v xml:space="preserve"> </v>
      </c>
      <c r="N130" s="213" t="str">
        <f t="shared" si="188"/>
        <v xml:space="preserve"> </v>
      </c>
      <c r="O130" s="213" t="str">
        <f t="shared" si="189"/>
        <v xml:space="preserve"> </v>
      </c>
      <c r="P130" s="213" t="str">
        <f t="shared" si="190"/>
        <v xml:space="preserve"> </v>
      </c>
      <c r="Q130" s="213" t="str">
        <f t="shared" si="191"/>
        <v xml:space="preserve"> </v>
      </c>
      <c r="R130" s="405" t="str">
        <f>IF($A130="N/A"," ",IF(Pricetype=2,MAX(I130-$H130,0),IF(Pricetype=1,(_xll.xSPRDOPT(I130,$E130,$CI130,0,($CD130+IF(Smile=TRUE,VLOOKUP(MAX(-5,$H130-I130),Volsmile,2),0)),$CG130,$CH130,($A130-DateToday)+15,1,0)),I130-$H130)))</f>
        <v xml:space="preserve"> </v>
      </c>
      <c r="S130" s="405" t="str">
        <f>IF($A130="N/A"," ",IF(Pricetype=2,MAX(J130-$H130,0),IF(Pricetype=1,(_xll.xSPRDOPT(J130,$E130,$CI130,0,($CD130+IF(Smile=TRUE,VLOOKUP(MAX(-5,$H130-J130),Volsmile,2),0)),$CG130,$CH130,($A130-DateToday)+15,1,0)),J130-$H130)))</f>
        <v xml:space="preserve"> </v>
      </c>
      <c r="T130" s="406" t="str">
        <f t="shared" si="192"/>
        <v xml:space="preserve"> </v>
      </c>
      <c r="U130" s="405" t="str">
        <f>IF($A130="N/A"," ",IF(Pricetype=2,MAX(L130-$H130,0),IF(L130&lt;&gt;0,IF(Pricetype=1,(_xll.xSPRDOPT(L130,$E130,$CI130,0,($CD130+IF(Smile=TRUE,VLOOKUP(MAX(-5,$H130-L130),Volsmile,2),0)),$CG130,$CH130,($A130-DateToday)+15,1,0)),L130-$H130),0)))</f>
        <v xml:space="preserve"> </v>
      </c>
      <c r="V130" s="405" t="str">
        <f>IF($A130="N/A"," ",IF(Pricetype=2,MAX(M130-$H130,0),IF(M130&lt;&gt;0,IF(Pricetype=1,(_xll.xSPRDOPT(M130,$E130,$CI130,0,($CD130+IF(Smile=TRUE,VLOOKUP(MAX(-5,$H130-M130),Volsmile,2),0)),$CG130,$CH130,($A130-DateToday)+15,1,0)),M130-$H130),0)))</f>
        <v xml:space="preserve"> </v>
      </c>
      <c r="W130" s="406" t="str">
        <f t="shared" si="193"/>
        <v xml:space="preserve"> </v>
      </c>
      <c r="X130" s="405" t="str">
        <f>IF($A130="N/A"," ",IF(Pricetype=2,MAX(O130-$H130,0),IF(O130&lt;&gt;0,IF(Pricetype=1,(_xll.xSPRDOPT(O130,$E130,$CI130,0,($CD130+IF(Smile=TRUE,VLOOKUP(MAX(-5,$H130-O130),Volsmile,2),0)),$CG130,$CH130,($A130-DateToday)+15,1,0)),O130-$H130),0)))</f>
        <v xml:space="preserve"> </v>
      </c>
      <c r="Y130" s="405" t="str">
        <f>IF($A130="N/A"," ",IF(Pricetype=2,MAX(P130-$H130,0),IF(P130&lt;&gt;0,IF(Pricetype=1,(_xll.xSPRDOPT(P130,$E130,$CI130,0,($CD130+IF(Smile=TRUE,VLOOKUP(MAX(-5,$H130-P130),Volsmile,2),0)),$CG130,$CH130,($A130-DateToday)+15,1,0)),P130-$H130),0)))</f>
        <v xml:space="preserve"> </v>
      </c>
      <c r="Z130" s="406" t="str">
        <f t="shared" si="194"/>
        <v xml:space="preserve"> </v>
      </c>
      <c r="AA130" s="254" t="str">
        <f>IF($A130="N/A"," ",IF(VLOOKUP(MONTH(A130),ManualTable,2)=1,(IF(0&lt;&gt;R130,IF(Pricetype=1,(_xll.xSPRDOPT(I130,$E130,$CI130,0,($CD130+IF(Smile=TRUE,VLOOKUP(MAX(-5,$H130-I130),Volsmile,2),0)),$CG130,$CH130,($A130-DateToday)+15,1,1))*(8*$HD130),8*$HD130),0)),0))</f>
        <v xml:space="preserve"> </v>
      </c>
      <c r="AB130" s="254" t="str">
        <f>IF($A130="N/A"," ",IF(VLOOKUP(MONTH(A130),ManualTable,3)=1,(IF(S130&lt;&gt;0,IF(Pricetype=1,(_xll.xSPRDOPT(J130,$E130,$CI130,0,($CD130+IF(Smile=TRUE,VLOOKUP(MAX(-5,$H130-J130),Volsmile,2),0)),$CG130,$CH130,($A130-DateToday)+15,1,1))*(8*$HD130),8*$HD130),0)),0))</f>
        <v xml:space="preserve"> </v>
      </c>
      <c r="AC130" s="254" t="str">
        <f t="shared" si="235"/>
        <v xml:space="preserve"> </v>
      </c>
      <c r="AD130" s="254" t="str">
        <f>IF($A130="N/A"," ",IF(VLOOKUP(MONTH(A130),ManualTable,5)=1,(IF(U130&lt;&gt;0,IF(Pricetype=1,(_xll.xSPRDOPT(L130,$E130,$CI130,0,($CD130+IF(Smile=TRUE,VLOOKUP(MAX(-5,$H130-L130),Volsmile,2),0)),$CG130,$CH130,($A130-DateToday)+15,1,1))*(8*$HE130),8*$HE130),0)),0))</f>
        <v xml:space="preserve"> </v>
      </c>
      <c r="AE130" s="254" t="str">
        <f>IF($A130="N/A"," ",IF(VLOOKUP(MONTH(A130),ManualTable,6)=1,(IF(V130&lt;&gt;0,IF(Pricetype=1,(_xll.xSPRDOPT(M130,$E130,$CI130,0,($CD130+IF(Smile=TRUE,VLOOKUP(MAX(-5,$H130-M130),Volsmile,2),0)),$CG130,$CH130,($A130-DateToday)+15,1,1))*(8*$HE130),8*$HE130),0)),0))</f>
        <v xml:space="preserve"> </v>
      </c>
      <c r="AF130" s="254" t="str">
        <f t="shared" si="236"/>
        <v xml:space="preserve"> </v>
      </c>
      <c r="AG130" s="254" t="str">
        <f>IF($A130="N/A"," ",IF(VLOOKUP(MONTH(A130),ManualTable,8)=1,(IF(X130&lt;&gt;0,IF(Pricetype=1,(_xll.xSPRDOPT(O130,$E130,$CI130,0,($CD130+IF(Smile=TRUE,VLOOKUP(MAX(-5,$H130-O130),Volsmile,2),0)),$CG130,$CH130,($A130-DateToday)+15,1,1))*(8*$HF130),8*$HF130),0)),0))</f>
        <v xml:space="preserve"> </v>
      </c>
      <c r="AH130" s="254" t="str">
        <f>IF($A130="N/A"," ",IF(VLOOKUP(MONTH(A130),ManualTable,9)=1,(IF(Y130&lt;&gt;0,IF(Pricetype=1,(_xll.xSPRDOPT(P130,$E130,$CI130,0,($CD130+IF(Smile=TRUE,VLOOKUP(MAX(-5,$H130-P130),Volsmile,2),0)),$CG130,$CH130,($A130-DateToday)+15,1,1))*(8*$HF130),8*$HF130),0)),0))</f>
        <v xml:space="preserve"> </v>
      </c>
      <c r="AI130" s="254" t="str">
        <f t="shared" si="237"/>
        <v xml:space="preserve"> </v>
      </c>
      <c r="AJ130" s="227" t="str">
        <f t="shared" si="335"/>
        <v xml:space="preserve"> </v>
      </c>
      <c r="AK130" s="228" t="str">
        <f t="shared" si="336"/>
        <v xml:space="preserve"> </v>
      </c>
      <c r="AL130" s="228" t="str">
        <f t="shared" si="336"/>
        <v xml:space="preserve"> </v>
      </c>
      <c r="AM130" s="228" t="str">
        <f t="shared" si="337"/>
        <v xml:space="preserve"> </v>
      </c>
      <c r="AN130" s="228" t="str">
        <f t="shared" si="338"/>
        <v xml:space="preserve"> </v>
      </c>
      <c r="AO130" s="228" t="str">
        <f t="shared" si="338"/>
        <v xml:space="preserve"> </v>
      </c>
      <c r="AP130" s="228" t="str">
        <f t="shared" si="339"/>
        <v xml:space="preserve"> </v>
      </c>
      <c r="AQ130" s="228" t="str">
        <f t="shared" si="340"/>
        <v xml:space="preserve"> </v>
      </c>
      <c r="AR130" s="229" t="str">
        <f t="shared" si="341"/>
        <v xml:space="preserve"> </v>
      </c>
      <c r="AS130" s="262" t="str">
        <f t="shared" si="274"/>
        <v xml:space="preserve"> </v>
      </c>
      <c r="AT130" s="263" t="str">
        <f t="shared" si="275"/>
        <v xml:space="preserve"> </v>
      </c>
      <c r="AU130" s="263" t="str">
        <f t="shared" si="275"/>
        <v xml:space="preserve"> </v>
      </c>
      <c r="AV130" s="263" t="str">
        <f t="shared" si="276"/>
        <v xml:space="preserve"> </v>
      </c>
      <c r="AW130" s="263" t="str">
        <f t="shared" si="277"/>
        <v xml:space="preserve"> </v>
      </c>
      <c r="AX130" s="263" t="str">
        <f t="shared" si="277"/>
        <v xml:space="preserve"> </v>
      </c>
      <c r="AY130" s="263" t="str">
        <f t="shared" si="278"/>
        <v xml:space="preserve"> </v>
      </c>
      <c r="AZ130" s="263" t="str">
        <f t="shared" si="279"/>
        <v xml:space="preserve"> </v>
      </c>
      <c r="BA130" s="263" t="str">
        <f t="shared" si="280"/>
        <v xml:space="preserve"> </v>
      </c>
      <c r="BB130" s="229"/>
      <c r="BC130" s="266" t="str">
        <f t="shared" si="328"/>
        <v xml:space="preserve"> </v>
      </c>
      <c r="BD130" s="269" t="str">
        <f t="shared" si="329"/>
        <v xml:space="preserve"> </v>
      </c>
      <c r="BE130" s="269" t="str">
        <f t="shared" si="329"/>
        <v xml:space="preserve"> </v>
      </c>
      <c r="BF130" s="269" t="str">
        <f t="shared" si="330"/>
        <v xml:space="preserve"> </v>
      </c>
      <c r="BG130" s="269" t="str">
        <f t="shared" si="331"/>
        <v xml:space="preserve"> </v>
      </c>
      <c r="BH130" s="269" t="str">
        <f t="shared" si="331"/>
        <v xml:space="preserve"> </v>
      </c>
      <c r="BI130" s="269" t="str">
        <f t="shared" si="332"/>
        <v xml:space="preserve"> </v>
      </c>
      <c r="BJ130" s="269" t="str">
        <f t="shared" si="333"/>
        <v xml:space="preserve"> </v>
      </c>
      <c r="BK130" s="269" t="str">
        <f t="shared" si="334"/>
        <v xml:space="preserve"> </v>
      </c>
      <c r="BL130" s="229"/>
      <c r="BM130" s="220" t="str">
        <f>IF($A130="N/A"," ",(IF(MONTH(A130)&gt;=4,IF(MONTH(A130)&lt;=10,Inputs!$F$13-Inputs!$G$13,Inputs!$F$14-Inputs!$G$14),Inputs!$F$14-Inputs!$G$14))*$CK130*Availability)</f>
        <v xml:space="preserve"> </v>
      </c>
      <c r="BN130" s="221" t="str">
        <f t="shared" si="238"/>
        <v xml:space="preserve"> </v>
      </c>
      <c r="BO130" s="221" t="str">
        <f t="shared" si="239"/>
        <v xml:space="preserve"> </v>
      </c>
      <c r="BP130" s="221" t="str">
        <f t="shared" si="240"/>
        <v xml:space="preserve"> </v>
      </c>
      <c r="BQ130" s="221" t="str">
        <f t="shared" si="241"/>
        <v xml:space="preserve"> </v>
      </c>
      <c r="BR130" s="221" t="str">
        <f t="shared" si="242"/>
        <v xml:space="preserve"> </v>
      </c>
      <c r="BS130" s="221" t="str">
        <f t="shared" si="243"/>
        <v xml:space="preserve"> </v>
      </c>
      <c r="BT130" s="221" t="str">
        <f t="shared" si="244"/>
        <v xml:space="preserve"> </v>
      </c>
      <c r="BU130" s="221" t="str">
        <f t="shared" si="245"/>
        <v xml:space="preserve"> </v>
      </c>
      <c r="BV130" s="221" t="str">
        <f t="shared" si="246"/>
        <v xml:space="preserve"> </v>
      </c>
      <c r="BW130" s="221" t="str">
        <f t="shared" si="247"/>
        <v xml:space="preserve"> </v>
      </c>
      <c r="BX130" s="421" t="str">
        <f t="shared" si="248"/>
        <v xml:space="preserve"> </v>
      </c>
      <c r="BY130" s="417" t="str">
        <f t="shared" si="249"/>
        <v xml:space="preserve"> </v>
      </c>
      <c r="BZ130" s="417" t="str">
        <f t="shared" si="250"/>
        <v xml:space="preserve"> </v>
      </c>
      <c r="CA130" s="422" t="str">
        <f t="shared" si="251"/>
        <v xml:space="preserve"> </v>
      </c>
      <c r="CB130" s="347" t="str">
        <f t="shared" si="195"/>
        <v xml:space="preserve"> </v>
      </c>
      <c r="CC130" s="347" t="str">
        <f t="shared" si="252"/>
        <v xml:space="preserve"> </v>
      </c>
      <c r="CD130" s="348" t="str">
        <f t="shared" si="196"/>
        <v xml:space="preserve"> </v>
      </c>
      <c r="CE130" s="347" t="str">
        <f t="shared" si="197"/>
        <v xml:space="preserve"> </v>
      </c>
      <c r="CF130" s="347" t="str">
        <f t="shared" si="198"/>
        <v xml:space="preserve"> </v>
      </c>
      <c r="CG130" s="348" t="str">
        <f t="shared" si="199"/>
        <v xml:space="preserve"> </v>
      </c>
      <c r="CH130" s="347" t="str">
        <f t="shared" si="253"/>
        <v xml:space="preserve"> </v>
      </c>
      <c r="CI130" s="349" t="str">
        <f>IF($A130="N/A"," ",F130+G130+(D130*('Pricing Inputs'!T163)))</f>
        <v xml:space="preserve"> </v>
      </c>
      <c r="CJ130" s="347" t="str">
        <f>IF($A130="N/A"," ",IF(PV=1,0,'Pricing Inputs'!U163))</f>
        <v xml:space="preserve"> </v>
      </c>
      <c r="CK130" s="350" t="str">
        <f t="shared" si="200"/>
        <v xml:space="preserve"> </v>
      </c>
      <c r="CL130" s="365" t="str">
        <f t="shared" si="201"/>
        <v xml:space="preserve"> </v>
      </c>
      <c r="CM130" s="380" t="str">
        <f t="shared" si="254"/>
        <v xml:space="preserve"> </v>
      </c>
      <c r="CN130" s="378" t="str">
        <f t="shared" si="202"/>
        <v xml:space="preserve"> </v>
      </c>
      <c r="CO130" s="378" t="str">
        <f t="shared" si="203"/>
        <v xml:space="preserve"> </v>
      </c>
      <c r="CP130" s="378" t="str">
        <f t="shared" si="204"/>
        <v xml:space="preserve"> </v>
      </c>
      <c r="CQ130" s="378" t="str">
        <f t="shared" si="205"/>
        <v xml:space="preserve"> </v>
      </c>
      <c r="CR130" s="378" t="str">
        <f t="shared" si="206"/>
        <v xml:space="preserve"> </v>
      </c>
      <c r="CS130" s="378" t="str">
        <f t="shared" si="207"/>
        <v xml:space="preserve"> </v>
      </c>
      <c r="CT130" s="378" t="str">
        <f t="shared" si="208"/>
        <v xml:space="preserve"> </v>
      </c>
      <c r="CU130" s="378" t="str">
        <f t="shared" si="209"/>
        <v xml:space="preserve"> </v>
      </c>
      <c r="CV130" s="378" t="str">
        <f t="shared" si="210"/>
        <v xml:space="preserve"> </v>
      </c>
      <c r="CW130" s="254" t="str">
        <f t="shared" si="211"/>
        <v xml:space="preserve"> </v>
      </c>
      <c r="CX130" s="254" t="str">
        <f t="shared" si="212"/>
        <v xml:space="preserve"> </v>
      </c>
      <c r="CY130" s="254" t="str">
        <f t="shared" si="213"/>
        <v xml:space="preserve"> </v>
      </c>
      <c r="CZ130" s="254" t="str">
        <f t="shared" si="214"/>
        <v xml:space="preserve"> </v>
      </c>
      <c r="DA130" s="254" t="str">
        <f t="shared" si="215"/>
        <v xml:space="preserve"> </v>
      </c>
      <c r="DB130" s="254" t="str">
        <f t="shared" si="216"/>
        <v xml:space="preserve"> </v>
      </c>
      <c r="DC130" s="254" t="str">
        <f t="shared" si="217"/>
        <v xml:space="preserve"> </v>
      </c>
      <c r="DD130" s="254" t="str">
        <f t="shared" si="218"/>
        <v xml:space="preserve"> </v>
      </c>
      <c r="DE130" s="254" t="str">
        <f t="shared" si="219"/>
        <v xml:space="preserve"> </v>
      </c>
      <c r="DF130" s="374" t="str">
        <f>IF($A130="N/A"," ",IF(CC=2,(IF(MONTH(A130)&gt;=4,IF(MONTH(A130)&lt;=10,Inputs!$G$13,Inputs!$G$14),Inputs!$G$14))*$CK130,0))</f>
        <v xml:space="preserve"> </v>
      </c>
      <c r="DG130" s="373" t="str">
        <f t="shared" si="220"/>
        <v xml:space="preserve"> </v>
      </c>
      <c r="DH130" s="373" t="str">
        <f t="shared" si="221"/>
        <v xml:space="preserve"> </v>
      </c>
      <c r="DI130" s="373" t="str">
        <f t="shared" si="222"/>
        <v xml:space="preserve"> </v>
      </c>
      <c r="DJ130" s="373" t="str">
        <f t="shared" si="223"/>
        <v xml:space="preserve"> </v>
      </c>
      <c r="DK130" s="373" t="str">
        <f t="shared" si="224"/>
        <v xml:space="preserve"> </v>
      </c>
      <c r="DL130" s="373" t="str">
        <f t="shared" si="225"/>
        <v xml:space="preserve"> </v>
      </c>
      <c r="DM130" s="373" t="str">
        <f t="shared" si="226"/>
        <v xml:space="preserve"> </v>
      </c>
      <c r="DN130" s="373" t="str">
        <f t="shared" si="227"/>
        <v xml:space="preserve"> </v>
      </c>
      <c r="DO130" s="373" t="str">
        <f t="shared" si="228"/>
        <v xml:space="preserve"> </v>
      </c>
      <c r="DP130" s="375" t="str">
        <f t="shared" si="229"/>
        <v xml:space="preserve"> </v>
      </c>
      <c r="DQ130" t="str">
        <f t="shared" si="255"/>
        <v xml:space="preserve"> </v>
      </c>
      <c r="HD130" t="str">
        <f t="shared" si="256"/>
        <v xml:space="preserve"> </v>
      </c>
      <c r="HE130" t="str">
        <f t="shared" si="257"/>
        <v xml:space="preserve"> </v>
      </c>
      <c r="HF130" t="str">
        <f t="shared" si="258"/>
        <v xml:space="preserve"> </v>
      </c>
    </row>
    <row r="131" spans="1:214">
      <c r="A131" s="415" t="str">
        <f>IF(A130="N/A","N/A",IF(EDATE(A130,1)&gt;Inputs!$K$3,"N/A",EDATE(A130,1)))</f>
        <v>N/A</v>
      </c>
      <c r="B131" s="410" t="str">
        <f t="shared" si="230"/>
        <v xml:space="preserve"> </v>
      </c>
      <c r="C131" s="411" t="str">
        <f t="shared" si="231"/>
        <v xml:space="preserve"> </v>
      </c>
      <c r="D131" s="412" t="str">
        <f t="shared" si="232"/>
        <v xml:space="preserve"> </v>
      </c>
      <c r="E131" s="413" t="str">
        <f>IF($A131="N/A"," ",(C131-'Pricing Inputs'!T164)*D131)</f>
        <v xml:space="preserve"> </v>
      </c>
      <c r="F131" s="414" t="str">
        <f t="shared" si="281"/>
        <v xml:space="preserve"> </v>
      </c>
      <c r="G131" s="414" t="str">
        <f t="shared" si="233"/>
        <v xml:space="preserve"> </v>
      </c>
      <c r="H131" s="416" t="str">
        <f t="shared" si="234"/>
        <v xml:space="preserve"> </v>
      </c>
      <c r="I131" s="213" t="str">
        <f t="shared" si="183"/>
        <v xml:space="preserve"> </v>
      </c>
      <c r="J131" s="213" t="str">
        <f t="shared" si="184"/>
        <v xml:space="preserve"> </v>
      </c>
      <c r="K131" s="213" t="str">
        <f t="shared" si="185"/>
        <v xml:space="preserve"> </v>
      </c>
      <c r="L131" s="213" t="str">
        <f t="shared" si="186"/>
        <v xml:space="preserve"> </v>
      </c>
      <c r="M131" s="213" t="str">
        <f t="shared" si="187"/>
        <v xml:space="preserve"> </v>
      </c>
      <c r="N131" s="213" t="str">
        <f t="shared" si="188"/>
        <v xml:space="preserve"> </v>
      </c>
      <c r="O131" s="213" t="str">
        <f t="shared" si="189"/>
        <v xml:space="preserve"> </v>
      </c>
      <c r="P131" s="213" t="str">
        <f t="shared" si="190"/>
        <v xml:space="preserve"> </v>
      </c>
      <c r="Q131" s="213" t="str">
        <f t="shared" si="191"/>
        <v xml:space="preserve"> </v>
      </c>
      <c r="R131" s="405" t="str">
        <f>IF($A131="N/A"," ",IF(Pricetype=2,MAX(I131-$H131,0),IF(Pricetype=1,(_xll.xSPRDOPT(I131,$E131,$CI131,0,($CD131+IF(Smile=TRUE,VLOOKUP(MAX(-5,$H131-I131),Volsmile,2),0)),$CG131,$CH131,($A131-DateToday)+15,1,0)),I131-$H131)))</f>
        <v xml:space="preserve"> </v>
      </c>
      <c r="S131" s="405" t="str">
        <f>IF($A131="N/A"," ",IF(Pricetype=2,MAX(J131-$H131,0),IF(Pricetype=1,(_xll.xSPRDOPT(J131,$E131,$CI131,0,($CD131+IF(Smile=TRUE,VLOOKUP(MAX(-5,$H131-J131),Volsmile,2),0)),$CG131,$CH131,($A131-DateToday)+15,1,0)),J131-$H131)))</f>
        <v xml:space="preserve"> </v>
      </c>
      <c r="T131" s="406" t="str">
        <f t="shared" si="192"/>
        <v xml:space="preserve"> </v>
      </c>
      <c r="U131" s="405" t="str">
        <f>IF($A131="N/A"," ",IF(Pricetype=2,MAX(L131-$H131,0),IF(L131&lt;&gt;0,IF(Pricetype=1,(_xll.xSPRDOPT(L131,$E131,$CI131,0,($CD131+IF(Smile=TRUE,VLOOKUP(MAX(-5,$H131-L131),Volsmile,2),0)),$CG131,$CH131,($A131-DateToday)+15,1,0)),L131-$H131),0)))</f>
        <v xml:space="preserve"> </v>
      </c>
      <c r="V131" s="405" t="str">
        <f>IF($A131="N/A"," ",IF(Pricetype=2,MAX(M131-$H131,0),IF(M131&lt;&gt;0,IF(Pricetype=1,(_xll.xSPRDOPT(M131,$E131,$CI131,0,($CD131+IF(Smile=TRUE,VLOOKUP(MAX(-5,$H131-M131),Volsmile,2),0)),$CG131,$CH131,($A131-DateToday)+15,1,0)),M131-$H131),0)))</f>
        <v xml:space="preserve"> </v>
      </c>
      <c r="W131" s="406" t="str">
        <f t="shared" si="193"/>
        <v xml:space="preserve"> </v>
      </c>
      <c r="X131" s="405" t="str">
        <f>IF($A131="N/A"," ",IF(Pricetype=2,MAX(O131-$H131,0),IF(O131&lt;&gt;0,IF(Pricetype=1,(_xll.xSPRDOPT(O131,$E131,$CI131,0,($CD131+IF(Smile=TRUE,VLOOKUP(MAX(-5,$H131-O131),Volsmile,2),0)),$CG131,$CH131,($A131-DateToday)+15,1,0)),O131-$H131),0)))</f>
        <v xml:space="preserve"> </v>
      </c>
      <c r="Y131" s="405" t="str">
        <f>IF($A131="N/A"," ",IF(Pricetype=2,MAX(P131-$H131,0),IF(P131&lt;&gt;0,IF(Pricetype=1,(_xll.xSPRDOPT(P131,$E131,$CI131,0,($CD131+IF(Smile=TRUE,VLOOKUP(MAX(-5,$H131-P131),Volsmile,2),0)),$CG131,$CH131,($A131-DateToday)+15,1,0)),P131-$H131),0)))</f>
        <v xml:space="preserve"> </v>
      </c>
      <c r="Z131" s="406" t="str">
        <f t="shared" si="194"/>
        <v xml:space="preserve"> </v>
      </c>
      <c r="AA131" s="254" t="str">
        <f>IF($A131="N/A"," ",IF(VLOOKUP(MONTH(A131),ManualTable,2)=1,(IF(0&lt;&gt;R131,IF(Pricetype=1,(_xll.xSPRDOPT(I131,$E131,$CI131,0,($CD131+IF(Smile=TRUE,VLOOKUP(MAX(-5,$H131-I131),Volsmile,2),0)),$CG131,$CH131,($A131-DateToday)+15,1,1))*(8*$HD131),8*$HD131),0)),0))</f>
        <v xml:space="preserve"> </v>
      </c>
      <c r="AB131" s="254" t="str">
        <f>IF($A131="N/A"," ",IF(VLOOKUP(MONTH(A131),ManualTable,3)=1,(IF(S131&lt;&gt;0,IF(Pricetype=1,(_xll.xSPRDOPT(J131,$E131,$CI131,0,($CD131+IF(Smile=TRUE,VLOOKUP(MAX(-5,$H131-J131),Volsmile,2),0)),$CG131,$CH131,($A131-DateToday)+15,1,1))*(8*$HD131),8*$HD131),0)),0))</f>
        <v xml:space="preserve"> </v>
      </c>
      <c r="AC131" s="254" t="str">
        <f t="shared" si="235"/>
        <v xml:space="preserve"> </v>
      </c>
      <c r="AD131" s="254" t="str">
        <f>IF($A131="N/A"," ",IF(VLOOKUP(MONTH(A131),ManualTable,5)=1,(IF(U131&lt;&gt;0,IF(Pricetype=1,(_xll.xSPRDOPT(L131,$E131,$CI131,0,($CD131+IF(Smile=TRUE,VLOOKUP(MAX(-5,$H131-L131),Volsmile,2),0)),$CG131,$CH131,($A131-DateToday)+15,1,1))*(8*$HE131),8*$HE131),0)),0))</f>
        <v xml:space="preserve"> </v>
      </c>
      <c r="AE131" s="254" t="str">
        <f>IF($A131="N/A"," ",IF(VLOOKUP(MONTH(A131),ManualTable,6)=1,(IF(V131&lt;&gt;0,IF(Pricetype=1,(_xll.xSPRDOPT(M131,$E131,$CI131,0,($CD131+IF(Smile=TRUE,VLOOKUP(MAX(-5,$H131-M131),Volsmile,2),0)),$CG131,$CH131,($A131-DateToday)+15,1,1))*(8*$HE131),8*$HE131),0)),0))</f>
        <v xml:space="preserve"> </v>
      </c>
      <c r="AF131" s="254" t="str">
        <f t="shared" si="236"/>
        <v xml:space="preserve"> </v>
      </c>
      <c r="AG131" s="254" t="str">
        <f>IF($A131="N/A"," ",IF(VLOOKUP(MONTH(A131),ManualTable,8)=1,(IF(X131&lt;&gt;0,IF(Pricetype=1,(_xll.xSPRDOPT(O131,$E131,$CI131,0,($CD131+IF(Smile=TRUE,VLOOKUP(MAX(-5,$H131-O131),Volsmile,2),0)),$CG131,$CH131,($A131-DateToday)+15,1,1))*(8*$HF131),8*$HF131),0)),0))</f>
        <v xml:space="preserve"> </v>
      </c>
      <c r="AH131" s="254" t="str">
        <f>IF($A131="N/A"," ",IF(VLOOKUP(MONTH(A131),ManualTable,9)=1,(IF(Y131&lt;&gt;0,IF(Pricetype=1,(_xll.xSPRDOPT(P131,$E131,$CI131,0,($CD131+IF(Smile=TRUE,VLOOKUP(MAX(-5,$H131-P131),Volsmile,2),0)),$CG131,$CH131,($A131-DateToday)+15,1,1))*(8*$HF131),8*$HF131),0)),0))</f>
        <v xml:space="preserve"> </v>
      </c>
      <c r="AI131" s="254" t="str">
        <f t="shared" si="237"/>
        <v xml:space="preserve"> </v>
      </c>
      <c r="AJ131" s="227" t="str">
        <f t="shared" si="335"/>
        <v xml:space="preserve"> </v>
      </c>
      <c r="AK131" s="228" t="str">
        <f t="shared" si="336"/>
        <v xml:space="preserve"> </v>
      </c>
      <c r="AL131" s="228" t="str">
        <f t="shared" si="336"/>
        <v xml:space="preserve"> </v>
      </c>
      <c r="AM131" s="228" t="str">
        <f t="shared" si="337"/>
        <v xml:space="preserve"> </v>
      </c>
      <c r="AN131" s="228" t="str">
        <f t="shared" si="338"/>
        <v xml:space="preserve"> </v>
      </c>
      <c r="AO131" s="228" t="str">
        <f t="shared" si="338"/>
        <v xml:space="preserve"> </v>
      </c>
      <c r="AP131" s="228" t="str">
        <f t="shared" si="339"/>
        <v xml:space="preserve"> </v>
      </c>
      <c r="AQ131" s="228" t="str">
        <f t="shared" si="340"/>
        <v xml:space="preserve"> </v>
      </c>
      <c r="AR131" s="229" t="str">
        <f t="shared" si="341"/>
        <v xml:space="preserve"> </v>
      </c>
      <c r="AS131" s="262" t="str">
        <f t="shared" si="274"/>
        <v xml:space="preserve"> </v>
      </c>
      <c r="AT131" s="263" t="str">
        <f t="shared" si="275"/>
        <v xml:space="preserve"> </v>
      </c>
      <c r="AU131" s="263" t="str">
        <f t="shared" si="275"/>
        <v xml:space="preserve"> </v>
      </c>
      <c r="AV131" s="263" t="str">
        <f t="shared" si="276"/>
        <v xml:space="preserve"> </v>
      </c>
      <c r="AW131" s="263" t="str">
        <f t="shared" si="277"/>
        <v xml:space="preserve"> </v>
      </c>
      <c r="AX131" s="263" t="str">
        <f t="shared" si="277"/>
        <v xml:space="preserve"> </v>
      </c>
      <c r="AY131" s="263" t="str">
        <f t="shared" si="278"/>
        <v xml:space="preserve"> </v>
      </c>
      <c r="AZ131" s="263" t="str">
        <f t="shared" si="279"/>
        <v xml:space="preserve"> </v>
      </c>
      <c r="BA131" s="263" t="str">
        <f t="shared" si="280"/>
        <v xml:space="preserve"> </v>
      </c>
      <c r="BB131" s="229"/>
      <c r="BC131" s="266" t="str">
        <f t="shared" si="328"/>
        <v xml:space="preserve"> </v>
      </c>
      <c r="BD131" s="269" t="str">
        <f t="shared" si="329"/>
        <v xml:space="preserve"> </v>
      </c>
      <c r="BE131" s="269" t="str">
        <f t="shared" si="329"/>
        <v xml:space="preserve"> </v>
      </c>
      <c r="BF131" s="269" t="str">
        <f t="shared" si="330"/>
        <v xml:space="preserve"> </v>
      </c>
      <c r="BG131" s="269" t="str">
        <f t="shared" si="331"/>
        <v xml:space="preserve"> </v>
      </c>
      <c r="BH131" s="269" t="str">
        <f t="shared" si="331"/>
        <v xml:space="preserve"> </v>
      </c>
      <c r="BI131" s="269" t="str">
        <f t="shared" si="332"/>
        <v xml:space="preserve"> </v>
      </c>
      <c r="BJ131" s="269" t="str">
        <f t="shared" si="333"/>
        <v xml:space="preserve"> </v>
      </c>
      <c r="BK131" s="269" t="str">
        <f t="shared" si="334"/>
        <v xml:space="preserve"> </v>
      </c>
      <c r="BL131" s="229"/>
      <c r="BM131" s="220" t="str">
        <f>IF($A131="N/A"," ",(IF(MONTH(A131)&gt;=4,IF(MONTH(A131)&lt;=10,Inputs!$F$13-Inputs!$G$13,Inputs!$F$14-Inputs!$G$14),Inputs!$F$14-Inputs!$G$14))*$CK131*Availability)</f>
        <v xml:space="preserve"> </v>
      </c>
      <c r="BN131" s="221" t="str">
        <f t="shared" si="238"/>
        <v xml:space="preserve"> </v>
      </c>
      <c r="BO131" s="221" t="str">
        <f t="shared" si="239"/>
        <v xml:space="preserve"> </v>
      </c>
      <c r="BP131" s="221" t="str">
        <f t="shared" si="240"/>
        <v xml:space="preserve"> </v>
      </c>
      <c r="BQ131" s="221" t="str">
        <f t="shared" si="241"/>
        <v xml:space="preserve"> </v>
      </c>
      <c r="BR131" s="221" t="str">
        <f t="shared" si="242"/>
        <v xml:space="preserve"> </v>
      </c>
      <c r="BS131" s="221" t="str">
        <f t="shared" si="243"/>
        <v xml:space="preserve"> </v>
      </c>
      <c r="BT131" s="221" t="str">
        <f t="shared" si="244"/>
        <v xml:space="preserve"> </v>
      </c>
      <c r="BU131" s="221" t="str">
        <f t="shared" si="245"/>
        <v xml:space="preserve"> </v>
      </c>
      <c r="BV131" s="221" t="str">
        <f t="shared" si="246"/>
        <v xml:space="preserve"> </v>
      </c>
      <c r="BW131" s="221" t="str">
        <f t="shared" si="247"/>
        <v xml:space="preserve"> </v>
      </c>
      <c r="BX131" s="421" t="str">
        <f t="shared" si="248"/>
        <v xml:space="preserve"> </v>
      </c>
      <c r="BY131" s="417" t="str">
        <f t="shared" si="249"/>
        <v xml:space="preserve"> </v>
      </c>
      <c r="BZ131" s="417" t="str">
        <f t="shared" si="250"/>
        <v xml:space="preserve"> </v>
      </c>
      <c r="CA131" s="422" t="str">
        <f t="shared" si="251"/>
        <v xml:space="preserve"> </v>
      </c>
      <c r="CB131" s="347" t="str">
        <f t="shared" si="195"/>
        <v xml:space="preserve"> </v>
      </c>
      <c r="CC131" s="347" t="str">
        <f t="shared" si="252"/>
        <v xml:space="preserve"> </v>
      </c>
      <c r="CD131" s="348" t="str">
        <f t="shared" si="196"/>
        <v xml:space="preserve"> </v>
      </c>
      <c r="CE131" s="347" t="str">
        <f t="shared" si="197"/>
        <v xml:space="preserve"> </v>
      </c>
      <c r="CF131" s="347" t="str">
        <f t="shared" si="198"/>
        <v xml:space="preserve"> </v>
      </c>
      <c r="CG131" s="348" t="str">
        <f t="shared" si="199"/>
        <v xml:space="preserve"> </v>
      </c>
      <c r="CH131" s="347" t="str">
        <f t="shared" si="253"/>
        <v xml:space="preserve"> </v>
      </c>
      <c r="CI131" s="349" t="str">
        <f>IF($A131="N/A"," ",F131+G131+(D131*('Pricing Inputs'!T164)))</f>
        <v xml:space="preserve"> </v>
      </c>
      <c r="CJ131" s="347" t="str">
        <f>IF($A131="N/A"," ",IF(PV=1,0,'Pricing Inputs'!U164))</f>
        <v xml:space="preserve"> </v>
      </c>
      <c r="CK131" s="350" t="str">
        <f t="shared" si="200"/>
        <v xml:space="preserve"> </v>
      </c>
      <c r="CL131" s="365" t="str">
        <f t="shared" si="201"/>
        <v xml:space="preserve"> </v>
      </c>
      <c r="CM131" s="380" t="str">
        <f t="shared" si="254"/>
        <v xml:space="preserve"> </v>
      </c>
      <c r="CN131" s="378" t="str">
        <f t="shared" si="202"/>
        <v xml:space="preserve"> </v>
      </c>
      <c r="CO131" s="378" t="str">
        <f t="shared" si="203"/>
        <v xml:space="preserve"> </v>
      </c>
      <c r="CP131" s="378" t="str">
        <f t="shared" si="204"/>
        <v xml:space="preserve"> </v>
      </c>
      <c r="CQ131" s="378" t="str">
        <f t="shared" si="205"/>
        <v xml:space="preserve"> </v>
      </c>
      <c r="CR131" s="378" t="str">
        <f t="shared" si="206"/>
        <v xml:space="preserve"> </v>
      </c>
      <c r="CS131" s="378" t="str">
        <f t="shared" si="207"/>
        <v xml:space="preserve"> </v>
      </c>
      <c r="CT131" s="378" t="str">
        <f t="shared" si="208"/>
        <v xml:space="preserve"> </v>
      </c>
      <c r="CU131" s="378" t="str">
        <f t="shared" si="209"/>
        <v xml:space="preserve"> </v>
      </c>
      <c r="CV131" s="378" t="str">
        <f t="shared" si="210"/>
        <v xml:space="preserve"> </v>
      </c>
      <c r="CW131" s="254" t="str">
        <f t="shared" si="211"/>
        <v xml:space="preserve"> </v>
      </c>
      <c r="CX131" s="254" t="str">
        <f t="shared" si="212"/>
        <v xml:space="preserve"> </v>
      </c>
      <c r="CY131" s="254" t="str">
        <f t="shared" si="213"/>
        <v xml:space="preserve"> </v>
      </c>
      <c r="CZ131" s="254" t="str">
        <f t="shared" si="214"/>
        <v xml:space="preserve"> </v>
      </c>
      <c r="DA131" s="254" t="str">
        <f t="shared" si="215"/>
        <v xml:space="preserve"> </v>
      </c>
      <c r="DB131" s="254" t="str">
        <f t="shared" si="216"/>
        <v xml:space="preserve"> </v>
      </c>
      <c r="DC131" s="254" t="str">
        <f t="shared" si="217"/>
        <v xml:space="preserve"> </v>
      </c>
      <c r="DD131" s="254" t="str">
        <f t="shared" si="218"/>
        <v xml:space="preserve"> </v>
      </c>
      <c r="DE131" s="254" t="str">
        <f t="shared" si="219"/>
        <v xml:space="preserve"> </v>
      </c>
      <c r="DF131" s="374" t="str">
        <f>IF($A131="N/A"," ",IF(CC=2,(IF(MONTH(A131)&gt;=4,IF(MONTH(A131)&lt;=10,Inputs!$G$13,Inputs!$G$14),Inputs!$G$14))*$CK131,0))</f>
        <v xml:space="preserve"> </v>
      </c>
      <c r="DG131" s="373" t="str">
        <f t="shared" si="220"/>
        <v xml:space="preserve"> </v>
      </c>
      <c r="DH131" s="373" t="str">
        <f t="shared" si="221"/>
        <v xml:space="preserve"> </v>
      </c>
      <c r="DI131" s="373" t="str">
        <f t="shared" si="222"/>
        <v xml:space="preserve"> </v>
      </c>
      <c r="DJ131" s="373" t="str">
        <f t="shared" si="223"/>
        <v xml:space="preserve"> </v>
      </c>
      <c r="DK131" s="373" t="str">
        <f t="shared" si="224"/>
        <v xml:space="preserve"> </v>
      </c>
      <c r="DL131" s="373" t="str">
        <f t="shared" si="225"/>
        <v xml:space="preserve"> </v>
      </c>
      <c r="DM131" s="373" t="str">
        <f t="shared" si="226"/>
        <v xml:space="preserve"> </v>
      </c>
      <c r="DN131" s="373" t="str">
        <f t="shared" si="227"/>
        <v xml:space="preserve"> </v>
      </c>
      <c r="DO131" s="373" t="str">
        <f t="shared" si="228"/>
        <v xml:space="preserve"> </v>
      </c>
      <c r="DP131" s="375" t="str">
        <f t="shared" si="229"/>
        <v xml:space="preserve"> </v>
      </c>
      <c r="DQ131" t="str">
        <f t="shared" si="255"/>
        <v xml:space="preserve"> </v>
      </c>
      <c r="HD131" t="str">
        <f t="shared" si="256"/>
        <v xml:space="preserve"> </v>
      </c>
      <c r="HE131" t="str">
        <f t="shared" si="257"/>
        <v xml:space="preserve"> </v>
      </c>
      <c r="HF131" t="str">
        <f t="shared" si="258"/>
        <v xml:space="preserve"> </v>
      </c>
    </row>
    <row r="132" spans="1:214">
      <c r="A132" s="415" t="str">
        <f>IF(A131="N/A","N/A",IF(EDATE(A131,1)&gt;Inputs!$K$3,"N/A",EDATE(A131,1)))</f>
        <v>N/A</v>
      </c>
      <c r="B132" s="410" t="str">
        <f t="shared" si="230"/>
        <v xml:space="preserve"> </v>
      </c>
      <c r="C132" s="411" t="str">
        <f t="shared" si="231"/>
        <v xml:space="preserve"> </v>
      </c>
      <c r="D132" s="412" t="str">
        <f t="shared" si="232"/>
        <v xml:space="preserve"> </v>
      </c>
      <c r="E132" s="413" t="str">
        <f>IF($A132="N/A"," ",(C132-'Pricing Inputs'!T165)*D132)</f>
        <v xml:space="preserve"> </v>
      </c>
      <c r="F132" s="414" t="str">
        <f t="shared" si="281"/>
        <v xml:space="preserve"> </v>
      </c>
      <c r="G132" s="414" t="str">
        <f t="shared" si="233"/>
        <v xml:space="preserve"> </v>
      </c>
      <c r="H132" s="416" t="str">
        <f t="shared" si="234"/>
        <v xml:space="preserve"> </v>
      </c>
      <c r="I132" s="213" t="str">
        <f t="shared" ref="I132:I195" si="342">VLOOKUP(A132,ScaledPrice,(IF(AND(Dayrun&gt;=1,Dayrun&lt;=6),2,4)))</f>
        <v xml:space="preserve"> </v>
      </c>
      <c r="J132" s="213" t="str">
        <f t="shared" ref="J132:J195" si="343">IF(A132="N/A"," ",IF(AND(Dayrun&gt;=1,Dayrun&lt;=6),I132,(VLOOKUP(A132,ScaledPrice,2))*(2-(VLOOKUP(A132,ScaledPrice,3)))))</f>
        <v xml:space="preserve"> </v>
      </c>
      <c r="K132" s="213" t="str">
        <f t="shared" ref="K132:K195" si="344">IF(A132="N/A"," ",IF(AND(Dayrun&gt;=1,Dayrun&lt;=3),VLOOKUP(A132,ScaledPrice,9),0))</f>
        <v xml:space="preserve"> </v>
      </c>
      <c r="L132" s="213" t="str">
        <f t="shared" ref="L132:L195" si="345">IF(A132="N/A"," ",IF(OR(Dayrun=2,Dayrun=3,Dayrun=5,Dayrun=6,Dayrun=8,Dayrun=9),VLOOKUP(A132,ScaledPrice,IF(AND(Dayrun&gt;=2,Dayrun&lt;=6),5,6)),0))</f>
        <v xml:space="preserve"> </v>
      </c>
      <c r="M132" s="213" t="str">
        <f t="shared" ref="M132:M195" si="346">IF(A132="N/A"," ",IF(OR(Dayrun=2,Dayrun=3,Dayrun=5,Dayrun=6,Dayrun=8,Dayrun=9),IF(AND(Dayrun&gt;=2,Dayrun&lt;=6),L132,(VLOOKUP(A132,ScaledPrice,5))*(2-(VLOOKUP(A132,ScaledPrice,3)))),0))</f>
        <v xml:space="preserve"> </v>
      </c>
      <c r="N132" s="213" t="str">
        <f t="shared" ref="N132:N195" si="347">IF(A132="N/A"," ",IF(AND(Dayrun&gt;1,Dayrun&lt;=3),VLOOKUP(A132,ScaledPrice,9),0))</f>
        <v xml:space="preserve"> </v>
      </c>
      <c r="O132" s="213" t="str">
        <f t="shared" ref="O132:O195" si="348">IF(A132="N/A"," ",IF(OR(Dayrun=3,Dayrun=6,Dayrun=9),(VLOOKUP(A132,ScaledPrice,IF(AND(Dayrun&gt;=3,Dayrun&lt;=6),7,8))),0))</f>
        <v xml:space="preserve"> </v>
      </c>
      <c r="P132" s="213" t="str">
        <f t="shared" ref="P132:P195" si="349">IF(A132="N/A"," ",IF(OR(Dayrun=3,Dayrun=6,Dayrun=9),IF(AND(Dayrun&gt;=3,Dayrun&lt;=6),O132,(VLOOKUP(A132,ScaledPrice,7))*(2-(VLOOKUP(A132,ScaledPrice,3)))),0))</f>
        <v xml:space="preserve"> </v>
      </c>
      <c r="Q132" s="213" t="str">
        <f t="shared" ref="Q132:Q195" si="350">IF(A132="N/A"," ",IF(AND(Dayrun&gt;2,Dayrun&lt;=3),VLOOKUP(A132,ScaledPrice,9),0))</f>
        <v xml:space="preserve"> </v>
      </c>
      <c r="R132" s="405" t="str">
        <f>IF($A132="N/A"," ",IF(Pricetype=2,MAX(I132-$H132,0),IF(Pricetype=1,(_xll.xSPRDOPT(I132,$E132,$CI132,0,($CD132+IF(Smile=TRUE,VLOOKUP(MAX(-5,$H132-I132),Volsmile,2),0)),$CG132,$CH132,($A132-DateToday)+15,1,0)),I132-$H132)))</f>
        <v xml:space="preserve"> </v>
      </c>
      <c r="S132" s="405" t="str">
        <f>IF($A132="N/A"," ",IF(Pricetype=2,MAX(J132-$H132,0),IF(Pricetype=1,(_xll.xSPRDOPT(J132,$E132,$CI132,0,($CD132+IF(Smile=TRUE,VLOOKUP(MAX(-5,$H132-J132),Volsmile,2),0)),$CG132,$CH132,($A132-DateToday)+15,1,0)),J132-$H132)))</f>
        <v xml:space="preserve"> </v>
      </c>
      <c r="T132" s="406" t="str">
        <f t="shared" ref="T132:T195" si="351">IF($A132="N/A"," ",(IF(Pricetype=2,IF((K132-$H132)&lt;=0,0,(K132-$H132)),IF(K132&lt;&gt;0,(K132-$H132),0))))</f>
        <v xml:space="preserve"> </v>
      </c>
      <c r="U132" s="405" t="str">
        <f>IF($A132="N/A"," ",IF(Pricetype=2,MAX(L132-$H132,0),IF(L132&lt;&gt;0,IF(Pricetype=1,(_xll.xSPRDOPT(L132,$E132,$CI132,0,($CD132+IF(Smile=TRUE,VLOOKUP(MAX(-5,$H132-L132),Volsmile,2),0)),$CG132,$CH132,($A132-DateToday)+15,1,0)),L132-$H132),0)))</f>
        <v xml:space="preserve"> </v>
      </c>
      <c r="V132" s="405" t="str">
        <f>IF($A132="N/A"," ",IF(Pricetype=2,MAX(M132-$H132,0),IF(M132&lt;&gt;0,IF(Pricetype=1,(_xll.xSPRDOPT(M132,$E132,$CI132,0,($CD132+IF(Smile=TRUE,VLOOKUP(MAX(-5,$H132-M132),Volsmile,2),0)),$CG132,$CH132,($A132-DateToday)+15,1,0)),M132-$H132),0)))</f>
        <v xml:space="preserve"> </v>
      </c>
      <c r="W132" s="406" t="str">
        <f t="shared" ref="W132:W195" si="352">IF($A132="N/A"," ",(IF(Pricetype=2,IF((N132-$H132)&lt;=0,0,(N132-$H132)),IF(N132&lt;&gt;0,(N132-$H132),0))))</f>
        <v xml:space="preserve"> </v>
      </c>
      <c r="X132" s="405" t="str">
        <f>IF($A132="N/A"," ",IF(Pricetype=2,MAX(O132-$H132,0),IF(O132&lt;&gt;0,IF(Pricetype=1,(_xll.xSPRDOPT(O132,$E132,$CI132,0,($CD132+IF(Smile=TRUE,VLOOKUP(MAX(-5,$H132-O132),Volsmile,2),0)),$CG132,$CH132,($A132-DateToday)+15,1,0)),O132-$H132),0)))</f>
        <v xml:space="preserve"> </v>
      </c>
      <c r="Y132" s="405" t="str">
        <f>IF($A132="N/A"," ",IF(Pricetype=2,MAX(P132-$H132,0),IF(P132&lt;&gt;0,IF(Pricetype=1,(_xll.xSPRDOPT(P132,$E132,$CI132,0,($CD132+IF(Smile=TRUE,VLOOKUP(MAX(-5,$H132-P132),Volsmile,2),0)),$CG132,$CH132,($A132-DateToday)+15,1,0)),P132-$H132),0)))</f>
        <v xml:space="preserve"> </v>
      </c>
      <c r="Z132" s="406" t="str">
        <f t="shared" ref="Z132:Z195" si="353">IF($A132="N/A"," ",(IF(Pricetype=2,IF((Q132-$H132)&lt;=0,0,(Q132-$H132)),IF(Q132&lt;&gt;0,(Q132-$H132),0))))</f>
        <v xml:space="preserve"> </v>
      </c>
      <c r="AA132" s="254" t="str">
        <f>IF($A132="N/A"," ",IF(VLOOKUP(MONTH(A132),ManualTable,2)=1,(IF(0&lt;&gt;R132,IF(Pricetype=1,(_xll.xSPRDOPT(I132,$E132,$CI132,0,($CD132+IF(Smile=TRUE,VLOOKUP(MAX(-5,$H132-I132),Volsmile,2),0)),$CG132,$CH132,($A132-DateToday)+15,1,1))*(8*$HD132),8*$HD132),0)),0))</f>
        <v xml:space="preserve"> </v>
      </c>
      <c r="AB132" s="254" t="str">
        <f>IF($A132="N/A"," ",IF(VLOOKUP(MONTH(A132),ManualTable,3)=1,(IF(S132&lt;&gt;0,IF(Pricetype=1,(_xll.xSPRDOPT(J132,$E132,$CI132,0,($CD132+IF(Smile=TRUE,VLOOKUP(MAX(-5,$H132-J132),Volsmile,2),0)),$CG132,$CH132,($A132-DateToday)+15,1,1))*(8*$HD132),8*$HD132),0)),0))</f>
        <v xml:space="preserve"> </v>
      </c>
      <c r="AC132" s="254" t="str">
        <f t="shared" si="235"/>
        <v xml:space="preserve"> </v>
      </c>
      <c r="AD132" s="254" t="str">
        <f>IF($A132="N/A"," ",IF(VLOOKUP(MONTH(A132),ManualTable,5)=1,(IF(U132&lt;&gt;0,IF(Pricetype=1,(_xll.xSPRDOPT(L132,$E132,$CI132,0,($CD132+IF(Smile=TRUE,VLOOKUP(MAX(-5,$H132-L132),Volsmile,2),0)),$CG132,$CH132,($A132-DateToday)+15,1,1))*(8*$HE132),8*$HE132),0)),0))</f>
        <v xml:space="preserve"> </v>
      </c>
      <c r="AE132" s="254" t="str">
        <f>IF($A132="N/A"," ",IF(VLOOKUP(MONTH(A132),ManualTable,6)=1,(IF(V132&lt;&gt;0,IF(Pricetype=1,(_xll.xSPRDOPT(M132,$E132,$CI132,0,($CD132+IF(Smile=TRUE,VLOOKUP(MAX(-5,$H132-M132),Volsmile,2),0)),$CG132,$CH132,($A132-DateToday)+15,1,1))*(8*$HE132),8*$HE132),0)),0))</f>
        <v xml:space="preserve"> </v>
      </c>
      <c r="AF132" s="254" t="str">
        <f t="shared" si="236"/>
        <v xml:space="preserve"> </v>
      </c>
      <c r="AG132" s="254" t="str">
        <f>IF($A132="N/A"," ",IF(VLOOKUP(MONTH(A132),ManualTable,8)=1,(IF(X132&lt;&gt;0,IF(Pricetype=1,(_xll.xSPRDOPT(O132,$E132,$CI132,0,($CD132+IF(Smile=TRUE,VLOOKUP(MAX(-5,$H132-O132),Volsmile,2),0)),$CG132,$CH132,($A132-DateToday)+15,1,1))*(8*$HF132),8*$HF132),0)),0))</f>
        <v xml:space="preserve"> </v>
      </c>
      <c r="AH132" s="254" t="str">
        <f>IF($A132="N/A"," ",IF(VLOOKUP(MONTH(A132),ManualTable,9)=1,(IF(Y132&lt;&gt;0,IF(Pricetype=1,(_xll.xSPRDOPT(P132,$E132,$CI132,0,($CD132+IF(Smile=TRUE,VLOOKUP(MAX(-5,$H132-P132),Volsmile,2),0)),$CG132,$CH132,($A132-DateToday)+15,1,1))*(8*$HF132),8*$HF132),0)),0))</f>
        <v xml:space="preserve"> </v>
      </c>
      <c r="AI132" s="254" t="str">
        <f t="shared" si="237"/>
        <v xml:space="preserve"> </v>
      </c>
      <c r="AJ132" s="227" t="str">
        <f t="shared" si="335"/>
        <v xml:space="preserve"> </v>
      </c>
      <c r="AK132" s="228" t="str">
        <f t="shared" si="336"/>
        <v xml:space="preserve"> </v>
      </c>
      <c r="AL132" s="228" t="str">
        <f t="shared" si="336"/>
        <v xml:space="preserve"> </v>
      </c>
      <c r="AM132" s="228" t="str">
        <f t="shared" si="337"/>
        <v xml:space="preserve"> </v>
      </c>
      <c r="AN132" s="228" t="str">
        <f t="shared" si="338"/>
        <v xml:space="preserve"> </v>
      </c>
      <c r="AO132" s="228" t="str">
        <f t="shared" si="338"/>
        <v xml:space="preserve"> </v>
      </c>
      <c r="AP132" s="228" t="str">
        <f t="shared" si="339"/>
        <v xml:space="preserve"> </v>
      </c>
      <c r="AQ132" s="228" t="str">
        <f t="shared" si="340"/>
        <v xml:space="preserve"> </v>
      </c>
      <c r="AR132" s="229" t="str">
        <f t="shared" si="341"/>
        <v xml:space="preserve"> </v>
      </c>
      <c r="AS132" s="262" t="str">
        <f t="shared" si="274"/>
        <v xml:space="preserve"> </v>
      </c>
      <c r="AT132" s="263" t="str">
        <f t="shared" si="275"/>
        <v xml:space="preserve"> </v>
      </c>
      <c r="AU132" s="263" t="str">
        <f t="shared" si="275"/>
        <v xml:space="preserve"> </v>
      </c>
      <c r="AV132" s="263" t="str">
        <f t="shared" si="276"/>
        <v xml:space="preserve"> </v>
      </c>
      <c r="AW132" s="263" t="str">
        <f t="shared" si="277"/>
        <v xml:space="preserve"> </v>
      </c>
      <c r="AX132" s="263" t="str">
        <f t="shared" si="277"/>
        <v xml:space="preserve"> </v>
      </c>
      <c r="AY132" s="263" t="str">
        <f t="shared" si="278"/>
        <v xml:space="preserve"> </v>
      </c>
      <c r="AZ132" s="263" t="str">
        <f t="shared" si="279"/>
        <v xml:space="preserve"> </v>
      </c>
      <c r="BA132" s="263" t="str">
        <f t="shared" si="280"/>
        <v xml:space="preserve"> </v>
      </c>
      <c r="BB132" s="229"/>
      <c r="BC132" s="266" t="str">
        <f t="shared" si="328"/>
        <v xml:space="preserve"> </v>
      </c>
      <c r="BD132" s="269" t="str">
        <f t="shared" si="329"/>
        <v xml:space="preserve"> </v>
      </c>
      <c r="BE132" s="269" t="str">
        <f t="shared" si="329"/>
        <v xml:space="preserve"> </v>
      </c>
      <c r="BF132" s="269" t="str">
        <f t="shared" si="330"/>
        <v xml:space="preserve"> </v>
      </c>
      <c r="BG132" s="269" t="str">
        <f t="shared" si="331"/>
        <v xml:space="preserve"> </v>
      </c>
      <c r="BH132" s="269" t="str">
        <f t="shared" si="331"/>
        <v xml:space="preserve"> </v>
      </c>
      <c r="BI132" s="269" t="str">
        <f t="shared" si="332"/>
        <v xml:space="preserve"> </v>
      </c>
      <c r="BJ132" s="269" t="str">
        <f t="shared" si="333"/>
        <v xml:space="preserve"> </v>
      </c>
      <c r="BK132" s="269" t="str">
        <f t="shared" si="334"/>
        <v xml:space="preserve"> </v>
      </c>
      <c r="BL132" s="233"/>
      <c r="BM132" s="220" t="str">
        <f>IF($A132="N/A"," ",(IF(MONTH(A132)&gt;=4,IF(MONTH(A132)&lt;=10,Inputs!$F$13-Inputs!$G$13,Inputs!$F$14-Inputs!$G$14),Inputs!$F$14-Inputs!$G$14))*$CK132*Availability)</f>
        <v xml:space="preserve"> </v>
      </c>
      <c r="BN132" s="221" t="str">
        <f t="shared" si="238"/>
        <v xml:space="preserve"> </v>
      </c>
      <c r="BO132" s="221" t="str">
        <f t="shared" si="239"/>
        <v xml:space="preserve"> </v>
      </c>
      <c r="BP132" s="221" t="str">
        <f t="shared" si="240"/>
        <v xml:space="preserve"> </v>
      </c>
      <c r="BQ132" s="221" t="str">
        <f t="shared" si="241"/>
        <v xml:space="preserve"> </v>
      </c>
      <c r="BR132" s="221" t="str">
        <f t="shared" si="242"/>
        <v xml:space="preserve"> </v>
      </c>
      <c r="BS132" s="221" t="str">
        <f t="shared" si="243"/>
        <v xml:space="preserve"> </v>
      </c>
      <c r="BT132" s="221" t="str">
        <f t="shared" si="244"/>
        <v xml:space="preserve"> </v>
      </c>
      <c r="BU132" s="221" t="str">
        <f t="shared" si="245"/>
        <v xml:space="preserve"> </v>
      </c>
      <c r="BV132" s="221" t="str">
        <f t="shared" si="246"/>
        <v xml:space="preserve"> </v>
      </c>
      <c r="BW132" s="221" t="str">
        <f t="shared" si="247"/>
        <v xml:space="preserve"> </v>
      </c>
      <c r="BX132" s="421" t="str">
        <f t="shared" si="248"/>
        <v xml:space="preserve"> </v>
      </c>
      <c r="BY132" s="417" t="str">
        <f t="shared" si="249"/>
        <v xml:space="preserve"> </v>
      </c>
      <c r="BZ132" s="417" t="str">
        <f t="shared" si="250"/>
        <v xml:space="preserve"> </v>
      </c>
      <c r="CA132" s="422" t="str">
        <f t="shared" si="251"/>
        <v xml:space="preserve"> </v>
      </c>
      <c r="CB132" s="347" t="str">
        <f t="shared" ref="CB132:CB195" si="354">IF(A132="N/A"," ",(VLOOKUP(A132,PowerVolTable,(IF(BMO=2,7,IF(BMO=1,6,8))),FALSE)))</f>
        <v xml:space="preserve"> </v>
      </c>
      <c r="CC132" s="347" t="str">
        <f t="shared" si="252"/>
        <v xml:space="preserve"> </v>
      </c>
      <c r="CD132" s="348" t="str">
        <f t="shared" ref="CD132:CD195" si="355">IF($A132="N/A"," ",(IF(DateToday&gt;$A132,$CC132,((($CB132^2)*((($A132-1)-DateToday)/((EOMONTH($A132,0)+1)-DateToday-15)))+((($CC132)^2)*((15)/((EOMONTH($A132,0)+1)-DateToday-15))))^0.5)))</f>
        <v xml:space="preserve"> </v>
      </c>
      <c r="CE132" s="347" t="str">
        <f t="shared" ref="CE132:CE195" si="356">IF($A132="N/A"," ",(VLOOKUP($A132,GasVolTable,(IF(BMO=2,6,IF(BMO=1,7,5))),FALSE)))</f>
        <v xml:space="preserve"> </v>
      </c>
      <c r="CF132" s="347" t="str">
        <f t="shared" ref="CF132:CF195" si="357">IF($A132="N/A"," ",(VLOOKUP($A132,OmicronVol,(IF(BMO=2,3,IF(BMO=1,4,2))),FALSE)))</f>
        <v xml:space="preserve"> </v>
      </c>
      <c r="CG132" s="348" t="str">
        <f t="shared" ref="CG132:CG195" si="358">IF($A132="N/A"," ",(IF(DateToday&gt;$A132,$CF132,((($CE132^2)*((($A132-1)-DateToday)/((EOMONTH($A132,0)+1)-DateToday-15)))+((($CF132)^2)*((15)/((EOMONTH($A132,0)+1)-DateToday-15))))^0.5)))</f>
        <v xml:space="preserve"> </v>
      </c>
      <c r="CH132" s="347" t="str">
        <f t="shared" si="253"/>
        <v xml:space="preserve"> </v>
      </c>
      <c r="CI132" s="349" t="str">
        <f>IF($A132="N/A"," ",F132+G132+(D132*('Pricing Inputs'!T165)))</f>
        <v xml:space="preserve"> </v>
      </c>
      <c r="CJ132" s="347" t="str">
        <f>IF($A132="N/A"," ",IF(PV=1,0,'Pricing Inputs'!U165))</f>
        <v xml:space="preserve"> </v>
      </c>
      <c r="CK132" s="350" t="str">
        <f t="shared" ref="CK132:CK195" si="359">IF($A132="N/A"," ",(1+CJ132/2)^(-2*((EOMONTH(A132,0)+20)-DateToday)/365.25))</f>
        <v xml:space="preserve"> </v>
      </c>
      <c r="CL132" s="365" t="str">
        <f t="shared" ref="CL132:CL195" si="360">IF(A132="N/A"," ",IF(CC=2,(VLOOKUP(MONTH($A132),Hrtable,3))/1000,0))</f>
        <v xml:space="preserve"> </v>
      </c>
      <c r="CM132" s="380" t="str">
        <f t="shared" si="254"/>
        <v xml:space="preserve"> </v>
      </c>
      <c r="CN132" s="378" t="str">
        <f t="shared" ref="CN132:CN195" si="361">IF($A132="N/A"," ",IF(CC=2,(VLOOKUP(A132,ScaledPrice,(IF(AND(Dayrun&gt;=1,Dayrun&lt;=6),2,4)))-((IF(R132&lt;&gt;0,$D132,$CL132)*$C132)+$F132+$G132)),0))</f>
        <v xml:space="preserve"> </v>
      </c>
      <c r="CO132" s="378" t="str">
        <f t="shared" ref="CO132:CO195" si="362">IF($A132="N/A"," ",IF(CC=2,(IF(AND(Dayrun&gt;=1,Dayrun&lt;=6),I132,(VLOOKUP(A132,ScaledPrice,2))*(2-(VLOOKUP(A132,ScaledPrice,3))))-((IF(S132&lt;&gt;0,$D132,$CL132)*$C132)+$F132+$G132)),0))</f>
        <v xml:space="preserve"> </v>
      </c>
      <c r="CP132" s="378" t="str">
        <f t="shared" ref="CP132:CP195" si="363">IF(A132="N/A"," ",IF(CC=2,(VLOOKUP(A132,ScaledPrice,9)-((IF(T132&lt;&gt;0,$D132,$CL132)*$C132)+$F132+$G132)),0))</f>
        <v xml:space="preserve"> </v>
      </c>
      <c r="CQ132" s="378" t="str">
        <f t="shared" ref="CQ132:CQ195" si="364">IF(A132="N/A"," ",IF(CC=2,(IF(OR(Dayrun=2,Dayrun=3,Dayrun=5,Dayrun=6,Dayrun=8,Dayrun=9),VLOOKUP(A132,ScaledPrice,IF(AND(Dayrun&gt;=2,Dayrun&lt;=6),5,6)),0)-((IF(U132&lt;&gt;0,$D132,$CL132)*$C132)+$F132+$G132)),0))</f>
        <v xml:space="preserve"> </v>
      </c>
      <c r="CR132" s="378" t="str">
        <f t="shared" ref="CR132:CR195" si="365">IF(A132="N/A"," ",IF(CC=2,(IF(OR(Dayrun=2,Dayrun=3,Dayrun=5,Dayrun=6,Dayrun=8,Dayrun=9),IF(AND(Dayrun&gt;=2,Dayrun&lt;=6),L132,(VLOOKUP(A132,ScaledPrice,5))*(2-(VLOOKUP(A132,ScaledPrice,3)))),0)-((IF(V132&lt;&gt;0,$D132,$CL132)*$C132)+$F132+$G132)),0))</f>
        <v xml:space="preserve"> </v>
      </c>
      <c r="CS132" s="378" t="str">
        <f t="shared" ref="CS132:CS195" si="366">IF(A132="N/A"," ",IF(CC=2,(VLOOKUP(A132,ScaledPrice,9)-((IF(W132&lt;&gt;0,$D132,$CL132)*$C132)+$F132+$G132)),0))</f>
        <v xml:space="preserve"> </v>
      </c>
      <c r="CT132" s="378" t="str">
        <f t="shared" ref="CT132:CT195" si="367">IF(A132="N/A"," ",IF(CC=2,(IF(OR(Dayrun=3,Dayrun=6,Dayrun=9),(VLOOKUP(A132,ScaledPrice,IF(AND(Dayrun&gt;=3,Dayrun&lt;=6),7,8))),0)-((IF(X132&lt;&gt;0,$D132,$CL132)*$C132)+$F132+$G132)),0))</f>
        <v xml:space="preserve"> </v>
      </c>
      <c r="CU132" s="378" t="str">
        <f t="shared" ref="CU132:CU195" si="368">IF(A132="N/A"," ",IF(CC=2,(IF(OR(Dayrun=3,Dayrun=6,Dayrun=9),IF(AND(Dayrun&gt;=3,Dayrun&lt;=6),O132,(VLOOKUP(A132,ScaledPrice,7))*(2-(VLOOKUP(A132,ScaledPrice,3)))),0)-((IF(Y132&lt;&gt;0,$D132,$CL132)*$C132)+$F132+$G132)),0))</f>
        <v xml:space="preserve"> </v>
      </c>
      <c r="CV132" s="378" t="str">
        <f t="shared" ref="CV132:CV195" si="369">IF(A132="N/A"," ",IF(CC=2,(VLOOKUP(A132,ScaledPrice,9)-((IF(Z132&lt;&gt;0,$D132,$CL132)*$C132)+$F132+$G132)),0))</f>
        <v xml:space="preserve"> </v>
      </c>
      <c r="CW132" s="254" t="str">
        <f t="shared" ref="CW132:CW195" si="370">IF($A132="N/A"," ",IF(0&lt;&gt;CN132,IF(CC=2,8*$HD132,0),0))</f>
        <v xml:space="preserve"> </v>
      </c>
      <c r="CX132" s="254" t="str">
        <f t="shared" ref="CX132:CX195" si="371">IF($A132="N/A"," ",IF(0&lt;&gt;CO132,IF(CC=2,8*$HD132,0),0))</f>
        <v xml:space="preserve"> </v>
      </c>
      <c r="CY132" s="254" t="str">
        <f t="shared" ref="CY132:CY195" si="372">IF($A132="N/A"," ",IF(0&lt;&gt;CP132,IF(CC=2,8*$HD132,0),0))</f>
        <v xml:space="preserve"> </v>
      </c>
      <c r="CZ132" s="254" t="str">
        <f t="shared" ref="CZ132:CZ195" si="373">IF($A132="N/A"," ",IF(0&lt;&gt;CQ132,IF(CC=2,8*$HE132,0),0))</f>
        <v xml:space="preserve"> </v>
      </c>
      <c r="DA132" s="254" t="str">
        <f t="shared" ref="DA132:DA195" si="374">IF($A132="N/A"," ",IF(0&lt;&gt;CR132,IF(CC=2,8*$HE132,0),0))</f>
        <v xml:space="preserve"> </v>
      </c>
      <c r="DB132" s="254" t="str">
        <f t="shared" ref="DB132:DB195" si="375">IF($A132="N/A"," ",IF(0&lt;&gt;CS132,IF(CC=2,8*$HE132,0),0))</f>
        <v xml:space="preserve"> </v>
      </c>
      <c r="DC132" s="254" t="str">
        <f t="shared" ref="DC132:DC195" si="376">IF($A132="N/A"," ",IF(0&lt;&gt;CT132,IF(CC=2,8*$HF132,0),0))</f>
        <v xml:space="preserve"> </v>
      </c>
      <c r="DD132" s="254" t="str">
        <f t="shared" ref="DD132:DD195" si="377">IF($A132="N/A"," ",IF(0&lt;&gt;CU132,IF(CC=2,8*$HF132,0),0))</f>
        <v xml:space="preserve"> </v>
      </c>
      <c r="DE132" s="254" t="str">
        <f t="shared" ref="DE132:DE195" si="378">IF($A132="N/A"," ",IF(0&lt;&gt;CV132,IF(CC=2,8*$HF132,0),0))</f>
        <v xml:space="preserve"> </v>
      </c>
      <c r="DF132" s="374" t="str">
        <f>IF($A132="N/A"," ",IF(CC=2,(IF(MONTH(A132)&gt;=4,IF(MONTH(A132)&lt;=10,Inputs!$G$13,Inputs!$G$14),Inputs!$G$14))*$CK132,0))</f>
        <v xml:space="preserve"> </v>
      </c>
      <c r="DG132" s="373" t="str">
        <f t="shared" ref="DG132:DG195" si="379">IF($A132="N/A"," ",IF(CC=2,$DF132*CW132*CN132,0))</f>
        <v xml:space="preserve"> </v>
      </c>
      <c r="DH132" s="373" t="str">
        <f t="shared" ref="DH132:DH195" si="380">IF($A132="N/A"," ",IF(CC=2,$DF132*CX132*CO132,0))</f>
        <v xml:space="preserve"> </v>
      </c>
      <c r="DI132" s="373" t="str">
        <f t="shared" ref="DI132:DI195" si="381">IF($A132="N/A"," ",IF(CC=2,$DF132*CY132*CP132,0))</f>
        <v xml:space="preserve"> </v>
      </c>
      <c r="DJ132" s="373" t="str">
        <f t="shared" ref="DJ132:DJ195" si="382">IF($A132="N/A"," ",IF(CC=2,$DF132*CZ132*CQ132,0))</f>
        <v xml:space="preserve"> </v>
      </c>
      <c r="DK132" s="373" t="str">
        <f t="shared" ref="DK132:DK195" si="383">IF($A132="N/A"," ",IF(CC=2,$DF132*DA132*CR132,0))</f>
        <v xml:space="preserve"> </v>
      </c>
      <c r="DL132" s="373" t="str">
        <f t="shared" ref="DL132:DL195" si="384">IF($A132="N/A"," ",IF(CC=2,$DF132*DB132*CS132,0))</f>
        <v xml:space="preserve"> </v>
      </c>
      <c r="DM132" s="373" t="str">
        <f t="shared" ref="DM132:DM195" si="385">IF($A132="N/A"," ",IF(CC=2,$DF132*DC132*CT132,0))</f>
        <v xml:space="preserve"> </v>
      </c>
      <c r="DN132" s="373" t="str">
        <f t="shared" ref="DN132:DN195" si="386">IF($A132="N/A"," ",IF(CC=2,$DF132*DD132*CU132,0))</f>
        <v xml:space="preserve"> </v>
      </c>
      <c r="DO132" s="373" t="str">
        <f t="shared" ref="DO132:DO195" si="387">IF($A132="N/A"," ",IF(CC=2,$DF132*DE132*CV132,0))</f>
        <v xml:space="preserve"> </v>
      </c>
      <c r="DP132" s="375" t="str">
        <f t="shared" ref="DP132:DP195" si="388">IF($A132="N/A"," ",IF(CC=2,SUM(DG132:DO132),0))</f>
        <v xml:space="preserve"> </v>
      </c>
      <c r="DQ132" t="str">
        <f t="shared" si="255"/>
        <v xml:space="preserve"> </v>
      </c>
      <c r="HD132" t="str">
        <f t="shared" si="256"/>
        <v xml:space="preserve"> </v>
      </c>
      <c r="HE132" t="str">
        <f t="shared" si="257"/>
        <v xml:space="preserve"> </v>
      </c>
      <c r="HF132" t="str">
        <f t="shared" si="258"/>
        <v xml:space="preserve"> </v>
      </c>
    </row>
    <row r="133" spans="1:214">
      <c r="A133" s="415" t="str">
        <f>IF(A132="N/A","N/A",IF(EDATE(A132,1)&gt;Inputs!$K$3,"N/A",EDATE(A132,1)))</f>
        <v>N/A</v>
      </c>
      <c r="B133" s="410" t="str">
        <f t="shared" ref="B133:B196" si="389">IF(A133="N/A"," ",YEAR(A133))</f>
        <v xml:space="preserve"> </v>
      </c>
      <c r="C133" s="411" t="str">
        <f t="shared" ref="C133:C196" si="390">IF(A133="N/A"," ",VLOOKUP(A133,ScaledPrice,10))</f>
        <v xml:space="preserve"> </v>
      </c>
      <c r="D133" s="412" t="str">
        <f t="shared" ref="D133:D196" si="391">IF(A133="N/A"," ",(VLOOKUP(MONTH($A133),Hrtable,2))/1000)</f>
        <v xml:space="preserve"> </v>
      </c>
      <c r="E133" s="413" t="str">
        <f>IF($A133="N/A"," ",(C133-'Pricing Inputs'!T166)*D133)</f>
        <v xml:space="preserve"> </v>
      </c>
      <c r="F133" s="414" t="str">
        <f t="shared" si="281"/>
        <v xml:space="preserve"> </v>
      </c>
      <c r="G133" s="414" t="str">
        <f t="shared" ref="G133:G196" si="392">IF(A133="N/A"," ",Perstart/IF(AND(Dayrun&gt;=4,Dayrun&lt;=6),16,IF(AND(Dayrun&gt;=7,Dayrun&lt;=9),8,24))/(BM133/CK133))</f>
        <v xml:space="preserve"> </v>
      </c>
      <c r="H133" s="416" t="str">
        <f t="shared" ref="H133:H196" si="393">IF(A133="N/A"," ",(C133*D133)+F133+G133)</f>
        <v xml:space="preserve"> </v>
      </c>
      <c r="I133" s="213" t="str">
        <f t="shared" si="342"/>
        <v xml:space="preserve"> </v>
      </c>
      <c r="J133" s="213" t="str">
        <f t="shared" si="343"/>
        <v xml:space="preserve"> </v>
      </c>
      <c r="K133" s="213" t="str">
        <f t="shared" si="344"/>
        <v xml:space="preserve"> </v>
      </c>
      <c r="L133" s="213" t="str">
        <f t="shared" si="345"/>
        <v xml:space="preserve"> </v>
      </c>
      <c r="M133" s="213" t="str">
        <f t="shared" si="346"/>
        <v xml:space="preserve"> </v>
      </c>
      <c r="N133" s="213" t="str">
        <f t="shared" si="347"/>
        <v xml:space="preserve"> </v>
      </c>
      <c r="O133" s="213" t="str">
        <f t="shared" si="348"/>
        <v xml:space="preserve"> </v>
      </c>
      <c r="P133" s="213" t="str">
        <f t="shared" si="349"/>
        <v xml:space="preserve"> </v>
      </c>
      <c r="Q133" s="213" t="str">
        <f t="shared" si="350"/>
        <v xml:space="preserve"> </v>
      </c>
      <c r="R133" s="405" t="str">
        <f>IF($A133="N/A"," ",IF(Pricetype=2,MAX(I133-$H133,0),IF(Pricetype=1,(_xll.xSPRDOPT(I133,$E133,$CI133,0,($CD133+IF(Smile=TRUE,VLOOKUP(MAX(-5,$H133-I133),Volsmile,2),0)),$CG133,$CH133,($A133-DateToday)+15,1,0)),I133-$H133)))</f>
        <v xml:space="preserve"> </v>
      </c>
      <c r="S133" s="405" t="str">
        <f>IF($A133="N/A"," ",IF(Pricetype=2,MAX(J133-$H133,0),IF(Pricetype=1,(_xll.xSPRDOPT(J133,$E133,$CI133,0,($CD133+IF(Smile=TRUE,VLOOKUP(MAX(-5,$H133-J133),Volsmile,2),0)),$CG133,$CH133,($A133-DateToday)+15,1,0)),J133-$H133)))</f>
        <v xml:space="preserve"> </v>
      </c>
      <c r="T133" s="406" t="str">
        <f t="shared" si="351"/>
        <v xml:space="preserve"> </v>
      </c>
      <c r="U133" s="405" t="str">
        <f>IF($A133="N/A"," ",IF(Pricetype=2,MAX(L133-$H133,0),IF(L133&lt;&gt;0,IF(Pricetype=1,(_xll.xSPRDOPT(L133,$E133,$CI133,0,($CD133+IF(Smile=TRUE,VLOOKUP(MAX(-5,$H133-L133),Volsmile,2),0)),$CG133,$CH133,($A133-DateToday)+15,1,0)),L133-$H133),0)))</f>
        <v xml:space="preserve"> </v>
      </c>
      <c r="V133" s="405" t="str">
        <f>IF($A133="N/A"," ",IF(Pricetype=2,MAX(M133-$H133,0),IF(M133&lt;&gt;0,IF(Pricetype=1,(_xll.xSPRDOPT(M133,$E133,$CI133,0,($CD133+IF(Smile=TRUE,VLOOKUP(MAX(-5,$H133-M133),Volsmile,2),0)),$CG133,$CH133,($A133-DateToday)+15,1,0)),M133-$H133),0)))</f>
        <v xml:space="preserve"> </v>
      </c>
      <c r="W133" s="406" t="str">
        <f t="shared" si="352"/>
        <v xml:space="preserve"> </v>
      </c>
      <c r="X133" s="405" t="str">
        <f>IF($A133="N/A"," ",IF(Pricetype=2,MAX(O133-$H133,0),IF(O133&lt;&gt;0,IF(Pricetype=1,(_xll.xSPRDOPT(O133,$E133,$CI133,0,($CD133+IF(Smile=TRUE,VLOOKUP(MAX(-5,$H133-O133),Volsmile,2),0)),$CG133,$CH133,($A133-DateToday)+15,1,0)),O133-$H133),0)))</f>
        <v xml:space="preserve"> </v>
      </c>
      <c r="Y133" s="405" t="str">
        <f>IF($A133="N/A"," ",IF(Pricetype=2,MAX(P133-$H133,0),IF(P133&lt;&gt;0,IF(Pricetype=1,(_xll.xSPRDOPT(P133,$E133,$CI133,0,($CD133+IF(Smile=TRUE,VLOOKUP(MAX(-5,$H133-P133),Volsmile,2),0)),$CG133,$CH133,($A133-DateToday)+15,1,0)),P133-$H133),0)))</f>
        <v xml:space="preserve"> </v>
      </c>
      <c r="Z133" s="406" t="str">
        <f t="shared" si="353"/>
        <v xml:space="preserve"> </v>
      </c>
      <c r="AA133" s="254" t="str">
        <f>IF($A133="N/A"," ",IF(VLOOKUP(MONTH(A133),ManualTable,2)=1,(IF(0&lt;&gt;R133,IF(Pricetype=1,(_xll.xSPRDOPT(I133,$E133,$CI133,0,($CD133+IF(Smile=TRUE,VLOOKUP(MAX(-5,$H133-I133),Volsmile,2),0)),$CG133,$CH133,($A133-DateToday)+15,1,1))*(8*$HD133),8*$HD133),0)),0))</f>
        <v xml:space="preserve"> </v>
      </c>
      <c r="AB133" s="254" t="str">
        <f>IF($A133="N/A"," ",IF(VLOOKUP(MONTH(A133),ManualTable,3)=1,(IF(S133&lt;&gt;0,IF(Pricetype=1,(_xll.xSPRDOPT(J133,$E133,$CI133,0,($CD133+IF(Smile=TRUE,VLOOKUP(MAX(-5,$H133-J133),Volsmile,2),0)),$CG133,$CH133,($A133-DateToday)+15,1,1))*(8*$HD133),8*$HD133),0)),0))</f>
        <v xml:space="preserve"> </v>
      </c>
      <c r="AC133" s="254" t="str">
        <f t="shared" ref="AC133:AC196" si="394">IF($A133="N/A"," ",IF(VLOOKUP(MONTH(A133),ManualTable,4)=1,(IF(T133&lt;&gt;0,(8*$HD133),0)),0))</f>
        <v xml:space="preserve"> </v>
      </c>
      <c r="AD133" s="254" t="str">
        <f>IF($A133="N/A"," ",IF(VLOOKUP(MONTH(A133),ManualTable,5)=1,(IF(U133&lt;&gt;0,IF(Pricetype=1,(_xll.xSPRDOPT(L133,$E133,$CI133,0,($CD133+IF(Smile=TRUE,VLOOKUP(MAX(-5,$H133-L133),Volsmile,2),0)),$CG133,$CH133,($A133-DateToday)+15,1,1))*(8*$HE133),8*$HE133),0)),0))</f>
        <v xml:space="preserve"> </v>
      </c>
      <c r="AE133" s="254" t="str">
        <f>IF($A133="N/A"," ",IF(VLOOKUP(MONTH(A133),ManualTable,6)=1,(IF(V133&lt;&gt;0,IF(Pricetype=1,(_xll.xSPRDOPT(M133,$E133,$CI133,0,($CD133+IF(Smile=TRUE,VLOOKUP(MAX(-5,$H133-M133),Volsmile,2),0)),$CG133,$CH133,($A133-DateToday)+15,1,1))*(8*$HE133),8*$HE133),0)),0))</f>
        <v xml:space="preserve"> </v>
      </c>
      <c r="AF133" s="254" t="str">
        <f t="shared" ref="AF133:AF196" si="395">IF($A133="N/A"," ",IF(VLOOKUP(MONTH(A133),ManualTable,7)=1,(IF(W133&lt;&gt;0,(8*$HE133),0)),0))</f>
        <v xml:space="preserve"> </v>
      </c>
      <c r="AG133" s="254" t="str">
        <f>IF($A133="N/A"," ",IF(VLOOKUP(MONTH(A133),ManualTable,8)=1,(IF(X133&lt;&gt;0,IF(Pricetype=1,(_xll.xSPRDOPT(O133,$E133,$CI133,0,($CD133+IF(Smile=TRUE,VLOOKUP(MAX(-5,$H133-O133),Volsmile,2),0)),$CG133,$CH133,($A133-DateToday)+15,1,1))*(8*$HF133),8*$HF133),0)),0))</f>
        <v xml:space="preserve"> </v>
      </c>
      <c r="AH133" s="254" t="str">
        <f>IF($A133="N/A"," ",IF(VLOOKUP(MONTH(A133),ManualTable,9)=1,(IF(Y133&lt;&gt;0,IF(Pricetype=1,(_xll.xSPRDOPT(P133,$E133,$CI133,0,($CD133+IF(Smile=TRUE,VLOOKUP(MAX(-5,$H133-P133),Volsmile,2),0)),$CG133,$CH133,($A133-DateToday)+15,1,1))*(8*$HF133),8*$HF133),0)),0))</f>
        <v xml:space="preserve"> </v>
      </c>
      <c r="AI133" s="254" t="str">
        <f t="shared" ref="AI133:AI196" si="396">IF($A133="N/A"," ",IF(VLOOKUP(MONTH(A133),ManualTable,10)=1,(IF(Z133&lt;&gt;0,(8*($HF133)),0)),0))</f>
        <v xml:space="preserve"> </v>
      </c>
      <c r="AJ133" s="227" t="str">
        <f t="shared" si="335"/>
        <v xml:space="preserve"> </v>
      </c>
      <c r="AK133" s="228" t="str">
        <f t="shared" si="336"/>
        <v xml:space="preserve"> </v>
      </c>
      <c r="AL133" s="228" t="str">
        <f t="shared" si="336"/>
        <v xml:space="preserve"> </v>
      </c>
      <c r="AM133" s="228" t="str">
        <f t="shared" si="337"/>
        <v xml:space="preserve"> </v>
      </c>
      <c r="AN133" s="228" t="str">
        <f t="shared" si="338"/>
        <v xml:space="preserve"> </v>
      </c>
      <c r="AO133" s="228" t="str">
        <f t="shared" si="338"/>
        <v xml:space="preserve"> </v>
      </c>
      <c r="AP133" s="228" t="str">
        <f t="shared" si="339"/>
        <v xml:space="preserve"> </v>
      </c>
      <c r="AQ133" s="228" t="str">
        <f t="shared" si="340"/>
        <v xml:space="preserve"> </v>
      </c>
      <c r="AR133" s="229" t="str">
        <f t="shared" si="341"/>
        <v xml:space="preserve"> </v>
      </c>
      <c r="AS133" s="262" t="str">
        <f t="shared" si="274"/>
        <v xml:space="preserve"> </v>
      </c>
      <c r="AT133" s="263" t="str">
        <f t="shared" si="275"/>
        <v xml:space="preserve"> </v>
      </c>
      <c r="AU133" s="263" t="str">
        <f t="shared" si="275"/>
        <v xml:space="preserve"> </v>
      </c>
      <c r="AV133" s="263" t="str">
        <f t="shared" si="276"/>
        <v xml:space="preserve"> </v>
      </c>
      <c r="AW133" s="263" t="str">
        <f t="shared" si="277"/>
        <v xml:space="preserve"> </v>
      </c>
      <c r="AX133" s="263" t="str">
        <f t="shared" si="277"/>
        <v xml:space="preserve"> </v>
      </c>
      <c r="AY133" s="263" t="str">
        <f t="shared" si="278"/>
        <v xml:space="preserve"> </v>
      </c>
      <c r="AZ133" s="263" t="str">
        <f t="shared" si="279"/>
        <v xml:space="preserve"> </v>
      </c>
      <c r="BA133" s="263" t="str">
        <f t="shared" si="280"/>
        <v xml:space="preserve"> </v>
      </c>
      <c r="BB133" s="234" t="s">
        <v>1271</v>
      </c>
      <c r="BC133" s="266" t="str">
        <f t="shared" si="328"/>
        <v xml:space="preserve"> </v>
      </c>
      <c r="BD133" s="269" t="str">
        <f t="shared" si="329"/>
        <v xml:space="preserve"> </v>
      </c>
      <c r="BE133" s="269" t="str">
        <f t="shared" si="329"/>
        <v xml:space="preserve"> </v>
      </c>
      <c r="BF133" s="269" t="str">
        <f t="shared" si="330"/>
        <v xml:space="preserve"> </v>
      </c>
      <c r="BG133" s="269" t="str">
        <f t="shared" si="331"/>
        <v xml:space="preserve"> </v>
      </c>
      <c r="BH133" s="269" t="str">
        <f t="shared" si="331"/>
        <v xml:space="preserve"> </v>
      </c>
      <c r="BI133" s="269" t="str">
        <f t="shared" si="332"/>
        <v xml:space="preserve"> </v>
      </c>
      <c r="BJ133" s="269" t="str">
        <f t="shared" si="333"/>
        <v xml:space="preserve"> </v>
      </c>
      <c r="BK133" s="269" t="str">
        <f t="shared" si="334"/>
        <v xml:space="preserve"> </v>
      </c>
      <c r="BL133" s="233" t="s">
        <v>1283</v>
      </c>
      <c r="BM133" s="220" t="str">
        <f>IF($A133="N/A"," ",(IF(MONTH(A133)&gt;=4,IF(MONTH(A133)&lt;=10,Inputs!$F$13-Inputs!$G$13,Inputs!$F$14-Inputs!$G$14),Inputs!$F$14-Inputs!$G$14))*$CK133*Availability)</f>
        <v xml:space="preserve"> </v>
      </c>
      <c r="BN133" s="221" t="str">
        <f t="shared" ref="BN133:BN196" si="397">IF($A133="N/A"," ",(IF(AS133&gt;0,($BM133*(8*($HD133))*R133),0)+IF(BC133&gt;0,($BM133*((BC133/AA133)*8*$HD133)*R133),0)))</f>
        <v xml:space="preserve"> </v>
      </c>
      <c r="BO133" s="221" t="str">
        <f t="shared" ref="BO133:BO196" si="398">IF($A133="N/A"," ",(IF(AT133&gt;0,($BM133*(8*($HD133))*S133),0)+IF(BD133&gt;0,($BM133*((BD133/AB133)*8*$HD133)*S133),0)))</f>
        <v xml:space="preserve"> </v>
      </c>
      <c r="BP133" s="221" t="str">
        <f t="shared" ref="BP133:BP196" si="399">IF($A133="N/A"," ",(IF(AU133&gt;0,($BM133*(8*($HD133))*T133),0)+IF(BE133&gt;0,($BM133*((BE133))*T133),0)))</f>
        <v xml:space="preserve"> </v>
      </c>
      <c r="BQ133" s="221" t="str">
        <f t="shared" ref="BQ133:BQ196" si="400">IF($A133="N/A"," ",(IF(AV133&gt;0,($BM133*(8*($HE133))*U133),0)+IF(BF133&gt;0,($BM133*((BF133/AD133)*8*$HE133)*U133),0)))</f>
        <v xml:space="preserve"> </v>
      </c>
      <c r="BR133" s="221" t="str">
        <f t="shared" ref="BR133:BR196" si="401">IF($A133="N/A"," ",(IF(AW133&gt;0,($BM133*(8*($HE133))*V133),0)+IF(BG133&gt;0,($BM133*((BG133/AE133)*8*$HE133)*V133),0)))</f>
        <v xml:space="preserve"> </v>
      </c>
      <c r="BS133" s="221" t="str">
        <f t="shared" ref="BS133:BS196" si="402">IF($A133="N/A"," ",(IF(AX133&gt;0,($BM133*(8*($HE133))*W133),0)+IF(BH133&gt;0,($BM133*((BH133))*W133),0)))</f>
        <v xml:space="preserve"> </v>
      </c>
      <c r="BT133" s="221" t="str">
        <f t="shared" ref="BT133:BT196" si="403">IF($A133="N/A"," ",(IF(AY133&gt;0,($BM133*(8*($HF133))*X133),0)+IF(BI133&gt;0,($BM133*((BI133/AG133)*8*$HF133)*X133),0)))</f>
        <v xml:space="preserve"> </v>
      </c>
      <c r="BU133" s="221" t="str">
        <f t="shared" ref="BU133:BU196" si="404">IF($A133="N/A"," ",(IF(AZ133&gt;0,($BM133*(8*($HF133))*Y133),0)+IF(BJ133&gt;0,($BM133*((BJ133/AH133)*8*$HF133)*Y133),0)))</f>
        <v xml:space="preserve"> </v>
      </c>
      <c r="BV133" s="221" t="str">
        <f t="shared" ref="BV133:BV196" si="405">IF($A133="N/A"," ",(IF(BA133&gt;0,($BM133*(8*($HF133))*Z133),0)+IF(BK133&gt;0,($BM133*((BK133))*Z133),0)))</f>
        <v xml:space="preserve"> </v>
      </c>
      <c r="BW133" s="221" t="str">
        <f t="shared" ref="BW133:BW196" si="406">IF($A133="N/A"," ",SUM(BN133:BV133))</f>
        <v xml:space="preserve"> </v>
      </c>
      <c r="BX133" s="421" t="str">
        <f t="shared" ref="BX133:BX196" si="407">IF($A133="N/A"," ",(H133*(SUM(AS133:BA133)+SUM(BC133:BK133))*BM133))</f>
        <v xml:space="preserve"> </v>
      </c>
      <c r="BY133" s="417" t="str">
        <f t="shared" ref="BY133:BY196" si="408">IF($A133="N/A"," ",((C133*D133)*(SUM($AS133:$BA133)+SUM($BC133:$BK133))*$BM133))</f>
        <v xml:space="preserve"> </v>
      </c>
      <c r="BZ133" s="417" t="str">
        <f t="shared" ref="BZ133:BZ196" si="409">IF($A133="N/A"," ",(F133*(SUM($AS133:$BA133)+SUM($BC133:$BK133))*$BM133))</f>
        <v xml:space="preserve"> </v>
      </c>
      <c r="CA133" s="422" t="str">
        <f t="shared" ref="CA133:CA196" si="410">IF($A133="N/A"," ",(G133*(SUM($AS133:$BA133)+SUM($BC133:$BK133))*$BM133))</f>
        <v xml:space="preserve"> </v>
      </c>
      <c r="CB133" s="347" t="str">
        <f t="shared" si="354"/>
        <v xml:space="preserve"> </v>
      </c>
      <c r="CC133" s="347" t="str">
        <f t="shared" ref="CC133:CC196" si="411">IF(A133="N/A"," ",(VLOOKUP(A133,IntraPowerVol,(IF(BMO=2,3,IF(BMO=1,2,4))),FALSE)*VLOOKUP(MONTH($A133),Volscale,2)))</f>
        <v xml:space="preserve"> </v>
      </c>
      <c r="CD133" s="348" t="str">
        <f t="shared" si="355"/>
        <v xml:space="preserve"> </v>
      </c>
      <c r="CE133" s="347" t="str">
        <f t="shared" si="356"/>
        <v xml:space="preserve"> </v>
      </c>
      <c r="CF133" s="347" t="str">
        <f t="shared" si="357"/>
        <v xml:space="preserve"> </v>
      </c>
      <c r="CG133" s="348" t="str">
        <f t="shared" si="358"/>
        <v xml:space="preserve"> </v>
      </c>
      <c r="CH133" s="347" t="str">
        <f t="shared" ref="CH133:CH196" si="412">IF($A133="N/A"," ",VLOOKUP($A133,CorrelationTable,2,FALSE))</f>
        <v xml:space="preserve"> </v>
      </c>
      <c r="CI133" s="349" t="str">
        <f>IF($A133="N/A"," ",F133+G133+(D133*('Pricing Inputs'!T166)))</f>
        <v xml:space="preserve"> </v>
      </c>
      <c r="CJ133" s="347" t="str">
        <f>IF($A133="N/A"," ",IF(PV=1,0,'Pricing Inputs'!U166))</f>
        <v xml:space="preserve"> </v>
      </c>
      <c r="CK133" s="350" t="str">
        <f t="shared" si="359"/>
        <v xml:space="preserve"> </v>
      </c>
      <c r="CL133" s="365" t="str">
        <f t="shared" si="360"/>
        <v xml:space="preserve"> </v>
      </c>
      <c r="CM133" s="380" t="str">
        <f t="shared" ref="CM133:CM196" si="413">IF(A133="N/A"," ",IF(CC=2,(CL133*C133)+F133,0))</f>
        <v xml:space="preserve"> </v>
      </c>
      <c r="CN133" s="378" t="str">
        <f t="shared" si="361"/>
        <v xml:space="preserve"> </v>
      </c>
      <c r="CO133" s="378" t="str">
        <f t="shared" si="362"/>
        <v xml:space="preserve"> </v>
      </c>
      <c r="CP133" s="378" t="str">
        <f t="shared" si="363"/>
        <v xml:space="preserve"> </v>
      </c>
      <c r="CQ133" s="378" t="str">
        <f t="shared" si="364"/>
        <v xml:space="preserve"> </v>
      </c>
      <c r="CR133" s="378" t="str">
        <f t="shared" si="365"/>
        <v xml:space="preserve"> </v>
      </c>
      <c r="CS133" s="378" t="str">
        <f t="shared" si="366"/>
        <v xml:space="preserve"> </v>
      </c>
      <c r="CT133" s="378" t="str">
        <f t="shared" si="367"/>
        <v xml:space="preserve"> </v>
      </c>
      <c r="CU133" s="378" t="str">
        <f t="shared" si="368"/>
        <v xml:space="preserve"> </v>
      </c>
      <c r="CV133" s="378" t="str">
        <f t="shared" si="369"/>
        <v xml:space="preserve"> </v>
      </c>
      <c r="CW133" s="254" t="str">
        <f t="shared" si="370"/>
        <v xml:space="preserve"> </v>
      </c>
      <c r="CX133" s="254" t="str">
        <f t="shared" si="371"/>
        <v xml:space="preserve"> </v>
      </c>
      <c r="CY133" s="254" t="str">
        <f t="shared" si="372"/>
        <v xml:space="preserve"> </v>
      </c>
      <c r="CZ133" s="254" t="str">
        <f t="shared" si="373"/>
        <v xml:space="preserve"> </v>
      </c>
      <c r="DA133" s="254" t="str">
        <f t="shared" si="374"/>
        <v xml:space="preserve"> </v>
      </c>
      <c r="DB133" s="254" t="str">
        <f t="shared" si="375"/>
        <v xml:space="preserve"> </v>
      </c>
      <c r="DC133" s="254" t="str">
        <f t="shared" si="376"/>
        <v xml:space="preserve"> </v>
      </c>
      <c r="DD133" s="254" t="str">
        <f t="shared" si="377"/>
        <v xml:space="preserve"> </v>
      </c>
      <c r="DE133" s="254" t="str">
        <f t="shared" si="378"/>
        <v xml:space="preserve"> </v>
      </c>
      <c r="DF133" s="374" t="str">
        <f>IF($A133="N/A"," ",IF(CC=2,(IF(MONTH(A133)&gt;=4,IF(MONTH(A133)&lt;=10,Inputs!$G$13,Inputs!$G$14),Inputs!$G$14))*$CK133,0))</f>
        <v xml:space="preserve"> </v>
      </c>
      <c r="DG133" s="373" t="str">
        <f t="shared" si="379"/>
        <v xml:space="preserve"> </v>
      </c>
      <c r="DH133" s="373" t="str">
        <f t="shared" si="380"/>
        <v xml:space="preserve"> </v>
      </c>
      <c r="DI133" s="373" t="str">
        <f t="shared" si="381"/>
        <v xml:space="preserve"> </v>
      </c>
      <c r="DJ133" s="373" t="str">
        <f t="shared" si="382"/>
        <v xml:space="preserve"> </v>
      </c>
      <c r="DK133" s="373" t="str">
        <f t="shared" si="383"/>
        <v xml:space="preserve"> </v>
      </c>
      <c r="DL133" s="373" t="str">
        <f t="shared" si="384"/>
        <v xml:space="preserve"> </v>
      </c>
      <c r="DM133" s="373" t="str">
        <f t="shared" si="385"/>
        <v xml:space="preserve"> </v>
      </c>
      <c r="DN133" s="373" t="str">
        <f t="shared" si="386"/>
        <v xml:space="preserve"> </v>
      </c>
      <c r="DO133" s="373" t="str">
        <f t="shared" si="387"/>
        <v xml:space="preserve"> </v>
      </c>
      <c r="DP133" s="375" t="str">
        <f t="shared" si="388"/>
        <v xml:space="preserve"> </v>
      </c>
      <c r="DQ133" t="str">
        <f t="shared" ref="DQ133:DQ196" si="414">IF(A133="N/A"," ",Perstart)</f>
        <v xml:space="preserve"> </v>
      </c>
      <c r="HD133" t="str">
        <f t="shared" si="256"/>
        <v xml:space="preserve"> </v>
      </c>
      <c r="HE133" t="str">
        <f t="shared" si="257"/>
        <v xml:space="preserve"> </v>
      </c>
      <c r="HF133" t="str">
        <f t="shared" si="258"/>
        <v xml:space="preserve"> </v>
      </c>
    </row>
    <row r="134" spans="1:214">
      <c r="A134" s="415" t="str">
        <f>IF(A133="N/A","N/A",IF(EDATE(A133,1)&gt;Inputs!$K$3,"N/A",EDATE(A133,1)))</f>
        <v>N/A</v>
      </c>
      <c r="B134" s="410" t="str">
        <f t="shared" si="389"/>
        <v xml:space="preserve"> </v>
      </c>
      <c r="C134" s="411" t="str">
        <f t="shared" si="390"/>
        <v xml:space="preserve"> </v>
      </c>
      <c r="D134" s="412" t="str">
        <f t="shared" si="391"/>
        <v xml:space="preserve"> </v>
      </c>
      <c r="E134" s="413" t="str">
        <f>IF($A134="N/A"," ",(C134-'Pricing Inputs'!T167)*D134)</f>
        <v xml:space="preserve"> </v>
      </c>
      <c r="F134" s="414" t="str">
        <f t="shared" si="281"/>
        <v xml:space="preserve"> </v>
      </c>
      <c r="G134" s="414" t="str">
        <f t="shared" si="392"/>
        <v xml:space="preserve"> </v>
      </c>
      <c r="H134" s="416" t="str">
        <f t="shared" si="393"/>
        <v xml:space="preserve"> </v>
      </c>
      <c r="I134" s="213" t="str">
        <f t="shared" si="342"/>
        <v xml:space="preserve"> </v>
      </c>
      <c r="J134" s="213" t="str">
        <f t="shared" si="343"/>
        <v xml:space="preserve"> </v>
      </c>
      <c r="K134" s="213" t="str">
        <f t="shared" si="344"/>
        <v xml:space="preserve"> </v>
      </c>
      <c r="L134" s="213" t="str">
        <f t="shared" si="345"/>
        <v xml:space="preserve"> </v>
      </c>
      <c r="M134" s="213" t="str">
        <f t="shared" si="346"/>
        <v xml:space="preserve"> </v>
      </c>
      <c r="N134" s="213" t="str">
        <f t="shared" si="347"/>
        <v xml:space="preserve"> </v>
      </c>
      <c r="O134" s="213" t="str">
        <f t="shared" si="348"/>
        <v xml:space="preserve"> </v>
      </c>
      <c r="P134" s="213" t="str">
        <f t="shared" si="349"/>
        <v xml:space="preserve"> </v>
      </c>
      <c r="Q134" s="213" t="str">
        <f t="shared" si="350"/>
        <v xml:space="preserve"> </v>
      </c>
      <c r="R134" s="405" t="str">
        <f>IF($A134="N/A"," ",IF(Pricetype=2,MAX(I134-$H134,0),IF(Pricetype=1,(_xll.xSPRDOPT(I134,$E134,$CI134,0,($CD134+IF(Smile=TRUE,VLOOKUP(MAX(-5,$H134-I134),Volsmile,2),0)),$CG134,$CH134,($A134-DateToday)+15,1,0)),I134-$H134)))</f>
        <v xml:space="preserve"> </v>
      </c>
      <c r="S134" s="405" t="str">
        <f>IF($A134="N/A"," ",IF(Pricetype=2,MAX(J134-$H134,0),IF(Pricetype=1,(_xll.xSPRDOPT(J134,$E134,$CI134,0,($CD134+IF(Smile=TRUE,VLOOKUP(MAX(-5,$H134-J134),Volsmile,2),0)),$CG134,$CH134,($A134-DateToday)+15,1,0)),J134-$H134)))</f>
        <v xml:space="preserve"> </v>
      </c>
      <c r="T134" s="406" t="str">
        <f t="shared" si="351"/>
        <v xml:space="preserve"> </v>
      </c>
      <c r="U134" s="405" t="str">
        <f>IF($A134="N/A"," ",IF(Pricetype=2,MAX(L134-$H134,0),IF(L134&lt;&gt;0,IF(Pricetype=1,(_xll.xSPRDOPT(L134,$E134,$CI134,0,($CD134+IF(Smile=TRUE,VLOOKUP(MAX(-5,$H134-L134),Volsmile,2),0)),$CG134,$CH134,($A134-DateToday)+15,1,0)),L134-$H134),0)))</f>
        <v xml:space="preserve"> </v>
      </c>
      <c r="V134" s="405" t="str">
        <f>IF($A134="N/A"," ",IF(Pricetype=2,MAX(M134-$H134,0),IF(M134&lt;&gt;0,IF(Pricetype=1,(_xll.xSPRDOPT(M134,$E134,$CI134,0,($CD134+IF(Smile=TRUE,VLOOKUP(MAX(-5,$H134-M134),Volsmile,2),0)),$CG134,$CH134,($A134-DateToday)+15,1,0)),M134-$H134),0)))</f>
        <v xml:space="preserve"> </v>
      </c>
      <c r="W134" s="406" t="str">
        <f t="shared" si="352"/>
        <v xml:space="preserve"> </v>
      </c>
      <c r="X134" s="405" t="str">
        <f>IF($A134="N/A"," ",IF(Pricetype=2,MAX(O134-$H134,0),IF(O134&lt;&gt;0,IF(Pricetype=1,(_xll.xSPRDOPT(O134,$E134,$CI134,0,($CD134+IF(Smile=TRUE,VLOOKUP(MAX(-5,$H134-O134),Volsmile,2),0)),$CG134,$CH134,($A134-DateToday)+15,1,0)),O134-$H134),0)))</f>
        <v xml:space="preserve"> </v>
      </c>
      <c r="Y134" s="405" t="str">
        <f>IF($A134="N/A"," ",IF(Pricetype=2,MAX(P134-$H134,0),IF(P134&lt;&gt;0,IF(Pricetype=1,(_xll.xSPRDOPT(P134,$E134,$CI134,0,($CD134+IF(Smile=TRUE,VLOOKUP(MAX(-5,$H134-P134),Volsmile,2),0)),$CG134,$CH134,($A134-DateToday)+15,1,0)),P134-$H134),0)))</f>
        <v xml:space="preserve"> </v>
      </c>
      <c r="Z134" s="406" t="str">
        <f t="shared" si="353"/>
        <v xml:space="preserve"> </v>
      </c>
      <c r="AA134" s="254" t="str">
        <f>IF($A134="N/A"," ",IF(VLOOKUP(MONTH(A134),ManualTable,2)=1,(IF(0&lt;&gt;R134,IF(Pricetype=1,(_xll.xSPRDOPT(I134,$E134,$CI134,0,($CD134+IF(Smile=TRUE,VLOOKUP(MAX(-5,$H134-I134),Volsmile,2),0)),$CG134,$CH134,($A134-DateToday)+15,1,1))*(8*$HD134),8*$HD134),0)),0))</f>
        <v xml:space="preserve"> </v>
      </c>
      <c r="AB134" s="254" t="str">
        <f>IF($A134="N/A"," ",IF(VLOOKUP(MONTH(A134),ManualTable,3)=1,(IF(S134&lt;&gt;0,IF(Pricetype=1,(_xll.xSPRDOPT(J134,$E134,$CI134,0,($CD134+IF(Smile=TRUE,VLOOKUP(MAX(-5,$H134-J134),Volsmile,2),0)),$CG134,$CH134,($A134-DateToday)+15,1,1))*(8*$HD134),8*$HD134),0)),0))</f>
        <v xml:space="preserve"> </v>
      </c>
      <c r="AC134" s="254" t="str">
        <f t="shared" si="394"/>
        <v xml:space="preserve"> </v>
      </c>
      <c r="AD134" s="254" t="str">
        <f>IF($A134="N/A"," ",IF(VLOOKUP(MONTH(A134),ManualTable,5)=1,(IF(U134&lt;&gt;0,IF(Pricetype=1,(_xll.xSPRDOPT(L134,$E134,$CI134,0,($CD134+IF(Smile=TRUE,VLOOKUP(MAX(-5,$H134-L134),Volsmile,2),0)),$CG134,$CH134,($A134-DateToday)+15,1,1))*(8*$HE134),8*$HE134),0)),0))</f>
        <v xml:space="preserve"> </v>
      </c>
      <c r="AE134" s="254" t="str">
        <f>IF($A134="N/A"," ",IF(VLOOKUP(MONTH(A134),ManualTable,6)=1,(IF(V134&lt;&gt;0,IF(Pricetype=1,(_xll.xSPRDOPT(M134,$E134,$CI134,0,($CD134+IF(Smile=TRUE,VLOOKUP(MAX(-5,$H134-M134),Volsmile,2),0)),$CG134,$CH134,($A134-DateToday)+15,1,1))*(8*$HE134),8*$HE134),0)),0))</f>
        <v xml:space="preserve"> </v>
      </c>
      <c r="AF134" s="254" t="str">
        <f t="shared" si="395"/>
        <v xml:space="preserve"> </v>
      </c>
      <c r="AG134" s="254" t="str">
        <f>IF($A134="N/A"," ",IF(VLOOKUP(MONTH(A134),ManualTable,8)=1,(IF(X134&lt;&gt;0,IF(Pricetype=1,(_xll.xSPRDOPT(O134,$E134,$CI134,0,($CD134+IF(Smile=TRUE,VLOOKUP(MAX(-5,$H134-O134),Volsmile,2),0)),$CG134,$CH134,($A134-DateToday)+15,1,1))*(8*$HF134),8*$HF134),0)),0))</f>
        <v xml:space="preserve"> </v>
      </c>
      <c r="AH134" s="254" t="str">
        <f>IF($A134="N/A"," ",IF(VLOOKUP(MONTH(A134),ManualTable,9)=1,(IF(Y134&lt;&gt;0,IF(Pricetype=1,(_xll.xSPRDOPT(P134,$E134,$CI134,0,($CD134+IF(Smile=TRUE,VLOOKUP(MAX(-5,$H134-P134),Volsmile,2),0)),$CG134,$CH134,($A134-DateToday)+15,1,1))*(8*$HF134),8*$HF134),0)),0))</f>
        <v xml:space="preserve"> </v>
      </c>
      <c r="AI134" s="254" t="str">
        <f t="shared" si="396"/>
        <v xml:space="preserve"> </v>
      </c>
      <c r="AJ134" s="227" t="str">
        <f t="shared" si="335"/>
        <v xml:space="preserve"> </v>
      </c>
      <c r="AK134" s="228" t="str">
        <f t="shared" si="336"/>
        <v xml:space="preserve"> </v>
      </c>
      <c r="AL134" s="228" t="str">
        <f t="shared" si="336"/>
        <v xml:space="preserve"> </v>
      </c>
      <c r="AM134" s="228" t="str">
        <f t="shared" si="337"/>
        <v xml:space="preserve"> </v>
      </c>
      <c r="AN134" s="228" t="str">
        <f t="shared" si="338"/>
        <v xml:space="preserve"> </v>
      </c>
      <c r="AO134" s="228" t="str">
        <f t="shared" si="338"/>
        <v xml:space="preserve"> </v>
      </c>
      <c r="AP134" s="228" t="str">
        <f t="shared" si="339"/>
        <v xml:space="preserve"> </v>
      </c>
      <c r="AQ134" s="228" t="str">
        <f t="shared" si="340"/>
        <v xml:space="preserve"> </v>
      </c>
      <c r="AR134" s="229" t="str">
        <f t="shared" si="341"/>
        <v xml:space="preserve"> </v>
      </c>
      <c r="AS134" s="262" t="str">
        <f t="shared" si="274"/>
        <v xml:space="preserve"> </v>
      </c>
      <c r="AT134" s="263" t="str">
        <f t="shared" si="275"/>
        <v xml:space="preserve"> </v>
      </c>
      <c r="AU134" s="263" t="str">
        <f t="shared" si="275"/>
        <v xml:space="preserve"> </v>
      </c>
      <c r="AV134" s="263" t="str">
        <f t="shared" si="276"/>
        <v xml:space="preserve"> </v>
      </c>
      <c r="AW134" s="263" t="str">
        <f t="shared" si="277"/>
        <v xml:space="preserve"> </v>
      </c>
      <c r="AX134" s="263" t="str">
        <f t="shared" si="277"/>
        <v xml:space="preserve"> </v>
      </c>
      <c r="AY134" s="263" t="str">
        <f t="shared" si="278"/>
        <v xml:space="preserve"> </v>
      </c>
      <c r="AZ134" s="263" t="str">
        <f t="shared" si="279"/>
        <v xml:space="preserve"> </v>
      </c>
      <c r="BA134" s="263" t="str">
        <f t="shared" si="280"/>
        <v xml:space="preserve"> </v>
      </c>
      <c r="BB134" s="229">
        <f>SUM(AS124:BA135)</f>
        <v>0</v>
      </c>
      <c r="BC134" s="266" t="str">
        <f t="shared" si="328"/>
        <v xml:space="preserve"> </v>
      </c>
      <c r="BD134" s="269" t="str">
        <f t="shared" si="329"/>
        <v xml:space="preserve"> </v>
      </c>
      <c r="BE134" s="269" t="str">
        <f t="shared" si="329"/>
        <v xml:space="preserve"> </v>
      </c>
      <c r="BF134" s="269" t="str">
        <f t="shared" si="330"/>
        <v xml:space="preserve"> </v>
      </c>
      <c r="BG134" s="269" t="str">
        <f t="shared" si="331"/>
        <v xml:space="preserve"> </v>
      </c>
      <c r="BH134" s="269" t="str">
        <f t="shared" si="331"/>
        <v xml:space="preserve"> </v>
      </c>
      <c r="BI134" s="269" t="str">
        <f t="shared" si="332"/>
        <v xml:space="preserve"> </v>
      </c>
      <c r="BJ134" s="269" t="str">
        <f t="shared" si="333"/>
        <v xml:space="preserve"> </v>
      </c>
      <c r="BK134" s="269" t="str">
        <f t="shared" si="334"/>
        <v xml:space="preserve"> </v>
      </c>
      <c r="BL134" s="229">
        <f>SUM(BC124:BK135)</f>
        <v>0</v>
      </c>
      <c r="BM134" s="220" t="str">
        <f>IF($A134="N/A"," ",(IF(MONTH(A134)&gt;=4,IF(MONTH(A134)&lt;=10,Inputs!$F$13-Inputs!$G$13,Inputs!$F$14-Inputs!$G$14),Inputs!$F$14-Inputs!$G$14))*$CK134*Availability)</f>
        <v xml:space="preserve"> </v>
      </c>
      <c r="BN134" s="221" t="str">
        <f t="shared" si="397"/>
        <v xml:space="preserve"> </v>
      </c>
      <c r="BO134" s="221" t="str">
        <f t="shared" si="398"/>
        <v xml:space="preserve"> </v>
      </c>
      <c r="BP134" s="221" t="str">
        <f t="shared" si="399"/>
        <v xml:space="preserve"> </v>
      </c>
      <c r="BQ134" s="221" t="str">
        <f t="shared" si="400"/>
        <v xml:space="preserve"> </v>
      </c>
      <c r="BR134" s="221" t="str">
        <f t="shared" si="401"/>
        <v xml:space="preserve"> </v>
      </c>
      <c r="BS134" s="221" t="str">
        <f t="shared" si="402"/>
        <v xml:space="preserve"> </v>
      </c>
      <c r="BT134" s="221" t="str">
        <f t="shared" si="403"/>
        <v xml:space="preserve"> </v>
      </c>
      <c r="BU134" s="221" t="str">
        <f t="shared" si="404"/>
        <v xml:space="preserve"> </v>
      </c>
      <c r="BV134" s="221" t="str">
        <f t="shared" si="405"/>
        <v xml:space="preserve"> </v>
      </c>
      <c r="BW134" s="221" t="str">
        <f t="shared" si="406"/>
        <v xml:space="preserve"> </v>
      </c>
      <c r="BX134" s="421" t="str">
        <f t="shared" si="407"/>
        <v xml:space="preserve"> </v>
      </c>
      <c r="BY134" s="417" t="str">
        <f t="shared" si="408"/>
        <v xml:space="preserve"> </v>
      </c>
      <c r="BZ134" s="417" t="str">
        <f t="shared" si="409"/>
        <v xml:space="preserve"> </v>
      </c>
      <c r="CA134" s="422" t="str">
        <f t="shared" si="410"/>
        <v xml:space="preserve"> </v>
      </c>
      <c r="CB134" s="347" t="str">
        <f t="shared" si="354"/>
        <v xml:space="preserve"> </v>
      </c>
      <c r="CC134" s="347" t="str">
        <f t="shared" si="411"/>
        <v xml:space="preserve"> </v>
      </c>
      <c r="CD134" s="348" t="str">
        <f t="shared" si="355"/>
        <v xml:space="preserve"> </v>
      </c>
      <c r="CE134" s="347" t="str">
        <f t="shared" si="356"/>
        <v xml:space="preserve"> </v>
      </c>
      <c r="CF134" s="347" t="str">
        <f t="shared" si="357"/>
        <v xml:space="preserve"> </v>
      </c>
      <c r="CG134" s="348" t="str">
        <f t="shared" si="358"/>
        <v xml:space="preserve"> </v>
      </c>
      <c r="CH134" s="347" t="str">
        <f t="shared" si="412"/>
        <v xml:space="preserve"> </v>
      </c>
      <c r="CI134" s="349" t="str">
        <f>IF($A134="N/A"," ",F134+G134+(D134*('Pricing Inputs'!T167)))</f>
        <v xml:space="preserve"> </v>
      </c>
      <c r="CJ134" s="347" t="str">
        <f>IF($A134="N/A"," ",IF(PV=1,0,'Pricing Inputs'!U167))</f>
        <v xml:space="preserve"> </v>
      </c>
      <c r="CK134" s="350" t="str">
        <f t="shared" si="359"/>
        <v xml:space="preserve"> </v>
      </c>
      <c r="CL134" s="365" t="str">
        <f t="shared" si="360"/>
        <v xml:space="preserve"> </v>
      </c>
      <c r="CM134" s="380" t="str">
        <f t="shared" si="413"/>
        <v xml:space="preserve"> </v>
      </c>
      <c r="CN134" s="378" t="str">
        <f t="shared" si="361"/>
        <v xml:space="preserve"> </v>
      </c>
      <c r="CO134" s="378" t="str">
        <f t="shared" si="362"/>
        <v xml:space="preserve"> </v>
      </c>
      <c r="CP134" s="378" t="str">
        <f t="shared" si="363"/>
        <v xml:space="preserve"> </v>
      </c>
      <c r="CQ134" s="378" t="str">
        <f t="shared" si="364"/>
        <v xml:space="preserve"> </v>
      </c>
      <c r="CR134" s="378" t="str">
        <f t="shared" si="365"/>
        <v xml:space="preserve"> </v>
      </c>
      <c r="CS134" s="378" t="str">
        <f t="shared" si="366"/>
        <v xml:space="preserve"> </v>
      </c>
      <c r="CT134" s="378" t="str">
        <f t="shared" si="367"/>
        <v xml:space="preserve"> </v>
      </c>
      <c r="CU134" s="378" t="str">
        <f t="shared" si="368"/>
        <v xml:space="preserve"> </v>
      </c>
      <c r="CV134" s="378" t="str">
        <f t="shared" si="369"/>
        <v xml:space="preserve"> </v>
      </c>
      <c r="CW134" s="254" t="str">
        <f t="shared" si="370"/>
        <v xml:space="preserve"> </v>
      </c>
      <c r="CX134" s="254" t="str">
        <f t="shared" si="371"/>
        <v xml:space="preserve"> </v>
      </c>
      <c r="CY134" s="254" t="str">
        <f t="shared" si="372"/>
        <v xml:space="preserve"> </v>
      </c>
      <c r="CZ134" s="254" t="str">
        <f t="shared" si="373"/>
        <v xml:space="preserve"> </v>
      </c>
      <c r="DA134" s="254" t="str">
        <f t="shared" si="374"/>
        <v xml:space="preserve"> </v>
      </c>
      <c r="DB134" s="254" t="str">
        <f t="shared" si="375"/>
        <v xml:space="preserve"> </v>
      </c>
      <c r="DC134" s="254" t="str">
        <f t="shared" si="376"/>
        <v xml:space="preserve"> </v>
      </c>
      <c r="DD134" s="254" t="str">
        <f t="shared" si="377"/>
        <v xml:space="preserve"> </v>
      </c>
      <c r="DE134" s="254" t="str">
        <f t="shared" si="378"/>
        <v xml:space="preserve"> </v>
      </c>
      <c r="DF134" s="374" t="str">
        <f>IF($A134="N/A"," ",IF(CC=2,(IF(MONTH(A134)&gt;=4,IF(MONTH(A134)&lt;=10,Inputs!$G$13,Inputs!$G$14),Inputs!$G$14))*$CK134,0))</f>
        <v xml:space="preserve"> </v>
      </c>
      <c r="DG134" s="373" t="str">
        <f t="shared" si="379"/>
        <v xml:space="preserve"> </v>
      </c>
      <c r="DH134" s="373" t="str">
        <f t="shared" si="380"/>
        <v xml:space="preserve"> </v>
      </c>
      <c r="DI134" s="373" t="str">
        <f t="shared" si="381"/>
        <v xml:space="preserve"> </v>
      </c>
      <c r="DJ134" s="373" t="str">
        <f t="shared" si="382"/>
        <v xml:space="preserve"> </v>
      </c>
      <c r="DK134" s="373" t="str">
        <f t="shared" si="383"/>
        <v xml:space="preserve"> </v>
      </c>
      <c r="DL134" s="373" t="str">
        <f t="shared" si="384"/>
        <v xml:space="preserve"> </v>
      </c>
      <c r="DM134" s="373" t="str">
        <f t="shared" si="385"/>
        <v xml:space="preserve"> </v>
      </c>
      <c r="DN134" s="373" t="str">
        <f t="shared" si="386"/>
        <v xml:space="preserve"> </v>
      </c>
      <c r="DO134" s="373" t="str">
        <f t="shared" si="387"/>
        <v xml:space="preserve"> </v>
      </c>
      <c r="DP134" s="375" t="str">
        <f t="shared" si="388"/>
        <v xml:space="preserve"> </v>
      </c>
      <c r="DQ134" t="str">
        <f t="shared" si="414"/>
        <v xml:space="preserve"> </v>
      </c>
      <c r="HD134" t="str">
        <f t="shared" ref="HD134:HD197" si="415">IF($A134="N/A"," ",VLOOKUP($A134,NumberofDaysTable,2))</f>
        <v xml:space="preserve"> </v>
      </c>
      <c r="HE134" t="str">
        <f t="shared" ref="HE134:HE197" si="416">IF($A134="N/A"," ",VLOOKUP($A134,NumberofDaysTable,3))</f>
        <v xml:space="preserve"> </v>
      </c>
      <c r="HF134" t="str">
        <f t="shared" ref="HF134:HF197" si="417">IF($A134="N/A"," ",VLOOKUP($A134,NumberofDaysTable,4))</f>
        <v xml:space="preserve"> </v>
      </c>
    </row>
    <row r="135" spans="1:214">
      <c r="A135" s="415" t="str">
        <f>IF(A134="N/A","N/A",IF(EDATE(A134,1)&gt;Inputs!$K$3,"N/A",EDATE(A134,1)))</f>
        <v>N/A</v>
      </c>
      <c r="B135" s="410" t="str">
        <f t="shared" si="389"/>
        <v xml:space="preserve"> </v>
      </c>
      <c r="C135" s="411" t="str">
        <f t="shared" si="390"/>
        <v xml:space="preserve"> </v>
      </c>
      <c r="D135" s="412" t="str">
        <f t="shared" si="391"/>
        <v xml:space="preserve"> </v>
      </c>
      <c r="E135" s="413" t="str">
        <f>IF($A135="N/A"," ",(C135-'Pricing Inputs'!T168)*D135)</f>
        <v xml:space="preserve"> </v>
      </c>
      <c r="F135" s="414" t="str">
        <f t="shared" si="281"/>
        <v xml:space="preserve"> </v>
      </c>
      <c r="G135" s="414" t="str">
        <f t="shared" si="392"/>
        <v xml:space="preserve"> </v>
      </c>
      <c r="H135" s="416" t="str">
        <f t="shared" si="393"/>
        <v xml:space="preserve"> </v>
      </c>
      <c r="I135" s="213" t="str">
        <f t="shared" si="342"/>
        <v xml:space="preserve"> </v>
      </c>
      <c r="J135" s="213" t="str">
        <f t="shared" si="343"/>
        <v xml:space="preserve"> </v>
      </c>
      <c r="K135" s="213" t="str">
        <f t="shared" si="344"/>
        <v xml:space="preserve"> </v>
      </c>
      <c r="L135" s="213" t="str">
        <f t="shared" si="345"/>
        <v xml:space="preserve"> </v>
      </c>
      <c r="M135" s="213" t="str">
        <f t="shared" si="346"/>
        <v xml:space="preserve"> </v>
      </c>
      <c r="N135" s="213" t="str">
        <f t="shared" si="347"/>
        <v xml:space="preserve"> </v>
      </c>
      <c r="O135" s="213" t="str">
        <f t="shared" si="348"/>
        <v xml:space="preserve"> </v>
      </c>
      <c r="P135" s="213" t="str">
        <f t="shared" si="349"/>
        <v xml:space="preserve"> </v>
      </c>
      <c r="Q135" s="213" t="str">
        <f t="shared" si="350"/>
        <v xml:space="preserve"> </v>
      </c>
      <c r="R135" s="405" t="str">
        <f>IF($A135="N/A"," ",IF(Pricetype=2,MAX(I135-$H135,0),IF(Pricetype=1,(_xll.xSPRDOPT(I135,$E135,$CI135,0,($CD135+IF(Smile=TRUE,VLOOKUP(MAX(-5,$H135-I135),Volsmile,2),0)),$CG135,$CH135,($A135-DateToday)+15,1,0)),I135-$H135)))</f>
        <v xml:space="preserve"> </v>
      </c>
      <c r="S135" s="405" t="str">
        <f>IF($A135="N/A"," ",IF(Pricetype=2,MAX(J135-$H135,0),IF(Pricetype=1,(_xll.xSPRDOPT(J135,$E135,$CI135,0,($CD135+IF(Smile=TRUE,VLOOKUP(MAX(-5,$H135-J135),Volsmile,2),0)),$CG135,$CH135,($A135-DateToday)+15,1,0)),J135-$H135)))</f>
        <v xml:space="preserve"> </v>
      </c>
      <c r="T135" s="406" t="str">
        <f t="shared" si="351"/>
        <v xml:space="preserve"> </v>
      </c>
      <c r="U135" s="405" t="str">
        <f>IF($A135="N/A"," ",IF(Pricetype=2,MAX(L135-$H135,0),IF(L135&lt;&gt;0,IF(Pricetype=1,(_xll.xSPRDOPT(L135,$E135,$CI135,0,($CD135+IF(Smile=TRUE,VLOOKUP(MAX(-5,$H135-L135),Volsmile,2),0)),$CG135,$CH135,($A135-DateToday)+15,1,0)),L135-$H135),0)))</f>
        <v xml:space="preserve"> </v>
      </c>
      <c r="V135" s="405" t="str">
        <f>IF($A135="N/A"," ",IF(Pricetype=2,MAX(M135-$H135,0),IF(M135&lt;&gt;0,IF(Pricetype=1,(_xll.xSPRDOPT(M135,$E135,$CI135,0,($CD135+IF(Smile=TRUE,VLOOKUP(MAX(-5,$H135-M135),Volsmile,2),0)),$CG135,$CH135,($A135-DateToday)+15,1,0)),M135-$H135),0)))</f>
        <v xml:space="preserve"> </v>
      </c>
      <c r="W135" s="406" t="str">
        <f t="shared" si="352"/>
        <v xml:space="preserve"> </v>
      </c>
      <c r="X135" s="405" t="str">
        <f>IF($A135="N/A"," ",IF(Pricetype=2,MAX(O135-$H135,0),IF(O135&lt;&gt;0,IF(Pricetype=1,(_xll.xSPRDOPT(O135,$E135,$CI135,0,($CD135+IF(Smile=TRUE,VLOOKUP(MAX(-5,$H135-O135),Volsmile,2),0)),$CG135,$CH135,($A135-DateToday)+15,1,0)),O135-$H135),0)))</f>
        <v xml:space="preserve"> </v>
      </c>
      <c r="Y135" s="405" t="str">
        <f>IF($A135="N/A"," ",IF(Pricetype=2,MAX(P135-$H135,0),IF(P135&lt;&gt;0,IF(Pricetype=1,(_xll.xSPRDOPT(P135,$E135,$CI135,0,($CD135+IF(Smile=TRUE,VLOOKUP(MAX(-5,$H135-P135),Volsmile,2),0)),$CG135,$CH135,($A135-DateToday)+15,1,0)),P135-$H135),0)))</f>
        <v xml:space="preserve"> </v>
      </c>
      <c r="Z135" s="406" t="str">
        <f t="shared" si="353"/>
        <v xml:space="preserve"> </v>
      </c>
      <c r="AA135" s="254" t="str">
        <f>IF($A135="N/A"," ",IF(VLOOKUP(MONTH(A135),ManualTable,2)=1,(IF(0&lt;&gt;R135,IF(Pricetype=1,(_xll.xSPRDOPT(I135,$E135,$CI135,0,($CD135+IF(Smile=TRUE,VLOOKUP(MAX(-5,$H135-I135),Volsmile,2),0)),$CG135,$CH135,($A135-DateToday)+15,1,1))*(8*$HD135),8*$HD135),0)),0))</f>
        <v xml:space="preserve"> </v>
      </c>
      <c r="AB135" s="254" t="str">
        <f>IF($A135="N/A"," ",IF(VLOOKUP(MONTH(A135),ManualTable,3)=1,(IF(S135&lt;&gt;0,IF(Pricetype=1,(_xll.xSPRDOPT(J135,$E135,$CI135,0,($CD135+IF(Smile=TRUE,VLOOKUP(MAX(-5,$H135-J135),Volsmile,2),0)),$CG135,$CH135,($A135-DateToday)+15,1,1))*(8*$HD135),8*$HD135),0)),0))</f>
        <v xml:space="preserve"> </v>
      </c>
      <c r="AC135" s="254" t="str">
        <f t="shared" si="394"/>
        <v xml:space="preserve"> </v>
      </c>
      <c r="AD135" s="254" t="str">
        <f>IF($A135="N/A"," ",IF(VLOOKUP(MONTH(A135),ManualTable,5)=1,(IF(U135&lt;&gt;0,IF(Pricetype=1,(_xll.xSPRDOPT(L135,$E135,$CI135,0,($CD135+IF(Smile=TRUE,VLOOKUP(MAX(-5,$H135-L135),Volsmile,2),0)),$CG135,$CH135,($A135-DateToday)+15,1,1))*(8*$HE135),8*$HE135),0)),0))</f>
        <v xml:space="preserve"> </v>
      </c>
      <c r="AE135" s="254" t="str">
        <f>IF($A135="N/A"," ",IF(VLOOKUP(MONTH(A135),ManualTable,6)=1,(IF(V135&lt;&gt;0,IF(Pricetype=1,(_xll.xSPRDOPT(M135,$E135,$CI135,0,($CD135+IF(Smile=TRUE,VLOOKUP(MAX(-5,$H135-M135),Volsmile,2),0)),$CG135,$CH135,($A135-DateToday)+15,1,1))*(8*$HE135),8*$HE135),0)),0))</f>
        <v xml:space="preserve"> </v>
      </c>
      <c r="AF135" s="254" t="str">
        <f t="shared" si="395"/>
        <v xml:space="preserve"> </v>
      </c>
      <c r="AG135" s="254" t="str">
        <f>IF($A135="N/A"," ",IF(VLOOKUP(MONTH(A135),ManualTable,8)=1,(IF(X135&lt;&gt;0,IF(Pricetype=1,(_xll.xSPRDOPT(O135,$E135,$CI135,0,($CD135+IF(Smile=TRUE,VLOOKUP(MAX(-5,$H135-O135),Volsmile,2),0)),$CG135,$CH135,($A135-DateToday)+15,1,1))*(8*$HF135),8*$HF135),0)),0))</f>
        <v xml:space="preserve"> </v>
      </c>
      <c r="AH135" s="254" t="str">
        <f>IF($A135="N/A"," ",IF(VLOOKUP(MONTH(A135),ManualTable,9)=1,(IF(Y135&lt;&gt;0,IF(Pricetype=1,(_xll.xSPRDOPT(P135,$E135,$CI135,0,($CD135+IF(Smile=TRUE,VLOOKUP(MAX(-5,$H135-P135),Volsmile,2),0)),$CG135,$CH135,($A135-DateToday)+15,1,1))*(8*$HF135),8*$HF135),0)),0))</f>
        <v xml:space="preserve"> </v>
      </c>
      <c r="AI135" s="254" t="str">
        <f t="shared" si="396"/>
        <v xml:space="preserve"> </v>
      </c>
      <c r="AJ135" s="230" t="str">
        <f t="shared" si="335"/>
        <v xml:space="preserve"> </v>
      </c>
      <c r="AK135" s="231" t="str">
        <f t="shared" si="336"/>
        <v xml:space="preserve"> </v>
      </c>
      <c r="AL135" s="231" t="str">
        <f t="shared" si="336"/>
        <v xml:space="preserve"> </v>
      </c>
      <c r="AM135" s="231" t="str">
        <f t="shared" si="337"/>
        <v xml:space="preserve"> </v>
      </c>
      <c r="AN135" s="231" t="str">
        <f t="shared" si="338"/>
        <v xml:space="preserve"> </v>
      </c>
      <c r="AO135" s="231" t="str">
        <f t="shared" si="338"/>
        <v xml:space="preserve"> </v>
      </c>
      <c r="AP135" s="231" t="str">
        <f t="shared" si="339"/>
        <v xml:space="preserve"> </v>
      </c>
      <c r="AQ135" s="231" t="str">
        <f t="shared" si="340"/>
        <v xml:space="preserve"> </v>
      </c>
      <c r="AR135" s="232" t="str">
        <f t="shared" si="341"/>
        <v xml:space="preserve"> </v>
      </c>
      <c r="AS135" s="264" t="str">
        <f t="shared" si="274"/>
        <v xml:space="preserve"> </v>
      </c>
      <c r="AT135" s="265" t="str">
        <f t="shared" si="275"/>
        <v xml:space="preserve"> </v>
      </c>
      <c r="AU135" s="265" t="str">
        <f t="shared" si="275"/>
        <v xml:space="preserve"> </v>
      </c>
      <c r="AV135" s="265" t="str">
        <f t="shared" si="276"/>
        <v xml:space="preserve"> </v>
      </c>
      <c r="AW135" s="265" t="str">
        <f t="shared" si="277"/>
        <v xml:space="preserve"> </v>
      </c>
      <c r="AX135" s="265" t="str">
        <f t="shared" si="277"/>
        <v xml:space="preserve"> </v>
      </c>
      <c r="AY135" s="265" t="str">
        <f t="shared" si="278"/>
        <v xml:space="preserve"> </v>
      </c>
      <c r="AZ135" s="265" t="str">
        <f t="shared" si="279"/>
        <v xml:space="preserve"> </v>
      </c>
      <c r="BA135" s="265" t="str">
        <f t="shared" si="280"/>
        <v xml:space="preserve"> </v>
      </c>
      <c r="BB135" s="232">
        <f>IF(($AZ$2-BB134)&gt;=0,$AZ$2-BB134,0)</f>
        <v>980</v>
      </c>
      <c r="BC135" s="270" t="str">
        <f t="shared" si="328"/>
        <v xml:space="preserve"> </v>
      </c>
      <c r="BD135" s="271" t="str">
        <f t="shared" si="329"/>
        <v xml:space="preserve"> </v>
      </c>
      <c r="BE135" s="269" t="str">
        <f t="shared" si="329"/>
        <v xml:space="preserve"> </v>
      </c>
      <c r="BF135" s="271" t="str">
        <f t="shared" si="330"/>
        <v xml:space="preserve"> </v>
      </c>
      <c r="BG135" s="271" t="str">
        <f t="shared" si="331"/>
        <v xml:space="preserve"> </v>
      </c>
      <c r="BH135" s="269" t="str">
        <f t="shared" si="331"/>
        <v xml:space="preserve"> </v>
      </c>
      <c r="BI135" s="271" t="str">
        <f t="shared" si="332"/>
        <v xml:space="preserve"> </v>
      </c>
      <c r="BJ135" s="271" t="str">
        <f t="shared" si="333"/>
        <v xml:space="preserve"> </v>
      </c>
      <c r="BK135" s="271" t="str">
        <f t="shared" si="334"/>
        <v xml:space="preserve"> </v>
      </c>
      <c r="BL135" s="235">
        <f>BB134+BL134</f>
        <v>0</v>
      </c>
      <c r="BM135" s="220" t="str">
        <f>IF($A135="N/A"," ",(IF(MONTH(A135)&gt;=4,IF(MONTH(A135)&lt;=10,Inputs!$F$13-Inputs!$G$13,Inputs!$F$14-Inputs!$G$14),Inputs!$F$14-Inputs!$G$14))*$CK135*Availability)</f>
        <v xml:space="preserve"> </v>
      </c>
      <c r="BN135" s="221" t="str">
        <f t="shared" si="397"/>
        <v xml:space="preserve"> </v>
      </c>
      <c r="BO135" s="221" t="str">
        <f t="shared" si="398"/>
        <v xml:space="preserve"> </v>
      </c>
      <c r="BP135" s="221" t="str">
        <f t="shared" si="399"/>
        <v xml:space="preserve"> </v>
      </c>
      <c r="BQ135" s="221" t="str">
        <f t="shared" si="400"/>
        <v xml:space="preserve"> </v>
      </c>
      <c r="BR135" s="221" t="str">
        <f t="shared" si="401"/>
        <v xml:space="preserve"> </v>
      </c>
      <c r="BS135" s="221" t="str">
        <f t="shared" si="402"/>
        <v xml:space="preserve"> </v>
      </c>
      <c r="BT135" s="221" t="str">
        <f t="shared" si="403"/>
        <v xml:space="preserve"> </v>
      </c>
      <c r="BU135" s="221" t="str">
        <f t="shared" si="404"/>
        <v xml:space="preserve"> </v>
      </c>
      <c r="BV135" s="221" t="str">
        <f t="shared" si="405"/>
        <v xml:space="preserve"> </v>
      </c>
      <c r="BW135" s="221" t="str">
        <f t="shared" si="406"/>
        <v xml:space="preserve"> </v>
      </c>
      <c r="BX135" s="421" t="str">
        <f t="shared" si="407"/>
        <v xml:space="preserve"> </v>
      </c>
      <c r="BY135" s="417" t="str">
        <f t="shared" si="408"/>
        <v xml:space="preserve"> </v>
      </c>
      <c r="BZ135" s="417" t="str">
        <f t="shared" si="409"/>
        <v xml:space="preserve"> </v>
      </c>
      <c r="CA135" s="422" t="str">
        <f t="shared" si="410"/>
        <v xml:space="preserve"> </v>
      </c>
      <c r="CB135" s="347" t="str">
        <f t="shared" si="354"/>
        <v xml:space="preserve"> </v>
      </c>
      <c r="CC135" s="347" t="str">
        <f t="shared" si="411"/>
        <v xml:space="preserve"> </v>
      </c>
      <c r="CD135" s="348" t="str">
        <f t="shared" si="355"/>
        <v xml:space="preserve"> </v>
      </c>
      <c r="CE135" s="347" t="str">
        <f t="shared" si="356"/>
        <v xml:space="preserve"> </v>
      </c>
      <c r="CF135" s="347" t="str">
        <f t="shared" si="357"/>
        <v xml:space="preserve"> </v>
      </c>
      <c r="CG135" s="348" t="str">
        <f t="shared" si="358"/>
        <v xml:space="preserve"> </v>
      </c>
      <c r="CH135" s="347" t="str">
        <f t="shared" si="412"/>
        <v xml:space="preserve"> </v>
      </c>
      <c r="CI135" s="349" t="str">
        <f>IF($A135="N/A"," ",F135+G135+(D135*('Pricing Inputs'!T168)))</f>
        <v xml:space="preserve"> </v>
      </c>
      <c r="CJ135" s="347" t="str">
        <f>IF($A135="N/A"," ",IF(PV=1,0,'Pricing Inputs'!U168))</f>
        <v xml:space="preserve"> </v>
      </c>
      <c r="CK135" s="350" t="str">
        <f t="shared" si="359"/>
        <v xml:space="preserve"> </v>
      </c>
      <c r="CL135" s="365" t="str">
        <f t="shared" si="360"/>
        <v xml:space="preserve"> </v>
      </c>
      <c r="CM135" s="380" t="str">
        <f t="shared" si="413"/>
        <v xml:space="preserve"> </v>
      </c>
      <c r="CN135" s="378" t="str">
        <f t="shared" si="361"/>
        <v xml:space="preserve"> </v>
      </c>
      <c r="CO135" s="378" t="str">
        <f t="shared" si="362"/>
        <v xml:space="preserve"> </v>
      </c>
      <c r="CP135" s="378" t="str">
        <f t="shared" si="363"/>
        <v xml:space="preserve"> </v>
      </c>
      <c r="CQ135" s="378" t="str">
        <f t="shared" si="364"/>
        <v xml:space="preserve"> </v>
      </c>
      <c r="CR135" s="378" t="str">
        <f t="shared" si="365"/>
        <v xml:space="preserve"> </v>
      </c>
      <c r="CS135" s="378" t="str">
        <f t="shared" si="366"/>
        <v xml:space="preserve"> </v>
      </c>
      <c r="CT135" s="378" t="str">
        <f t="shared" si="367"/>
        <v xml:space="preserve"> </v>
      </c>
      <c r="CU135" s="378" t="str">
        <f t="shared" si="368"/>
        <v xml:space="preserve"> </v>
      </c>
      <c r="CV135" s="378" t="str">
        <f t="shared" si="369"/>
        <v xml:space="preserve"> </v>
      </c>
      <c r="CW135" s="254" t="str">
        <f t="shared" si="370"/>
        <v xml:space="preserve"> </v>
      </c>
      <c r="CX135" s="254" t="str">
        <f t="shared" si="371"/>
        <v xml:space="preserve"> </v>
      </c>
      <c r="CY135" s="254" t="str">
        <f t="shared" si="372"/>
        <v xml:space="preserve"> </v>
      </c>
      <c r="CZ135" s="254" t="str">
        <f t="shared" si="373"/>
        <v xml:space="preserve"> </v>
      </c>
      <c r="DA135" s="254" t="str">
        <f t="shared" si="374"/>
        <v xml:space="preserve"> </v>
      </c>
      <c r="DB135" s="254" t="str">
        <f t="shared" si="375"/>
        <v xml:space="preserve"> </v>
      </c>
      <c r="DC135" s="254" t="str">
        <f t="shared" si="376"/>
        <v xml:space="preserve"> </v>
      </c>
      <c r="DD135" s="254" t="str">
        <f t="shared" si="377"/>
        <v xml:space="preserve"> </v>
      </c>
      <c r="DE135" s="254" t="str">
        <f t="shared" si="378"/>
        <v xml:space="preserve"> </v>
      </c>
      <c r="DF135" s="374" t="str">
        <f>IF($A135="N/A"," ",IF(CC=2,(IF(MONTH(A135)&gt;=4,IF(MONTH(A135)&lt;=10,Inputs!$G$13,Inputs!$G$14),Inputs!$G$14))*$CK135,0))</f>
        <v xml:space="preserve"> </v>
      </c>
      <c r="DG135" s="373" t="str">
        <f t="shared" si="379"/>
        <v xml:space="preserve"> </v>
      </c>
      <c r="DH135" s="373" t="str">
        <f t="shared" si="380"/>
        <v xml:space="preserve"> </v>
      </c>
      <c r="DI135" s="373" t="str">
        <f t="shared" si="381"/>
        <v xml:space="preserve"> </v>
      </c>
      <c r="DJ135" s="373" t="str">
        <f t="shared" si="382"/>
        <v xml:space="preserve"> </v>
      </c>
      <c r="DK135" s="373" t="str">
        <f t="shared" si="383"/>
        <v xml:space="preserve"> </v>
      </c>
      <c r="DL135" s="373" t="str">
        <f t="shared" si="384"/>
        <v xml:space="preserve"> </v>
      </c>
      <c r="DM135" s="373" t="str">
        <f t="shared" si="385"/>
        <v xml:space="preserve"> </v>
      </c>
      <c r="DN135" s="373" t="str">
        <f t="shared" si="386"/>
        <v xml:space="preserve"> </v>
      </c>
      <c r="DO135" s="373" t="str">
        <f t="shared" si="387"/>
        <v xml:space="preserve"> </v>
      </c>
      <c r="DP135" s="375" t="str">
        <f t="shared" si="388"/>
        <v xml:space="preserve"> </v>
      </c>
      <c r="DQ135" t="str">
        <f t="shared" si="414"/>
        <v xml:space="preserve"> </v>
      </c>
      <c r="HD135" t="str">
        <f t="shared" si="415"/>
        <v xml:space="preserve"> </v>
      </c>
      <c r="HE135" t="str">
        <f t="shared" si="416"/>
        <v xml:space="preserve"> </v>
      </c>
      <c r="HF135" t="str">
        <f t="shared" si="417"/>
        <v xml:space="preserve"> </v>
      </c>
    </row>
    <row r="136" spans="1:214">
      <c r="A136" s="415" t="str">
        <f>IF(A135="N/A","N/A",IF(EDATE(A135,1)&gt;Inputs!$K$3,"N/A",EDATE(A135,1)))</f>
        <v>N/A</v>
      </c>
      <c r="B136" s="410" t="str">
        <f t="shared" si="389"/>
        <v xml:space="preserve"> </v>
      </c>
      <c r="C136" s="411" t="str">
        <f t="shared" si="390"/>
        <v xml:space="preserve"> </v>
      </c>
      <c r="D136" s="412" t="str">
        <f t="shared" si="391"/>
        <v xml:space="preserve"> </v>
      </c>
      <c r="E136" s="413" t="str">
        <f>IF($A136="N/A"," ",(C136-'Pricing Inputs'!T169)*D136)</f>
        <v xml:space="preserve"> </v>
      </c>
      <c r="F136" s="414" t="str">
        <f t="shared" si="281"/>
        <v xml:space="preserve"> </v>
      </c>
      <c r="G136" s="414" t="str">
        <f t="shared" si="392"/>
        <v xml:space="preserve"> </v>
      </c>
      <c r="H136" s="416" t="str">
        <f t="shared" si="393"/>
        <v xml:space="preserve"> </v>
      </c>
      <c r="I136" s="213" t="str">
        <f t="shared" si="342"/>
        <v xml:space="preserve"> </v>
      </c>
      <c r="J136" s="213" t="str">
        <f t="shared" si="343"/>
        <v xml:space="preserve"> </v>
      </c>
      <c r="K136" s="213" t="str">
        <f t="shared" si="344"/>
        <v xml:space="preserve"> </v>
      </c>
      <c r="L136" s="213" t="str">
        <f t="shared" si="345"/>
        <v xml:space="preserve"> </v>
      </c>
      <c r="M136" s="213" t="str">
        <f t="shared" si="346"/>
        <v xml:space="preserve"> </v>
      </c>
      <c r="N136" s="213" t="str">
        <f t="shared" si="347"/>
        <v xml:space="preserve"> </v>
      </c>
      <c r="O136" s="213" t="str">
        <f t="shared" si="348"/>
        <v xml:space="preserve"> </v>
      </c>
      <c r="P136" s="213" t="str">
        <f t="shared" si="349"/>
        <v xml:space="preserve"> </v>
      </c>
      <c r="Q136" s="213" t="str">
        <f t="shared" si="350"/>
        <v xml:space="preserve"> </v>
      </c>
      <c r="R136" s="405" t="str">
        <f>IF($A136="N/A"," ",IF(Pricetype=2,MAX(I136-$H136,0),IF(Pricetype=1,(_xll.xSPRDOPT(I136,$E136,$CI136,0,($CD136+IF(Smile=TRUE,VLOOKUP(MAX(-5,$H136-I136),Volsmile,2),0)),$CG136,$CH136,($A136-DateToday)+15,1,0)),I136-$H136)))</f>
        <v xml:space="preserve"> </v>
      </c>
      <c r="S136" s="405" t="str">
        <f>IF($A136="N/A"," ",IF(Pricetype=2,MAX(J136-$H136,0),IF(Pricetype=1,(_xll.xSPRDOPT(J136,$E136,$CI136,0,($CD136+IF(Smile=TRUE,VLOOKUP(MAX(-5,$H136-J136),Volsmile,2),0)),$CG136,$CH136,($A136-DateToday)+15,1,0)),J136-$H136)))</f>
        <v xml:space="preserve"> </v>
      </c>
      <c r="T136" s="406" t="str">
        <f t="shared" si="351"/>
        <v xml:space="preserve"> </v>
      </c>
      <c r="U136" s="405" t="str">
        <f>IF($A136="N/A"," ",IF(Pricetype=2,MAX(L136-$H136,0),IF(L136&lt;&gt;0,IF(Pricetype=1,(_xll.xSPRDOPT(L136,$E136,$CI136,0,($CD136+IF(Smile=TRUE,VLOOKUP(MAX(-5,$H136-L136),Volsmile,2),0)),$CG136,$CH136,($A136-DateToday)+15,1,0)),L136-$H136),0)))</f>
        <v xml:space="preserve"> </v>
      </c>
      <c r="V136" s="405" t="str">
        <f>IF($A136="N/A"," ",IF(Pricetype=2,MAX(M136-$H136,0),IF(M136&lt;&gt;0,IF(Pricetype=1,(_xll.xSPRDOPT(M136,$E136,$CI136,0,($CD136+IF(Smile=TRUE,VLOOKUP(MAX(-5,$H136-M136),Volsmile,2),0)),$CG136,$CH136,($A136-DateToday)+15,1,0)),M136-$H136),0)))</f>
        <v xml:space="preserve"> </v>
      </c>
      <c r="W136" s="406" t="str">
        <f t="shared" si="352"/>
        <v xml:space="preserve"> </v>
      </c>
      <c r="X136" s="405" t="str">
        <f>IF($A136="N/A"," ",IF(Pricetype=2,MAX(O136-$H136,0),IF(O136&lt;&gt;0,IF(Pricetype=1,(_xll.xSPRDOPT(O136,$E136,$CI136,0,($CD136+IF(Smile=TRUE,VLOOKUP(MAX(-5,$H136-O136),Volsmile,2),0)),$CG136,$CH136,($A136-DateToday)+15,1,0)),O136-$H136),0)))</f>
        <v xml:space="preserve"> </v>
      </c>
      <c r="Y136" s="405" t="str">
        <f>IF($A136="N/A"," ",IF(Pricetype=2,MAX(P136-$H136,0),IF(P136&lt;&gt;0,IF(Pricetype=1,(_xll.xSPRDOPT(P136,$E136,$CI136,0,($CD136+IF(Smile=TRUE,VLOOKUP(MAX(-5,$H136-P136),Volsmile,2),0)),$CG136,$CH136,($A136-DateToday)+15,1,0)),P136-$H136),0)))</f>
        <v xml:space="preserve"> </v>
      </c>
      <c r="Z136" s="406" t="str">
        <f t="shared" si="353"/>
        <v xml:space="preserve"> </v>
      </c>
      <c r="AA136" s="254" t="str">
        <f>IF($A136="N/A"," ",IF(VLOOKUP(MONTH(A136),ManualTable,2)=1,(IF(0&lt;&gt;R136,IF(Pricetype=1,(_xll.xSPRDOPT(I136,$E136,$CI136,0,($CD136+IF(Smile=TRUE,VLOOKUP(MAX(-5,$H136-I136),Volsmile,2),0)),$CG136,$CH136,($A136-DateToday)+15,1,1))*(8*$HD136),8*$HD136),0)),0))</f>
        <v xml:space="preserve"> </v>
      </c>
      <c r="AB136" s="254" t="str">
        <f>IF($A136="N/A"," ",IF(VLOOKUP(MONTH(A136),ManualTable,3)=1,(IF(S136&lt;&gt;0,IF(Pricetype=1,(_xll.xSPRDOPT(J136,$E136,$CI136,0,($CD136+IF(Smile=TRUE,VLOOKUP(MAX(-5,$H136-J136),Volsmile,2),0)),$CG136,$CH136,($A136-DateToday)+15,1,1))*(8*$HD136),8*$HD136),0)),0))</f>
        <v xml:space="preserve"> </v>
      </c>
      <c r="AC136" s="254" t="str">
        <f t="shared" si="394"/>
        <v xml:space="preserve"> </v>
      </c>
      <c r="AD136" s="254" t="str">
        <f>IF($A136="N/A"," ",IF(VLOOKUP(MONTH(A136),ManualTable,5)=1,(IF(U136&lt;&gt;0,IF(Pricetype=1,(_xll.xSPRDOPT(L136,$E136,$CI136,0,($CD136+IF(Smile=TRUE,VLOOKUP(MAX(-5,$H136-L136),Volsmile,2),0)),$CG136,$CH136,($A136-DateToday)+15,1,1))*(8*$HE136),8*$HE136),0)),0))</f>
        <v xml:space="preserve"> </v>
      </c>
      <c r="AE136" s="254" t="str">
        <f>IF($A136="N/A"," ",IF(VLOOKUP(MONTH(A136),ManualTable,6)=1,(IF(V136&lt;&gt;0,IF(Pricetype=1,(_xll.xSPRDOPT(M136,$E136,$CI136,0,($CD136+IF(Smile=TRUE,VLOOKUP(MAX(-5,$H136-M136),Volsmile,2),0)),$CG136,$CH136,($A136-DateToday)+15,1,1))*(8*$HE136),8*$HE136),0)),0))</f>
        <v xml:space="preserve"> </v>
      </c>
      <c r="AF136" s="254" t="str">
        <f t="shared" si="395"/>
        <v xml:space="preserve"> </v>
      </c>
      <c r="AG136" s="254" t="str">
        <f>IF($A136="N/A"," ",IF(VLOOKUP(MONTH(A136),ManualTable,8)=1,(IF(X136&lt;&gt;0,IF(Pricetype=1,(_xll.xSPRDOPT(O136,$E136,$CI136,0,($CD136+IF(Smile=TRUE,VLOOKUP(MAX(-5,$H136-O136),Volsmile,2),0)),$CG136,$CH136,($A136-DateToday)+15,1,1))*(8*$HF136),8*$HF136),0)),0))</f>
        <v xml:space="preserve"> </v>
      </c>
      <c r="AH136" s="254" t="str">
        <f>IF($A136="N/A"," ",IF(VLOOKUP(MONTH(A136),ManualTable,9)=1,(IF(Y136&lt;&gt;0,IF(Pricetype=1,(_xll.xSPRDOPT(P136,$E136,$CI136,0,($CD136+IF(Smile=TRUE,VLOOKUP(MAX(-5,$H136-P136),Volsmile,2),0)),$CG136,$CH136,($A136-DateToday)+15,1,1))*(8*$HF136),8*$HF136),0)),0))</f>
        <v xml:space="preserve"> </v>
      </c>
      <c r="AI136" s="254" t="str">
        <f t="shared" si="396"/>
        <v xml:space="preserve"> </v>
      </c>
      <c r="AJ136" s="224" t="str">
        <f t="shared" ref="AJ136:AR136" si="418">IF($A136="N/A"," ",RANK(R136,$R$136:$Z$147))</f>
        <v xml:space="preserve"> </v>
      </c>
      <c r="AK136" s="225" t="str">
        <f t="shared" si="418"/>
        <v xml:space="preserve"> </v>
      </c>
      <c r="AL136" s="225" t="str">
        <f t="shared" si="418"/>
        <v xml:space="preserve"> </v>
      </c>
      <c r="AM136" s="225" t="str">
        <f t="shared" si="418"/>
        <v xml:space="preserve"> </v>
      </c>
      <c r="AN136" s="225" t="str">
        <f t="shared" si="418"/>
        <v xml:space="preserve"> </v>
      </c>
      <c r="AO136" s="225" t="str">
        <f t="shared" si="418"/>
        <v xml:space="preserve"> </v>
      </c>
      <c r="AP136" s="225" t="str">
        <f t="shared" si="418"/>
        <v xml:space="preserve"> </v>
      </c>
      <c r="AQ136" s="225" t="str">
        <f t="shared" si="418"/>
        <v xml:space="preserve"> </v>
      </c>
      <c r="AR136" s="226" t="str">
        <f t="shared" si="418"/>
        <v xml:space="preserve"> </v>
      </c>
      <c r="AS136" s="260" t="str">
        <f t="shared" si="274"/>
        <v xml:space="preserve"> </v>
      </c>
      <c r="AT136" s="261" t="str">
        <f t="shared" si="275"/>
        <v xml:space="preserve"> </v>
      </c>
      <c r="AU136" s="263" t="str">
        <f t="shared" si="275"/>
        <v xml:space="preserve"> </v>
      </c>
      <c r="AV136" s="263" t="str">
        <f t="shared" si="276"/>
        <v xml:space="preserve"> </v>
      </c>
      <c r="AW136" s="263" t="str">
        <f t="shared" si="277"/>
        <v xml:space="preserve"> </v>
      </c>
      <c r="AX136" s="263" t="str">
        <f t="shared" si="277"/>
        <v xml:space="preserve"> </v>
      </c>
      <c r="AY136" s="261" t="str">
        <f t="shared" si="278"/>
        <v xml:space="preserve"> </v>
      </c>
      <c r="AZ136" s="261" t="str">
        <f t="shared" si="279"/>
        <v xml:space="preserve"> </v>
      </c>
      <c r="BA136" s="261" t="str">
        <f t="shared" si="280"/>
        <v xml:space="preserve"> </v>
      </c>
      <c r="BB136" s="226"/>
      <c r="BC136" s="272" t="str">
        <f t="shared" ref="BC136:BC147" si="419">IF($A136="N/A"," ",IF(AND(AJ136=$AR$2+1,AS136=0),MIN($BB$147,AA136),0))</f>
        <v xml:space="preserve"> </v>
      </c>
      <c r="BD136" s="267" t="str">
        <f t="shared" ref="BD136:BE147" si="420">IF($A136="N/A"," ",IF(AND(AK136=$AR$2+1,AT136=0),MIN($BB$147,AB136),0))</f>
        <v xml:space="preserve"> </v>
      </c>
      <c r="BE136" s="267" t="str">
        <f t="shared" si="420"/>
        <v xml:space="preserve"> </v>
      </c>
      <c r="BF136" s="267" t="str">
        <f t="shared" ref="BF136:BF147" si="421">IF($A136="N/A"," ",IF(AND(AM136=$AR$2+1,AV136=0),MIN($BB$147,AD136),0))</f>
        <v xml:space="preserve"> </v>
      </c>
      <c r="BG136" s="267" t="str">
        <f t="shared" ref="BG136:BH147" si="422">IF($A136="N/A"," ",IF(AND(AN136=$AR$2+1,AW136=0),MIN($BB$147,AE136),0))</f>
        <v xml:space="preserve"> </v>
      </c>
      <c r="BH136" s="267" t="str">
        <f t="shared" si="422"/>
        <v xml:space="preserve"> </v>
      </c>
      <c r="BI136" s="267" t="str">
        <f t="shared" ref="BI136:BI147" si="423">IF($A136="N/A"," ",IF(AND(AP136=$AR$2+1,AY136=0),MIN($BB$147,AG136),0))</f>
        <v xml:space="preserve"> </v>
      </c>
      <c r="BJ136" s="267" t="str">
        <f t="shared" ref="BJ136:BJ147" si="424">IF($A136="N/A"," ",IF(AND(AQ136=$AR$2+1,AZ136=0),MIN($BB$147,AH136),0))</f>
        <v xml:space="preserve"> </v>
      </c>
      <c r="BK136" s="267" t="str">
        <f t="shared" ref="BK136:BK147" si="425">IF($A136="N/A"," ",IF(AND(AR136=$AR$2+1,BA136=0),MIN($BB$147,AI136),0))</f>
        <v xml:space="preserve"> </v>
      </c>
      <c r="BL136" s="226"/>
      <c r="BM136" s="220" t="str">
        <f>IF($A136="N/A"," ",(IF(MONTH(A136)&gt;=4,IF(MONTH(A136)&lt;=10,Inputs!$F$13-Inputs!$G$13,Inputs!$F$14-Inputs!$G$14),Inputs!$F$14-Inputs!$G$14))*$CK136*Availability)</f>
        <v xml:space="preserve"> </v>
      </c>
      <c r="BN136" s="221" t="str">
        <f t="shared" si="397"/>
        <v xml:space="preserve"> </v>
      </c>
      <c r="BO136" s="221" t="str">
        <f t="shared" si="398"/>
        <v xml:space="preserve"> </v>
      </c>
      <c r="BP136" s="221" t="str">
        <f t="shared" si="399"/>
        <v xml:space="preserve"> </v>
      </c>
      <c r="BQ136" s="221" t="str">
        <f t="shared" si="400"/>
        <v xml:space="preserve"> </v>
      </c>
      <c r="BR136" s="221" t="str">
        <f t="shared" si="401"/>
        <v xml:space="preserve"> </v>
      </c>
      <c r="BS136" s="221" t="str">
        <f t="shared" si="402"/>
        <v xml:space="preserve"> </v>
      </c>
      <c r="BT136" s="221" t="str">
        <f t="shared" si="403"/>
        <v xml:space="preserve"> </v>
      </c>
      <c r="BU136" s="221" t="str">
        <f t="shared" si="404"/>
        <v xml:space="preserve"> </v>
      </c>
      <c r="BV136" s="221" t="str">
        <f t="shared" si="405"/>
        <v xml:space="preserve"> </v>
      </c>
      <c r="BW136" s="221" t="str">
        <f t="shared" si="406"/>
        <v xml:space="preserve"> </v>
      </c>
      <c r="BX136" s="421" t="str">
        <f t="shared" si="407"/>
        <v xml:space="preserve"> </v>
      </c>
      <c r="BY136" s="417" t="str">
        <f t="shared" si="408"/>
        <v xml:space="preserve"> </v>
      </c>
      <c r="BZ136" s="417" t="str">
        <f t="shared" si="409"/>
        <v xml:space="preserve"> </v>
      </c>
      <c r="CA136" s="422" t="str">
        <f t="shared" si="410"/>
        <v xml:space="preserve"> </v>
      </c>
      <c r="CB136" s="347" t="str">
        <f t="shared" si="354"/>
        <v xml:space="preserve"> </v>
      </c>
      <c r="CC136" s="347" t="str">
        <f t="shared" si="411"/>
        <v xml:space="preserve"> </v>
      </c>
      <c r="CD136" s="348" t="str">
        <f t="shared" si="355"/>
        <v xml:space="preserve"> </v>
      </c>
      <c r="CE136" s="347" t="str">
        <f t="shared" si="356"/>
        <v xml:space="preserve"> </v>
      </c>
      <c r="CF136" s="347" t="str">
        <f t="shared" si="357"/>
        <v xml:space="preserve"> </v>
      </c>
      <c r="CG136" s="348" t="str">
        <f t="shared" si="358"/>
        <v xml:space="preserve"> </v>
      </c>
      <c r="CH136" s="347" t="str">
        <f t="shared" si="412"/>
        <v xml:space="preserve"> </v>
      </c>
      <c r="CI136" s="349" t="str">
        <f>IF($A136="N/A"," ",F136+G136+(D136*('Pricing Inputs'!T169)))</f>
        <v xml:space="preserve"> </v>
      </c>
      <c r="CJ136" s="347" t="str">
        <f>IF($A136="N/A"," ",IF(PV=1,0,'Pricing Inputs'!U169))</f>
        <v xml:space="preserve"> </v>
      </c>
      <c r="CK136" s="350" t="str">
        <f t="shared" si="359"/>
        <v xml:space="preserve"> </v>
      </c>
      <c r="CL136" s="365" t="str">
        <f t="shared" si="360"/>
        <v xml:space="preserve"> </v>
      </c>
      <c r="CM136" s="380" t="str">
        <f t="shared" si="413"/>
        <v xml:space="preserve"> </v>
      </c>
      <c r="CN136" s="378" t="str">
        <f t="shared" si="361"/>
        <v xml:space="preserve"> </v>
      </c>
      <c r="CO136" s="378" t="str">
        <f t="shared" si="362"/>
        <v xml:space="preserve"> </v>
      </c>
      <c r="CP136" s="378" t="str">
        <f t="shared" si="363"/>
        <v xml:space="preserve"> </v>
      </c>
      <c r="CQ136" s="378" t="str">
        <f t="shared" si="364"/>
        <v xml:space="preserve"> </v>
      </c>
      <c r="CR136" s="378" t="str">
        <f t="shared" si="365"/>
        <v xml:space="preserve"> </v>
      </c>
      <c r="CS136" s="378" t="str">
        <f t="shared" si="366"/>
        <v xml:space="preserve"> </v>
      </c>
      <c r="CT136" s="378" t="str">
        <f t="shared" si="367"/>
        <v xml:space="preserve"> </v>
      </c>
      <c r="CU136" s="378" t="str">
        <f t="shared" si="368"/>
        <v xml:space="preserve"> </v>
      </c>
      <c r="CV136" s="378" t="str">
        <f t="shared" si="369"/>
        <v xml:space="preserve"> </v>
      </c>
      <c r="CW136" s="254" t="str">
        <f t="shared" si="370"/>
        <v xml:space="preserve"> </v>
      </c>
      <c r="CX136" s="254" t="str">
        <f t="shared" si="371"/>
        <v xml:space="preserve"> </v>
      </c>
      <c r="CY136" s="254" t="str">
        <f t="shared" si="372"/>
        <v xml:space="preserve"> </v>
      </c>
      <c r="CZ136" s="254" t="str">
        <f t="shared" si="373"/>
        <v xml:space="preserve"> </v>
      </c>
      <c r="DA136" s="254" t="str">
        <f t="shared" si="374"/>
        <v xml:space="preserve"> </v>
      </c>
      <c r="DB136" s="254" t="str">
        <f t="shared" si="375"/>
        <v xml:space="preserve"> </v>
      </c>
      <c r="DC136" s="254" t="str">
        <f t="shared" si="376"/>
        <v xml:space="preserve"> </v>
      </c>
      <c r="DD136" s="254" t="str">
        <f t="shared" si="377"/>
        <v xml:space="preserve"> </v>
      </c>
      <c r="DE136" s="254" t="str">
        <f t="shared" si="378"/>
        <v xml:space="preserve"> </v>
      </c>
      <c r="DF136" s="374" t="str">
        <f>IF($A136="N/A"," ",IF(CC=2,(IF(MONTH(A136)&gt;=4,IF(MONTH(A136)&lt;=10,Inputs!$G$13,Inputs!$G$14),Inputs!$G$14))*$CK136,0))</f>
        <v xml:space="preserve"> </v>
      </c>
      <c r="DG136" s="373" t="str">
        <f t="shared" si="379"/>
        <v xml:space="preserve"> </v>
      </c>
      <c r="DH136" s="373" t="str">
        <f t="shared" si="380"/>
        <v xml:space="preserve"> </v>
      </c>
      <c r="DI136" s="373" t="str">
        <f t="shared" si="381"/>
        <v xml:space="preserve"> </v>
      </c>
      <c r="DJ136" s="373" t="str">
        <f t="shared" si="382"/>
        <v xml:space="preserve"> </v>
      </c>
      <c r="DK136" s="373" t="str">
        <f t="shared" si="383"/>
        <v xml:space="preserve"> </v>
      </c>
      <c r="DL136" s="373" t="str">
        <f t="shared" si="384"/>
        <v xml:space="preserve"> </v>
      </c>
      <c r="DM136" s="373" t="str">
        <f t="shared" si="385"/>
        <v xml:space="preserve"> </v>
      </c>
      <c r="DN136" s="373" t="str">
        <f t="shared" si="386"/>
        <v xml:space="preserve"> </v>
      </c>
      <c r="DO136" s="373" t="str">
        <f t="shared" si="387"/>
        <v xml:space="preserve"> </v>
      </c>
      <c r="DP136" s="375" t="str">
        <f t="shared" si="388"/>
        <v xml:space="preserve"> </v>
      </c>
      <c r="DQ136" t="str">
        <f t="shared" si="414"/>
        <v xml:space="preserve"> </v>
      </c>
      <c r="HD136" t="str">
        <f t="shared" si="415"/>
        <v xml:space="preserve"> </v>
      </c>
      <c r="HE136" t="str">
        <f t="shared" si="416"/>
        <v xml:space="preserve"> </v>
      </c>
      <c r="HF136" t="str">
        <f t="shared" si="417"/>
        <v xml:space="preserve"> </v>
      </c>
    </row>
    <row r="137" spans="1:214">
      <c r="A137" s="415" t="str">
        <f>IF(A136="N/A","N/A",IF(EDATE(A136,1)&gt;Inputs!$K$3,"N/A",EDATE(A136,1)))</f>
        <v>N/A</v>
      </c>
      <c r="B137" s="410" t="str">
        <f t="shared" si="389"/>
        <v xml:space="preserve"> </v>
      </c>
      <c r="C137" s="411" t="str">
        <f t="shared" si="390"/>
        <v xml:space="preserve"> </v>
      </c>
      <c r="D137" s="412" t="str">
        <f t="shared" si="391"/>
        <v xml:space="preserve"> </v>
      </c>
      <c r="E137" s="413" t="str">
        <f>IF($A137="N/A"," ",(C137-'Pricing Inputs'!T170)*D137)</f>
        <v xml:space="preserve"> </v>
      </c>
      <c r="F137" s="414" t="str">
        <f t="shared" si="281"/>
        <v xml:space="preserve"> </v>
      </c>
      <c r="G137" s="414" t="str">
        <f t="shared" si="392"/>
        <v xml:space="preserve"> </v>
      </c>
      <c r="H137" s="416" t="str">
        <f t="shared" si="393"/>
        <v xml:space="preserve"> </v>
      </c>
      <c r="I137" s="213" t="str">
        <f t="shared" si="342"/>
        <v xml:space="preserve"> </v>
      </c>
      <c r="J137" s="213" t="str">
        <f t="shared" si="343"/>
        <v xml:space="preserve"> </v>
      </c>
      <c r="K137" s="213" t="str">
        <f t="shared" si="344"/>
        <v xml:space="preserve"> </v>
      </c>
      <c r="L137" s="213" t="str">
        <f t="shared" si="345"/>
        <v xml:space="preserve"> </v>
      </c>
      <c r="M137" s="213" t="str">
        <f t="shared" si="346"/>
        <v xml:space="preserve"> </v>
      </c>
      <c r="N137" s="213" t="str">
        <f t="shared" si="347"/>
        <v xml:space="preserve"> </v>
      </c>
      <c r="O137" s="213" t="str">
        <f t="shared" si="348"/>
        <v xml:space="preserve"> </v>
      </c>
      <c r="P137" s="213" t="str">
        <f t="shared" si="349"/>
        <v xml:space="preserve"> </v>
      </c>
      <c r="Q137" s="213" t="str">
        <f t="shared" si="350"/>
        <v xml:space="preserve"> </v>
      </c>
      <c r="R137" s="405" t="str">
        <f>IF($A137="N/A"," ",IF(Pricetype=2,MAX(I137-$H137,0),IF(Pricetype=1,(_xll.xSPRDOPT(I137,$E137,$CI137,0,($CD137+IF(Smile=TRUE,VLOOKUP(MAX(-5,$H137-I137),Volsmile,2),0)),$CG137,$CH137,($A137-DateToday)+15,1,0)),I137-$H137)))</f>
        <v xml:space="preserve"> </v>
      </c>
      <c r="S137" s="405" t="str">
        <f>IF($A137="N/A"," ",IF(Pricetype=2,MAX(J137-$H137,0),IF(Pricetype=1,(_xll.xSPRDOPT(J137,$E137,$CI137,0,($CD137+IF(Smile=TRUE,VLOOKUP(MAX(-5,$H137-J137),Volsmile,2),0)),$CG137,$CH137,($A137-DateToday)+15,1,0)),J137-$H137)))</f>
        <v xml:space="preserve"> </v>
      </c>
      <c r="T137" s="406" t="str">
        <f t="shared" si="351"/>
        <v xml:space="preserve"> </v>
      </c>
      <c r="U137" s="405" t="str">
        <f>IF($A137="N/A"," ",IF(Pricetype=2,MAX(L137-$H137,0),IF(L137&lt;&gt;0,IF(Pricetype=1,(_xll.xSPRDOPT(L137,$E137,$CI137,0,($CD137+IF(Smile=TRUE,VLOOKUP(MAX(-5,$H137-L137),Volsmile,2),0)),$CG137,$CH137,($A137-DateToday)+15,1,0)),L137-$H137),0)))</f>
        <v xml:space="preserve"> </v>
      </c>
      <c r="V137" s="405" t="str">
        <f>IF($A137="N/A"," ",IF(Pricetype=2,MAX(M137-$H137,0),IF(M137&lt;&gt;0,IF(Pricetype=1,(_xll.xSPRDOPT(M137,$E137,$CI137,0,($CD137+IF(Smile=TRUE,VLOOKUP(MAX(-5,$H137-M137),Volsmile,2),0)),$CG137,$CH137,($A137-DateToday)+15,1,0)),M137-$H137),0)))</f>
        <v xml:space="preserve"> </v>
      </c>
      <c r="W137" s="406" t="str">
        <f t="shared" si="352"/>
        <v xml:space="preserve"> </v>
      </c>
      <c r="X137" s="405" t="str">
        <f>IF($A137="N/A"," ",IF(Pricetype=2,MAX(O137-$H137,0),IF(O137&lt;&gt;0,IF(Pricetype=1,(_xll.xSPRDOPT(O137,$E137,$CI137,0,($CD137+IF(Smile=TRUE,VLOOKUP(MAX(-5,$H137-O137),Volsmile,2),0)),$CG137,$CH137,($A137-DateToday)+15,1,0)),O137-$H137),0)))</f>
        <v xml:space="preserve"> </v>
      </c>
      <c r="Y137" s="405" t="str">
        <f>IF($A137="N/A"," ",IF(Pricetype=2,MAX(P137-$H137,0),IF(P137&lt;&gt;0,IF(Pricetype=1,(_xll.xSPRDOPT(P137,$E137,$CI137,0,($CD137+IF(Smile=TRUE,VLOOKUP(MAX(-5,$H137-P137),Volsmile,2),0)),$CG137,$CH137,($A137-DateToday)+15,1,0)),P137-$H137),0)))</f>
        <v xml:space="preserve"> </v>
      </c>
      <c r="Z137" s="406" t="str">
        <f t="shared" si="353"/>
        <v xml:space="preserve"> </v>
      </c>
      <c r="AA137" s="254" t="str">
        <f>IF($A137="N/A"," ",IF(VLOOKUP(MONTH(A137),ManualTable,2)=1,(IF(0&lt;&gt;R137,IF(Pricetype=1,(_xll.xSPRDOPT(I137,$E137,$CI137,0,($CD137+IF(Smile=TRUE,VLOOKUP(MAX(-5,$H137-I137),Volsmile,2),0)),$CG137,$CH137,($A137-DateToday)+15,1,1))*(8*$HD137),8*$HD137),0)),0))</f>
        <v xml:space="preserve"> </v>
      </c>
      <c r="AB137" s="254" t="str">
        <f>IF($A137="N/A"," ",IF(VLOOKUP(MONTH(A137),ManualTable,3)=1,(IF(S137&lt;&gt;0,IF(Pricetype=1,(_xll.xSPRDOPT(J137,$E137,$CI137,0,($CD137+IF(Smile=TRUE,VLOOKUP(MAX(-5,$H137-J137),Volsmile,2),0)),$CG137,$CH137,($A137-DateToday)+15,1,1))*(8*$HD137),8*$HD137),0)),0))</f>
        <v xml:space="preserve"> </v>
      </c>
      <c r="AC137" s="254" t="str">
        <f t="shared" si="394"/>
        <v xml:space="preserve"> </v>
      </c>
      <c r="AD137" s="254" t="str">
        <f>IF($A137="N/A"," ",IF(VLOOKUP(MONTH(A137),ManualTable,5)=1,(IF(U137&lt;&gt;0,IF(Pricetype=1,(_xll.xSPRDOPT(L137,$E137,$CI137,0,($CD137+IF(Smile=TRUE,VLOOKUP(MAX(-5,$H137-L137),Volsmile,2),0)),$CG137,$CH137,($A137-DateToday)+15,1,1))*(8*$HE137),8*$HE137),0)),0))</f>
        <v xml:space="preserve"> </v>
      </c>
      <c r="AE137" s="254" t="str">
        <f>IF($A137="N/A"," ",IF(VLOOKUP(MONTH(A137),ManualTable,6)=1,(IF(V137&lt;&gt;0,IF(Pricetype=1,(_xll.xSPRDOPT(M137,$E137,$CI137,0,($CD137+IF(Smile=TRUE,VLOOKUP(MAX(-5,$H137-M137),Volsmile,2),0)),$CG137,$CH137,($A137-DateToday)+15,1,1))*(8*$HE137),8*$HE137),0)),0))</f>
        <v xml:space="preserve"> </v>
      </c>
      <c r="AF137" s="254" t="str">
        <f t="shared" si="395"/>
        <v xml:space="preserve"> </v>
      </c>
      <c r="AG137" s="254" t="str">
        <f>IF($A137="N/A"," ",IF(VLOOKUP(MONTH(A137),ManualTable,8)=1,(IF(X137&lt;&gt;0,IF(Pricetype=1,(_xll.xSPRDOPT(O137,$E137,$CI137,0,($CD137+IF(Smile=TRUE,VLOOKUP(MAX(-5,$H137-O137),Volsmile,2),0)),$CG137,$CH137,($A137-DateToday)+15,1,1))*(8*$HF137),8*$HF137),0)),0))</f>
        <v xml:space="preserve"> </v>
      </c>
      <c r="AH137" s="254" t="str">
        <f>IF($A137="N/A"," ",IF(VLOOKUP(MONTH(A137),ManualTable,9)=1,(IF(Y137&lt;&gt;0,IF(Pricetype=1,(_xll.xSPRDOPT(P137,$E137,$CI137,0,($CD137+IF(Smile=TRUE,VLOOKUP(MAX(-5,$H137-P137),Volsmile,2),0)),$CG137,$CH137,($A137-DateToday)+15,1,1))*(8*$HF137),8*$HF137),0)),0))</f>
        <v xml:space="preserve"> </v>
      </c>
      <c r="AI137" s="254" t="str">
        <f t="shared" si="396"/>
        <v xml:space="preserve"> </v>
      </c>
      <c r="AJ137" s="227" t="str">
        <f t="shared" ref="AJ137:AJ147" si="426">IF($A137="N/A"," ",RANK(R137,$R$136:$Z$147))</f>
        <v xml:space="preserve"> </v>
      </c>
      <c r="AK137" s="228" t="str">
        <f t="shared" ref="AK137:AL147" si="427">IF($A137="N/A"," ",RANK(S137,$R$136:$Z$147))</f>
        <v xml:space="preserve"> </v>
      </c>
      <c r="AL137" s="228" t="str">
        <f t="shared" si="427"/>
        <v xml:space="preserve"> </v>
      </c>
      <c r="AM137" s="228" t="str">
        <f t="shared" ref="AM137:AM147" si="428">IF($A137="N/A"," ",RANK(U137,$R$136:$Z$147))</f>
        <v xml:space="preserve"> </v>
      </c>
      <c r="AN137" s="228" t="str">
        <f t="shared" ref="AN137:AO147" si="429">IF($A137="N/A"," ",RANK(V137,$R$136:$Z$147))</f>
        <v xml:space="preserve"> </v>
      </c>
      <c r="AO137" s="228" t="str">
        <f t="shared" si="429"/>
        <v xml:space="preserve"> </v>
      </c>
      <c r="AP137" s="228" t="str">
        <f t="shared" ref="AP137:AP147" si="430">IF($A137="N/A"," ",RANK(X137,$R$136:$Z$147))</f>
        <v xml:space="preserve"> </v>
      </c>
      <c r="AQ137" s="228" t="str">
        <f t="shared" ref="AQ137:AQ147" si="431">IF($A137="N/A"," ",RANK(Y137,$R$136:$Z$147))</f>
        <v xml:space="preserve"> </v>
      </c>
      <c r="AR137" s="229" t="str">
        <f t="shared" ref="AR137:AR147" si="432">IF($A137="N/A"," ",RANK(Z137,$R$136:$Z$147))</f>
        <v xml:space="preserve"> </v>
      </c>
      <c r="AS137" s="262" t="str">
        <f t="shared" si="274"/>
        <v xml:space="preserve"> </v>
      </c>
      <c r="AT137" s="263" t="str">
        <f t="shared" si="275"/>
        <v xml:space="preserve"> </v>
      </c>
      <c r="AU137" s="263" t="str">
        <f t="shared" si="275"/>
        <v xml:space="preserve"> </v>
      </c>
      <c r="AV137" s="263" t="str">
        <f t="shared" si="276"/>
        <v xml:space="preserve"> </v>
      </c>
      <c r="AW137" s="263" t="str">
        <f t="shared" si="277"/>
        <v xml:space="preserve"> </v>
      </c>
      <c r="AX137" s="263" t="str">
        <f t="shared" si="277"/>
        <v xml:space="preserve"> </v>
      </c>
      <c r="AY137" s="263" t="str">
        <f t="shared" si="278"/>
        <v xml:space="preserve"> </v>
      </c>
      <c r="AZ137" s="263" t="str">
        <f t="shared" si="279"/>
        <v xml:space="preserve"> </v>
      </c>
      <c r="BA137" s="263" t="str">
        <f t="shared" si="280"/>
        <v xml:space="preserve"> </v>
      </c>
      <c r="BB137" s="229"/>
      <c r="BC137" s="266" t="str">
        <f t="shared" si="419"/>
        <v xml:space="preserve"> </v>
      </c>
      <c r="BD137" s="269" t="str">
        <f t="shared" si="420"/>
        <v xml:space="preserve"> </v>
      </c>
      <c r="BE137" s="269" t="str">
        <f t="shared" si="420"/>
        <v xml:space="preserve"> </v>
      </c>
      <c r="BF137" s="269" t="str">
        <f t="shared" si="421"/>
        <v xml:space="preserve"> </v>
      </c>
      <c r="BG137" s="269" t="str">
        <f t="shared" si="422"/>
        <v xml:space="preserve"> </v>
      </c>
      <c r="BH137" s="269" t="str">
        <f t="shared" si="422"/>
        <v xml:space="preserve"> </v>
      </c>
      <c r="BI137" s="269" t="str">
        <f t="shared" si="423"/>
        <v xml:space="preserve"> </v>
      </c>
      <c r="BJ137" s="269" t="str">
        <f t="shared" si="424"/>
        <v xml:space="preserve"> </v>
      </c>
      <c r="BK137" s="269" t="str">
        <f t="shared" si="425"/>
        <v xml:space="preserve"> </v>
      </c>
      <c r="BL137" s="229"/>
      <c r="BM137" s="220" t="str">
        <f>IF($A137="N/A"," ",(IF(MONTH(A137)&gt;=4,IF(MONTH(A137)&lt;=10,Inputs!$F$13-Inputs!$G$13,Inputs!$F$14-Inputs!$G$14),Inputs!$F$14-Inputs!$G$14))*$CK137*Availability)</f>
        <v xml:space="preserve"> </v>
      </c>
      <c r="BN137" s="221" t="str">
        <f t="shared" si="397"/>
        <v xml:space="preserve"> </v>
      </c>
      <c r="BO137" s="221" t="str">
        <f t="shared" si="398"/>
        <v xml:space="preserve"> </v>
      </c>
      <c r="BP137" s="221" t="str">
        <f t="shared" si="399"/>
        <v xml:space="preserve"> </v>
      </c>
      <c r="BQ137" s="221" t="str">
        <f t="shared" si="400"/>
        <v xml:space="preserve"> </v>
      </c>
      <c r="BR137" s="221" t="str">
        <f t="shared" si="401"/>
        <v xml:space="preserve"> </v>
      </c>
      <c r="BS137" s="221" t="str">
        <f t="shared" si="402"/>
        <v xml:space="preserve"> </v>
      </c>
      <c r="BT137" s="221" t="str">
        <f t="shared" si="403"/>
        <v xml:space="preserve"> </v>
      </c>
      <c r="BU137" s="221" t="str">
        <f t="shared" si="404"/>
        <v xml:space="preserve"> </v>
      </c>
      <c r="BV137" s="221" t="str">
        <f t="shared" si="405"/>
        <v xml:space="preserve"> </v>
      </c>
      <c r="BW137" s="221" t="str">
        <f t="shared" si="406"/>
        <v xml:space="preserve"> </v>
      </c>
      <c r="BX137" s="421" t="str">
        <f t="shared" si="407"/>
        <v xml:space="preserve"> </v>
      </c>
      <c r="BY137" s="417" t="str">
        <f t="shared" si="408"/>
        <v xml:space="preserve"> </v>
      </c>
      <c r="BZ137" s="417" t="str">
        <f t="shared" si="409"/>
        <v xml:space="preserve"> </v>
      </c>
      <c r="CA137" s="422" t="str">
        <f t="shared" si="410"/>
        <v xml:space="preserve"> </v>
      </c>
      <c r="CB137" s="347" t="str">
        <f t="shared" si="354"/>
        <v xml:space="preserve"> </v>
      </c>
      <c r="CC137" s="347" t="str">
        <f t="shared" si="411"/>
        <v xml:space="preserve"> </v>
      </c>
      <c r="CD137" s="348" t="str">
        <f t="shared" si="355"/>
        <v xml:space="preserve"> </v>
      </c>
      <c r="CE137" s="347" t="str">
        <f t="shared" si="356"/>
        <v xml:space="preserve"> </v>
      </c>
      <c r="CF137" s="347" t="str">
        <f t="shared" si="357"/>
        <v xml:space="preserve"> </v>
      </c>
      <c r="CG137" s="348" t="str">
        <f t="shared" si="358"/>
        <v xml:space="preserve"> </v>
      </c>
      <c r="CH137" s="347" t="str">
        <f t="shared" si="412"/>
        <v xml:space="preserve"> </v>
      </c>
      <c r="CI137" s="349" t="str">
        <f>IF($A137="N/A"," ",F137+G137+(D137*('Pricing Inputs'!T170)))</f>
        <v xml:space="preserve"> </v>
      </c>
      <c r="CJ137" s="347" t="str">
        <f>IF($A137="N/A"," ",IF(PV=1,0,'Pricing Inputs'!U170))</f>
        <v xml:space="preserve"> </v>
      </c>
      <c r="CK137" s="350" t="str">
        <f t="shared" si="359"/>
        <v xml:space="preserve"> </v>
      </c>
      <c r="CL137" s="365" t="str">
        <f t="shared" si="360"/>
        <v xml:space="preserve"> </v>
      </c>
      <c r="CM137" s="380" t="str">
        <f t="shared" si="413"/>
        <v xml:space="preserve"> </v>
      </c>
      <c r="CN137" s="378" t="str">
        <f t="shared" si="361"/>
        <v xml:space="preserve"> </v>
      </c>
      <c r="CO137" s="378" t="str">
        <f t="shared" si="362"/>
        <v xml:space="preserve"> </v>
      </c>
      <c r="CP137" s="378" t="str">
        <f t="shared" si="363"/>
        <v xml:space="preserve"> </v>
      </c>
      <c r="CQ137" s="378" t="str">
        <f t="shared" si="364"/>
        <v xml:space="preserve"> </v>
      </c>
      <c r="CR137" s="378" t="str">
        <f t="shared" si="365"/>
        <v xml:space="preserve"> </v>
      </c>
      <c r="CS137" s="378" t="str">
        <f t="shared" si="366"/>
        <v xml:space="preserve"> </v>
      </c>
      <c r="CT137" s="378" t="str">
        <f t="shared" si="367"/>
        <v xml:space="preserve"> </v>
      </c>
      <c r="CU137" s="378" t="str">
        <f t="shared" si="368"/>
        <v xml:space="preserve"> </v>
      </c>
      <c r="CV137" s="378" t="str">
        <f t="shared" si="369"/>
        <v xml:space="preserve"> </v>
      </c>
      <c r="CW137" s="254" t="str">
        <f t="shared" si="370"/>
        <v xml:space="preserve"> </v>
      </c>
      <c r="CX137" s="254" t="str">
        <f t="shared" si="371"/>
        <v xml:space="preserve"> </v>
      </c>
      <c r="CY137" s="254" t="str">
        <f t="shared" si="372"/>
        <v xml:space="preserve"> </v>
      </c>
      <c r="CZ137" s="254" t="str">
        <f t="shared" si="373"/>
        <v xml:space="preserve"> </v>
      </c>
      <c r="DA137" s="254" t="str">
        <f t="shared" si="374"/>
        <v xml:space="preserve"> </v>
      </c>
      <c r="DB137" s="254" t="str">
        <f t="shared" si="375"/>
        <v xml:space="preserve"> </v>
      </c>
      <c r="DC137" s="254" t="str">
        <f t="shared" si="376"/>
        <v xml:space="preserve"> </v>
      </c>
      <c r="DD137" s="254" t="str">
        <f t="shared" si="377"/>
        <v xml:space="preserve"> </v>
      </c>
      <c r="DE137" s="254" t="str">
        <f t="shared" si="378"/>
        <v xml:space="preserve"> </v>
      </c>
      <c r="DF137" s="374" t="str">
        <f>IF($A137="N/A"," ",IF(CC=2,(IF(MONTH(A137)&gt;=4,IF(MONTH(A137)&lt;=10,Inputs!$G$13,Inputs!$G$14),Inputs!$G$14))*$CK137,0))</f>
        <v xml:space="preserve"> </v>
      </c>
      <c r="DG137" s="373" t="str">
        <f t="shared" si="379"/>
        <v xml:space="preserve"> </v>
      </c>
      <c r="DH137" s="373" t="str">
        <f t="shared" si="380"/>
        <v xml:space="preserve"> </v>
      </c>
      <c r="DI137" s="373" t="str">
        <f t="shared" si="381"/>
        <v xml:space="preserve"> </v>
      </c>
      <c r="DJ137" s="373" t="str">
        <f t="shared" si="382"/>
        <v xml:space="preserve"> </v>
      </c>
      <c r="DK137" s="373" t="str">
        <f t="shared" si="383"/>
        <v xml:space="preserve"> </v>
      </c>
      <c r="DL137" s="373" t="str">
        <f t="shared" si="384"/>
        <v xml:space="preserve"> </v>
      </c>
      <c r="DM137" s="373" t="str">
        <f t="shared" si="385"/>
        <v xml:space="preserve"> </v>
      </c>
      <c r="DN137" s="373" t="str">
        <f t="shared" si="386"/>
        <v xml:space="preserve"> </v>
      </c>
      <c r="DO137" s="373" t="str">
        <f t="shared" si="387"/>
        <v xml:space="preserve"> </v>
      </c>
      <c r="DP137" s="375" t="str">
        <f t="shared" si="388"/>
        <v xml:space="preserve"> </v>
      </c>
      <c r="DQ137" t="str">
        <f t="shared" si="414"/>
        <v xml:space="preserve"> </v>
      </c>
      <c r="HD137" t="str">
        <f t="shared" si="415"/>
        <v xml:space="preserve"> </v>
      </c>
      <c r="HE137" t="str">
        <f t="shared" si="416"/>
        <v xml:space="preserve"> </v>
      </c>
      <c r="HF137" t="str">
        <f t="shared" si="417"/>
        <v xml:space="preserve"> </v>
      </c>
    </row>
    <row r="138" spans="1:214">
      <c r="A138" s="415" t="str">
        <f>IF(A137="N/A","N/A",IF(EDATE(A137,1)&gt;Inputs!$K$3,"N/A",EDATE(A137,1)))</f>
        <v>N/A</v>
      </c>
      <c r="B138" s="410" t="str">
        <f t="shared" si="389"/>
        <v xml:space="preserve"> </v>
      </c>
      <c r="C138" s="411" t="str">
        <f t="shared" si="390"/>
        <v xml:space="preserve"> </v>
      </c>
      <c r="D138" s="412" t="str">
        <f t="shared" si="391"/>
        <v xml:space="preserve"> </v>
      </c>
      <c r="E138" s="413" t="str">
        <f>IF($A138="N/A"," ",(C138-'Pricing Inputs'!T171)*D138)</f>
        <v xml:space="preserve"> </v>
      </c>
      <c r="F138" s="414" t="str">
        <f t="shared" si="281"/>
        <v xml:space="preserve"> </v>
      </c>
      <c r="G138" s="414" t="str">
        <f t="shared" si="392"/>
        <v xml:space="preserve"> </v>
      </c>
      <c r="H138" s="416" t="str">
        <f t="shared" si="393"/>
        <v xml:space="preserve"> </v>
      </c>
      <c r="I138" s="213" t="str">
        <f t="shared" si="342"/>
        <v xml:space="preserve"> </v>
      </c>
      <c r="J138" s="213" t="str">
        <f t="shared" si="343"/>
        <v xml:space="preserve"> </v>
      </c>
      <c r="K138" s="213" t="str">
        <f t="shared" si="344"/>
        <v xml:space="preserve"> </v>
      </c>
      <c r="L138" s="213" t="str">
        <f t="shared" si="345"/>
        <v xml:space="preserve"> </v>
      </c>
      <c r="M138" s="213" t="str">
        <f t="shared" si="346"/>
        <v xml:space="preserve"> </v>
      </c>
      <c r="N138" s="213" t="str">
        <f t="shared" si="347"/>
        <v xml:space="preserve"> </v>
      </c>
      <c r="O138" s="213" t="str">
        <f t="shared" si="348"/>
        <v xml:space="preserve"> </v>
      </c>
      <c r="P138" s="213" t="str">
        <f t="shared" si="349"/>
        <v xml:space="preserve"> </v>
      </c>
      <c r="Q138" s="213" t="str">
        <f t="shared" si="350"/>
        <v xml:space="preserve"> </v>
      </c>
      <c r="R138" s="405" t="str">
        <f>IF($A138="N/A"," ",IF(Pricetype=2,MAX(I138-$H138,0),IF(Pricetype=1,(_xll.xSPRDOPT(I138,$E138,$CI138,0,($CD138+IF(Smile=TRUE,VLOOKUP(MAX(-5,$H138-I138),Volsmile,2),0)),$CG138,$CH138,($A138-DateToday)+15,1,0)),I138-$H138)))</f>
        <v xml:space="preserve"> </v>
      </c>
      <c r="S138" s="405" t="str">
        <f>IF($A138="N/A"," ",IF(Pricetype=2,MAX(J138-$H138,0),IF(Pricetype=1,(_xll.xSPRDOPT(J138,$E138,$CI138,0,($CD138+IF(Smile=TRUE,VLOOKUP(MAX(-5,$H138-J138),Volsmile,2),0)),$CG138,$CH138,($A138-DateToday)+15,1,0)),J138-$H138)))</f>
        <v xml:space="preserve"> </v>
      </c>
      <c r="T138" s="406" t="str">
        <f t="shared" si="351"/>
        <v xml:space="preserve"> </v>
      </c>
      <c r="U138" s="405" t="str">
        <f>IF($A138="N/A"," ",IF(Pricetype=2,MAX(L138-$H138,0),IF(L138&lt;&gt;0,IF(Pricetype=1,(_xll.xSPRDOPT(L138,$E138,$CI138,0,($CD138+IF(Smile=TRUE,VLOOKUP(MAX(-5,$H138-L138),Volsmile,2),0)),$CG138,$CH138,($A138-DateToday)+15,1,0)),L138-$H138),0)))</f>
        <v xml:space="preserve"> </v>
      </c>
      <c r="V138" s="405" t="str">
        <f>IF($A138="N/A"," ",IF(Pricetype=2,MAX(M138-$H138,0),IF(M138&lt;&gt;0,IF(Pricetype=1,(_xll.xSPRDOPT(M138,$E138,$CI138,0,($CD138+IF(Smile=TRUE,VLOOKUP(MAX(-5,$H138-M138),Volsmile,2),0)),$CG138,$CH138,($A138-DateToday)+15,1,0)),M138-$H138),0)))</f>
        <v xml:space="preserve"> </v>
      </c>
      <c r="W138" s="406" t="str">
        <f t="shared" si="352"/>
        <v xml:space="preserve"> </v>
      </c>
      <c r="X138" s="405" t="str">
        <f>IF($A138="N/A"," ",IF(Pricetype=2,MAX(O138-$H138,0),IF(O138&lt;&gt;0,IF(Pricetype=1,(_xll.xSPRDOPT(O138,$E138,$CI138,0,($CD138+IF(Smile=TRUE,VLOOKUP(MAX(-5,$H138-O138),Volsmile,2),0)),$CG138,$CH138,($A138-DateToday)+15,1,0)),O138-$H138),0)))</f>
        <v xml:space="preserve"> </v>
      </c>
      <c r="Y138" s="405" t="str">
        <f>IF($A138="N/A"," ",IF(Pricetype=2,MAX(P138-$H138,0),IF(P138&lt;&gt;0,IF(Pricetype=1,(_xll.xSPRDOPT(P138,$E138,$CI138,0,($CD138+IF(Smile=TRUE,VLOOKUP(MAX(-5,$H138-P138),Volsmile,2),0)),$CG138,$CH138,($A138-DateToday)+15,1,0)),P138-$H138),0)))</f>
        <v xml:space="preserve"> </v>
      </c>
      <c r="Z138" s="406" t="str">
        <f t="shared" si="353"/>
        <v xml:space="preserve"> </v>
      </c>
      <c r="AA138" s="254" t="str">
        <f>IF($A138="N/A"," ",IF(VLOOKUP(MONTH(A138),ManualTable,2)=1,(IF(0&lt;&gt;R138,IF(Pricetype=1,(_xll.xSPRDOPT(I138,$E138,$CI138,0,($CD138+IF(Smile=TRUE,VLOOKUP(MAX(-5,$H138-I138),Volsmile,2),0)),$CG138,$CH138,($A138-DateToday)+15,1,1))*(8*$HD138),8*$HD138),0)),0))</f>
        <v xml:space="preserve"> </v>
      </c>
      <c r="AB138" s="254" t="str">
        <f>IF($A138="N/A"," ",IF(VLOOKUP(MONTH(A138),ManualTable,3)=1,(IF(S138&lt;&gt;0,IF(Pricetype=1,(_xll.xSPRDOPT(J138,$E138,$CI138,0,($CD138+IF(Smile=TRUE,VLOOKUP(MAX(-5,$H138-J138),Volsmile,2),0)),$CG138,$CH138,($A138-DateToday)+15,1,1))*(8*$HD138),8*$HD138),0)),0))</f>
        <v xml:space="preserve"> </v>
      </c>
      <c r="AC138" s="254" t="str">
        <f t="shared" si="394"/>
        <v xml:space="preserve"> </v>
      </c>
      <c r="AD138" s="254" t="str">
        <f>IF($A138="N/A"," ",IF(VLOOKUP(MONTH(A138),ManualTable,5)=1,(IF(U138&lt;&gt;0,IF(Pricetype=1,(_xll.xSPRDOPT(L138,$E138,$CI138,0,($CD138+IF(Smile=TRUE,VLOOKUP(MAX(-5,$H138-L138),Volsmile,2),0)),$CG138,$CH138,($A138-DateToday)+15,1,1))*(8*$HE138),8*$HE138),0)),0))</f>
        <v xml:space="preserve"> </v>
      </c>
      <c r="AE138" s="254" t="str">
        <f>IF($A138="N/A"," ",IF(VLOOKUP(MONTH(A138),ManualTable,6)=1,(IF(V138&lt;&gt;0,IF(Pricetype=1,(_xll.xSPRDOPT(M138,$E138,$CI138,0,($CD138+IF(Smile=TRUE,VLOOKUP(MAX(-5,$H138-M138),Volsmile,2),0)),$CG138,$CH138,($A138-DateToday)+15,1,1))*(8*$HE138),8*$HE138),0)),0))</f>
        <v xml:space="preserve"> </v>
      </c>
      <c r="AF138" s="254" t="str">
        <f t="shared" si="395"/>
        <v xml:space="preserve"> </v>
      </c>
      <c r="AG138" s="254" t="str">
        <f>IF($A138="N/A"," ",IF(VLOOKUP(MONTH(A138),ManualTable,8)=1,(IF(X138&lt;&gt;0,IF(Pricetype=1,(_xll.xSPRDOPT(O138,$E138,$CI138,0,($CD138+IF(Smile=TRUE,VLOOKUP(MAX(-5,$H138-O138),Volsmile,2),0)),$CG138,$CH138,($A138-DateToday)+15,1,1))*(8*$HF138),8*$HF138),0)),0))</f>
        <v xml:space="preserve"> </v>
      </c>
      <c r="AH138" s="254" t="str">
        <f>IF($A138="N/A"," ",IF(VLOOKUP(MONTH(A138),ManualTable,9)=1,(IF(Y138&lt;&gt;0,IF(Pricetype=1,(_xll.xSPRDOPT(P138,$E138,$CI138,0,($CD138+IF(Smile=TRUE,VLOOKUP(MAX(-5,$H138-P138),Volsmile,2),0)),$CG138,$CH138,($A138-DateToday)+15,1,1))*(8*$HF138),8*$HF138),0)),0))</f>
        <v xml:space="preserve"> </v>
      </c>
      <c r="AI138" s="254" t="str">
        <f t="shared" si="396"/>
        <v xml:space="preserve"> </v>
      </c>
      <c r="AJ138" s="227" t="str">
        <f t="shared" si="426"/>
        <v xml:space="preserve"> </v>
      </c>
      <c r="AK138" s="228" t="str">
        <f t="shared" si="427"/>
        <v xml:space="preserve"> </v>
      </c>
      <c r="AL138" s="228" t="str">
        <f t="shared" si="427"/>
        <v xml:space="preserve"> </v>
      </c>
      <c r="AM138" s="228" t="str">
        <f t="shared" si="428"/>
        <v xml:space="preserve"> </v>
      </c>
      <c r="AN138" s="228" t="str">
        <f t="shared" si="429"/>
        <v xml:space="preserve"> </v>
      </c>
      <c r="AO138" s="228" t="str">
        <f t="shared" si="429"/>
        <v xml:space="preserve"> </v>
      </c>
      <c r="AP138" s="228" t="str">
        <f t="shared" si="430"/>
        <v xml:space="preserve"> </v>
      </c>
      <c r="AQ138" s="228" t="str">
        <f t="shared" si="431"/>
        <v xml:space="preserve"> </v>
      </c>
      <c r="AR138" s="229" t="str">
        <f t="shared" si="432"/>
        <v xml:space="preserve"> </v>
      </c>
      <c r="AS138" s="262" t="str">
        <f t="shared" si="274"/>
        <v xml:space="preserve"> </v>
      </c>
      <c r="AT138" s="263" t="str">
        <f t="shared" si="275"/>
        <v xml:space="preserve"> </v>
      </c>
      <c r="AU138" s="263" t="str">
        <f t="shared" si="275"/>
        <v xml:space="preserve"> </v>
      </c>
      <c r="AV138" s="263" t="str">
        <f t="shared" si="276"/>
        <v xml:space="preserve"> </v>
      </c>
      <c r="AW138" s="263" t="str">
        <f t="shared" si="277"/>
        <v xml:space="preserve"> </v>
      </c>
      <c r="AX138" s="263" t="str">
        <f t="shared" si="277"/>
        <v xml:space="preserve"> </v>
      </c>
      <c r="AY138" s="263" t="str">
        <f t="shared" si="278"/>
        <v xml:space="preserve"> </v>
      </c>
      <c r="AZ138" s="263" t="str">
        <f t="shared" si="279"/>
        <v xml:space="preserve"> </v>
      </c>
      <c r="BA138" s="263" t="str">
        <f t="shared" si="280"/>
        <v xml:space="preserve"> </v>
      </c>
      <c r="BB138" s="229"/>
      <c r="BC138" s="266" t="str">
        <f t="shared" si="419"/>
        <v xml:space="preserve"> </v>
      </c>
      <c r="BD138" s="269" t="str">
        <f t="shared" si="420"/>
        <v xml:space="preserve"> </v>
      </c>
      <c r="BE138" s="269" t="str">
        <f t="shared" si="420"/>
        <v xml:space="preserve"> </v>
      </c>
      <c r="BF138" s="269" t="str">
        <f t="shared" si="421"/>
        <v xml:space="preserve"> </v>
      </c>
      <c r="BG138" s="269" t="str">
        <f t="shared" si="422"/>
        <v xml:space="preserve"> </v>
      </c>
      <c r="BH138" s="269" t="str">
        <f t="shared" si="422"/>
        <v xml:space="preserve"> </v>
      </c>
      <c r="BI138" s="269" t="str">
        <f t="shared" si="423"/>
        <v xml:space="preserve"> </v>
      </c>
      <c r="BJ138" s="269" t="str">
        <f t="shared" si="424"/>
        <v xml:space="preserve"> </v>
      </c>
      <c r="BK138" s="269" t="str">
        <f t="shared" si="425"/>
        <v xml:space="preserve"> </v>
      </c>
      <c r="BL138" s="229"/>
      <c r="BM138" s="220" t="str">
        <f>IF($A138="N/A"," ",(IF(MONTH(A138)&gt;=4,IF(MONTH(A138)&lt;=10,Inputs!$F$13-Inputs!$G$13,Inputs!$F$14-Inputs!$G$14),Inputs!$F$14-Inputs!$G$14))*$CK138*Availability)</f>
        <v xml:space="preserve"> </v>
      </c>
      <c r="BN138" s="221" t="str">
        <f t="shared" si="397"/>
        <v xml:space="preserve"> </v>
      </c>
      <c r="BO138" s="221" t="str">
        <f t="shared" si="398"/>
        <v xml:space="preserve"> </v>
      </c>
      <c r="BP138" s="221" t="str">
        <f t="shared" si="399"/>
        <v xml:space="preserve"> </v>
      </c>
      <c r="BQ138" s="221" t="str">
        <f t="shared" si="400"/>
        <v xml:space="preserve"> </v>
      </c>
      <c r="BR138" s="221" t="str">
        <f t="shared" si="401"/>
        <v xml:space="preserve"> </v>
      </c>
      <c r="BS138" s="221" t="str">
        <f t="shared" si="402"/>
        <v xml:space="preserve"> </v>
      </c>
      <c r="BT138" s="221" t="str">
        <f t="shared" si="403"/>
        <v xml:space="preserve"> </v>
      </c>
      <c r="BU138" s="221" t="str">
        <f t="shared" si="404"/>
        <v xml:space="preserve"> </v>
      </c>
      <c r="BV138" s="221" t="str">
        <f t="shared" si="405"/>
        <v xml:space="preserve"> </v>
      </c>
      <c r="BW138" s="221" t="str">
        <f t="shared" si="406"/>
        <v xml:space="preserve"> </v>
      </c>
      <c r="BX138" s="421" t="str">
        <f t="shared" si="407"/>
        <v xml:space="preserve"> </v>
      </c>
      <c r="BY138" s="417" t="str">
        <f t="shared" si="408"/>
        <v xml:space="preserve"> </v>
      </c>
      <c r="BZ138" s="417" t="str">
        <f t="shared" si="409"/>
        <v xml:space="preserve"> </v>
      </c>
      <c r="CA138" s="422" t="str">
        <f t="shared" si="410"/>
        <v xml:space="preserve"> </v>
      </c>
      <c r="CB138" s="347" t="str">
        <f t="shared" si="354"/>
        <v xml:space="preserve"> </v>
      </c>
      <c r="CC138" s="347" t="str">
        <f t="shared" si="411"/>
        <v xml:space="preserve"> </v>
      </c>
      <c r="CD138" s="348" t="str">
        <f t="shared" si="355"/>
        <v xml:space="preserve"> </v>
      </c>
      <c r="CE138" s="347" t="str">
        <f t="shared" si="356"/>
        <v xml:space="preserve"> </v>
      </c>
      <c r="CF138" s="347" t="str">
        <f t="shared" si="357"/>
        <v xml:space="preserve"> </v>
      </c>
      <c r="CG138" s="348" t="str">
        <f t="shared" si="358"/>
        <v xml:space="preserve"> </v>
      </c>
      <c r="CH138" s="347" t="str">
        <f t="shared" si="412"/>
        <v xml:space="preserve"> </v>
      </c>
      <c r="CI138" s="349" t="str">
        <f>IF($A138="N/A"," ",F138+G138+(D138*('Pricing Inputs'!T171)))</f>
        <v xml:space="preserve"> </v>
      </c>
      <c r="CJ138" s="347" t="str">
        <f>IF($A138="N/A"," ",IF(PV=1,0,'Pricing Inputs'!U171))</f>
        <v xml:space="preserve"> </v>
      </c>
      <c r="CK138" s="350" t="str">
        <f t="shared" si="359"/>
        <v xml:space="preserve"> </v>
      </c>
      <c r="CL138" s="365" t="str">
        <f t="shared" si="360"/>
        <v xml:space="preserve"> </v>
      </c>
      <c r="CM138" s="380" t="str">
        <f t="shared" si="413"/>
        <v xml:space="preserve"> </v>
      </c>
      <c r="CN138" s="378" t="str">
        <f t="shared" si="361"/>
        <v xml:space="preserve"> </v>
      </c>
      <c r="CO138" s="378" t="str">
        <f t="shared" si="362"/>
        <v xml:space="preserve"> </v>
      </c>
      <c r="CP138" s="378" t="str">
        <f t="shared" si="363"/>
        <v xml:space="preserve"> </v>
      </c>
      <c r="CQ138" s="378" t="str">
        <f t="shared" si="364"/>
        <v xml:space="preserve"> </v>
      </c>
      <c r="CR138" s="378" t="str">
        <f t="shared" si="365"/>
        <v xml:space="preserve"> </v>
      </c>
      <c r="CS138" s="378" t="str">
        <f t="shared" si="366"/>
        <v xml:space="preserve"> </v>
      </c>
      <c r="CT138" s="378" t="str">
        <f t="shared" si="367"/>
        <v xml:space="preserve"> </v>
      </c>
      <c r="CU138" s="378" t="str">
        <f t="shared" si="368"/>
        <v xml:space="preserve"> </v>
      </c>
      <c r="CV138" s="378" t="str">
        <f t="shared" si="369"/>
        <v xml:space="preserve"> </v>
      </c>
      <c r="CW138" s="254" t="str">
        <f t="shared" si="370"/>
        <v xml:space="preserve"> </v>
      </c>
      <c r="CX138" s="254" t="str">
        <f t="shared" si="371"/>
        <v xml:space="preserve"> </v>
      </c>
      <c r="CY138" s="254" t="str">
        <f t="shared" si="372"/>
        <v xml:space="preserve"> </v>
      </c>
      <c r="CZ138" s="254" t="str">
        <f t="shared" si="373"/>
        <v xml:space="preserve"> </v>
      </c>
      <c r="DA138" s="254" t="str">
        <f t="shared" si="374"/>
        <v xml:space="preserve"> </v>
      </c>
      <c r="DB138" s="254" t="str">
        <f t="shared" si="375"/>
        <v xml:space="preserve"> </v>
      </c>
      <c r="DC138" s="254" t="str">
        <f t="shared" si="376"/>
        <v xml:space="preserve"> </v>
      </c>
      <c r="DD138" s="254" t="str">
        <f t="shared" si="377"/>
        <v xml:space="preserve"> </v>
      </c>
      <c r="DE138" s="254" t="str">
        <f t="shared" si="378"/>
        <v xml:space="preserve"> </v>
      </c>
      <c r="DF138" s="374" t="str">
        <f>IF($A138="N/A"," ",IF(CC=2,(IF(MONTH(A138)&gt;=4,IF(MONTH(A138)&lt;=10,Inputs!$G$13,Inputs!$G$14),Inputs!$G$14))*$CK138,0))</f>
        <v xml:space="preserve"> </v>
      </c>
      <c r="DG138" s="373" t="str">
        <f t="shared" si="379"/>
        <v xml:space="preserve"> </v>
      </c>
      <c r="DH138" s="373" t="str">
        <f t="shared" si="380"/>
        <v xml:space="preserve"> </v>
      </c>
      <c r="DI138" s="373" t="str">
        <f t="shared" si="381"/>
        <v xml:space="preserve"> </v>
      </c>
      <c r="DJ138" s="373" t="str">
        <f t="shared" si="382"/>
        <v xml:space="preserve"> </v>
      </c>
      <c r="DK138" s="373" t="str">
        <f t="shared" si="383"/>
        <v xml:space="preserve"> </v>
      </c>
      <c r="DL138" s="373" t="str">
        <f t="shared" si="384"/>
        <v xml:space="preserve"> </v>
      </c>
      <c r="DM138" s="373" t="str">
        <f t="shared" si="385"/>
        <v xml:space="preserve"> </v>
      </c>
      <c r="DN138" s="373" t="str">
        <f t="shared" si="386"/>
        <v xml:space="preserve"> </v>
      </c>
      <c r="DO138" s="373" t="str">
        <f t="shared" si="387"/>
        <v xml:space="preserve"> </v>
      </c>
      <c r="DP138" s="375" t="str">
        <f t="shared" si="388"/>
        <v xml:space="preserve"> </v>
      </c>
      <c r="DQ138" t="str">
        <f t="shared" si="414"/>
        <v xml:space="preserve"> </v>
      </c>
      <c r="HD138" t="str">
        <f t="shared" si="415"/>
        <v xml:space="preserve"> </v>
      </c>
      <c r="HE138" t="str">
        <f t="shared" si="416"/>
        <v xml:space="preserve"> </v>
      </c>
      <c r="HF138" t="str">
        <f t="shared" si="417"/>
        <v xml:space="preserve"> </v>
      </c>
    </row>
    <row r="139" spans="1:214">
      <c r="A139" s="415" t="str">
        <f>IF(A138="N/A","N/A",IF(EDATE(A138,1)&gt;Inputs!$K$3,"N/A",EDATE(A138,1)))</f>
        <v>N/A</v>
      </c>
      <c r="B139" s="410" t="str">
        <f t="shared" si="389"/>
        <v xml:space="preserve"> </v>
      </c>
      <c r="C139" s="411" t="str">
        <f t="shared" si="390"/>
        <v xml:space="preserve"> </v>
      </c>
      <c r="D139" s="412" t="str">
        <f t="shared" si="391"/>
        <v xml:space="preserve"> </v>
      </c>
      <c r="E139" s="413" t="str">
        <f>IF($A139="N/A"," ",(C139-'Pricing Inputs'!T172)*D139)</f>
        <v xml:space="preserve"> </v>
      </c>
      <c r="F139" s="414" t="str">
        <f t="shared" si="281"/>
        <v xml:space="preserve"> </v>
      </c>
      <c r="G139" s="414" t="str">
        <f t="shared" si="392"/>
        <v xml:space="preserve"> </v>
      </c>
      <c r="H139" s="416" t="str">
        <f t="shared" si="393"/>
        <v xml:space="preserve"> </v>
      </c>
      <c r="I139" s="213" t="str">
        <f t="shared" si="342"/>
        <v xml:space="preserve"> </v>
      </c>
      <c r="J139" s="213" t="str">
        <f t="shared" si="343"/>
        <v xml:space="preserve"> </v>
      </c>
      <c r="K139" s="213" t="str">
        <f t="shared" si="344"/>
        <v xml:space="preserve"> </v>
      </c>
      <c r="L139" s="213" t="str">
        <f t="shared" si="345"/>
        <v xml:space="preserve"> </v>
      </c>
      <c r="M139" s="213" t="str">
        <f t="shared" si="346"/>
        <v xml:space="preserve"> </v>
      </c>
      <c r="N139" s="213" t="str">
        <f t="shared" si="347"/>
        <v xml:space="preserve"> </v>
      </c>
      <c r="O139" s="213" t="str">
        <f t="shared" si="348"/>
        <v xml:space="preserve"> </v>
      </c>
      <c r="P139" s="213" t="str">
        <f t="shared" si="349"/>
        <v xml:space="preserve"> </v>
      </c>
      <c r="Q139" s="213" t="str">
        <f t="shared" si="350"/>
        <v xml:space="preserve"> </v>
      </c>
      <c r="R139" s="405" t="str">
        <f>IF($A139="N/A"," ",IF(Pricetype=2,MAX(I139-$H139,0),IF(Pricetype=1,(_xll.xSPRDOPT(I139,$E139,$CI139,0,($CD139+IF(Smile=TRUE,VLOOKUP(MAX(-5,$H139-I139),Volsmile,2),0)),$CG139,$CH139,($A139-DateToday)+15,1,0)),I139-$H139)))</f>
        <v xml:space="preserve"> </v>
      </c>
      <c r="S139" s="405" t="str">
        <f>IF($A139="N/A"," ",IF(Pricetype=2,MAX(J139-$H139,0),IF(Pricetype=1,(_xll.xSPRDOPT(J139,$E139,$CI139,0,($CD139+IF(Smile=TRUE,VLOOKUP(MAX(-5,$H139-J139),Volsmile,2),0)),$CG139,$CH139,($A139-DateToday)+15,1,0)),J139-$H139)))</f>
        <v xml:space="preserve"> </v>
      </c>
      <c r="T139" s="406" t="str">
        <f t="shared" si="351"/>
        <v xml:space="preserve"> </v>
      </c>
      <c r="U139" s="405" t="str">
        <f>IF($A139="N/A"," ",IF(Pricetype=2,MAX(L139-$H139,0),IF(L139&lt;&gt;0,IF(Pricetype=1,(_xll.xSPRDOPT(L139,$E139,$CI139,0,($CD139+IF(Smile=TRUE,VLOOKUP(MAX(-5,$H139-L139),Volsmile,2),0)),$CG139,$CH139,($A139-DateToday)+15,1,0)),L139-$H139),0)))</f>
        <v xml:space="preserve"> </v>
      </c>
      <c r="V139" s="405" t="str">
        <f>IF($A139="N/A"," ",IF(Pricetype=2,MAX(M139-$H139,0),IF(M139&lt;&gt;0,IF(Pricetype=1,(_xll.xSPRDOPT(M139,$E139,$CI139,0,($CD139+IF(Smile=TRUE,VLOOKUP(MAX(-5,$H139-M139),Volsmile,2),0)),$CG139,$CH139,($A139-DateToday)+15,1,0)),M139-$H139),0)))</f>
        <v xml:space="preserve"> </v>
      </c>
      <c r="W139" s="406" t="str">
        <f t="shared" si="352"/>
        <v xml:space="preserve"> </v>
      </c>
      <c r="X139" s="405" t="str">
        <f>IF($A139="N/A"," ",IF(Pricetype=2,MAX(O139-$H139,0),IF(O139&lt;&gt;0,IF(Pricetype=1,(_xll.xSPRDOPT(O139,$E139,$CI139,0,($CD139+IF(Smile=TRUE,VLOOKUP(MAX(-5,$H139-O139),Volsmile,2),0)),$CG139,$CH139,($A139-DateToday)+15,1,0)),O139-$H139),0)))</f>
        <v xml:space="preserve"> </v>
      </c>
      <c r="Y139" s="405" t="str">
        <f>IF($A139="N/A"," ",IF(Pricetype=2,MAX(P139-$H139,0),IF(P139&lt;&gt;0,IF(Pricetype=1,(_xll.xSPRDOPT(P139,$E139,$CI139,0,($CD139+IF(Smile=TRUE,VLOOKUP(MAX(-5,$H139-P139),Volsmile,2),0)),$CG139,$CH139,($A139-DateToday)+15,1,0)),P139-$H139),0)))</f>
        <v xml:space="preserve"> </v>
      </c>
      <c r="Z139" s="406" t="str">
        <f t="shared" si="353"/>
        <v xml:space="preserve"> </v>
      </c>
      <c r="AA139" s="254" t="str">
        <f>IF($A139="N/A"," ",IF(VLOOKUP(MONTH(A139),ManualTable,2)=1,(IF(0&lt;&gt;R139,IF(Pricetype=1,(_xll.xSPRDOPT(I139,$E139,$CI139,0,($CD139+IF(Smile=TRUE,VLOOKUP(MAX(-5,$H139-I139),Volsmile,2),0)),$CG139,$CH139,($A139-DateToday)+15,1,1))*(8*$HD139),8*$HD139),0)),0))</f>
        <v xml:space="preserve"> </v>
      </c>
      <c r="AB139" s="254" t="str">
        <f>IF($A139="N/A"," ",IF(VLOOKUP(MONTH(A139),ManualTable,3)=1,(IF(S139&lt;&gt;0,IF(Pricetype=1,(_xll.xSPRDOPT(J139,$E139,$CI139,0,($CD139+IF(Smile=TRUE,VLOOKUP(MAX(-5,$H139-J139),Volsmile,2),0)),$CG139,$CH139,($A139-DateToday)+15,1,1))*(8*$HD139),8*$HD139),0)),0))</f>
        <v xml:space="preserve"> </v>
      </c>
      <c r="AC139" s="254" t="str">
        <f t="shared" si="394"/>
        <v xml:space="preserve"> </v>
      </c>
      <c r="AD139" s="254" t="str">
        <f>IF($A139="N/A"," ",IF(VLOOKUP(MONTH(A139),ManualTable,5)=1,(IF(U139&lt;&gt;0,IF(Pricetype=1,(_xll.xSPRDOPT(L139,$E139,$CI139,0,($CD139+IF(Smile=TRUE,VLOOKUP(MAX(-5,$H139-L139),Volsmile,2),0)),$CG139,$CH139,($A139-DateToday)+15,1,1))*(8*$HE139),8*$HE139),0)),0))</f>
        <v xml:space="preserve"> </v>
      </c>
      <c r="AE139" s="254" t="str">
        <f>IF($A139="N/A"," ",IF(VLOOKUP(MONTH(A139),ManualTable,6)=1,(IF(V139&lt;&gt;0,IF(Pricetype=1,(_xll.xSPRDOPT(M139,$E139,$CI139,0,($CD139+IF(Smile=TRUE,VLOOKUP(MAX(-5,$H139-M139),Volsmile,2),0)),$CG139,$CH139,($A139-DateToday)+15,1,1))*(8*$HE139),8*$HE139),0)),0))</f>
        <v xml:space="preserve"> </v>
      </c>
      <c r="AF139" s="254" t="str">
        <f t="shared" si="395"/>
        <v xml:space="preserve"> </v>
      </c>
      <c r="AG139" s="254" t="str">
        <f>IF($A139="N/A"," ",IF(VLOOKUP(MONTH(A139),ManualTable,8)=1,(IF(X139&lt;&gt;0,IF(Pricetype=1,(_xll.xSPRDOPT(O139,$E139,$CI139,0,($CD139+IF(Smile=TRUE,VLOOKUP(MAX(-5,$H139-O139),Volsmile,2),0)),$CG139,$CH139,($A139-DateToday)+15,1,1))*(8*$HF139),8*$HF139),0)),0))</f>
        <v xml:space="preserve"> </v>
      </c>
      <c r="AH139" s="254" t="str">
        <f>IF($A139="N/A"," ",IF(VLOOKUP(MONTH(A139),ManualTable,9)=1,(IF(Y139&lt;&gt;0,IF(Pricetype=1,(_xll.xSPRDOPT(P139,$E139,$CI139,0,($CD139+IF(Smile=TRUE,VLOOKUP(MAX(-5,$H139-P139),Volsmile,2),0)),$CG139,$CH139,($A139-DateToday)+15,1,1))*(8*$HF139),8*$HF139),0)),0))</f>
        <v xml:space="preserve"> </v>
      </c>
      <c r="AI139" s="254" t="str">
        <f t="shared" si="396"/>
        <v xml:space="preserve"> </v>
      </c>
      <c r="AJ139" s="227" t="str">
        <f t="shared" si="426"/>
        <v xml:space="preserve"> </v>
      </c>
      <c r="AK139" s="228" t="str">
        <f t="shared" si="427"/>
        <v xml:space="preserve"> </v>
      </c>
      <c r="AL139" s="228" t="str">
        <f t="shared" si="427"/>
        <v xml:space="preserve"> </v>
      </c>
      <c r="AM139" s="228" t="str">
        <f t="shared" si="428"/>
        <v xml:space="preserve"> </v>
      </c>
      <c r="AN139" s="228" t="str">
        <f t="shared" si="429"/>
        <v xml:space="preserve"> </v>
      </c>
      <c r="AO139" s="228" t="str">
        <f t="shared" si="429"/>
        <v xml:space="preserve"> </v>
      </c>
      <c r="AP139" s="228" t="str">
        <f t="shared" si="430"/>
        <v xml:space="preserve"> </v>
      </c>
      <c r="AQ139" s="228" t="str">
        <f t="shared" si="431"/>
        <v xml:space="preserve"> </v>
      </c>
      <c r="AR139" s="229" t="str">
        <f t="shared" si="432"/>
        <v xml:space="preserve"> </v>
      </c>
      <c r="AS139" s="262" t="str">
        <f t="shared" si="274"/>
        <v xml:space="preserve"> </v>
      </c>
      <c r="AT139" s="263" t="str">
        <f t="shared" si="275"/>
        <v xml:space="preserve"> </v>
      </c>
      <c r="AU139" s="263" t="str">
        <f t="shared" si="275"/>
        <v xml:space="preserve"> </v>
      </c>
      <c r="AV139" s="263" t="str">
        <f t="shared" si="276"/>
        <v xml:space="preserve"> </v>
      </c>
      <c r="AW139" s="263" t="str">
        <f t="shared" si="277"/>
        <v xml:space="preserve"> </v>
      </c>
      <c r="AX139" s="263" t="str">
        <f t="shared" si="277"/>
        <v xml:space="preserve"> </v>
      </c>
      <c r="AY139" s="263" t="str">
        <f t="shared" si="278"/>
        <v xml:space="preserve"> </v>
      </c>
      <c r="AZ139" s="263" t="str">
        <f t="shared" si="279"/>
        <v xml:space="preserve"> </v>
      </c>
      <c r="BA139" s="263" t="str">
        <f t="shared" si="280"/>
        <v xml:space="preserve"> </v>
      </c>
      <c r="BB139" s="229"/>
      <c r="BC139" s="266" t="str">
        <f t="shared" si="419"/>
        <v xml:space="preserve"> </v>
      </c>
      <c r="BD139" s="269" t="str">
        <f t="shared" si="420"/>
        <v xml:space="preserve"> </v>
      </c>
      <c r="BE139" s="269" t="str">
        <f t="shared" si="420"/>
        <v xml:space="preserve"> </v>
      </c>
      <c r="BF139" s="269" t="str">
        <f t="shared" si="421"/>
        <v xml:space="preserve"> </v>
      </c>
      <c r="BG139" s="269" t="str">
        <f t="shared" si="422"/>
        <v xml:space="preserve"> </v>
      </c>
      <c r="BH139" s="269" t="str">
        <f t="shared" si="422"/>
        <v xml:space="preserve"> </v>
      </c>
      <c r="BI139" s="269" t="str">
        <f t="shared" si="423"/>
        <v xml:space="preserve"> </v>
      </c>
      <c r="BJ139" s="269" t="str">
        <f t="shared" si="424"/>
        <v xml:space="preserve"> </v>
      </c>
      <c r="BK139" s="269" t="str">
        <f t="shared" si="425"/>
        <v xml:space="preserve"> </v>
      </c>
      <c r="BL139" s="229"/>
      <c r="BM139" s="220" t="str">
        <f>IF($A139="N/A"," ",(IF(MONTH(A139)&gt;=4,IF(MONTH(A139)&lt;=10,Inputs!$F$13-Inputs!$G$13,Inputs!$F$14-Inputs!$G$14),Inputs!$F$14-Inputs!$G$14))*$CK139*Availability)</f>
        <v xml:space="preserve"> </v>
      </c>
      <c r="BN139" s="221" t="str">
        <f t="shared" si="397"/>
        <v xml:space="preserve"> </v>
      </c>
      <c r="BO139" s="221" t="str">
        <f t="shared" si="398"/>
        <v xml:space="preserve"> </v>
      </c>
      <c r="BP139" s="221" t="str">
        <f t="shared" si="399"/>
        <v xml:space="preserve"> </v>
      </c>
      <c r="BQ139" s="221" t="str">
        <f t="shared" si="400"/>
        <v xml:space="preserve"> </v>
      </c>
      <c r="BR139" s="221" t="str">
        <f t="shared" si="401"/>
        <v xml:space="preserve"> </v>
      </c>
      <c r="BS139" s="221" t="str">
        <f t="shared" si="402"/>
        <v xml:space="preserve"> </v>
      </c>
      <c r="BT139" s="221" t="str">
        <f t="shared" si="403"/>
        <v xml:space="preserve"> </v>
      </c>
      <c r="BU139" s="221" t="str">
        <f t="shared" si="404"/>
        <v xml:space="preserve"> </v>
      </c>
      <c r="BV139" s="221" t="str">
        <f t="shared" si="405"/>
        <v xml:space="preserve"> </v>
      </c>
      <c r="BW139" s="221" t="str">
        <f t="shared" si="406"/>
        <v xml:space="preserve"> </v>
      </c>
      <c r="BX139" s="421" t="str">
        <f t="shared" si="407"/>
        <v xml:space="preserve"> </v>
      </c>
      <c r="BY139" s="417" t="str">
        <f t="shared" si="408"/>
        <v xml:space="preserve"> </v>
      </c>
      <c r="BZ139" s="417" t="str">
        <f t="shared" si="409"/>
        <v xml:space="preserve"> </v>
      </c>
      <c r="CA139" s="422" t="str">
        <f t="shared" si="410"/>
        <v xml:space="preserve"> </v>
      </c>
      <c r="CB139" s="347" t="str">
        <f t="shared" si="354"/>
        <v xml:space="preserve"> </v>
      </c>
      <c r="CC139" s="347" t="str">
        <f t="shared" si="411"/>
        <v xml:space="preserve"> </v>
      </c>
      <c r="CD139" s="348" t="str">
        <f t="shared" si="355"/>
        <v xml:space="preserve"> </v>
      </c>
      <c r="CE139" s="347" t="str">
        <f t="shared" si="356"/>
        <v xml:space="preserve"> </v>
      </c>
      <c r="CF139" s="347" t="str">
        <f t="shared" si="357"/>
        <v xml:space="preserve"> </v>
      </c>
      <c r="CG139" s="348" t="str">
        <f t="shared" si="358"/>
        <v xml:space="preserve"> </v>
      </c>
      <c r="CH139" s="347" t="str">
        <f t="shared" si="412"/>
        <v xml:space="preserve"> </v>
      </c>
      <c r="CI139" s="349" t="str">
        <f>IF($A139="N/A"," ",F139+G139+(D139*('Pricing Inputs'!T172)))</f>
        <v xml:space="preserve"> </v>
      </c>
      <c r="CJ139" s="347" t="str">
        <f>IF($A139="N/A"," ",IF(PV=1,0,'Pricing Inputs'!U172))</f>
        <v xml:space="preserve"> </v>
      </c>
      <c r="CK139" s="350" t="str">
        <f t="shared" si="359"/>
        <v xml:space="preserve"> </v>
      </c>
      <c r="CL139" s="365" t="str">
        <f t="shared" si="360"/>
        <v xml:space="preserve"> </v>
      </c>
      <c r="CM139" s="380" t="str">
        <f t="shared" si="413"/>
        <v xml:space="preserve"> </v>
      </c>
      <c r="CN139" s="378" t="str">
        <f t="shared" si="361"/>
        <v xml:space="preserve"> </v>
      </c>
      <c r="CO139" s="378" t="str">
        <f t="shared" si="362"/>
        <v xml:space="preserve"> </v>
      </c>
      <c r="CP139" s="378" t="str">
        <f t="shared" si="363"/>
        <v xml:space="preserve"> </v>
      </c>
      <c r="CQ139" s="378" t="str">
        <f t="shared" si="364"/>
        <v xml:space="preserve"> </v>
      </c>
      <c r="CR139" s="378" t="str">
        <f t="shared" si="365"/>
        <v xml:space="preserve"> </v>
      </c>
      <c r="CS139" s="378" t="str">
        <f t="shared" si="366"/>
        <v xml:space="preserve"> </v>
      </c>
      <c r="CT139" s="378" t="str">
        <f t="shared" si="367"/>
        <v xml:space="preserve"> </v>
      </c>
      <c r="CU139" s="378" t="str">
        <f t="shared" si="368"/>
        <v xml:space="preserve"> </v>
      </c>
      <c r="CV139" s="378" t="str">
        <f t="shared" si="369"/>
        <v xml:space="preserve"> </v>
      </c>
      <c r="CW139" s="254" t="str">
        <f t="shared" si="370"/>
        <v xml:space="preserve"> </v>
      </c>
      <c r="CX139" s="254" t="str">
        <f t="shared" si="371"/>
        <v xml:space="preserve"> </v>
      </c>
      <c r="CY139" s="254" t="str">
        <f t="shared" si="372"/>
        <v xml:space="preserve"> </v>
      </c>
      <c r="CZ139" s="254" t="str">
        <f t="shared" si="373"/>
        <v xml:space="preserve"> </v>
      </c>
      <c r="DA139" s="254" t="str">
        <f t="shared" si="374"/>
        <v xml:space="preserve"> </v>
      </c>
      <c r="DB139" s="254" t="str">
        <f t="shared" si="375"/>
        <v xml:space="preserve"> </v>
      </c>
      <c r="DC139" s="254" t="str">
        <f t="shared" si="376"/>
        <v xml:space="preserve"> </v>
      </c>
      <c r="DD139" s="254" t="str">
        <f t="shared" si="377"/>
        <v xml:space="preserve"> </v>
      </c>
      <c r="DE139" s="254" t="str">
        <f t="shared" si="378"/>
        <v xml:space="preserve"> </v>
      </c>
      <c r="DF139" s="374" t="str">
        <f>IF($A139="N/A"," ",IF(CC=2,(IF(MONTH(A139)&gt;=4,IF(MONTH(A139)&lt;=10,Inputs!$G$13,Inputs!$G$14),Inputs!$G$14))*$CK139,0))</f>
        <v xml:space="preserve"> </v>
      </c>
      <c r="DG139" s="373" t="str">
        <f t="shared" si="379"/>
        <v xml:space="preserve"> </v>
      </c>
      <c r="DH139" s="373" t="str">
        <f t="shared" si="380"/>
        <v xml:space="preserve"> </v>
      </c>
      <c r="DI139" s="373" t="str">
        <f t="shared" si="381"/>
        <v xml:space="preserve"> </v>
      </c>
      <c r="DJ139" s="373" t="str">
        <f t="shared" si="382"/>
        <v xml:space="preserve"> </v>
      </c>
      <c r="DK139" s="373" t="str">
        <f t="shared" si="383"/>
        <v xml:space="preserve"> </v>
      </c>
      <c r="DL139" s="373" t="str">
        <f t="shared" si="384"/>
        <v xml:space="preserve"> </v>
      </c>
      <c r="DM139" s="373" t="str">
        <f t="shared" si="385"/>
        <v xml:space="preserve"> </v>
      </c>
      <c r="DN139" s="373" t="str">
        <f t="shared" si="386"/>
        <v xml:space="preserve"> </v>
      </c>
      <c r="DO139" s="373" t="str">
        <f t="shared" si="387"/>
        <v xml:space="preserve"> </v>
      </c>
      <c r="DP139" s="375" t="str">
        <f t="shared" si="388"/>
        <v xml:space="preserve"> </v>
      </c>
      <c r="DQ139" t="str">
        <f t="shared" si="414"/>
        <v xml:space="preserve"> </v>
      </c>
      <c r="HD139" t="str">
        <f t="shared" si="415"/>
        <v xml:space="preserve"> </v>
      </c>
      <c r="HE139" t="str">
        <f t="shared" si="416"/>
        <v xml:space="preserve"> </v>
      </c>
      <c r="HF139" t="str">
        <f t="shared" si="417"/>
        <v xml:space="preserve"> </v>
      </c>
    </row>
    <row r="140" spans="1:214">
      <c r="A140" s="415" t="str">
        <f>IF(A139="N/A","N/A",IF(EDATE(A139,1)&gt;Inputs!$K$3,"N/A",EDATE(A139,1)))</f>
        <v>N/A</v>
      </c>
      <c r="B140" s="410" t="str">
        <f t="shared" si="389"/>
        <v xml:space="preserve"> </v>
      </c>
      <c r="C140" s="411" t="str">
        <f t="shared" si="390"/>
        <v xml:space="preserve"> </v>
      </c>
      <c r="D140" s="412" t="str">
        <f t="shared" si="391"/>
        <v xml:space="preserve"> </v>
      </c>
      <c r="E140" s="413" t="str">
        <f>IF($A140="N/A"," ",(C140-'Pricing Inputs'!T173)*D140)</f>
        <v xml:space="preserve"> </v>
      </c>
      <c r="F140" s="414" t="str">
        <f t="shared" si="281"/>
        <v xml:space="preserve"> </v>
      </c>
      <c r="G140" s="414" t="str">
        <f t="shared" si="392"/>
        <v xml:space="preserve"> </v>
      </c>
      <c r="H140" s="416" t="str">
        <f t="shared" si="393"/>
        <v xml:space="preserve"> </v>
      </c>
      <c r="I140" s="213" t="str">
        <f t="shared" si="342"/>
        <v xml:space="preserve"> </v>
      </c>
      <c r="J140" s="213" t="str">
        <f t="shared" si="343"/>
        <v xml:space="preserve"> </v>
      </c>
      <c r="K140" s="213" t="str">
        <f t="shared" si="344"/>
        <v xml:space="preserve"> </v>
      </c>
      <c r="L140" s="213" t="str">
        <f t="shared" si="345"/>
        <v xml:space="preserve"> </v>
      </c>
      <c r="M140" s="213" t="str">
        <f t="shared" si="346"/>
        <v xml:space="preserve"> </v>
      </c>
      <c r="N140" s="213" t="str">
        <f t="shared" si="347"/>
        <v xml:space="preserve"> </v>
      </c>
      <c r="O140" s="213" t="str">
        <f t="shared" si="348"/>
        <v xml:space="preserve"> </v>
      </c>
      <c r="P140" s="213" t="str">
        <f t="shared" si="349"/>
        <v xml:space="preserve"> </v>
      </c>
      <c r="Q140" s="213" t="str">
        <f t="shared" si="350"/>
        <v xml:space="preserve"> </v>
      </c>
      <c r="R140" s="405" t="str">
        <f>IF($A140="N/A"," ",IF(Pricetype=2,MAX(I140-$H140,0),IF(Pricetype=1,(_xll.xSPRDOPT(I140,$E140,$CI140,0,($CD140+IF(Smile=TRUE,VLOOKUP(MAX(-5,$H140-I140),Volsmile,2),0)),$CG140,$CH140,($A140-DateToday)+15,1,0)),I140-$H140)))</f>
        <v xml:space="preserve"> </v>
      </c>
      <c r="S140" s="405" t="str">
        <f>IF($A140="N/A"," ",IF(Pricetype=2,MAX(J140-$H140,0),IF(Pricetype=1,(_xll.xSPRDOPT(J140,$E140,$CI140,0,($CD140+IF(Smile=TRUE,VLOOKUP(MAX(-5,$H140-J140),Volsmile,2),0)),$CG140,$CH140,($A140-DateToday)+15,1,0)),J140-$H140)))</f>
        <v xml:space="preserve"> </v>
      </c>
      <c r="T140" s="406" t="str">
        <f t="shared" si="351"/>
        <v xml:space="preserve"> </v>
      </c>
      <c r="U140" s="405" t="str">
        <f>IF($A140="N/A"," ",IF(Pricetype=2,MAX(L140-$H140,0),IF(L140&lt;&gt;0,IF(Pricetype=1,(_xll.xSPRDOPT(L140,$E140,$CI140,0,($CD140+IF(Smile=TRUE,VLOOKUP(MAX(-5,$H140-L140),Volsmile,2),0)),$CG140,$CH140,($A140-DateToday)+15,1,0)),L140-$H140),0)))</f>
        <v xml:space="preserve"> </v>
      </c>
      <c r="V140" s="405" t="str">
        <f>IF($A140="N/A"," ",IF(Pricetype=2,MAX(M140-$H140,0),IF(M140&lt;&gt;0,IF(Pricetype=1,(_xll.xSPRDOPT(M140,$E140,$CI140,0,($CD140+IF(Smile=TRUE,VLOOKUP(MAX(-5,$H140-M140),Volsmile,2),0)),$CG140,$CH140,($A140-DateToday)+15,1,0)),M140-$H140),0)))</f>
        <v xml:space="preserve"> </v>
      </c>
      <c r="W140" s="406" t="str">
        <f t="shared" si="352"/>
        <v xml:space="preserve"> </v>
      </c>
      <c r="X140" s="405" t="str">
        <f>IF($A140="N/A"," ",IF(Pricetype=2,MAX(O140-$H140,0),IF(O140&lt;&gt;0,IF(Pricetype=1,(_xll.xSPRDOPT(O140,$E140,$CI140,0,($CD140+IF(Smile=TRUE,VLOOKUP(MAX(-5,$H140-O140),Volsmile,2),0)),$CG140,$CH140,($A140-DateToday)+15,1,0)),O140-$H140),0)))</f>
        <v xml:space="preserve"> </v>
      </c>
      <c r="Y140" s="405" t="str">
        <f>IF($A140="N/A"," ",IF(Pricetype=2,MAX(P140-$H140,0),IF(P140&lt;&gt;0,IF(Pricetype=1,(_xll.xSPRDOPT(P140,$E140,$CI140,0,($CD140+IF(Smile=TRUE,VLOOKUP(MAX(-5,$H140-P140),Volsmile,2),0)),$CG140,$CH140,($A140-DateToday)+15,1,0)),P140-$H140),0)))</f>
        <v xml:space="preserve"> </v>
      </c>
      <c r="Z140" s="406" t="str">
        <f t="shared" si="353"/>
        <v xml:space="preserve"> </v>
      </c>
      <c r="AA140" s="254" t="str">
        <f>IF($A140="N/A"," ",IF(VLOOKUP(MONTH(A140),ManualTable,2)=1,(IF(0&lt;&gt;R140,IF(Pricetype=1,(_xll.xSPRDOPT(I140,$E140,$CI140,0,($CD140+IF(Smile=TRUE,VLOOKUP(MAX(-5,$H140-I140),Volsmile,2),0)),$CG140,$CH140,($A140-DateToday)+15,1,1))*(8*$HD140),8*$HD140),0)),0))</f>
        <v xml:space="preserve"> </v>
      </c>
      <c r="AB140" s="254" t="str">
        <f>IF($A140="N/A"," ",IF(VLOOKUP(MONTH(A140),ManualTable,3)=1,(IF(S140&lt;&gt;0,IF(Pricetype=1,(_xll.xSPRDOPT(J140,$E140,$CI140,0,($CD140+IF(Smile=TRUE,VLOOKUP(MAX(-5,$H140-J140),Volsmile,2),0)),$CG140,$CH140,($A140-DateToday)+15,1,1))*(8*$HD140),8*$HD140),0)),0))</f>
        <v xml:space="preserve"> </v>
      </c>
      <c r="AC140" s="254" t="str">
        <f t="shared" si="394"/>
        <v xml:space="preserve"> </v>
      </c>
      <c r="AD140" s="254" t="str">
        <f>IF($A140="N/A"," ",IF(VLOOKUP(MONTH(A140),ManualTable,5)=1,(IF(U140&lt;&gt;0,IF(Pricetype=1,(_xll.xSPRDOPT(L140,$E140,$CI140,0,($CD140+IF(Smile=TRUE,VLOOKUP(MAX(-5,$H140-L140),Volsmile,2),0)),$CG140,$CH140,($A140-DateToday)+15,1,1))*(8*$HE140),8*$HE140),0)),0))</f>
        <v xml:space="preserve"> </v>
      </c>
      <c r="AE140" s="254" t="str">
        <f>IF($A140="N/A"," ",IF(VLOOKUP(MONTH(A140),ManualTable,6)=1,(IF(V140&lt;&gt;0,IF(Pricetype=1,(_xll.xSPRDOPT(M140,$E140,$CI140,0,($CD140+IF(Smile=TRUE,VLOOKUP(MAX(-5,$H140-M140),Volsmile,2),0)),$CG140,$CH140,($A140-DateToday)+15,1,1))*(8*$HE140),8*$HE140),0)),0))</f>
        <v xml:space="preserve"> </v>
      </c>
      <c r="AF140" s="254" t="str">
        <f t="shared" si="395"/>
        <v xml:space="preserve"> </v>
      </c>
      <c r="AG140" s="254" t="str">
        <f>IF($A140="N/A"," ",IF(VLOOKUP(MONTH(A140),ManualTable,8)=1,(IF(X140&lt;&gt;0,IF(Pricetype=1,(_xll.xSPRDOPT(O140,$E140,$CI140,0,($CD140+IF(Smile=TRUE,VLOOKUP(MAX(-5,$H140-O140),Volsmile,2),0)),$CG140,$CH140,($A140-DateToday)+15,1,1))*(8*$HF140),8*$HF140),0)),0))</f>
        <v xml:space="preserve"> </v>
      </c>
      <c r="AH140" s="254" t="str">
        <f>IF($A140="N/A"," ",IF(VLOOKUP(MONTH(A140),ManualTable,9)=1,(IF(Y140&lt;&gt;0,IF(Pricetype=1,(_xll.xSPRDOPT(P140,$E140,$CI140,0,($CD140+IF(Smile=TRUE,VLOOKUP(MAX(-5,$H140-P140),Volsmile,2),0)),$CG140,$CH140,($A140-DateToday)+15,1,1))*(8*$HF140),8*$HF140),0)),0))</f>
        <v xml:space="preserve"> </v>
      </c>
      <c r="AI140" s="254" t="str">
        <f t="shared" si="396"/>
        <v xml:space="preserve"> </v>
      </c>
      <c r="AJ140" s="227" t="str">
        <f t="shared" si="426"/>
        <v xml:space="preserve"> </v>
      </c>
      <c r="AK140" s="228" t="str">
        <f t="shared" si="427"/>
        <v xml:space="preserve"> </v>
      </c>
      <c r="AL140" s="228" t="str">
        <f t="shared" si="427"/>
        <v xml:space="preserve"> </v>
      </c>
      <c r="AM140" s="228" t="str">
        <f t="shared" si="428"/>
        <v xml:space="preserve"> </v>
      </c>
      <c r="AN140" s="228" t="str">
        <f t="shared" si="429"/>
        <v xml:space="preserve"> </v>
      </c>
      <c r="AO140" s="228" t="str">
        <f t="shared" si="429"/>
        <v xml:space="preserve"> </v>
      </c>
      <c r="AP140" s="228" t="str">
        <f t="shared" si="430"/>
        <v xml:space="preserve"> </v>
      </c>
      <c r="AQ140" s="228" t="str">
        <f t="shared" si="431"/>
        <v xml:space="preserve"> </v>
      </c>
      <c r="AR140" s="229" t="str">
        <f t="shared" si="432"/>
        <v xml:space="preserve"> </v>
      </c>
      <c r="AS140" s="262" t="str">
        <f t="shared" si="274"/>
        <v xml:space="preserve"> </v>
      </c>
      <c r="AT140" s="263" t="str">
        <f t="shared" si="275"/>
        <v xml:space="preserve"> </v>
      </c>
      <c r="AU140" s="263" t="str">
        <f t="shared" si="275"/>
        <v xml:space="preserve"> </v>
      </c>
      <c r="AV140" s="263" t="str">
        <f t="shared" si="276"/>
        <v xml:space="preserve"> </v>
      </c>
      <c r="AW140" s="263" t="str">
        <f t="shared" si="277"/>
        <v xml:space="preserve"> </v>
      </c>
      <c r="AX140" s="263" t="str">
        <f t="shared" si="277"/>
        <v xml:space="preserve"> </v>
      </c>
      <c r="AY140" s="263" t="str">
        <f t="shared" si="278"/>
        <v xml:space="preserve"> </v>
      </c>
      <c r="AZ140" s="263" t="str">
        <f t="shared" si="279"/>
        <v xml:space="preserve"> </v>
      </c>
      <c r="BA140" s="263" t="str">
        <f t="shared" si="280"/>
        <v xml:space="preserve"> </v>
      </c>
      <c r="BB140" s="229"/>
      <c r="BC140" s="266" t="str">
        <f t="shared" si="419"/>
        <v xml:space="preserve"> </v>
      </c>
      <c r="BD140" s="269" t="str">
        <f t="shared" si="420"/>
        <v xml:space="preserve"> </v>
      </c>
      <c r="BE140" s="269" t="str">
        <f t="shared" si="420"/>
        <v xml:space="preserve"> </v>
      </c>
      <c r="BF140" s="269" t="str">
        <f t="shared" si="421"/>
        <v xml:space="preserve"> </v>
      </c>
      <c r="BG140" s="269" t="str">
        <f t="shared" si="422"/>
        <v xml:space="preserve"> </v>
      </c>
      <c r="BH140" s="269" t="str">
        <f t="shared" si="422"/>
        <v xml:space="preserve"> </v>
      </c>
      <c r="BI140" s="269" t="str">
        <f t="shared" si="423"/>
        <v xml:space="preserve"> </v>
      </c>
      <c r="BJ140" s="269" t="str">
        <f t="shared" si="424"/>
        <v xml:space="preserve"> </v>
      </c>
      <c r="BK140" s="269" t="str">
        <f t="shared" si="425"/>
        <v xml:space="preserve"> </v>
      </c>
      <c r="BL140" s="229"/>
      <c r="BM140" s="220" t="str">
        <f>IF($A140="N/A"," ",(IF(MONTH(A140)&gt;=4,IF(MONTH(A140)&lt;=10,Inputs!$F$13-Inputs!$G$13,Inputs!$F$14-Inputs!$G$14),Inputs!$F$14-Inputs!$G$14))*$CK140*Availability)</f>
        <v xml:space="preserve"> </v>
      </c>
      <c r="BN140" s="221" t="str">
        <f t="shared" si="397"/>
        <v xml:space="preserve"> </v>
      </c>
      <c r="BO140" s="221" t="str">
        <f t="shared" si="398"/>
        <v xml:space="preserve"> </v>
      </c>
      <c r="BP140" s="221" t="str">
        <f t="shared" si="399"/>
        <v xml:space="preserve"> </v>
      </c>
      <c r="BQ140" s="221" t="str">
        <f t="shared" si="400"/>
        <v xml:space="preserve"> </v>
      </c>
      <c r="BR140" s="221" t="str">
        <f t="shared" si="401"/>
        <v xml:space="preserve"> </v>
      </c>
      <c r="BS140" s="221" t="str">
        <f t="shared" si="402"/>
        <v xml:space="preserve"> </v>
      </c>
      <c r="BT140" s="221" t="str">
        <f t="shared" si="403"/>
        <v xml:space="preserve"> </v>
      </c>
      <c r="BU140" s="221" t="str">
        <f t="shared" si="404"/>
        <v xml:space="preserve"> </v>
      </c>
      <c r="BV140" s="221" t="str">
        <f t="shared" si="405"/>
        <v xml:space="preserve"> </v>
      </c>
      <c r="BW140" s="221" t="str">
        <f t="shared" si="406"/>
        <v xml:space="preserve"> </v>
      </c>
      <c r="BX140" s="421" t="str">
        <f t="shared" si="407"/>
        <v xml:space="preserve"> </v>
      </c>
      <c r="BY140" s="417" t="str">
        <f t="shared" si="408"/>
        <v xml:space="preserve"> </v>
      </c>
      <c r="BZ140" s="417" t="str">
        <f t="shared" si="409"/>
        <v xml:space="preserve"> </v>
      </c>
      <c r="CA140" s="422" t="str">
        <f t="shared" si="410"/>
        <v xml:space="preserve"> </v>
      </c>
      <c r="CB140" s="347" t="str">
        <f t="shared" si="354"/>
        <v xml:space="preserve"> </v>
      </c>
      <c r="CC140" s="347" t="str">
        <f t="shared" si="411"/>
        <v xml:space="preserve"> </v>
      </c>
      <c r="CD140" s="348" t="str">
        <f t="shared" si="355"/>
        <v xml:space="preserve"> </v>
      </c>
      <c r="CE140" s="347" t="str">
        <f t="shared" si="356"/>
        <v xml:space="preserve"> </v>
      </c>
      <c r="CF140" s="347" t="str">
        <f t="shared" si="357"/>
        <v xml:space="preserve"> </v>
      </c>
      <c r="CG140" s="348" t="str">
        <f t="shared" si="358"/>
        <v xml:space="preserve"> </v>
      </c>
      <c r="CH140" s="347" t="str">
        <f t="shared" si="412"/>
        <v xml:space="preserve"> </v>
      </c>
      <c r="CI140" s="349" t="str">
        <f>IF($A140="N/A"," ",F140+G140+(D140*('Pricing Inputs'!T173)))</f>
        <v xml:space="preserve"> </v>
      </c>
      <c r="CJ140" s="347" t="str">
        <f>IF($A140="N/A"," ",IF(PV=1,0,'Pricing Inputs'!U173))</f>
        <v xml:space="preserve"> </v>
      </c>
      <c r="CK140" s="350" t="str">
        <f t="shared" si="359"/>
        <v xml:space="preserve"> </v>
      </c>
      <c r="CL140" s="365" t="str">
        <f t="shared" si="360"/>
        <v xml:space="preserve"> </v>
      </c>
      <c r="CM140" s="380" t="str">
        <f t="shared" si="413"/>
        <v xml:space="preserve"> </v>
      </c>
      <c r="CN140" s="378" t="str">
        <f t="shared" si="361"/>
        <v xml:space="preserve"> </v>
      </c>
      <c r="CO140" s="378" t="str">
        <f t="shared" si="362"/>
        <v xml:space="preserve"> </v>
      </c>
      <c r="CP140" s="378" t="str">
        <f t="shared" si="363"/>
        <v xml:space="preserve"> </v>
      </c>
      <c r="CQ140" s="378" t="str">
        <f t="shared" si="364"/>
        <v xml:space="preserve"> </v>
      </c>
      <c r="CR140" s="378" t="str">
        <f t="shared" si="365"/>
        <v xml:space="preserve"> </v>
      </c>
      <c r="CS140" s="378" t="str">
        <f t="shared" si="366"/>
        <v xml:space="preserve"> </v>
      </c>
      <c r="CT140" s="378" t="str">
        <f t="shared" si="367"/>
        <v xml:space="preserve"> </v>
      </c>
      <c r="CU140" s="378" t="str">
        <f t="shared" si="368"/>
        <v xml:space="preserve"> </v>
      </c>
      <c r="CV140" s="378" t="str">
        <f t="shared" si="369"/>
        <v xml:space="preserve"> </v>
      </c>
      <c r="CW140" s="254" t="str">
        <f t="shared" si="370"/>
        <v xml:space="preserve"> </v>
      </c>
      <c r="CX140" s="254" t="str">
        <f t="shared" si="371"/>
        <v xml:space="preserve"> </v>
      </c>
      <c r="CY140" s="254" t="str">
        <f t="shared" si="372"/>
        <v xml:space="preserve"> </v>
      </c>
      <c r="CZ140" s="254" t="str">
        <f t="shared" si="373"/>
        <v xml:space="preserve"> </v>
      </c>
      <c r="DA140" s="254" t="str">
        <f t="shared" si="374"/>
        <v xml:space="preserve"> </v>
      </c>
      <c r="DB140" s="254" t="str">
        <f t="shared" si="375"/>
        <v xml:space="preserve"> </v>
      </c>
      <c r="DC140" s="254" t="str">
        <f t="shared" si="376"/>
        <v xml:space="preserve"> </v>
      </c>
      <c r="DD140" s="254" t="str">
        <f t="shared" si="377"/>
        <v xml:space="preserve"> </v>
      </c>
      <c r="DE140" s="254" t="str">
        <f t="shared" si="378"/>
        <v xml:space="preserve"> </v>
      </c>
      <c r="DF140" s="374" t="str">
        <f>IF($A140="N/A"," ",IF(CC=2,(IF(MONTH(A140)&gt;=4,IF(MONTH(A140)&lt;=10,Inputs!$G$13,Inputs!$G$14),Inputs!$G$14))*$CK140,0))</f>
        <v xml:space="preserve"> </v>
      </c>
      <c r="DG140" s="373" t="str">
        <f t="shared" si="379"/>
        <v xml:space="preserve"> </v>
      </c>
      <c r="DH140" s="373" t="str">
        <f t="shared" si="380"/>
        <v xml:space="preserve"> </v>
      </c>
      <c r="DI140" s="373" t="str">
        <f t="shared" si="381"/>
        <v xml:space="preserve"> </v>
      </c>
      <c r="DJ140" s="373" t="str">
        <f t="shared" si="382"/>
        <v xml:space="preserve"> </v>
      </c>
      <c r="DK140" s="373" t="str">
        <f t="shared" si="383"/>
        <v xml:space="preserve"> </v>
      </c>
      <c r="DL140" s="373" t="str">
        <f t="shared" si="384"/>
        <v xml:space="preserve"> </v>
      </c>
      <c r="DM140" s="373" t="str">
        <f t="shared" si="385"/>
        <v xml:space="preserve"> </v>
      </c>
      <c r="DN140" s="373" t="str">
        <f t="shared" si="386"/>
        <v xml:space="preserve"> </v>
      </c>
      <c r="DO140" s="373" t="str">
        <f t="shared" si="387"/>
        <v xml:space="preserve"> </v>
      </c>
      <c r="DP140" s="375" t="str">
        <f t="shared" si="388"/>
        <v xml:space="preserve"> </v>
      </c>
      <c r="DQ140" t="str">
        <f t="shared" si="414"/>
        <v xml:space="preserve"> </v>
      </c>
      <c r="HD140" t="str">
        <f t="shared" si="415"/>
        <v xml:space="preserve"> </v>
      </c>
      <c r="HE140" t="str">
        <f t="shared" si="416"/>
        <v xml:space="preserve"> </v>
      </c>
      <c r="HF140" t="str">
        <f t="shared" si="417"/>
        <v xml:space="preserve"> </v>
      </c>
    </row>
    <row r="141" spans="1:214">
      <c r="A141" s="415" t="str">
        <f>IF(A140="N/A","N/A",IF(EDATE(A140,1)&gt;Inputs!$K$3,"N/A",EDATE(A140,1)))</f>
        <v>N/A</v>
      </c>
      <c r="B141" s="410" t="str">
        <f t="shared" si="389"/>
        <v xml:space="preserve"> </v>
      </c>
      <c r="C141" s="411" t="str">
        <f t="shared" si="390"/>
        <v xml:space="preserve"> </v>
      </c>
      <c r="D141" s="412" t="str">
        <f t="shared" si="391"/>
        <v xml:space="preserve"> </v>
      </c>
      <c r="E141" s="413" t="str">
        <f>IF($A141="N/A"," ",(C141-'Pricing Inputs'!T174)*D141)</f>
        <v xml:space="preserve"> </v>
      </c>
      <c r="F141" s="414" t="str">
        <f t="shared" si="281"/>
        <v xml:space="preserve"> </v>
      </c>
      <c r="G141" s="414" t="str">
        <f t="shared" si="392"/>
        <v xml:space="preserve"> </v>
      </c>
      <c r="H141" s="416" t="str">
        <f t="shared" si="393"/>
        <v xml:space="preserve"> </v>
      </c>
      <c r="I141" s="213" t="str">
        <f t="shared" si="342"/>
        <v xml:space="preserve"> </v>
      </c>
      <c r="J141" s="213" t="str">
        <f t="shared" si="343"/>
        <v xml:space="preserve"> </v>
      </c>
      <c r="K141" s="213" t="str">
        <f t="shared" si="344"/>
        <v xml:space="preserve"> </v>
      </c>
      <c r="L141" s="213" t="str">
        <f t="shared" si="345"/>
        <v xml:space="preserve"> </v>
      </c>
      <c r="M141" s="213" t="str">
        <f t="shared" si="346"/>
        <v xml:space="preserve"> </v>
      </c>
      <c r="N141" s="213" t="str">
        <f t="shared" si="347"/>
        <v xml:space="preserve"> </v>
      </c>
      <c r="O141" s="213" t="str">
        <f t="shared" si="348"/>
        <v xml:space="preserve"> </v>
      </c>
      <c r="P141" s="213" t="str">
        <f t="shared" si="349"/>
        <v xml:space="preserve"> </v>
      </c>
      <c r="Q141" s="213" t="str">
        <f t="shared" si="350"/>
        <v xml:space="preserve"> </v>
      </c>
      <c r="R141" s="405" t="str">
        <f>IF($A141="N/A"," ",IF(Pricetype=2,MAX(I141-$H141,0),IF(Pricetype=1,(_xll.xSPRDOPT(I141,$E141,$CI141,0,($CD141+IF(Smile=TRUE,VLOOKUP(MAX(-5,$H141-I141),Volsmile,2),0)),$CG141,$CH141,($A141-DateToday)+15,1,0)),I141-$H141)))</f>
        <v xml:space="preserve"> </v>
      </c>
      <c r="S141" s="405" t="str">
        <f>IF($A141="N/A"," ",IF(Pricetype=2,MAX(J141-$H141,0),IF(Pricetype=1,(_xll.xSPRDOPT(J141,$E141,$CI141,0,($CD141+IF(Smile=TRUE,VLOOKUP(MAX(-5,$H141-J141),Volsmile,2),0)),$CG141,$CH141,($A141-DateToday)+15,1,0)),J141-$H141)))</f>
        <v xml:space="preserve"> </v>
      </c>
      <c r="T141" s="406" t="str">
        <f t="shared" si="351"/>
        <v xml:space="preserve"> </v>
      </c>
      <c r="U141" s="405" t="str">
        <f>IF($A141="N/A"," ",IF(Pricetype=2,MAX(L141-$H141,0),IF(L141&lt;&gt;0,IF(Pricetype=1,(_xll.xSPRDOPT(L141,$E141,$CI141,0,($CD141+IF(Smile=TRUE,VLOOKUP(MAX(-5,$H141-L141),Volsmile,2),0)),$CG141,$CH141,($A141-DateToday)+15,1,0)),L141-$H141),0)))</f>
        <v xml:space="preserve"> </v>
      </c>
      <c r="V141" s="405" t="str">
        <f>IF($A141="N/A"," ",IF(Pricetype=2,MAX(M141-$H141,0),IF(M141&lt;&gt;0,IF(Pricetype=1,(_xll.xSPRDOPT(M141,$E141,$CI141,0,($CD141+IF(Smile=TRUE,VLOOKUP(MAX(-5,$H141-M141),Volsmile,2),0)),$CG141,$CH141,($A141-DateToday)+15,1,0)),M141-$H141),0)))</f>
        <v xml:space="preserve"> </v>
      </c>
      <c r="W141" s="406" t="str">
        <f t="shared" si="352"/>
        <v xml:space="preserve"> </v>
      </c>
      <c r="X141" s="405" t="str">
        <f>IF($A141="N/A"," ",IF(Pricetype=2,MAX(O141-$H141,0),IF(O141&lt;&gt;0,IF(Pricetype=1,(_xll.xSPRDOPT(O141,$E141,$CI141,0,($CD141+IF(Smile=TRUE,VLOOKUP(MAX(-5,$H141-O141),Volsmile,2),0)),$CG141,$CH141,($A141-DateToday)+15,1,0)),O141-$H141),0)))</f>
        <v xml:space="preserve"> </v>
      </c>
      <c r="Y141" s="405" t="str">
        <f>IF($A141="N/A"," ",IF(Pricetype=2,MAX(P141-$H141,0),IF(P141&lt;&gt;0,IF(Pricetype=1,(_xll.xSPRDOPT(P141,$E141,$CI141,0,($CD141+IF(Smile=TRUE,VLOOKUP(MAX(-5,$H141-P141),Volsmile,2),0)),$CG141,$CH141,($A141-DateToday)+15,1,0)),P141-$H141),0)))</f>
        <v xml:space="preserve"> </v>
      </c>
      <c r="Z141" s="406" t="str">
        <f t="shared" si="353"/>
        <v xml:space="preserve"> </v>
      </c>
      <c r="AA141" s="254" t="str">
        <f>IF($A141="N/A"," ",IF(VLOOKUP(MONTH(A141),ManualTable,2)=1,(IF(0&lt;&gt;R141,IF(Pricetype=1,(_xll.xSPRDOPT(I141,$E141,$CI141,0,($CD141+IF(Smile=TRUE,VLOOKUP(MAX(-5,$H141-I141),Volsmile,2),0)),$CG141,$CH141,($A141-DateToday)+15,1,1))*(8*$HD141),8*$HD141),0)),0))</f>
        <v xml:space="preserve"> </v>
      </c>
      <c r="AB141" s="254" t="str">
        <f>IF($A141="N/A"," ",IF(VLOOKUP(MONTH(A141),ManualTable,3)=1,(IF(S141&lt;&gt;0,IF(Pricetype=1,(_xll.xSPRDOPT(J141,$E141,$CI141,0,($CD141+IF(Smile=TRUE,VLOOKUP(MAX(-5,$H141-J141),Volsmile,2),0)),$CG141,$CH141,($A141-DateToday)+15,1,1))*(8*$HD141),8*$HD141),0)),0))</f>
        <v xml:space="preserve"> </v>
      </c>
      <c r="AC141" s="254" t="str">
        <f t="shared" si="394"/>
        <v xml:space="preserve"> </v>
      </c>
      <c r="AD141" s="254" t="str">
        <f>IF($A141="N/A"," ",IF(VLOOKUP(MONTH(A141),ManualTable,5)=1,(IF(U141&lt;&gt;0,IF(Pricetype=1,(_xll.xSPRDOPT(L141,$E141,$CI141,0,($CD141+IF(Smile=TRUE,VLOOKUP(MAX(-5,$H141-L141),Volsmile,2),0)),$CG141,$CH141,($A141-DateToday)+15,1,1))*(8*$HE141),8*$HE141),0)),0))</f>
        <v xml:space="preserve"> </v>
      </c>
      <c r="AE141" s="254" t="str">
        <f>IF($A141="N/A"," ",IF(VLOOKUP(MONTH(A141),ManualTable,6)=1,(IF(V141&lt;&gt;0,IF(Pricetype=1,(_xll.xSPRDOPT(M141,$E141,$CI141,0,($CD141+IF(Smile=TRUE,VLOOKUP(MAX(-5,$H141-M141),Volsmile,2),0)),$CG141,$CH141,($A141-DateToday)+15,1,1))*(8*$HE141),8*$HE141),0)),0))</f>
        <v xml:space="preserve"> </v>
      </c>
      <c r="AF141" s="254" t="str">
        <f t="shared" si="395"/>
        <v xml:space="preserve"> </v>
      </c>
      <c r="AG141" s="254" t="str">
        <f>IF($A141="N/A"," ",IF(VLOOKUP(MONTH(A141),ManualTable,8)=1,(IF(X141&lt;&gt;0,IF(Pricetype=1,(_xll.xSPRDOPT(O141,$E141,$CI141,0,($CD141+IF(Smile=TRUE,VLOOKUP(MAX(-5,$H141-O141),Volsmile,2),0)),$CG141,$CH141,($A141-DateToday)+15,1,1))*(8*$HF141),8*$HF141),0)),0))</f>
        <v xml:space="preserve"> </v>
      </c>
      <c r="AH141" s="254" t="str">
        <f>IF($A141="N/A"," ",IF(VLOOKUP(MONTH(A141),ManualTable,9)=1,(IF(Y141&lt;&gt;0,IF(Pricetype=1,(_xll.xSPRDOPT(P141,$E141,$CI141,0,($CD141+IF(Smile=TRUE,VLOOKUP(MAX(-5,$H141-P141),Volsmile,2),0)),$CG141,$CH141,($A141-DateToday)+15,1,1))*(8*$HF141),8*$HF141),0)),0))</f>
        <v xml:space="preserve"> </v>
      </c>
      <c r="AI141" s="254" t="str">
        <f t="shared" si="396"/>
        <v xml:space="preserve"> </v>
      </c>
      <c r="AJ141" s="227" t="str">
        <f t="shared" si="426"/>
        <v xml:space="preserve"> </v>
      </c>
      <c r="AK141" s="228" t="str">
        <f t="shared" si="427"/>
        <v xml:space="preserve"> </v>
      </c>
      <c r="AL141" s="228" t="str">
        <f t="shared" si="427"/>
        <v xml:space="preserve"> </v>
      </c>
      <c r="AM141" s="228" t="str">
        <f t="shared" si="428"/>
        <v xml:space="preserve"> </v>
      </c>
      <c r="AN141" s="228" t="str">
        <f t="shared" si="429"/>
        <v xml:space="preserve"> </v>
      </c>
      <c r="AO141" s="228" t="str">
        <f t="shared" si="429"/>
        <v xml:space="preserve"> </v>
      </c>
      <c r="AP141" s="228" t="str">
        <f t="shared" si="430"/>
        <v xml:space="preserve"> </v>
      </c>
      <c r="AQ141" s="228" t="str">
        <f t="shared" si="431"/>
        <v xml:space="preserve"> </v>
      </c>
      <c r="AR141" s="229" t="str">
        <f t="shared" si="432"/>
        <v xml:space="preserve"> </v>
      </c>
      <c r="AS141" s="262" t="str">
        <f t="shared" si="274"/>
        <v xml:space="preserve"> </v>
      </c>
      <c r="AT141" s="263" t="str">
        <f t="shared" si="275"/>
        <v xml:space="preserve"> </v>
      </c>
      <c r="AU141" s="263" t="str">
        <f t="shared" si="275"/>
        <v xml:space="preserve"> </v>
      </c>
      <c r="AV141" s="263" t="str">
        <f t="shared" si="276"/>
        <v xml:space="preserve"> </v>
      </c>
      <c r="AW141" s="263" t="str">
        <f t="shared" si="277"/>
        <v xml:space="preserve"> </v>
      </c>
      <c r="AX141" s="263" t="str">
        <f t="shared" si="277"/>
        <v xml:space="preserve"> </v>
      </c>
      <c r="AY141" s="263" t="str">
        <f t="shared" si="278"/>
        <v xml:space="preserve"> </v>
      </c>
      <c r="AZ141" s="263" t="str">
        <f t="shared" si="279"/>
        <v xml:space="preserve"> </v>
      </c>
      <c r="BA141" s="263" t="str">
        <f t="shared" si="280"/>
        <v xml:space="preserve"> </v>
      </c>
      <c r="BB141" s="229"/>
      <c r="BC141" s="266" t="str">
        <f t="shared" si="419"/>
        <v xml:space="preserve"> </v>
      </c>
      <c r="BD141" s="269" t="str">
        <f t="shared" si="420"/>
        <v xml:space="preserve"> </v>
      </c>
      <c r="BE141" s="269" t="str">
        <f t="shared" si="420"/>
        <v xml:space="preserve"> </v>
      </c>
      <c r="BF141" s="269" t="str">
        <f t="shared" si="421"/>
        <v xml:space="preserve"> </v>
      </c>
      <c r="BG141" s="269" t="str">
        <f t="shared" si="422"/>
        <v xml:space="preserve"> </v>
      </c>
      <c r="BH141" s="269" t="str">
        <f t="shared" si="422"/>
        <v xml:space="preserve"> </v>
      </c>
      <c r="BI141" s="269" t="str">
        <f t="shared" si="423"/>
        <v xml:space="preserve"> </v>
      </c>
      <c r="BJ141" s="269" t="str">
        <f t="shared" si="424"/>
        <v xml:space="preserve"> </v>
      </c>
      <c r="BK141" s="269" t="str">
        <f t="shared" si="425"/>
        <v xml:space="preserve"> </v>
      </c>
      <c r="BL141" s="229"/>
      <c r="BM141" s="220" t="str">
        <f>IF($A141="N/A"," ",(IF(MONTH(A141)&gt;=4,IF(MONTH(A141)&lt;=10,Inputs!$F$13-Inputs!$G$13,Inputs!$F$14-Inputs!$G$14),Inputs!$F$14-Inputs!$G$14))*$CK141*Availability)</f>
        <v xml:space="preserve"> </v>
      </c>
      <c r="BN141" s="221" t="str">
        <f t="shared" si="397"/>
        <v xml:space="preserve"> </v>
      </c>
      <c r="BO141" s="221" t="str">
        <f t="shared" si="398"/>
        <v xml:space="preserve"> </v>
      </c>
      <c r="BP141" s="221" t="str">
        <f t="shared" si="399"/>
        <v xml:space="preserve"> </v>
      </c>
      <c r="BQ141" s="221" t="str">
        <f t="shared" si="400"/>
        <v xml:space="preserve"> </v>
      </c>
      <c r="BR141" s="221" t="str">
        <f t="shared" si="401"/>
        <v xml:space="preserve"> </v>
      </c>
      <c r="BS141" s="221" t="str">
        <f t="shared" si="402"/>
        <v xml:space="preserve"> </v>
      </c>
      <c r="BT141" s="221" t="str">
        <f t="shared" si="403"/>
        <v xml:space="preserve"> </v>
      </c>
      <c r="BU141" s="221" t="str">
        <f t="shared" si="404"/>
        <v xml:space="preserve"> </v>
      </c>
      <c r="BV141" s="221" t="str">
        <f t="shared" si="405"/>
        <v xml:space="preserve"> </v>
      </c>
      <c r="BW141" s="221" t="str">
        <f t="shared" si="406"/>
        <v xml:space="preserve"> </v>
      </c>
      <c r="BX141" s="421" t="str">
        <f t="shared" si="407"/>
        <v xml:space="preserve"> </v>
      </c>
      <c r="BY141" s="417" t="str">
        <f t="shared" si="408"/>
        <v xml:space="preserve"> </v>
      </c>
      <c r="BZ141" s="417" t="str">
        <f t="shared" si="409"/>
        <v xml:space="preserve"> </v>
      </c>
      <c r="CA141" s="422" t="str">
        <f t="shared" si="410"/>
        <v xml:space="preserve"> </v>
      </c>
      <c r="CB141" s="347" t="str">
        <f t="shared" si="354"/>
        <v xml:space="preserve"> </v>
      </c>
      <c r="CC141" s="347" t="str">
        <f t="shared" si="411"/>
        <v xml:space="preserve"> </v>
      </c>
      <c r="CD141" s="348" t="str">
        <f t="shared" si="355"/>
        <v xml:space="preserve"> </v>
      </c>
      <c r="CE141" s="347" t="str">
        <f t="shared" si="356"/>
        <v xml:space="preserve"> </v>
      </c>
      <c r="CF141" s="347" t="str">
        <f t="shared" si="357"/>
        <v xml:space="preserve"> </v>
      </c>
      <c r="CG141" s="348" t="str">
        <f t="shared" si="358"/>
        <v xml:space="preserve"> </v>
      </c>
      <c r="CH141" s="347" t="str">
        <f t="shared" si="412"/>
        <v xml:space="preserve"> </v>
      </c>
      <c r="CI141" s="349" t="str">
        <f>IF($A141="N/A"," ",F141+G141+(D141*('Pricing Inputs'!T174)))</f>
        <v xml:space="preserve"> </v>
      </c>
      <c r="CJ141" s="347" t="str">
        <f>IF($A141="N/A"," ",IF(PV=1,0,'Pricing Inputs'!U174))</f>
        <v xml:space="preserve"> </v>
      </c>
      <c r="CK141" s="350" t="str">
        <f t="shared" si="359"/>
        <v xml:space="preserve"> </v>
      </c>
      <c r="CL141" s="365" t="str">
        <f t="shared" si="360"/>
        <v xml:space="preserve"> </v>
      </c>
      <c r="CM141" s="380" t="str">
        <f t="shared" si="413"/>
        <v xml:space="preserve"> </v>
      </c>
      <c r="CN141" s="378" t="str">
        <f t="shared" si="361"/>
        <v xml:space="preserve"> </v>
      </c>
      <c r="CO141" s="378" t="str">
        <f t="shared" si="362"/>
        <v xml:space="preserve"> </v>
      </c>
      <c r="CP141" s="378" t="str">
        <f t="shared" si="363"/>
        <v xml:space="preserve"> </v>
      </c>
      <c r="CQ141" s="378" t="str">
        <f t="shared" si="364"/>
        <v xml:space="preserve"> </v>
      </c>
      <c r="CR141" s="378" t="str">
        <f t="shared" si="365"/>
        <v xml:space="preserve"> </v>
      </c>
      <c r="CS141" s="378" t="str">
        <f t="shared" si="366"/>
        <v xml:space="preserve"> </v>
      </c>
      <c r="CT141" s="378" t="str">
        <f t="shared" si="367"/>
        <v xml:space="preserve"> </v>
      </c>
      <c r="CU141" s="378" t="str">
        <f t="shared" si="368"/>
        <v xml:space="preserve"> </v>
      </c>
      <c r="CV141" s="378" t="str">
        <f t="shared" si="369"/>
        <v xml:space="preserve"> </v>
      </c>
      <c r="CW141" s="254" t="str">
        <f t="shared" si="370"/>
        <v xml:space="preserve"> </v>
      </c>
      <c r="CX141" s="254" t="str">
        <f t="shared" si="371"/>
        <v xml:space="preserve"> </v>
      </c>
      <c r="CY141" s="254" t="str">
        <f t="shared" si="372"/>
        <v xml:space="preserve"> </v>
      </c>
      <c r="CZ141" s="254" t="str">
        <f t="shared" si="373"/>
        <v xml:space="preserve"> </v>
      </c>
      <c r="DA141" s="254" t="str">
        <f t="shared" si="374"/>
        <v xml:space="preserve"> </v>
      </c>
      <c r="DB141" s="254" t="str">
        <f t="shared" si="375"/>
        <v xml:space="preserve"> </v>
      </c>
      <c r="DC141" s="254" t="str">
        <f t="shared" si="376"/>
        <v xml:space="preserve"> </v>
      </c>
      <c r="DD141" s="254" t="str">
        <f t="shared" si="377"/>
        <v xml:space="preserve"> </v>
      </c>
      <c r="DE141" s="254" t="str">
        <f t="shared" si="378"/>
        <v xml:space="preserve"> </v>
      </c>
      <c r="DF141" s="374" t="str">
        <f>IF($A141="N/A"," ",IF(CC=2,(IF(MONTH(A141)&gt;=4,IF(MONTH(A141)&lt;=10,Inputs!$G$13,Inputs!$G$14),Inputs!$G$14))*$CK141,0))</f>
        <v xml:space="preserve"> </v>
      </c>
      <c r="DG141" s="373" t="str">
        <f t="shared" si="379"/>
        <v xml:space="preserve"> </v>
      </c>
      <c r="DH141" s="373" t="str">
        <f t="shared" si="380"/>
        <v xml:space="preserve"> </v>
      </c>
      <c r="DI141" s="373" t="str">
        <f t="shared" si="381"/>
        <v xml:space="preserve"> </v>
      </c>
      <c r="DJ141" s="373" t="str">
        <f t="shared" si="382"/>
        <v xml:space="preserve"> </v>
      </c>
      <c r="DK141" s="373" t="str">
        <f t="shared" si="383"/>
        <v xml:space="preserve"> </v>
      </c>
      <c r="DL141" s="373" t="str">
        <f t="shared" si="384"/>
        <v xml:space="preserve"> </v>
      </c>
      <c r="DM141" s="373" t="str">
        <f t="shared" si="385"/>
        <v xml:space="preserve"> </v>
      </c>
      <c r="DN141" s="373" t="str">
        <f t="shared" si="386"/>
        <v xml:space="preserve"> </v>
      </c>
      <c r="DO141" s="373" t="str">
        <f t="shared" si="387"/>
        <v xml:space="preserve"> </v>
      </c>
      <c r="DP141" s="375" t="str">
        <f t="shared" si="388"/>
        <v xml:space="preserve"> </v>
      </c>
      <c r="DQ141" t="str">
        <f t="shared" si="414"/>
        <v xml:space="preserve"> </v>
      </c>
      <c r="HD141" t="str">
        <f t="shared" si="415"/>
        <v xml:space="preserve"> </v>
      </c>
      <c r="HE141" t="str">
        <f t="shared" si="416"/>
        <v xml:space="preserve"> </v>
      </c>
      <c r="HF141" t="str">
        <f t="shared" si="417"/>
        <v xml:space="preserve"> </v>
      </c>
    </row>
    <row r="142" spans="1:214">
      <c r="A142" s="415" t="str">
        <f>IF(A141="N/A","N/A",IF(EDATE(A141,1)&gt;Inputs!$K$3,"N/A",EDATE(A141,1)))</f>
        <v>N/A</v>
      </c>
      <c r="B142" s="410" t="str">
        <f t="shared" si="389"/>
        <v xml:space="preserve"> </v>
      </c>
      <c r="C142" s="411" t="str">
        <f t="shared" si="390"/>
        <v xml:space="preserve"> </v>
      </c>
      <c r="D142" s="412" t="str">
        <f t="shared" si="391"/>
        <v xml:space="preserve"> </v>
      </c>
      <c r="E142" s="413" t="str">
        <f>IF($A142="N/A"," ",(C142-'Pricing Inputs'!T175)*D142)</f>
        <v xml:space="preserve"> </v>
      </c>
      <c r="F142" s="414" t="str">
        <f t="shared" si="281"/>
        <v xml:space="preserve"> </v>
      </c>
      <c r="G142" s="414" t="str">
        <f t="shared" si="392"/>
        <v xml:space="preserve"> </v>
      </c>
      <c r="H142" s="416" t="str">
        <f t="shared" si="393"/>
        <v xml:space="preserve"> </v>
      </c>
      <c r="I142" s="213" t="str">
        <f t="shared" si="342"/>
        <v xml:space="preserve"> </v>
      </c>
      <c r="J142" s="213" t="str">
        <f t="shared" si="343"/>
        <v xml:space="preserve"> </v>
      </c>
      <c r="K142" s="213" t="str">
        <f t="shared" si="344"/>
        <v xml:space="preserve"> </v>
      </c>
      <c r="L142" s="213" t="str">
        <f t="shared" si="345"/>
        <v xml:space="preserve"> </v>
      </c>
      <c r="M142" s="213" t="str">
        <f t="shared" si="346"/>
        <v xml:space="preserve"> </v>
      </c>
      <c r="N142" s="213" t="str">
        <f t="shared" si="347"/>
        <v xml:space="preserve"> </v>
      </c>
      <c r="O142" s="213" t="str">
        <f t="shared" si="348"/>
        <v xml:space="preserve"> </v>
      </c>
      <c r="P142" s="213" t="str">
        <f t="shared" si="349"/>
        <v xml:space="preserve"> </v>
      </c>
      <c r="Q142" s="213" t="str">
        <f t="shared" si="350"/>
        <v xml:space="preserve"> </v>
      </c>
      <c r="R142" s="405" t="str">
        <f>IF($A142="N/A"," ",IF(Pricetype=2,MAX(I142-$H142,0),IF(Pricetype=1,(_xll.xSPRDOPT(I142,$E142,$CI142,0,($CD142+IF(Smile=TRUE,VLOOKUP(MAX(-5,$H142-I142),Volsmile,2),0)),$CG142,$CH142,($A142-DateToday)+15,1,0)),I142-$H142)))</f>
        <v xml:space="preserve"> </v>
      </c>
      <c r="S142" s="405" t="str">
        <f>IF($A142="N/A"," ",IF(Pricetype=2,MAX(J142-$H142,0),IF(Pricetype=1,(_xll.xSPRDOPT(J142,$E142,$CI142,0,($CD142+IF(Smile=TRUE,VLOOKUP(MAX(-5,$H142-J142),Volsmile,2),0)),$CG142,$CH142,($A142-DateToday)+15,1,0)),J142-$H142)))</f>
        <v xml:space="preserve"> </v>
      </c>
      <c r="T142" s="406" t="str">
        <f t="shared" si="351"/>
        <v xml:space="preserve"> </v>
      </c>
      <c r="U142" s="405" t="str">
        <f>IF($A142="N/A"," ",IF(Pricetype=2,MAX(L142-$H142,0),IF(L142&lt;&gt;0,IF(Pricetype=1,(_xll.xSPRDOPT(L142,$E142,$CI142,0,($CD142+IF(Smile=TRUE,VLOOKUP(MAX(-5,$H142-L142),Volsmile,2),0)),$CG142,$CH142,($A142-DateToday)+15,1,0)),L142-$H142),0)))</f>
        <v xml:space="preserve"> </v>
      </c>
      <c r="V142" s="405" t="str">
        <f>IF($A142="N/A"," ",IF(Pricetype=2,MAX(M142-$H142,0),IF(M142&lt;&gt;0,IF(Pricetype=1,(_xll.xSPRDOPT(M142,$E142,$CI142,0,($CD142+IF(Smile=TRUE,VLOOKUP(MAX(-5,$H142-M142),Volsmile,2),0)),$CG142,$CH142,($A142-DateToday)+15,1,0)),M142-$H142),0)))</f>
        <v xml:space="preserve"> </v>
      </c>
      <c r="W142" s="406" t="str">
        <f t="shared" si="352"/>
        <v xml:space="preserve"> </v>
      </c>
      <c r="X142" s="405" t="str">
        <f>IF($A142="N/A"," ",IF(Pricetype=2,MAX(O142-$H142,0),IF(O142&lt;&gt;0,IF(Pricetype=1,(_xll.xSPRDOPT(O142,$E142,$CI142,0,($CD142+IF(Smile=TRUE,VLOOKUP(MAX(-5,$H142-O142),Volsmile,2),0)),$CG142,$CH142,($A142-DateToday)+15,1,0)),O142-$H142),0)))</f>
        <v xml:space="preserve"> </v>
      </c>
      <c r="Y142" s="405" t="str">
        <f>IF($A142="N/A"," ",IF(Pricetype=2,MAX(P142-$H142,0),IF(P142&lt;&gt;0,IF(Pricetype=1,(_xll.xSPRDOPT(P142,$E142,$CI142,0,($CD142+IF(Smile=TRUE,VLOOKUP(MAX(-5,$H142-P142),Volsmile,2),0)),$CG142,$CH142,($A142-DateToday)+15,1,0)),P142-$H142),0)))</f>
        <v xml:space="preserve"> </v>
      </c>
      <c r="Z142" s="406" t="str">
        <f t="shared" si="353"/>
        <v xml:space="preserve"> </v>
      </c>
      <c r="AA142" s="254" t="str">
        <f>IF($A142="N/A"," ",IF(VLOOKUP(MONTH(A142),ManualTable,2)=1,(IF(0&lt;&gt;R142,IF(Pricetype=1,(_xll.xSPRDOPT(I142,$E142,$CI142,0,($CD142+IF(Smile=TRUE,VLOOKUP(MAX(-5,$H142-I142),Volsmile,2),0)),$CG142,$CH142,($A142-DateToday)+15,1,1))*(8*$HD142),8*$HD142),0)),0))</f>
        <v xml:space="preserve"> </v>
      </c>
      <c r="AB142" s="254" t="str">
        <f>IF($A142="N/A"," ",IF(VLOOKUP(MONTH(A142),ManualTable,3)=1,(IF(S142&lt;&gt;0,IF(Pricetype=1,(_xll.xSPRDOPT(J142,$E142,$CI142,0,($CD142+IF(Smile=TRUE,VLOOKUP(MAX(-5,$H142-J142),Volsmile,2),0)),$CG142,$CH142,($A142-DateToday)+15,1,1))*(8*$HD142),8*$HD142),0)),0))</f>
        <v xml:space="preserve"> </v>
      </c>
      <c r="AC142" s="254" t="str">
        <f t="shared" si="394"/>
        <v xml:space="preserve"> </v>
      </c>
      <c r="AD142" s="254" t="str">
        <f>IF($A142="N/A"," ",IF(VLOOKUP(MONTH(A142),ManualTable,5)=1,(IF(U142&lt;&gt;0,IF(Pricetype=1,(_xll.xSPRDOPT(L142,$E142,$CI142,0,($CD142+IF(Smile=TRUE,VLOOKUP(MAX(-5,$H142-L142),Volsmile,2),0)),$CG142,$CH142,($A142-DateToday)+15,1,1))*(8*$HE142),8*$HE142),0)),0))</f>
        <v xml:space="preserve"> </v>
      </c>
      <c r="AE142" s="254" t="str">
        <f>IF($A142="N/A"," ",IF(VLOOKUP(MONTH(A142),ManualTable,6)=1,(IF(V142&lt;&gt;0,IF(Pricetype=1,(_xll.xSPRDOPT(M142,$E142,$CI142,0,($CD142+IF(Smile=TRUE,VLOOKUP(MAX(-5,$H142-M142),Volsmile,2),0)),$CG142,$CH142,($A142-DateToday)+15,1,1))*(8*$HE142),8*$HE142),0)),0))</f>
        <v xml:space="preserve"> </v>
      </c>
      <c r="AF142" s="254" t="str">
        <f t="shared" si="395"/>
        <v xml:space="preserve"> </v>
      </c>
      <c r="AG142" s="254" t="str">
        <f>IF($A142="N/A"," ",IF(VLOOKUP(MONTH(A142),ManualTable,8)=1,(IF(X142&lt;&gt;0,IF(Pricetype=1,(_xll.xSPRDOPT(O142,$E142,$CI142,0,($CD142+IF(Smile=TRUE,VLOOKUP(MAX(-5,$H142-O142),Volsmile,2),0)),$CG142,$CH142,($A142-DateToday)+15,1,1))*(8*$HF142),8*$HF142),0)),0))</f>
        <v xml:space="preserve"> </v>
      </c>
      <c r="AH142" s="254" t="str">
        <f>IF($A142="N/A"," ",IF(VLOOKUP(MONTH(A142),ManualTable,9)=1,(IF(Y142&lt;&gt;0,IF(Pricetype=1,(_xll.xSPRDOPT(P142,$E142,$CI142,0,($CD142+IF(Smile=TRUE,VLOOKUP(MAX(-5,$H142-P142),Volsmile,2),0)),$CG142,$CH142,($A142-DateToday)+15,1,1))*(8*$HF142),8*$HF142),0)),0))</f>
        <v xml:space="preserve"> </v>
      </c>
      <c r="AI142" s="254" t="str">
        <f t="shared" si="396"/>
        <v xml:space="preserve"> </v>
      </c>
      <c r="AJ142" s="227" t="str">
        <f t="shared" si="426"/>
        <v xml:space="preserve"> </v>
      </c>
      <c r="AK142" s="228" t="str">
        <f t="shared" si="427"/>
        <v xml:space="preserve"> </v>
      </c>
      <c r="AL142" s="228" t="str">
        <f t="shared" si="427"/>
        <v xml:space="preserve"> </v>
      </c>
      <c r="AM142" s="228" t="str">
        <f t="shared" si="428"/>
        <v xml:space="preserve"> </v>
      </c>
      <c r="AN142" s="228" t="str">
        <f t="shared" si="429"/>
        <v xml:space="preserve"> </v>
      </c>
      <c r="AO142" s="228" t="str">
        <f t="shared" si="429"/>
        <v xml:space="preserve"> </v>
      </c>
      <c r="AP142" s="228" t="str">
        <f t="shared" si="430"/>
        <v xml:space="preserve"> </v>
      </c>
      <c r="AQ142" s="228" t="str">
        <f t="shared" si="431"/>
        <v xml:space="preserve"> </v>
      </c>
      <c r="AR142" s="229" t="str">
        <f t="shared" si="432"/>
        <v xml:space="preserve"> </v>
      </c>
      <c r="AS142" s="262" t="str">
        <f t="shared" si="274"/>
        <v xml:space="preserve"> </v>
      </c>
      <c r="AT142" s="263" t="str">
        <f t="shared" si="275"/>
        <v xml:space="preserve"> </v>
      </c>
      <c r="AU142" s="263" t="str">
        <f t="shared" si="275"/>
        <v xml:space="preserve"> </v>
      </c>
      <c r="AV142" s="263" t="str">
        <f t="shared" si="276"/>
        <v xml:space="preserve"> </v>
      </c>
      <c r="AW142" s="263" t="str">
        <f t="shared" si="277"/>
        <v xml:space="preserve"> </v>
      </c>
      <c r="AX142" s="263" t="str">
        <f t="shared" si="277"/>
        <v xml:space="preserve"> </v>
      </c>
      <c r="AY142" s="263" t="str">
        <f t="shared" si="278"/>
        <v xml:space="preserve"> </v>
      </c>
      <c r="AZ142" s="263" t="str">
        <f t="shared" si="279"/>
        <v xml:space="preserve"> </v>
      </c>
      <c r="BA142" s="263" t="str">
        <f t="shared" si="280"/>
        <v xml:space="preserve"> </v>
      </c>
      <c r="BB142" s="229"/>
      <c r="BC142" s="266" t="str">
        <f t="shared" si="419"/>
        <v xml:space="preserve"> </v>
      </c>
      <c r="BD142" s="269" t="str">
        <f t="shared" si="420"/>
        <v xml:space="preserve"> </v>
      </c>
      <c r="BE142" s="269" t="str">
        <f t="shared" si="420"/>
        <v xml:space="preserve"> </v>
      </c>
      <c r="BF142" s="269" t="str">
        <f t="shared" si="421"/>
        <v xml:space="preserve"> </v>
      </c>
      <c r="BG142" s="269" t="str">
        <f t="shared" si="422"/>
        <v xml:space="preserve"> </v>
      </c>
      <c r="BH142" s="269" t="str">
        <f t="shared" si="422"/>
        <v xml:space="preserve"> </v>
      </c>
      <c r="BI142" s="269" t="str">
        <f t="shared" si="423"/>
        <v xml:space="preserve"> </v>
      </c>
      <c r="BJ142" s="269" t="str">
        <f t="shared" si="424"/>
        <v xml:space="preserve"> </v>
      </c>
      <c r="BK142" s="269" t="str">
        <f t="shared" si="425"/>
        <v xml:space="preserve"> </v>
      </c>
      <c r="BL142" s="229"/>
      <c r="BM142" s="220" t="str">
        <f>IF($A142="N/A"," ",(IF(MONTH(A142)&gt;=4,IF(MONTH(A142)&lt;=10,Inputs!$F$13-Inputs!$G$13,Inputs!$F$14-Inputs!$G$14),Inputs!$F$14-Inputs!$G$14))*$CK142*Availability)</f>
        <v xml:space="preserve"> </v>
      </c>
      <c r="BN142" s="221" t="str">
        <f t="shared" si="397"/>
        <v xml:space="preserve"> </v>
      </c>
      <c r="BO142" s="221" t="str">
        <f t="shared" si="398"/>
        <v xml:space="preserve"> </v>
      </c>
      <c r="BP142" s="221" t="str">
        <f t="shared" si="399"/>
        <v xml:space="preserve"> </v>
      </c>
      <c r="BQ142" s="221" t="str">
        <f t="shared" si="400"/>
        <v xml:space="preserve"> </v>
      </c>
      <c r="BR142" s="221" t="str">
        <f t="shared" si="401"/>
        <v xml:space="preserve"> </v>
      </c>
      <c r="BS142" s="221" t="str">
        <f t="shared" si="402"/>
        <v xml:space="preserve"> </v>
      </c>
      <c r="BT142" s="221" t="str">
        <f t="shared" si="403"/>
        <v xml:space="preserve"> </v>
      </c>
      <c r="BU142" s="221" t="str">
        <f t="shared" si="404"/>
        <v xml:space="preserve"> </v>
      </c>
      <c r="BV142" s="221" t="str">
        <f t="shared" si="405"/>
        <v xml:space="preserve"> </v>
      </c>
      <c r="BW142" s="221" t="str">
        <f t="shared" si="406"/>
        <v xml:space="preserve"> </v>
      </c>
      <c r="BX142" s="421" t="str">
        <f t="shared" si="407"/>
        <v xml:space="preserve"> </v>
      </c>
      <c r="BY142" s="417" t="str">
        <f t="shared" si="408"/>
        <v xml:space="preserve"> </v>
      </c>
      <c r="BZ142" s="417" t="str">
        <f t="shared" si="409"/>
        <v xml:space="preserve"> </v>
      </c>
      <c r="CA142" s="422" t="str">
        <f t="shared" si="410"/>
        <v xml:space="preserve"> </v>
      </c>
      <c r="CB142" s="347" t="str">
        <f t="shared" si="354"/>
        <v xml:space="preserve"> </v>
      </c>
      <c r="CC142" s="347" t="str">
        <f t="shared" si="411"/>
        <v xml:space="preserve"> </v>
      </c>
      <c r="CD142" s="348" t="str">
        <f t="shared" si="355"/>
        <v xml:space="preserve"> </v>
      </c>
      <c r="CE142" s="347" t="str">
        <f t="shared" si="356"/>
        <v xml:space="preserve"> </v>
      </c>
      <c r="CF142" s="347" t="str">
        <f t="shared" si="357"/>
        <v xml:space="preserve"> </v>
      </c>
      <c r="CG142" s="348" t="str">
        <f t="shared" si="358"/>
        <v xml:space="preserve"> </v>
      </c>
      <c r="CH142" s="347" t="str">
        <f t="shared" si="412"/>
        <v xml:space="preserve"> </v>
      </c>
      <c r="CI142" s="349" t="str">
        <f>IF($A142="N/A"," ",F142+G142+(D142*('Pricing Inputs'!T175)))</f>
        <v xml:space="preserve"> </v>
      </c>
      <c r="CJ142" s="347" t="str">
        <f>IF($A142="N/A"," ",IF(PV=1,0,'Pricing Inputs'!U175))</f>
        <v xml:space="preserve"> </v>
      </c>
      <c r="CK142" s="350" t="str">
        <f t="shared" si="359"/>
        <v xml:space="preserve"> </v>
      </c>
      <c r="CL142" s="365" t="str">
        <f t="shared" si="360"/>
        <v xml:space="preserve"> </v>
      </c>
      <c r="CM142" s="380" t="str">
        <f t="shared" si="413"/>
        <v xml:space="preserve"> </v>
      </c>
      <c r="CN142" s="378" t="str">
        <f t="shared" si="361"/>
        <v xml:space="preserve"> </v>
      </c>
      <c r="CO142" s="378" t="str">
        <f t="shared" si="362"/>
        <v xml:space="preserve"> </v>
      </c>
      <c r="CP142" s="378" t="str">
        <f t="shared" si="363"/>
        <v xml:space="preserve"> </v>
      </c>
      <c r="CQ142" s="378" t="str">
        <f t="shared" si="364"/>
        <v xml:space="preserve"> </v>
      </c>
      <c r="CR142" s="378" t="str">
        <f t="shared" si="365"/>
        <v xml:space="preserve"> </v>
      </c>
      <c r="CS142" s="378" t="str">
        <f t="shared" si="366"/>
        <v xml:space="preserve"> </v>
      </c>
      <c r="CT142" s="378" t="str">
        <f t="shared" si="367"/>
        <v xml:space="preserve"> </v>
      </c>
      <c r="CU142" s="378" t="str">
        <f t="shared" si="368"/>
        <v xml:space="preserve"> </v>
      </c>
      <c r="CV142" s="378" t="str">
        <f t="shared" si="369"/>
        <v xml:space="preserve"> </v>
      </c>
      <c r="CW142" s="254" t="str">
        <f t="shared" si="370"/>
        <v xml:space="preserve"> </v>
      </c>
      <c r="CX142" s="254" t="str">
        <f t="shared" si="371"/>
        <v xml:space="preserve"> </v>
      </c>
      <c r="CY142" s="254" t="str">
        <f t="shared" si="372"/>
        <v xml:space="preserve"> </v>
      </c>
      <c r="CZ142" s="254" t="str">
        <f t="shared" si="373"/>
        <v xml:space="preserve"> </v>
      </c>
      <c r="DA142" s="254" t="str">
        <f t="shared" si="374"/>
        <v xml:space="preserve"> </v>
      </c>
      <c r="DB142" s="254" t="str">
        <f t="shared" si="375"/>
        <v xml:space="preserve"> </v>
      </c>
      <c r="DC142" s="254" t="str">
        <f t="shared" si="376"/>
        <v xml:space="preserve"> </v>
      </c>
      <c r="DD142" s="254" t="str">
        <f t="shared" si="377"/>
        <v xml:space="preserve"> </v>
      </c>
      <c r="DE142" s="254" t="str">
        <f t="shared" si="378"/>
        <v xml:space="preserve"> </v>
      </c>
      <c r="DF142" s="374" t="str">
        <f>IF($A142="N/A"," ",IF(CC=2,(IF(MONTH(A142)&gt;=4,IF(MONTH(A142)&lt;=10,Inputs!$G$13,Inputs!$G$14),Inputs!$G$14))*$CK142,0))</f>
        <v xml:space="preserve"> </v>
      </c>
      <c r="DG142" s="373" t="str">
        <f t="shared" si="379"/>
        <v xml:space="preserve"> </v>
      </c>
      <c r="DH142" s="373" t="str">
        <f t="shared" si="380"/>
        <v xml:space="preserve"> </v>
      </c>
      <c r="DI142" s="373" t="str">
        <f t="shared" si="381"/>
        <v xml:space="preserve"> </v>
      </c>
      <c r="DJ142" s="373" t="str">
        <f t="shared" si="382"/>
        <v xml:space="preserve"> </v>
      </c>
      <c r="DK142" s="373" t="str">
        <f t="shared" si="383"/>
        <v xml:space="preserve"> </v>
      </c>
      <c r="DL142" s="373" t="str">
        <f t="shared" si="384"/>
        <v xml:space="preserve"> </v>
      </c>
      <c r="DM142" s="373" t="str">
        <f t="shared" si="385"/>
        <v xml:space="preserve"> </v>
      </c>
      <c r="DN142" s="373" t="str">
        <f t="shared" si="386"/>
        <v xml:space="preserve"> </v>
      </c>
      <c r="DO142" s="373" t="str">
        <f t="shared" si="387"/>
        <v xml:space="preserve"> </v>
      </c>
      <c r="DP142" s="375" t="str">
        <f t="shared" si="388"/>
        <v xml:space="preserve"> </v>
      </c>
      <c r="DQ142" t="str">
        <f t="shared" si="414"/>
        <v xml:space="preserve"> </v>
      </c>
      <c r="HD142" t="str">
        <f t="shared" si="415"/>
        <v xml:space="preserve"> </v>
      </c>
      <c r="HE142" t="str">
        <f t="shared" si="416"/>
        <v xml:space="preserve"> </v>
      </c>
      <c r="HF142" t="str">
        <f t="shared" si="417"/>
        <v xml:space="preserve"> </v>
      </c>
    </row>
    <row r="143" spans="1:214">
      <c r="A143" s="415" t="str">
        <f>IF(A142="N/A","N/A",IF(EDATE(A142,1)&gt;Inputs!$K$3,"N/A",EDATE(A142,1)))</f>
        <v>N/A</v>
      </c>
      <c r="B143" s="410" t="str">
        <f t="shared" si="389"/>
        <v xml:space="preserve"> </v>
      </c>
      <c r="C143" s="411" t="str">
        <f t="shared" si="390"/>
        <v xml:space="preserve"> </v>
      </c>
      <c r="D143" s="412" t="str">
        <f t="shared" si="391"/>
        <v xml:space="preserve"> </v>
      </c>
      <c r="E143" s="413" t="str">
        <f>IF($A143="N/A"," ",(C143-'Pricing Inputs'!T176)*D143)</f>
        <v xml:space="preserve"> </v>
      </c>
      <c r="F143" s="414" t="str">
        <f t="shared" si="281"/>
        <v xml:space="preserve"> </v>
      </c>
      <c r="G143" s="414" t="str">
        <f t="shared" si="392"/>
        <v xml:space="preserve"> </v>
      </c>
      <c r="H143" s="416" t="str">
        <f t="shared" si="393"/>
        <v xml:space="preserve"> </v>
      </c>
      <c r="I143" s="213" t="str">
        <f t="shared" si="342"/>
        <v xml:space="preserve"> </v>
      </c>
      <c r="J143" s="213" t="str">
        <f t="shared" si="343"/>
        <v xml:space="preserve"> </v>
      </c>
      <c r="K143" s="213" t="str">
        <f t="shared" si="344"/>
        <v xml:space="preserve"> </v>
      </c>
      <c r="L143" s="213" t="str">
        <f t="shared" si="345"/>
        <v xml:space="preserve"> </v>
      </c>
      <c r="M143" s="213" t="str">
        <f t="shared" si="346"/>
        <v xml:space="preserve"> </v>
      </c>
      <c r="N143" s="213" t="str">
        <f t="shared" si="347"/>
        <v xml:space="preserve"> </v>
      </c>
      <c r="O143" s="213" t="str">
        <f t="shared" si="348"/>
        <v xml:space="preserve"> </v>
      </c>
      <c r="P143" s="213" t="str">
        <f t="shared" si="349"/>
        <v xml:space="preserve"> </v>
      </c>
      <c r="Q143" s="213" t="str">
        <f t="shared" si="350"/>
        <v xml:space="preserve"> </v>
      </c>
      <c r="R143" s="405" t="str">
        <f>IF($A143="N/A"," ",IF(Pricetype=2,MAX(I143-$H143,0),IF(Pricetype=1,(_xll.xSPRDOPT(I143,$E143,$CI143,0,($CD143+IF(Smile=TRUE,VLOOKUP(MAX(-5,$H143-I143),Volsmile,2),0)),$CG143,$CH143,($A143-DateToday)+15,1,0)),I143-$H143)))</f>
        <v xml:space="preserve"> </v>
      </c>
      <c r="S143" s="405" t="str">
        <f>IF($A143="N/A"," ",IF(Pricetype=2,MAX(J143-$H143,0),IF(Pricetype=1,(_xll.xSPRDOPT(J143,$E143,$CI143,0,($CD143+IF(Smile=TRUE,VLOOKUP(MAX(-5,$H143-J143),Volsmile,2),0)),$CG143,$CH143,($A143-DateToday)+15,1,0)),J143-$H143)))</f>
        <v xml:space="preserve"> </v>
      </c>
      <c r="T143" s="406" t="str">
        <f t="shared" si="351"/>
        <v xml:space="preserve"> </v>
      </c>
      <c r="U143" s="405" t="str">
        <f>IF($A143="N/A"," ",IF(Pricetype=2,MAX(L143-$H143,0),IF(L143&lt;&gt;0,IF(Pricetype=1,(_xll.xSPRDOPT(L143,$E143,$CI143,0,($CD143+IF(Smile=TRUE,VLOOKUP(MAX(-5,$H143-L143),Volsmile,2),0)),$CG143,$CH143,($A143-DateToday)+15,1,0)),L143-$H143),0)))</f>
        <v xml:space="preserve"> </v>
      </c>
      <c r="V143" s="405" t="str">
        <f>IF($A143="N/A"," ",IF(Pricetype=2,MAX(M143-$H143,0),IF(M143&lt;&gt;0,IF(Pricetype=1,(_xll.xSPRDOPT(M143,$E143,$CI143,0,($CD143+IF(Smile=TRUE,VLOOKUP(MAX(-5,$H143-M143),Volsmile,2),0)),$CG143,$CH143,($A143-DateToday)+15,1,0)),M143-$H143),0)))</f>
        <v xml:space="preserve"> </v>
      </c>
      <c r="W143" s="406" t="str">
        <f t="shared" si="352"/>
        <v xml:space="preserve"> </v>
      </c>
      <c r="X143" s="405" t="str">
        <f>IF($A143="N/A"," ",IF(Pricetype=2,MAX(O143-$H143,0),IF(O143&lt;&gt;0,IF(Pricetype=1,(_xll.xSPRDOPT(O143,$E143,$CI143,0,($CD143+IF(Smile=TRUE,VLOOKUP(MAX(-5,$H143-O143),Volsmile,2),0)),$CG143,$CH143,($A143-DateToday)+15,1,0)),O143-$H143),0)))</f>
        <v xml:space="preserve"> </v>
      </c>
      <c r="Y143" s="405" t="str">
        <f>IF($A143="N/A"," ",IF(Pricetype=2,MAX(P143-$H143,0),IF(P143&lt;&gt;0,IF(Pricetype=1,(_xll.xSPRDOPT(P143,$E143,$CI143,0,($CD143+IF(Smile=TRUE,VLOOKUP(MAX(-5,$H143-P143),Volsmile,2),0)),$CG143,$CH143,($A143-DateToday)+15,1,0)),P143-$H143),0)))</f>
        <v xml:space="preserve"> </v>
      </c>
      <c r="Z143" s="406" t="str">
        <f t="shared" si="353"/>
        <v xml:space="preserve"> </v>
      </c>
      <c r="AA143" s="254" t="str">
        <f>IF($A143="N/A"," ",IF(VLOOKUP(MONTH(A143),ManualTable,2)=1,(IF(0&lt;&gt;R143,IF(Pricetype=1,(_xll.xSPRDOPT(I143,$E143,$CI143,0,($CD143+IF(Smile=TRUE,VLOOKUP(MAX(-5,$H143-I143),Volsmile,2),0)),$CG143,$CH143,($A143-DateToday)+15,1,1))*(8*$HD143),8*$HD143),0)),0))</f>
        <v xml:space="preserve"> </v>
      </c>
      <c r="AB143" s="254" t="str">
        <f>IF($A143="N/A"," ",IF(VLOOKUP(MONTH(A143),ManualTable,3)=1,(IF(S143&lt;&gt;0,IF(Pricetype=1,(_xll.xSPRDOPT(J143,$E143,$CI143,0,($CD143+IF(Smile=TRUE,VLOOKUP(MAX(-5,$H143-J143),Volsmile,2),0)),$CG143,$CH143,($A143-DateToday)+15,1,1))*(8*$HD143),8*$HD143),0)),0))</f>
        <v xml:space="preserve"> </v>
      </c>
      <c r="AC143" s="254" t="str">
        <f t="shared" si="394"/>
        <v xml:space="preserve"> </v>
      </c>
      <c r="AD143" s="254" t="str">
        <f>IF($A143="N/A"," ",IF(VLOOKUP(MONTH(A143),ManualTable,5)=1,(IF(U143&lt;&gt;0,IF(Pricetype=1,(_xll.xSPRDOPT(L143,$E143,$CI143,0,($CD143+IF(Smile=TRUE,VLOOKUP(MAX(-5,$H143-L143),Volsmile,2),0)),$CG143,$CH143,($A143-DateToday)+15,1,1))*(8*$HE143),8*$HE143),0)),0))</f>
        <v xml:space="preserve"> </v>
      </c>
      <c r="AE143" s="254" t="str">
        <f>IF($A143="N/A"," ",IF(VLOOKUP(MONTH(A143),ManualTable,6)=1,(IF(V143&lt;&gt;0,IF(Pricetype=1,(_xll.xSPRDOPT(M143,$E143,$CI143,0,($CD143+IF(Smile=TRUE,VLOOKUP(MAX(-5,$H143-M143),Volsmile,2),0)),$CG143,$CH143,($A143-DateToday)+15,1,1))*(8*$HE143),8*$HE143),0)),0))</f>
        <v xml:space="preserve"> </v>
      </c>
      <c r="AF143" s="254" t="str">
        <f t="shared" si="395"/>
        <v xml:space="preserve"> </v>
      </c>
      <c r="AG143" s="254" t="str">
        <f>IF($A143="N/A"," ",IF(VLOOKUP(MONTH(A143),ManualTable,8)=1,(IF(X143&lt;&gt;0,IF(Pricetype=1,(_xll.xSPRDOPT(O143,$E143,$CI143,0,($CD143+IF(Smile=TRUE,VLOOKUP(MAX(-5,$H143-O143),Volsmile,2),0)),$CG143,$CH143,($A143-DateToday)+15,1,1))*(8*$HF143),8*$HF143),0)),0))</f>
        <v xml:space="preserve"> </v>
      </c>
      <c r="AH143" s="254" t="str">
        <f>IF($A143="N/A"," ",IF(VLOOKUP(MONTH(A143),ManualTable,9)=1,(IF(Y143&lt;&gt;0,IF(Pricetype=1,(_xll.xSPRDOPT(P143,$E143,$CI143,0,($CD143+IF(Smile=TRUE,VLOOKUP(MAX(-5,$H143-P143),Volsmile,2),0)),$CG143,$CH143,($A143-DateToday)+15,1,1))*(8*$HF143),8*$HF143),0)),0))</f>
        <v xml:space="preserve"> </v>
      </c>
      <c r="AI143" s="254" t="str">
        <f t="shared" si="396"/>
        <v xml:space="preserve"> </v>
      </c>
      <c r="AJ143" s="227" t="str">
        <f t="shared" si="426"/>
        <v xml:space="preserve"> </v>
      </c>
      <c r="AK143" s="228" t="str">
        <f t="shared" si="427"/>
        <v xml:space="preserve"> </v>
      </c>
      <c r="AL143" s="228" t="str">
        <f t="shared" si="427"/>
        <v xml:space="preserve"> </v>
      </c>
      <c r="AM143" s="228" t="str">
        <f t="shared" si="428"/>
        <v xml:space="preserve"> </v>
      </c>
      <c r="AN143" s="228" t="str">
        <f t="shared" si="429"/>
        <v xml:space="preserve"> </v>
      </c>
      <c r="AO143" s="228" t="str">
        <f t="shared" si="429"/>
        <v xml:space="preserve"> </v>
      </c>
      <c r="AP143" s="228" t="str">
        <f t="shared" si="430"/>
        <v xml:space="preserve"> </v>
      </c>
      <c r="AQ143" s="228" t="str">
        <f t="shared" si="431"/>
        <v xml:space="preserve"> </v>
      </c>
      <c r="AR143" s="229" t="str">
        <f t="shared" si="432"/>
        <v xml:space="preserve"> </v>
      </c>
      <c r="AS143" s="262" t="str">
        <f t="shared" si="274"/>
        <v xml:space="preserve"> </v>
      </c>
      <c r="AT143" s="263" t="str">
        <f t="shared" si="275"/>
        <v xml:space="preserve"> </v>
      </c>
      <c r="AU143" s="263" t="str">
        <f t="shared" si="275"/>
        <v xml:space="preserve"> </v>
      </c>
      <c r="AV143" s="263" t="str">
        <f t="shared" si="276"/>
        <v xml:space="preserve"> </v>
      </c>
      <c r="AW143" s="263" t="str">
        <f t="shared" si="277"/>
        <v xml:space="preserve"> </v>
      </c>
      <c r="AX143" s="263" t="str">
        <f t="shared" si="277"/>
        <v xml:space="preserve"> </v>
      </c>
      <c r="AY143" s="263" t="str">
        <f t="shared" si="278"/>
        <v xml:space="preserve"> </v>
      </c>
      <c r="AZ143" s="263" t="str">
        <f t="shared" si="279"/>
        <v xml:space="preserve"> </v>
      </c>
      <c r="BA143" s="263" t="str">
        <f t="shared" si="280"/>
        <v xml:space="preserve"> </v>
      </c>
      <c r="BB143" s="229"/>
      <c r="BC143" s="266" t="str">
        <f t="shared" si="419"/>
        <v xml:space="preserve"> </v>
      </c>
      <c r="BD143" s="269" t="str">
        <f t="shared" si="420"/>
        <v xml:space="preserve"> </v>
      </c>
      <c r="BE143" s="269" t="str">
        <f t="shared" si="420"/>
        <v xml:space="preserve"> </v>
      </c>
      <c r="BF143" s="269" t="str">
        <f t="shared" si="421"/>
        <v xml:space="preserve"> </v>
      </c>
      <c r="BG143" s="269" t="str">
        <f t="shared" si="422"/>
        <v xml:space="preserve"> </v>
      </c>
      <c r="BH143" s="269" t="str">
        <f t="shared" si="422"/>
        <v xml:space="preserve"> </v>
      </c>
      <c r="BI143" s="269" t="str">
        <f t="shared" si="423"/>
        <v xml:space="preserve"> </v>
      </c>
      <c r="BJ143" s="269" t="str">
        <f t="shared" si="424"/>
        <v xml:space="preserve"> </v>
      </c>
      <c r="BK143" s="269" t="str">
        <f t="shared" si="425"/>
        <v xml:space="preserve"> </v>
      </c>
      <c r="BL143" s="229"/>
      <c r="BM143" s="220" t="str">
        <f>IF($A143="N/A"," ",(IF(MONTH(A143)&gt;=4,IF(MONTH(A143)&lt;=10,Inputs!$F$13-Inputs!$G$13,Inputs!$F$14-Inputs!$G$14),Inputs!$F$14-Inputs!$G$14))*$CK143*Availability)</f>
        <v xml:space="preserve"> </v>
      </c>
      <c r="BN143" s="221" t="str">
        <f t="shared" si="397"/>
        <v xml:space="preserve"> </v>
      </c>
      <c r="BO143" s="221" t="str">
        <f t="shared" si="398"/>
        <v xml:space="preserve"> </v>
      </c>
      <c r="BP143" s="221" t="str">
        <f t="shared" si="399"/>
        <v xml:space="preserve"> </v>
      </c>
      <c r="BQ143" s="221" t="str">
        <f t="shared" si="400"/>
        <v xml:space="preserve"> </v>
      </c>
      <c r="BR143" s="221" t="str">
        <f t="shared" si="401"/>
        <v xml:space="preserve"> </v>
      </c>
      <c r="BS143" s="221" t="str">
        <f t="shared" si="402"/>
        <v xml:space="preserve"> </v>
      </c>
      <c r="BT143" s="221" t="str">
        <f t="shared" si="403"/>
        <v xml:space="preserve"> </v>
      </c>
      <c r="BU143" s="221" t="str">
        <f t="shared" si="404"/>
        <v xml:space="preserve"> </v>
      </c>
      <c r="BV143" s="221" t="str">
        <f t="shared" si="405"/>
        <v xml:space="preserve"> </v>
      </c>
      <c r="BW143" s="221" t="str">
        <f t="shared" si="406"/>
        <v xml:space="preserve"> </v>
      </c>
      <c r="BX143" s="421" t="str">
        <f t="shared" si="407"/>
        <v xml:space="preserve"> </v>
      </c>
      <c r="BY143" s="417" t="str">
        <f t="shared" si="408"/>
        <v xml:space="preserve"> </v>
      </c>
      <c r="BZ143" s="417" t="str">
        <f t="shared" si="409"/>
        <v xml:space="preserve"> </v>
      </c>
      <c r="CA143" s="422" t="str">
        <f t="shared" si="410"/>
        <v xml:space="preserve"> </v>
      </c>
      <c r="CB143" s="347" t="str">
        <f t="shared" si="354"/>
        <v xml:space="preserve"> </v>
      </c>
      <c r="CC143" s="347" t="str">
        <f t="shared" si="411"/>
        <v xml:space="preserve"> </v>
      </c>
      <c r="CD143" s="348" t="str">
        <f t="shared" si="355"/>
        <v xml:space="preserve"> </v>
      </c>
      <c r="CE143" s="347" t="str">
        <f t="shared" si="356"/>
        <v xml:space="preserve"> </v>
      </c>
      <c r="CF143" s="347" t="str">
        <f t="shared" si="357"/>
        <v xml:space="preserve"> </v>
      </c>
      <c r="CG143" s="348" t="str">
        <f t="shared" si="358"/>
        <v xml:space="preserve"> </v>
      </c>
      <c r="CH143" s="347" t="str">
        <f t="shared" si="412"/>
        <v xml:space="preserve"> </v>
      </c>
      <c r="CI143" s="349" t="str">
        <f>IF($A143="N/A"," ",F143+G143+(D143*('Pricing Inputs'!T176)))</f>
        <v xml:space="preserve"> </v>
      </c>
      <c r="CJ143" s="347" t="str">
        <f>IF($A143="N/A"," ",IF(PV=1,0,'Pricing Inputs'!U176))</f>
        <v xml:space="preserve"> </v>
      </c>
      <c r="CK143" s="350" t="str">
        <f t="shared" si="359"/>
        <v xml:space="preserve"> </v>
      </c>
      <c r="CL143" s="365" t="str">
        <f t="shared" si="360"/>
        <v xml:space="preserve"> </v>
      </c>
      <c r="CM143" s="380" t="str">
        <f t="shared" si="413"/>
        <v xml:space="preserve"> </v>
      </c>
      <c r="CN143" s="378" t="str">
        <f t="shared" si="361"/>
        <v xml:space="preserve"> </v>
      </c>
      <c r="CO143" s="378" t="str">
        <f t="shared" si="362"/>
        <v xml:space="preserve"> </v>
      </c>
      <c r="CP143" s="378" t="str">
        <f t="shared" si="363"/>
        <v xml:space="preserve"> </v>
      </c>
      <c r="CQ143" s="378" t="str">
        <f t="shared" si="364"/>
        <v xml:space="preserve"> </v>
      </c>
      <c r="CR143" s="378" t="str">
        <f t="shared" si="365"/>
        <v xml:space="preserve"> </v>
      </c>
      <c r="CS143" s="378" t="str">
        <f t="shared" si="366"/>
        <v xml:space="preserve"> </v>
      </c>
      <c r="CT143" s="378" t="str">
        <f t="shared" si="367"/>
        <v xml:space="preserve"> </v>
      </c>
      <c r="CU143" s="378" t="str">
        <f t="shared" si="368"/>
        <v xml:space="preserve"> </v>
      </c>
      <c r="CV143" s="378" t="str">
        <f t="shared" si="369"/>
        <v xml:space="preserve"> </v>
      </c>
      <c r="CW143" s="254" t="str">
        <f t="shared" si="370"/>
        <v xml:space="preserve"> </v>
      </c>
      <c r="CX143" s="254" t="str">
        <f t="shared" si="371"/>
        <v xml:space="preserve"> </v>
      </c>
      <c r="CY143" s="254" t="str">
        <f t="shared" si="372"/>
        <v xml:space="preserve"> </v>
      </c>
      <c r="CZ143" s="254" t="str">
        <f t="shared" si="373"/>
        <v xml:space="preserve"> </v>
      </c>
      <c r="DA143" s="254" t="str">
        <f t="shared" si="374"/>
        <v xml:space="preserve"> </v>
      </c>
      <c r="DB143" s="254" t="str">
        <f t="shared" si="375"/>
        <v xml:space="preserve"> </v>
      </c>
      <c r="DC143" s="254" t="str">
        <f t="shared" si="376"/>
        <v xml:space="preserve"> </v>
      </c>
      <c r="DD143" s="254" t="str">
        <f t="shared" si="377"/>
        <v xml:space="preserve"> </v>
      </c>
      <c r="DE143" s="254" t="str">
        <f t="shared" si="378"/>
        <v xml:space="preserve"> </v>
      </c>
      <c r="DF143" s="374" t="str">
        <f>IF($A143="N/A"," ",IF(CC=2,(IF(MONTH(A143)&gt;=4,IF(MONTH(A143)&lt;=10,Inputs!$G$13,Inputs!$G$14),Inputs!$G$14))*$CK143,0))</f>
        <v xml:space="preserve"> </v>
      </c>
      <c r="DG143" s="373" t="str">
        <f t="shared" si="379"/>
        <v xml:space="preserve"> </v>
      </c>
      <c r="DH143" s="373" t="str">
        <f t="shared" si="380"/>
        <v xml:space="preserve"> </v>
      </c>
      <c r="DI143" s="373" t="str">
        <f t="shared" si="381"/>
        <v xml:space="preserve"> </v>
      </c>
      <c r="DJ143" s="373" t="str">
        <f t="shared" si="382"/>
        <v xml:space="preserve"> </v>
      </c>
      <c r="DK143" s="373" t="str">
        <f t="shared" si="383"/>
        <v xml:space="preserve"> </v>
      </c>
      <c r="DL143" s="373" t="str">
        <f t="shared" si="384"/>
        <v xml:space="preserve"> </v>
      </c>
      <c r="DM143" s="373" t="str">
        <f t="shared" si="385"/>
        <v xml:space="preserve"> </v>
      </c>
      <c r="DN143" s="373" t="str">
        <f t="shared" si="386"/>
        <v xml:space="preserve"> </v>
      </c>
      <c r="DO143" s="373" t="str">
        <f t="shared" si="387"/>
        <v xml:space="preserve"> </v>
      </c>
      <c r="DP143" s="375" t="str">
        <f t="shared" si="388"/>
        <v xml:space="preserve"> </v>
      </c>
      <c r="DQ143" t="str">
        <f t="shared" si="414"/>
        <v xml:space="preserve"> </v>
      </c>
      <c r="HD143" t="str">
        <f t="shared" si="415"/>
        <v xml:space="preserve"> </v>
      </c>
      <c r="HE143" t="str">
        <f t="shared" si="416"/>
        <v xml:space="preserve"> </v>
      </c>
      <c r="HF143" t="str">
        <f t="shared" si="417"/>
        <v xml:space="preserve"> </v>
      </c>
    </row>
    <row r="144" spans="1:214">
      <c r="A144" s="415" t="str">
        <f>IF(A143="N/A","N/A",IF(EDATE(A143,1)&gt;Inputs!$K$3,"N/A",EDATE(A143,1)))</f>
        <v>N/A</v>
      </c>
      <c r="B144" s="410" t="str">
        <f t="shared" si="389"/>
        <v xml:space="preserve"> </v>
      </c>
      <c r="C144" s="411" t="str">
        <f t="shared" si="390"/>
        <v xml:space="preserve"> </v>
      </c>
      <c r="D144" s="412" t="str">
        <f t="shared" si="391"/>
        <v xml:space="preserve"> </v>
      </c>
      <c r="E144" s="413" t="str">
        <f>IF($A144="N/A"," ",(C144-'Pricing Inputs'!T177)*D144)</f>
        <v xml:space="preserve"> </v>
      </c>
      <c r="F144" s="414" t="str">
        <f t="shared" si="281"/>
        <v xml:space="preserve"> </v>
      </c>
      <c r="G144" s="414" t="str">
        <f t="shared" si="392"/>
        <v xml:space="preserve"> </v>
      </c>
      <c r="H144" s="416" t="str">
        <f t="shared" si="393"/>
        <v xml:space="preserve"> </v>
      </c>
      <c r="I144" s="213" t="str">
        <f t="shared" si="342"/>
        <v xml:space="preserve"> </v>
      </c>
      <c r="J144" s="213" t="str">
        <f t="shared" si="343"/>
        <v xml:space="preserve"> </v>
      </c>
      <c r="K144" s="213" t="str">
        <f t="shared" si="344"/>
        <v xml:space="preserve"> </v>
      </c>
      <c r="L144" s="213" t="str">
        <f t="shared" si="345"/>
        <v xml:space="preserve"> </v>
      </c>
      <c r="M144" s="213" t="str">
        <f t="shared" si="346"/>
        <v xml:space="preserve"> </v>
      </c>
      <c r="N144" s="213" t="str">
        <f t="shared" si="347"/>
        <v xml:space="preserve"> </v>
      </c>
      <c r="O144" s="213" t="str">
        <f t="shared" si="348"/>
        <v xml:space="preserve"> </v>
      </c>
      <c r="P144" s="213" t="str">
        <f t="shared" si="349"/>
        <v xml:space="preserve"> </v>
      </c>
      <c r="Q144" s="213" t="str">
        <f t="shared" si="350"/>
        <v xml:space="preserve"> </v>
      </c>
      <c r="R144" s="405" t="str">
        <f>IF($A144="N/A"," ",IF(Pricetype=2,MAX(I144-$H144,0),IF(Pricetype=1,(_xll.xSPRDOPT(I144,$E144,$CI144,0,($CD144+IF(Smile=TRUE,VLOOKUP(MAX(-5,$H144-I144),Volsmile,2),0)),$CG144,$CH144,($A144-DateToday)+15,1,0)),I144-$H144)))</f>
        <v xml:space="preserve"> </v>
      </c>
      <c r="S144" s="405" t="str">
        <f>IF($A144="N/A"," ",IF(Pricetype=2,MAX(J144-$H144,0),IF(Pricetype=1,(_xll.xSPRDOPT(J144,$E144,$CI144,0,($CD144+IF(Smile=TRUE,VLOOKUP(MAX(-5,$H144-J144),Volsmile,2),0)),$CG144,$CH144,($A144-DateToday)+15,1,0)),J144-$H144)))</f>
        <v xml:space="preserve"> </v>
      </c>
      <c r="T144" s="406" t="str">
        <f t="shared" si="351"/>
        <v xml:space="preserve"> </v>
      </c>
      <c r="U144" s="405" t="str">
        <f>IF($A144="N/A"," ",IF(Pricetype=2,MAX(L144-$H144,0),IF(L144&lt;&gt;0,IF(Pricetype=1,(_xll.xSPRDOPT(L144,$E144,$CI144,0,($CD144+IF(Smile=TRUE,VLOOKUP(MAX(-5,$H144-L144),Volsmile,2),0)),$CG144,$CH144,($A144-DateToday)+15,1,0)),L144-$H144),0)))</f>
        <v xml:space="preserve"> </v>
      </c>
      <c r="V144" s="405" t="str">
        <f>IF($A144="N/A"," ",IF(Pricetype=2,MAX(M144-$H144,0),IF(M144&lt;&gt;0,IF(Pricetype=1,(_xll.xSPRDOPT(M144,$E144,$CI144,0,($CD144+IF(Smile=TRUE,VLOOKUP(MAX(-5,$H144-M144),Volsmile,2),0)),$CG144,$CH144,($A144-DateToday)+15,1,0)),M144-$H144),0)))</f>
        <v xml:space="preserve"> </v>
      </c>
      <c r="W144" s="406" t="str">
        <f t="shared" si="352"/>
        <v xml:space="preserve"> </v>
      </c>
      <c r="X144" s="405" t="str">
        <f>IF($A144="N/A"," ",IF(Pricetype=2,MAX(O144-$H144,0),IF(O144&lt;&gt;0,IF(Pricetype=1,(_xll.xSPRDOPT(O144,$E144,$CI144,0,($CD144+IF(Smile=TRUE,VLOOKUP(MAX(-5,$H144-O144),Volsmile,2),0)),$CG144,$CH144,($A144-DateToday)+15,1,0)),O144-$H144),0)))</f>
        <v xml:space="preserve"> </v>
      </c>
      <c r="Y144" s="405" t="str">
        <f>IF($A144="N/A"," ",IF(Pricetype=2,MAX(P144-$H144,0),IF(P144&lt;&gt;0,IF(Pricetype=1,(_xll.xSPRDOPT(P144,$E144,$CI144,0,($CD144+IF(Smile=TRUE,VLOOKUP(MAX(-5,$H144-P144),Volsmile,2),0)),$CG144,$CH144,($A144-DateToday)+15,1,0)),P144-$H144),0)))</f>
        <v xml:space="preserve"> </v>
      </c>
      <c r="Z144" s="406" t="str">
        <f t="shared" si="353"/>
        <v xml:space="preserve"> </v>
      </c>
      <c r="AA144" s="254" t="str">
        <f>IF($A144="N/A"," ",IF(VLOOKUP(MONTH(A144),ManualTable,2)=1,(IF(0&lt;&gt;R144,IF(Pricetype=1,(_xll.xSPRDOPT(I144,$E144,$CI144,0,($CD144+IF(Smile=TRUE,VLOOKUP(MAX(-5,$H144-I144),Volsmile,2),0)),$CG144,$CH144,($A144-DateToday)+15,1,1))*(8*$HD144),8*$HD144),0)),0))</f>
        <v xml:space="preserve"> </v>
      </c>
      <c r="AB144" s="254" t="str">
        <f>IF($A144="N/A"," ",IF(VLOOKUP(MONTH(A144),ManualTable,3)=1,(IF(S144&lt;&gt;0,IF(Pricetype=1,(_xll.xSPRDOPT(J144,$E144,$CI144,0,($CD144+IF(Smile=TRUE,VLOOKUP(MAX(-5,$H144-J144),Volsmile,2),0)),$CG144,$CH144,($A144-DateToday)+15,1,1))*(8*$HD144),8*$HD144),0)),0))</f>
        <v xml:space="preserve"> </v>
      </c>
      <c r="AC144" s="254" t="str">
        <f t="shared" si="394"/>
        <v xml:space="preserve"> </v>
      </c>
      <c r="AD144" s="254" t="str">
        <f>IF($A144="N/A"," ",IF(VLOOKUP(MONTH(A144),ManualTable,5)=1,(IF(U144&lt;&gt;0,IF(Pricetype=1,(_xll.xSPRDOPT(L144,$E144,$CI144,0,($CD144+IF(Smile=TRUE,VLOOKUP(MAX(-5,$H144-L144),Volsmile,2),0)),$CG144,$CH144,($A144-DateToday)+15,1,1))*(8*$HE144),8*$HE144),0)),0))</f>
        <v xml:space="preserve"> </v>
      </c>
      <c r="AE144" s="254" t="str">
        <f>IF($A144="N/A"," ",IF(VLOOKUP(MONTH(A144),ManualTable,6)=1,(IF(V144&lt;&gt;0,IF(Pricetype=1,(_xll.xSPRDOPT(M144,$E144,$CI144,0,($CD144+IF(Smile=TRUE,VLOOKUP(MAX(-5,$H144-M144),Volsmile,2),0)),$CG144,$CH144,($A144-DateToday)+15,1,1))*(8*$HE144),8*$HE144),0)),0))</f>
        <v xml:space="preserve"> </v>
      </c>
      <c r="AF144" s="254" t="str">
        <f t="shared" si="395"/>
        <v xml:space="preserve"> </v>
      </c>
      <c r="AG144" s="254" t="str">
        <f>IF($A144="N/A"," ",IF(VLOOKUP(MONTH(A144),ManualTable,8)=1,(IF(X144&lt;&gt;0,IF(Pricetype=1,(_xll.xSPRDOPT(O144,$E144,$CI144,0,($CD144+IF(Smile=TRUE,VLOOKUP(MAX(-5,$H144-O144),Volsmile,2),0)),$CG144,$CH144,($A144-DateToday)+15,1,1))*(8*$HF144),8*$HF144),0)),0))</f>
        <v xml:space="preserve"> </v>
      </c>
      <c r="AH144" s="254" t="str">
        <f>IF($A144="N/A"," ",IF(VLOOKUP(MONTH(A144),ManualTable,9)=1,(IF(Y144&lt;&gt;0,IF(Pricetype=1,(_xll.xSPRDOPT(P144,$E144,$CI144,0,($CD144+IF(Smile=TRUE,VLOOKUP(MAX(-5,$H144-P144),Volsmile,2),0)),$CG144,$CH144,($A144-DateToday)+15,1,1))*(8*$HF144),8*$HF144),0)),0))</f>
        <v xml:space="preserve"> </v>
      </c>
      <c r="AI144" s="254" t="str">
        <f t="shared" si="396"/>
        <v xml:space="preserve"> </v>
      </c>
      <c r="AJ144" s="227" t="str">
        <f t="shared" si="426"/>
        <v xml:space="preserve"> </v>
      </c>
      <c r="AK144" s="228" t="str">
        <f t="shared" si="427"/>
        <v xml:space="preserve"> </v>
      </c>
      <c r="AL144" s="228" t="str">
        <f t="shared" si="427"/>
        <v xml:space="preserve"> </v>
      </c>
      <c r="AM144" s="228" t="str">
        <f t="shared" si="428"/>
        <v xml:space="preserve"> </v>
      </c>
      <c r="AN144" s="228" t="str">
        <f t="shared" si="429"/>
        <v xml:space="preserve"> </v>
      </c>
      <c r="AO144" s="228" t="str">
        <f t="shared" si="429"/>
        <v xml:space="preserve"> </v>
      </c>
      <c r="AP144" s="228" t="str">
        <f t="shared" si="430"/>
        <v xml:space="preserve"> </v>
      </c>
      <c r="AQ144" s="228" t="str">
        <f t="shared" si="431"/>
        <v xml:space="preserve"> </v>
      </c>
      <c r="AR144" s="229" t="str">
        <f t="shared" si="432"/>
        <v xml:space="preserve"> </v>
      </c>
      <c r="AS144" s="262" t="str">
        <f t="shared" ref="AS144:AS207" si="433">IF($A144="N/A"," ",IF(AJ144&lt;=$AR$2,AA144,0))</f>
        <v xml:space="preserve"> </v>
      </c>
      <c r="AT144" s="263" t="str">
        <f t="shared" ref="AT144:AU207" si="434">IF($A144="N/A"," ",IF(AK144&lt;=$AR$2,AB144,0))</f>
        <v xml:space="preserve"> </v>
      </c>
      <c r="AU144" s="263" t="str">
        <f t="shared" si="434"/>
        <v xml:space="preserve"> </v>
      </c>
      <c r="AV144" s="263" t="str">
        <f t="shared" ref="AV144:AV207" si="435">IF($A144="N/A"," ",IF(AM144&lt;=$AR$2,AD144,0))</f>
        <v xml:space="preserve"> </v>
      </c>
      <c r="AW144" s="263" t="str">
        <f t="shared" ref="AW144:AX207" si="436">IF($A144="N/A"," ",IF(AN144&lt;=$AR$2,AE144,0))</f>
        <v xml:space="preserve"> </v>
      </c>
      <c r="AX144" s="263" t="str">
        <f t="shared" si="436"/>
        <v xml:space="preserve"> </v>
      </c>
      <c r="AY144" s="263" t="str">
        <f t="shared" ref="AY144:AY207" si="437">IF($A144="N/A"," ",IF(AP144&lt;=$AR$2,AG144,0))</f>
        <v xml:space="preserve"> </v>
      </c>
      <c r="AZ144" s="263" t="str">
        <f t="shared" ref="AZ144:AZ207" si="438">IF($A144="N/A"," ",IF(AQ144&lt;=$AR$2,AH144,0))</f>
        <v xml:space="preserve"> </v>
      </c>
      <c r="BA144" s="263" t="str">
        <f t="shared" ref="BA144:BA207" si="439">IF($A144="N/A"," ",IF(AR144&lt;=$AR$2,AI144,0))</f>
        <v xml:space="preserve"> </v>
      </c>
      <c r="BB144" s="229"/>
      <c r="BC144" s="266" t="str">
        <f t="shared" si="419"/>
        <v xml:space="preserve"> </v>
      </c>
      <c r="BD144" s="269" t="str">
        <f t="shared" si="420"/>
        <v xml:space="preserve"> </v>
      </c>
      <c r="BE144" s="269" t="str">
        <f t="shared" si="420"/>
        <v xml:space="preserve"> </v>
      </c>
      <c r="BF144" s="269" t="str">
        <f t="shared" si="421"/>
        <v xml:space="preserve"> </v>
      </c>
      <c r="BG144" s="269" t="str">
        <f t="shared" si="422"/>
        <v xml:space="preserve"> </v>
      </c>
      <c r="BH144" s="269" t="str">
        <f t="shared" si="422"/>
        <v xml:space="preserve"> </v>
      </c>
      <c r="BI144" s="269" t="str">
        <f t="shared" si="423"/>
        <v xml:space="preserve"> </v>
      </c>
      <c r="BJ144" s="269" t="str">
        <f t="shared" si="424"/>
        <v xml:space="preserve"> </v>
      </c>
      <c r="BK144" s="269" t="str">
        <f t="shared" si="425"/>
        <v xml:space="preserve"> </v>
      </c>
      <c r="BL144" s="229"/>
      <c r="BM144" s="220" t="str">
        <f>IF($A144="N/A"," ",(IF(MONTH(A144)&gt;=4,IF(MONTH(A144)&lt;=10,Inputs!$F$13-Inputs!$G$13,Inputs!$F$14-Inputs!$G$14),Inputs!$F$14-Inputs!$G$14))*$CK144*Availability)</f>
        <v xml:space="preserve"> </v>
      </c>
      <c r="BN144" s="221" t="str">
        <f t="shared" si="397"/>
        <v xml:space="preserve"> </v>
      </c>
      <c r="BO144" s="221" t="str">
        <f t="shared" si="398"/>
        <v xml:space="preserve"> </v>
      </c>
      <c r="BP144" s="221" t="str">
        <f t="shared" si="399"/>
        <v xml:space="preserve"> </v>
      </c>
      <c r="BQ144" s="221" t="str">
        <f t="shared" si="400"/>
        <v xml:space="preserve"> </v>
      </c>
      <c r="BR144" s="221" t="str">
        <f t="shared" si="401"/>
        <v xml:space="preserve"> </v>
      </c>
      <c r="BS144" s="221" t="str">
        <f t="shared" si="402"/>
        <v xml:space="preserve"> </v>
      </c>
      <c r="BT144" s="221" t="str">
        <f t="shared" si="403"/>
        <v xml:space="preserve"> </v>
      </c>
      <c r="BU144" s="221" t="str">
        <f t="shared" si="404"/>
        <v xml:space="preserve"> </v>
      </c>
      <c r="BV144" s="221" t="str">
        <f t="shared" si="405"/>
        <v xml:space="preserve"> </v>
      </c>
      <c r="BW144" s="221" t="str">
        <f t="shared" si="406"/>
        <v xml:space="preserve"> </v>
      </c>
      <c r="BX144" s="421" t="str">
        <f t="shared" si="407"/>
        <v xml:space="preserve"> </v>
      </c>
      <c r="BY144" s="417" t="str">
        <f t="shared" si="408"/>
        <v xml:space="preserve"> </v>
      </c>
      <c r="BZ144" s="417" t="str">
        <f t="shared" si="409"/>
        <v xml:space="preserve"> </v>
      </c>
      <c r="CA144" s="422" t="str">
        <f t="shared" si="410"/>
        <v xml:space="preserve"> </v>
      </c>
      <c r="CB144" s="347" t="str">
        <f t="shared" si="354"/>
        <v xml:space="preserve"> </v>
      </c>
      <c r="CC144" s="347" t="str">
        <f t="shared" si="411"/>
        <v xml:space="preserve"> </v>
      </c>
      <c r="CD144" s="348" t="str">
        <f t="shared" si="355"/>
        <v xml:space="preserve"> </v>
      </c>
      <c r="CE144" s="347" t="str">
        <f t="shared" si="356"/>
        <v xml:space="preserve"> </v>
      </c>
      <c r="CF144" s="347" t="str">
        <f t="shared" si="357"/>
        <v xml:space="preserve"> </v>
      </c>
      <c r="CG144" s="348" t="str">
        <f t="shared" si="358"/>
        <v xml:space="preserve"> </v>
      </c>
      <c r="CH144" s="347" t="str">
        <f t="shared" si="412"/>
        <v xml:space="preserve"> </v>
      </c>
      <c r="CI144" s="349" t="str">
        <f>IF($A144="N/A"," ",F144+G144+(D144*('Pricing Inputs'!T177)))</f>
        <v xml:space="preserve"> </v>
      </c>
      <c r="CJ144" s="347" t="str">
        <f>IF($A144="N/A"," ",IF(PV=1,0,'Pricing Inputs'!U177))</f>
        <v xml:space="preserve"> </v>
      </c>
      <c r="CK144" s="350" t="str">
        <f t="shared" si="359"/>
        <v xml:space="preserve"> </v>
      </c>
      <c r="CL144" s="365" t="str">
        <f t="shared" si="360"/>
        <v xml:space="preserve"> </v>
      </c>
      <c r="CM144" s="380" t="str">
        <f t="shared" si="413"/>
        <v xml:space="preserve"> </v>
      </c>
      <c r="CN144" s="378" t="str">
        <f t="shared" si="361"/>
        <v xml:space="preserve"> </v>
      </c>
      <c r="CO144" s="378" t="str">
        <f t="shared" si="362"/>
        <v xml:space="preserve"> </v>
      </c>
      <c r="CP144" s="378" t="str">
        <f t="shared" si="363"/>
        <v xml:space="preserve"> </v>
      </c>
      <c r="CQ144" s="378" t="str">
        <f t="shared" si="364"/>
        <v xml:space="preserve"> </v>
      </c>
      <c r="CR144" s="378" t="str">
        <f t="shared" si="365"/>
        <v xml:space="preserve"> </v>
      </c>
      <c r="CS144" s="378" t="str">
        <f t="shared" si="366"/>
        <v xml:space="preserve"> </v>
      </c>
      <c r="CT144" s="378" t="str">
        <f t="shared" si="367"/>
        <v xml:space="preserve"> </v>
      </c>
      <c r="CU144" s="378" t="str">
        <f t="shared" si="368"/>
        <v xml:space="preserve"> </v>
      </c>
      <c r="CV144" s="378" t="str">
        <f t="shared" si="369"/>
        <v xml:space="preserve"> </v>
      </c>
      <c r="CW144" s="254" t="str">
        <f t="shared" si="370"/>
        <v xml:space="preserve"> </v>
      </c>
      <c r="CX144" s="254" t="str">
        <f t="shared" si="371"/>
        <v xml:space="preserve"> </v>
      </c>
      <c r="CY144" s="254" t="str">
        <f t="shared" si="372"/>
        <v xml:space="preserve"> </v>
      </c>
      <c r="CZ144" s="254" t="str">
        <f t="shared" si="373"/>
        <v xml:space="preserve"> </v>
      </c>
      <c r="DA144" s="254" t="str">
        <f t="shared" si="374"/>
        <v xml:space="preserve"> </v>
      </c>
      <c r="DB144" s="254" t="str">
        <f t="shared" si="375"/>
        <v xml:space="preserve"> </v>
      </c>
      <c r="DC144" s="254" t="str">
        <f t="shared" si="376"/>
        <v xml:space="preserve"> </v>
      </c>
      <c r="DD144" s="254" t="str">
        <f t="shared" si="377"/>
        <v xml:space="preserve"> </v>
      </c>
      <c r="DE144" s="254" t="str">
        <f t="shared" si="378"/>
        <v xml:space="preserve"> </v>
      </c>
      <c r="DF144" s="374" t="str">
        <f>IF($A144="N/A"," ",IF(CC=2,(IF(MONTH(A144)&gt;=4,IF(MONTH(A144)&lt;=10,Inputs!$G$13,Inputs!$G$14),Inputs!$G$14))*$CK144,0))</f>
        <v xml:space="preserve"> </v>
      </c>
      <c r="DG144" s="373" t="str">
        <f t="shared" si="379"/>
        <v xml:space="preserve"> </v>
      </c>
      <c r="DH144" s="373" t="str">
        <f t="shared" si="380"/>
        <v xml:space="preserve"> </v>
      </c>
      <c r="DI144" s="373" t="str">
        <f t="shared" si="381"/>
        <v xml:space="preserve"> </v>
      </c>
      <c r="DJ144" s="373" t="str">
        <f t="shared" si="382"/>
        <v xml:space="preserve"> </v>
      </c>
      <c r="DK144" s="373" t="str">
        <f t="shared" si="383"/>
        <v xml:space="preserve"> </v>
      </c>
      <c r="DL144" s="373" t="str">
        <f t="shared" si="384"/>
        <v xml:space="preserve"> </v>
      </c>
      <c r="DM144" s="373" t="str">
        <f t="shared" si="385"/>
        <v xml:space="preserve"> </v>
      </c>
      <c r="DN144" s="373" t="str">
        <f t="shared" si="386"/>
        <v xml:space="preserve"> </v>
      </c>
      <c r="DO144" s="373" t="str">
        <f t="shared" si="387"/>
        <v xml:space="preserve"> </v>
      </c>
      <c r="DP144" s="375" t="str">
        <f t="shared" si="388"/>
        <v xml:space="preserve"> </v>
      </c>
      <c r="DQ144" t="str">
        <f t="shared" si="414"/>
        <v xml:space="preserve"> </v>
      </c>
      <c r="HD144" t="str">
        <f t="shared" si="415"/>
        <v xml:space="preserve"> </v>
      </c>
      <c r="HE144" t="str">
        <f t="shared" si="416"/>
        <v xml:space="preserve"> </v>
      </c>
      <c r="HF144" t="str">
        <f t="shared" si="417"/>
        <v xml:space="preserve"> </v>
      </c>
    </row>
    <row r="145" spans="1:214">
      <c r="A145" s="415" t="str">
        <f>IF(A144="N/A","N/A",IF(EDATE(A144,1)&gt;Inputs!$K$3,"N/A",EDATE(A144,1)))</f>
        <v>N/A</v>
      </c>
      <c r="B145" s="410" t="str">
        <f t="shared" si="389"/>
        <v xml:space="preserve"> </v>
      </c>
      <c r="C145" s="411" t="str">
        <f t="shared" si="390"/>
        <v xml:space="preserve"> </v>
      </c>
      <c r="D145" s="412" t="str">
        <f t="shared" si="391"/>
        <v xml:space="preserve"> </v>
      </c>
      <c r="E145" s="413" t="str">
        <f>IF($A145="N/A"," ",(C145-'Pricing Inputs'!T178)*D145)</f>
        <v xml:space="preserve"> </v>
      </c>
      <c r="F145" s="414" t="str">
        <f t="shared" ref="F145:F208" si="440">IF(A145="N/A"," ",$F133*(1+VOMesc))</f>
        <v xml:space="preserve"> </v>
      </c>
      <c r="G145" s="414" t="str">
        <f t="shared" si="392"/>
        <v xml:space="preserve"> </v>
      </c>
      <c r="H145" s="416" t="str">
        <f t="shared" si="393"/>
        <v xml:space="preserve"> </v>
      </c>
      <c r="I145" s="213" t="str">
        <f t="shared" si="342"/>
        <v xml:space="preserve"> </v>
      </c>
      <c r="J145" s="213" t="str">
        <f t="shared" si="343"/>
        <v xml:space="preserve"> </v>
      </c>
      <c r="K145" s="213" t="str">
        <f t="shared" si="344"/>
        <v xml:space="preserve"> </v>
      </c>
      <c r="L145" s="213" t="str">
        <f t="shared" si="345"/>
        <v xml:space="preserve"> </v>
      </c>
      <c r="M145" s="213" t="str">
        <f t="shared" si="346"/>
        <v xml:space="preserve"> </v>
      </c>
      <c r="N145" s="213" t="str">
        <f t="shared" si="347"/>
        <v xml:space="preserve"> </v>
      </c>
      <c r="O145" s="213" t="str">
        <f t="shared" si="348"/>
        <v xml:space="preserve"> </v>
      </c>
      <c r="P145" s="213" t="str">
        <f t="shared" si="349"/>
        <v xml:space="preserve"> </v>
      </c>
      <c r="Q145" s="213" t="str">
        <f t="shared" si="350"/>
        <v xml:space="preserve"> </v>
      </c>
      <c r="R145" s="405" t="str">
        <f>IF($A145="N/A"," ",IF(Pricetype=2,MAX(I145-$H145,0),IF(Pricetype=1,(_xll.xSPRDOPT(I145,$E145,$CI145,0,($CD145+IF(Smile=TRUE,VLOOKUP(MAX(-5,$H145-I145),Volsmile,2),0)),$CG145,$CH145,($A145-DateToday)+15,1,0)),I145-$H145)))</f>
        <v xml:space="preserve"> </v>
      </c>
      <c r="S145" s="405" t="str">
        <f>IF($A145="N/A"," ",IF(Pricetype=2,MAX(J145-$H145,0),IF(Pricetype=1,(_xll.xSPRDOPT(J145,$E145,$CI145,0,($CD145+IF(Smile=TRUE,VLOOKUP(MAX(-5,$H145-J145),Volsmile,2),0)),$CG145,$CH145,($A145-DateToday)+15,1,0)),J145-$H145)))</f>
        <v xml:space="preserve"> </v>
      </c>
      <c r="T145" s="406" t="str">
        <f t="shared" si="351"/>
        <v xml:space="preserve"> </v>
      </c>
      <c r="U145" s="405" t="str">
        <f>IF($A145="N/A"," ",IF(Pricetype=2,MAX(L145-$H145,0),IF(L145&lt;&gt;0,IF(Pricetype=1,(_xll.xSPRDOPT(L145,$E145,$CI145,0,($CD145+IF(Smile=TRUE,VLOOKUP(MAX(-5,$H145-L145),Volsmile,2),0)),$CG145,$CH145,($A145-DateToday)+15,1,0)),L145-$H145),0)))</f>
        <v xml:space="preserve"> </v>
      </c>
      <c r="V145" s="405" t="str">
        <f>IF($A145="N/A"," ",IF(Pricetype=2,MAX(M145-$H145,0),IF(M145&lt;&gt;0,IF(Pricetype=1,(_xll.xSPRDOPT(M145,$E145,$CI145,0,($CD145+IF(Smile=TRUE,VLOOKUP(MAX(-5,$H145-M145),Volsmile,2),0)),$CG145,$CH145,($A145-DateToday)+15,1,0)),M145-$H145),0)))</f>
        <v xml:space="preserve"> </v>
      </c>
      <c r="W145" s="406" t="str">
        <f t="shared" si="352"/>
        <v xml:space="preserve"> </v>
      </c>
      <c r="X145" s="405" t="str">
        <f>IF($A145="N/A"," ",IF(Pricetype=2,MAX(O145-$H145,0),IF(O145&lt;&gt;0,IF(Pricetype=1,(_xll.xSPRDOPT(O145,$E145,$CI145,0,($CD145+IF(Smile=TRUE,VLOOKUP(MAX(-5,$H145-O145),Volsmile,2),0)),$CG145,$CH145,($A145-DateToday)+15,1,0)),O145-$H145),0)))</f>
        <v xml:space="preserve"> </v>
      </c>
      <c r="Y145" s="405" t="str">
        <f>IF($A145="N/A"," ",IF(Pricetype=2,MAX(P145-$H145,0),IF(P145&lt;&gt;0,IF(Pricetype=1,(_xll.xSPRDOPT(P145,$E145,$CI145,0,($CD145+IF(Smile=TRUE,VLOOKUP(MAX(-5,$H145-P145),Volsmile,2),0)),$CG145,$CH145,($A145-DateToday)+15,1,0)),P145-$H145),0)))</f>
        <v xml:space="preserve"> </v>
      </c>
      <c r="Z145" s="406" t="str">
        <f t="shared" si="353"/>
        <v xml:space="preserve"> </v>
      </c>
      <c r="AA145" s="254" t="str">
        <f>IF($A145="N/A"," ",IF(VLOOKUP(MONTH(A145),ManualTable,2)=1,(IF(0&lt;&gt;R145,IF(Pricetype=1,(_xll.xSPRDOPT(I145,$E145,$CI145,0,($CD145+IF(Smile=TRUE,VLOOKUP(MAX(-5,$H145-I145),Volsmile,2),0)),$CG145,$CH145,($A145-DateToday)+15,1,1))*(8*$HD145),8*$HD145),0)),0))</f>
        <v xml:space="preserve"> </v>
      </c>
      <c r="AB145" s="254" t="str">
        <f>IF($A145="N/A"," ",IF(VLOOKUP(MONTH(A145),ManualTable,3)=1,(IF(S145&lt;&gt;0,IF(Pricetype=1,(_xll.xSPRDOPT(J145,$E145,$CI145,0,($CD145+IF(Smile=TRUE,VLOOKUP(MAX(-5,$H145-J145),Volsmile,2),0)),$CG145,$CH145,($A145-DateToday)+15,1,1))*(8*$HD145),8*$HD145),0)),0))</f>
        <v xml:space="preserve"> </v>
      </c>
      <c r="AC145" s="254" t="str">
        <f t="shared" si="394"/>
        <v xml:space="preserve"> </v>
      </c>
      <c r="AD145" s="254" t="str">
        <f>IF($A145="N/A"," ",IF(VLOOKUP(MONTH(A145),ManualTable,5)=1,(IF(U145&lt;&gt;0,IF(Pricetype=1,(_xll.xSPRDOPT(L145,$E145,$CI145,0,($CD145+IF(Smile=TRUE,VLOOKUP(MAX(-5,$H145-L145),Volsmile,2),0)),$CG145,$CH145,($A145-DateToday)+15,1,1))*(8*$HE145),8*$HE145),0)),0))</f>
        <v xml:space="preserve"> </v>
      </c>
      <c r="AE145" s="254" t="str">
        <f>IF($A145="N/A"," ",IF(VLOOKUP(MONTH(A145),ManualTable,6)=1,(IF(V145&lt;&gt;0,IF(Pricetype=1,(_xll.xSPRDOPT(M145,$E145,$CI145,0,($CD145+IF(Smile=TRUE,VLOOKUP(MAX(-5,$H145-M145),Volsmile,2),0)),$CG145,$CH145,($A145-DateToday)+15,1,1))*(8*$HE145),8*$HE145),0)),0))</f>
        <v xml:space="preserve"> </v>
      </c>
      <c r="AF145" s="254" t="str">
        <f t="shared" si="395"/>
        <v xml:space="preserve"> </v>
      </c>
      <c r="AG145" s="254" t="str">
        <f>IF($A145="N/A"," ",IF(VLOOKUP(MONTH(A145),ManualTable,8)=1,(IF(X145&lt;&gt;0,IF(Pricetype=1,(_xll.xSPRDOPT(O145,$E145,$CI145,0,($CD145+IF(Smile=TRUE,VLOOKUP(MAX(-5,$H145-O145),Volsmile,2),0)),$CG145,$CH145,($A145-DateToday)+15,1,1))*(8*$HF145),8*$HF145),0)),0))</f>
        <v xml:space="preserve"> </v>
      </c>
      <c r="AH145" s="254" t="str">
        <f>IF($A145="N/A"," ",IF(VLOOKUP(MONTH(A145),ManualTable,9)=1,(IF(Y145&lt;&gt;0,IF(Pricetype=1,(_xll.xSPRDOPT(P145,$E145,$CI145,0,($CD145+IF(Smile=TRUE,VLOOKUP(MAX(-5,$H145-P145),Volsmile,2),0)),$CG145,$CH145,($A145-DateToday)+15,1,1))*(8*$HF145),8*$HF145),0)),0))</f>
        <v xml:space="preserve"> </v>
      </c>
      <c r="AI145" s="254" t="str">
        <f t="shared" si="396"/>
        <v xml:space="preserve"> </v>
      </c>
      <c r="AJ145" s="227" t="str">
        <f t="shared" si="426"/>
        <v xml:space="preserve"> </v>
      </c>
      <c r="AK145" s="228" t="str">
        <f t="shared" si="427"/>
        <v xml:space="preserve"> </v>
      </c>
      <c r="AL145" s="228" t="str">
        <f t="shared" si="427"/>
        <v xml:space="preserve"> </v>
      </c>
      <c r="AM145" s="228" t="str">
        <f t="shared" si="428"/>
        <v xml:space="preserve"> </v>
      </c>
      <c r="AN145" s="228" t="str">
        <f t="shared" si="429"/>
        <v xml:space="preserve"> </v>
      </c>
      <c r="AO145" s="228" t="str">
        <f t="shared" si="429"/>
        <v xml:space="preserve"> </v>
      </c>
      <c r="AP145" s="228" t="str">
        <f t="shared" si="430"/>
        <v xml:space="preserve"> </v>
      </c>
      <c r="AQ145" s="228" t="str">
        <f t="shared" si="431"/>
        <v xml:space="preserve"> </v>
      </c>
      <c r="AR145" s="229" t="str">
        <f t="shared" si="432"/>
        <v xml:space="preserve"> </v>
      </c>
      <c r="AS145" s="262" t="str">
        <f t="shared" si="433"/>
        <v xml:space="preserve"> </v>
      </c>
      <c r="AT145" s="263" t="str">
        <f t="shared" si="434"/>
        <v xml:space="preserve"> </v>
      </c>
      <c r="AU145" s="263" t="str">
        <f t="shared" si="434"/>
        <v xml:space="preserve"> </v>
      </c>
      <c r="AV145" s="263" t="str">
        <f t="shared" si="435"/>
        <v xml:space="preserve"> </v>
      </c>
      <c r="AW145" s="263" t="str">
        <f t="shared" si="436"/>
        <v xml:space="preserve"> </v>
      </c>
      <c r="AX145" s="263" t="str">
        <f t="shared" si="436"/>
        <v xml:space="preserve"> </v>
      </c>
      <c r="AY145" s="263" t="str">
        <f t="shared" si="437"/>
        <v xml:space="preserve"> </v>
      </c>
      <c r="AZ145" s="263" t="str">
        <f t="shared" si="438"/>
        <v xml:space="preserve"> </v>
      </c>
      <c r="BA145" s="263" t="str">
        <f t="shared" si="439"/>
        <v xml:space="preserve"> </v>
      </c>
      <c r="BB145" s="234" t="s">
        <v>1271</v>
      </c>
      <c r="BC145" s="266" t="str">
        <f t="shared" si="419"/>
        <v xml:space="preserve"> </v>
      </c>
      <c r="BD145" s="269" t="str">
        <f t="shared" si="420"/>
        <v xml:space="preserve"> </v>
      </c>
      <c r="BE145" s="269" t="str">
        <f t="shared" si="420"/>
        <v xml:space="preserve"> </v>
      </c>
      <c r="BF145" s="269" t="str">
        <f t="shared" si="421"/>
        <v xml:space="preserve"> </v>
      </c>
      <c r="BG145" s="269" t="str">
        <f t="shared" si="422"/>
        <v xml:space="preserve"> </v>
      </c>
      <c r="BH145" s="269" t="str">
        <f t="shared" si="422"/>
        <v xml:space="preserve"> </v>
      </c>
      <c r="BI145" s="269" t="str">
        <f t="shared" si="423"/>
        <v xml:space="preserve"> </v>
      </c>
      <c r="BJ145" s="269" t="str">
        <f t="shared" si="424"/>
        <v xml:space="preserve"> </v>
      </c>
      <c r="BK145" s="269" t="str">
        <f t="shared" si="425"/>
        <v xml:space="preserve"> </v>
      </c>
      <c r="BL145" s="233" t="s">
        <v>1283</v>
      </c>
      <c r="BM145" s="220" t="str">
        <f>IF($A145="N/A"," ",(IF(MONTH(A145)&gt;=4,IF(MONTH(A145)&lt;=10,Inputs!$F$13-Inputs!$G$13,Inputs!$F$14-Inputs!$G$14),Inputs!$F$14-Inputs!$G$14))*$CK145*Availability)</f>
        <v xml:space="preserve"> </v>
      </c>
      <c r="BN145" s="221" t="str">
        <f t="shared" si="397"/>
        <v xml:space="preserve"> </v>
      </c>
      <c r="BO145" s="221" t="str">
        <f t="shared" si="398"/>
        <v xml:space="preserve"> </v>
      </c>
      <c r="BP145" s="221" t="str">
        <f t="shared" si="399"/>
        <v xml:space="preserve"> </v>
      </c>
      <c r="BQ145" s="221" t="str">
        <f t="shared" si="400"/>
        <v xml:space="preserve"> </v>
      </c>
      <c r="BR145" s="221" t="str">
        <f t="shared" si="401"/>
        <v xml:space="preserve"> </v>
      </c>
      <c r="BS145" s="221" t="str">
        <f t="shared" si="402"/>
        <v xml:space="preserve"> </v>
      </c>
      <c r="BT145" s="221" t="str">
        <f t="shared" si="403"/>
        <v xml:space="preserve"> </v>
      </c>
      <c r="BU145" s="221" t="str">
        <f t="shared" si="404"/>
        <v xml:space="preserve"> </v>
      </c>
      <c r="BV145" s="221" t="str">
        <f t="shared" si="405"/>
        <v xml:space="preserve"> </v>
      </c>
      <c r="BW145" s="221" t="str">
        <f t="shared" si="406"/>
        <v xml:space="preserve"> </v>
      </c>
      <c r="BX145" s="421" t="str">
        <f t="shared" si="407"/>
        <v xml:space="preserve"> </v>
      </c>
      <c r="BY145" s="417" t="str">
        <f t="shared" si="408"/>
        <v xml:space="preserve"> </v>
      </c>
      <c r="BZ145" s="417" t="str">
        <f t="shared" si="409"/>
        <v xml:space="preserve"> </v>
      </c>
      <c r="CA145" s="422" t="str">
        <f t="shared" si="410"/>
        <v xml:space="preserve"> </v>
      </c>
      <c r="CB145" s="347" t="str">
        <f t="shared" si="354"/>
        <v xml:space="preserve"> </v>
      </c>
      <c r="CC145" s="347" t="str">
        <f t="shared" si="411"/>
        <v xml:space="preserve"> </v>
      </c>
      <c r="CD145" s="348" t="str">
        <f t="shared" si="355"/>
        <v xml:space="preserve"> </v>
      </c>
      <c r="CE145" s="347" t="str">
        <f t="shared" si="356"/>
        <v xml:space="preserve"> </v>
      </c>
      <c r="CF145" s="347" t="str">
        <f t="shared" si="357"/>
        <v xml:space="preserve"> </v>
      </c>
      <c r="CG145" s="348" t="str">
        <f t="shared" si="358"/>
        <v xml:space="preserve"> </v>
      </c>
      <c r="CH145" s="347" t="str">
        <f t="shared" si="412"/>
        <v xml:space="preserve"> </v>
      </c>
      <c r="CI145" s="349" t="str">
        <f>IF($A145="N/A"," ",F145+G145+(D145*('Pricing Inputs'!T178)))</f>
        <v xml:space="preserve"> </v>
      </c>
      <c r="CJ145" s="347" t="str">
        <f>IF($A145="N/A"," ",IF(PV=1,0,'Pricing Inputs'!U178))</f>
        <v xml:space="preserve"> </v>
      </c>
      <c r="CK145" s="350" t="str">
        <f t="shared" si="359"/>
        <v xml:space="preserve"> </v>
      </c>
      <c r="CL145" s="365" t="str">
        <f t="shared" si="360"/>
        <v xml:space="preserve"> </v>
      </c>
      <c r="CM145" s="380" t="str">
        <f t="shared" si="413"/>
        <v xml:space="preserve"> </v>
      </c>
      <c r="CN145" s="378" t="str">
        <f t="shared" si="361"/>
        <v xml:space="preserve"> </v>
      </c>
      <c r="CO145" s="378" t="str">
        <f t="shared" si="362"/>
        <v xml:space="preserve"> </v>
      </c>
      <c r="CP145" s="378" t="str">
        <f t="shared" si="363"/>
        <v xml:space="preserve"> </v>
      </c>
      <c r="CQ145" s="378" t="str">
        <f t="shared" si="364"/>
        <v xml:space="preserve"> </v>
      </c>
      <c r="CR145" s="378" t="str">
        <f t="shared" si="365"/>
        <v xml:space="preserve"> </v>
      </c>
      <c r="CS145" s="378" t="str">
        <f t="shared" si="366"/>
        <v xml:space="preserve"> </v>
      </c>
      <c r="CT145" s="378" t="str">
        <f t="shared" si="367"/>
        <v xml:space="preserve"> </v>
      </c>
      <c r="CU145" s="378" t="str">
        <f t="shared" si="368"/>
        <v xml:space="preserve"> </v>
      </c>
      <c r="CV145" s="378" t="str">
        <f t="shared" si="369"/>
        <v xml:space="preserve"> </v>
      </c>
      <c r="CW145" s="254" t="str">
        <f t="shared" si="370"/>
        <v xml:space="preserve"> </v>
      </c>
      <c r="CX145" s="254" t="str">
        <f t="shared" si="371"/>
        <v xml:space="preserve"> </v>
      </c>
      <c r="CY145" s="254" t="str">
        <f t="shared" si="372"/>
        <v xml:space="preserve"> </v>
      </c>
      <c r="CZ145" s="254" t="str">
        <f t="shared" si="373"/>
        <v xml:space="preserve"> </v>
      </c>
      <c r="DA145" s="254" t="str">
        <f t="shared" si="374"/>
        <v xml:space="preserve"> </v>
      </c>
      <c r="DB145" s="254" t="str">
        <f t="shared" si="375"/>
        <v xml:space="preserve"> </v>
      </c>
      <c r="DC145" s="254" t="str">
        <f t="shared" si="376"/>
        <v xml:space="preserve"> </v>
      </c>
      <c r="DD145" s="254" t="str">
        <f t="shared" si="377"/>
        <v xml:space="preserve"> </v>
      </c>
      <c r="DE145" s="254" t="str">
        <f t="shared" si="378"/>
        <v xml:space="preserve"> </v>
      </c>
      <c r="DF145" s="374" t="str">
        <f>IF($A145="N/A"," ",IF(CC=2,(IF(MONTH(A145)&gt;=4,IF(MONTH(A145)&lt;=10,Inputs!$G$13,Inputs!$G$14),Inputs!$G$14))*$CK145,0))</f>
        <v xml:space="preserve"> </v>
      </c>
      <c r="DG145" s="373" t="str">
        <f t="shared" si="379"/>
        <v xml:space="preserve"> </v>
      </c>
      <c r="DH145" s="373" t="str">
        <f t="shared" si="380"/>
        <v xml:space="preserve"> </v>
      </c>
      <c r="DI145" s="373" t="str">
        <f t="shared" si="381"/>
        <v xml:space="preserve"> </v>
      </c>
      <c r="DJ145" s="373" t="str">
        <f t="shared" si="382"/>
        <v xml:space="preserve"> </v>
      </c>
      <c r="DK145" s="373" t="str">
        <f t="shared" si="383"/>
        <v xml:space="preserve"> </v>
      </c>
      <c r="DL145" s="373" t="str">
        <f t="shared" si="384"/>
        <v xml:space="preserve"> </v>
      </c>
      <c r="DM145" s="373" t="str">
        <f t="shared" si="385"/>
        <v xml:space="preserve"> </v>
      </c>
      <c r="DN145" s="373" t="str">
        <f t="shared" si="386"/>
        <v xml:space="preserve"> </v>
      </c>
      <c r="DO145" s="373" t="str">
        <f t="shared" si="387"/>
        <v xml:space="preserve"> </v>
      </c>
      <c r="DP145" s="375" t="str">
        <f t="shared" si="388"/>
        <v xml:space="preserve"> </v>
      </c>
      <c r="DQ145" t="str">
        <f t="shared" si="414"/>
        <v xml:space="preserve"> </v>
      </c>
      <c r="HD145" t="str">
        <f t="shared" si="415"/>
        <v xml:space="preserve"> </v>
      </c>
      <c r="HE145" t="str">
        <f t="shared" si="416"/>
        <v xml:space="preserve"> </v>
      </c>
      <c r="HF145" t="str">
        <f t="shared" si="417"/>
        <v xml:space="preserve"> </v>
      </c>
    </row>
    <row r="146" spans="1:214">
      <c r="A146" s="415" t="str">
        <f>IF(A145="N/A","N/A",IF(EDATE(A145,1)&gt;Inputs!$K$3,"N/A",EDATE(A145,1)))</f>
        <v>N/A</v>
      </c>
      <c r="B146" s="410" t="str">
        <f t="shared" si="389"/>
        <v xml:space="preserve"> </v>
      </c>
      <c r="C146" s="411" t="str">
        <f t="shared" si="390"/>
        <v xml:space="preserve"> </v>
      </c>
      <c r="D146" s="412" t="str">
        <f t="shared" si="391"/>
        <v xml:space="preserve"> </v>
      </c>
      <c r="E146" s="413" t="str">
        <f>IF($A146="N/A"," ",(C146-'Pricing Inputs'!T179)*D146)</f>
        <v xml:space="preserve"> </v>
      </c>
      <c r="F146" s="414" t="str">
        <f t="shared" si="440"/>
        <v xml:space="preserve"> </v>
      </c>
      <c r="G146" s="414" t="str">
        <f t="shared" si="392"/>
        <v xml:space="preserve"> </v>
      </c>
      <c r="H146" s="416" t="str">
        <f t="shared" si="393"/>
        <v xml:space="preserve"> </v>
      </c>
      <c r="I146" s="213" t="str">
        <f t="shared" si="342"/>
        <v xml:space="preserve"> </v>
      </c>
      <c r="J146" s="213" t="str">
        <f t="shared" si="343"/>
        <v xml:space="preserve"> </v>
      </c>
      <c r="K146" s="213" t="str">
        <f t="shared" si="344"/>
        <v xml:space="preserve"> </v>
      </c>
      <c r="L146" s="213" t="str">
        <f t="shared" si="345"/>
        <v xml:space="preserve"> </v>
      </c>
      <c r="M146" s="213" t="str">
        <f t="shared" si="346"/>
        <v xml:space="preserve"> </v>
      </c>
      <c r="N146" s="213" t="str">
        <f t="shared" si="347"/>
        <v xml:space="preserve"> </v>
      </c>
      <c r="O146" s="213" t="str">
        <f t="shared" si="348"/>
        <v xml:space="preserve"> </v>
      </c>
      <c r="P146" s="213" t="str">
        <f t="shared" si="349"/>
        <v xml:space="preserve"> </v>
      </c>
      <c r="Q146" s="213" t="str">
        <f t="shared" si="350"/>
        <v xml:space="preserve"> </v>
      </c>
      <c r="R146" s="405" t="str">
        <f>IF($A146="N/A"," ",IF(Pricetype=2,MAX(I146-$H146,0),IF(Pricetype=1,(_xll.xSPRDOPT(I146,$E146,$CI146,0,($CD146+IF(Smile=TRUE,VLOOKUP(MAX(-5,$H146-I146),Volsmile,2),0)),$CG146,$CH146,($A146-DateToday)+15,1,0)),I146-$H146)))</f>
        <v xml:space="preserve"> </v>
      </c>
      <c r="S146" s="405" t="str">
        <f>IF($A146="N/A"," ",IF(Pricetype=2,MAX(J146-$H146,0),IF(Pricetype=1,(_xll.xSPRDOPT(J146,$E146,$CI146,0,($CD146+IF(Smile=TRUE,VLOOKUP(MAX(-5,$H146-J146),Volsmile,2),0)),$CG146,$CH146,($A146-DateToday)+15,1,0)),J146-$H146)))</f>
        <v xml:space="preserve"> </v>
      </c>
      <c r="T146" s="406" t="str">
        <f t="shared" si="351"/>
        <v xml:space="preserve"> </v>
      </c>
      <c r="U146" s="405" t="str">
        <f>IF($A146="N/A"," ",IF(Pricetype=2,MAX(L146-$H146,0),IF(L146&lt;&gt;0,IF(Pricetype=1,(_xll.xSPRDOPT(L146,$E146,$CI146,0,($CD146+IF(Smile=TRUE,VLOOKUP(MAX(-5,$H146-L146),Volsmile,2),0)),$CG146,$CH146,($A146-DateToday)+15,1,0)),L146-$H146),0)))</f>
        <v xml:space="preserve"> </v>
      </c>
      <c r="V146" s="405" t="str">
        <f>IF($A146="N/A"," ",IF(Pricetype=2,MAX(M146-$H146,0),IF(M146&lt;&gt;0,IF(Pricetype=1,(_xll.xSPRDOPT(M146,$E146,$CI146,0,($CD146+IF(Smile=TRUE,VLOOKUP(MAX(-5,$H146-M146),Volsmile,2),0)),$CG146,$CH146,($A146-DateToday)+15,1,0)),M146-$H146),0)))</f>
        <v xml:space="preserve"> </v>
      </c>
      <c r="W146" s="406" t="str">
        <f t="shared" si="352"/>
        <v xml:space="preserve"> </v>
      </c>
      <c r="X146" s="405" t="str">
        <f>IF($A146="N/A"," ",IF(Pricetype=2,MAX(O146-$H146,0),IF(O146&lt;&gt;0,IF(Pricetype=1,(_xll.xSPRDOPT(O146,$E146,$CI146,0,($CD146+IF(Smile=TRUE,VLOOKUP(MAX(-5,$H146-O146),Volsmile,2),0)),$CG146,$CH146,($A146-DateToday)+15,1,0)),O146-$H146),0)))</f>
        <v xml:space="preserve"> </v>
      </c>
      <c r="Y146" s="405" t="str">
        <f>IF($A146="N/A"," ",IF(Pricetype=2,MAX(P146-$H146,0),IF(P146&lt;&gt;0,IF(Pricetype=1,(_xll.xSPRDOPT(P146,$E146,$CI146,0,($CD146+IF(Smile=TRUE,VLOOKUP(MAX(-5,$H146-P146),Volsmile,2),0)),$CG146,$CH146,($A146-DateToday)+15,1,0)),P146-$H146),0)))</f>
        <v xml:space="preserve"> </v>
      </c>
      <c r="Z146" s="406" t="str">
        <f t="shared" si="353"/>
        <v xml:space="preserve"> </v>
      </c>
      <c r="AA146" s="254" t="str">
        <f>IF($A146="N/A"," ",IF(VLOOKUP(MONTH(A146),ManualTable,2)=1,(IF(0&lt;&gt;R146,IF(Pricetype=1,(_xll.xSPRDOPT(I146,$E146,$CI146,0,($CD146+IF(Smile=TRUE,VLOOKUP(MAX(-5,$H146-I146),Volsmile,2),0)),$CG146,$CH146,($A146-DateToday)+15,1,1))*(8*$HD146),8*$HD146),0)),0))</f>
        <v xml:space="preserve"> </v>
      </c>
      <c r="AB146" s="254" t="str">
        <f>IF($A146="N/A"," ",IF(VLOOKUP(MONTH(A146),ManualTable,3)=1,(IF(S146&lt;&gt;0,IF(Pricetype=1,(_xll.xSPRDOPT(J146,$E146,$CI146,0,($CD146+IF(Smile=TRUE,VLOOKUP(MAX(-5,$H146-J146),Volsmile,2),0)),$CG146,$CH146,($A146-DateToday)+15,1,1))*(8*$HD146),8*$HD146),0)),0))</f>
        <v xml:space="preserve"> </v>
      </c>
      <c r="AC146" s="254" t="str">
        <f t="shared" si="394"/>
        <v xml:space="preserve"> </v>
      </c>
      <c r="AD146" s="254" t="str">
        <f>IF($A146="N/A"," ",IF(VLOOKUP(MONTH(A146),ManualTable,5)=1,(IF(U146&lt;&gt;0,IF(Pricetype=1,(_xll.xSPRDOPT(L146,$E146,$CI146,0,($CD146+IF(Smile=TRUE,VLOOKUP(MAX(-5,$H146-L146),Volsmile,2),0)),$CG146,$CH146,($A146-DateToday)+15,1,1))*(8*$HE146),8*$HE146),0)),0))</f>
        <v xml:space="preserve"> </v>
      </c>
      <c r="AE146" s="254" t="str">
        <f>IF($A146="N/A"," ",IF(VLOOKUP(MONTH(A146),ManualTable,6)=1,(IF(V146&lt;&gt;0,IF(Pricetype=1,(_xll.xSPRDOPT(M146,$E146,$CI146,0,($CD146+IF(Smile=TRUE,VLOOKUP(MAX(-5,$H146-M146),Volsmile,2),0)),$CG146,$CH146,($A146-DateToday)+15,1,1))*(8*$HE146),8*$HE146),0)),0))</f>
        <v xml:space="preserve"> </v>
      </c>
      <c r="AF146" s="254" t="str">
        <f t="shared" si="395"/>
        <v xml:space="preserve"> </v>
      </c>
      <c r="AG146" s="254" t="str">
        <f>IF($A146="N/A"," ",IF(VLOOKUP(MONTH(A146),ManualTable,8)=1,(IF(X146&lt;&gt;0,IF(Pricetype=1,(_xll.xSPRDOPT(O146,$E146,$CI146,0,($CD146+IF(Smile=TRUE,VLOOKUP(MAX(-5,$H146-O146),Volsmile,2),0)),$CG146,$CH146,($A146-DateToday)+15,1,1))*(8*$HF146),8*$HF146),0)),0))</f>
        <v xml:space="preserve"> </v>
      </c>
      <c r="AH146" s="254" t="str">
        <f>IF($A146="N/A"," ",IF(VLOOKUP(MONTH(A146),ManualTable,9)=1,(IF(Y146&lt;&gt;0,IF(Pricetype=1,(_xll.xSPRDOPT(P146,$E146,$CI146,0,($CD146+IF(Smile=TRUE,VLOOKUP(MAX(-5,$H146-P146),Volsmile,2),0)),$CG146,$CH146,($A146-DateToday)+15,1,1))*(8*$HF146),8*$HF146),0)),0))</f>
        <v xml:space="preserve"> </v>
      </c>
      <c r="AI146" s="254" t="str">
        <f t="shared" si="396"/>
        <v xml:space="preserve"> </v>
      </c>
      <c r="AJ146" s="227" t="str">
        <f t="shared" si="426"/>
        <v xml:space="preserve"> </v>
      </c>
      <c r="AK146" s="228" t="str">
        <f t="shared" si="427"/>
        <v xml:space="preserve"> </v>
      </c>
      <c r="AL146" s="228" t="str">
        <f t="shared" si="427"/>
        <v xml:space="preserve"> </v>
      </c>
      <c r="AM146" s="228" t="str">
        <f t="shared" si="428"/>
        <v xml:space="preserve"> </v>
      </c>
      <c r="AN146" s="228" t="str">
        <f t="shared" si="429"/>
        <v xml:space="preserve"> </v>
      </c>
      <c r="AO146" s="228" t="str">
        <f t="shared" si="429"/>
        <v xml:space="preserve"> </v>
      </c>
      <c r="AP146" s="228" t="str">
        <f t="shared" si="430"/>
        <v xml:space="preserve"> </v>
      </c>
      <c r="AQ146" s="228" t="str">
        <f t="shared" si="431"/>
        <v xml:space="preserve"> </v>
      </c>
      <c r="AR146" s="229" t="str">
        <f t="shared" si="432"/>
        <v xml:space="preserve"> </v>
      </c>
      <c r="AS146" s="262" t="str">
        <f t="shared" si="433"/>
        <v xml:space="preserve"> </v>
      </c>
      <c r="AT146" s="263" t="str">
        <f t="shared" si="434"/>
        <v xml:space="preserve"> </v>
      </c>
      <c r="AU146" s="263" t="str">
        <f t="shared" si="434"/>
        <v xml:space="preserve"> </v>
      </c>
      <c r="AV146" s="263" t="str">
        <f t="shared" si="435"/>
        <v xml:space="preserve"> </v>
      </c>
      <c r="AW146" s="263" t="str">
        <f t="shared" si="436"/>
        <v xml:space="preserve"> </v>
      </c>
      <c r="AX146" s="263" t="str">
        <f t="shared" si="436"/>
        <v xml:space="preserve"> </v>
      </c>
      <c r="AY146" s="263" t="str">
        <f t="shared" si="437"/>
        <v xml:space="preserve"> </v>
      </c>
      <c r="AZ146" s="263" t="str">
        <f t="shared" si="438"/>
        <v xml:space="preserve"> </v>
      </c>
      <c r="BA146" s="263" t="str">
        <f t="shared" si="439"/>
        <v xml:space="preserve"> </v>
      </c>
      <c r="BB146" s="229">
        <f>SUM(AS136:BA147)</f>
        <v>0</v>
      </c>
      <c r="BC146" s="266" t="str">
        <f t="shared" si="419"/>
        <v xml:space="preserve"> </v>
      </c>
      <c r="BD146" s="269" t="str">
        <f t="shared" si="420"/>
        <v xml:space="preserve"> </v>
      </c>
      <c r="BE146" s="269" t="str">
        <f t="shared" si="420"/>
        <v xml:space="preserve"> </v>
      </c>
      <c r="BF146" s="269" t="str">
        <f t="shared" si="421"/>
        <v xml:space="preserve"> </v>
      </c>
      <c r="BG146" s="269" t="str">
        <f t="shared" si="422"/>
        <v xml:space="preserve"> </v>
      </c>
      <c r="BH146" s="269" t="str">
        <f t="shared" si="422"/>
        <v xml:space="preserve"> </v>
      </c>
      <c r="BI146" s="269" t="str">
        <f t="shared" si="423"/>
        <v xml:space="preserve"> </v>
      </c>
      <c r="BJ146" s="269" t="str">
        <f t="shared" si="424"/>
        <v xml:space="preserve"> </v>
      </c>
      <c r="BK146" s="269" t="str">
        <f t="shared" si="425"/>
        <v xml:space="preserve"> </v>
      </c>
      <c r="BL146" s="229">
        <f>SUM(BC136:BK147)</f>
        <v>0</v>
      </c>
      <c r="BM146" s="220" t="str">
        <f>IF($A146="N/A"," ",(IF(MONTH(A146)&gt;=4,IF(MONTH(A146)&lt;=10,Inputs!$F$13-Inputs!$G$13,Inputs!$F$14-Inputs!$G$14),Inputs!$F$14-Inputs!$G$14))*$CK146*Availability)</f>
        <v xml:space="preserve"> </v>
      </c>
      <c r="BN146" s="221" t="str">
        <f t="shared" si="397"/>
        <v xml:space="preserve"> </v>
      </c>
      <c r="BO146" s="221" t="str">
        <f t="shared" si="398"/>
        <v xml:space="preserve"> </v>
      </c>
      <c r="BP146" s="221" t="str">
        <f t="shared" si="399"/>
        <v xml:space="preserve"> </v>
      </c>
      <c r="BQ146" s="221" t="str">
        <f t="shared" si="400"/>
        <v xml:space="preserve"> </v>
      </c>
      <c r="BR146" s="221" t="str">
        <f t="shared" si="401"/>
        <v xml:space="preserve"> </v>
      </c>
      <c r="BS146" s="221" t="str">
        <f t="shared" si="402"/>
        <v xml:space="preserve"> </v>
      </c>
      <c r="BT146" s="221" t="str">
        <f t="shared" si="403"/>
        <v xml:space="preserve"> </v>
      </c>
      <c r="BU146" s="221" t="str">
        <f t="shared" si="404"/>
        <v xml:space="preserve"> </v>
      </c>
      <c r="BV146" s="221" t="str">
        <f t="shared" si="405"/>
        <v xml:space="preserve"> </v>
      </c>
      <c r="BW146" s="221" t="str">
        <f t="shared" si="406"/>
        <v xml:space="preserve"> </v>
      </c>
      <c r="BX146" s="421" t="str">
        <f t="shared" si="407"/>
        <v xml:space="preserve"> </v>
      </c>
      <c r="BY146" s="417" t="str">
        <f t="shared" si="408"/>
        <v xml:space="preserve"> </v>
      </c>
      <c r="BZ146" s="417" t="str">
        <f t="shared" si="409"/>
        <v xml:space="preserve"> </v>
      </c>
      <c r="CA146" s="422" t="str">
        <f t="shared" si="410"/>
        <v xml:space="preserve"> </v>
      </c>
      <c r="CB146" s="347" t="str">
        <f t="shared" si="354"/>
        <v xml:space="preserve"> </v>
      </c>
      <c r="CC146" s="347" t="str">
        <f t="shared" si="411"/>
        <v xml:space="preserve"> </v>
      </c>
      <c r="CD146" s="348" t="str">
        <f t="shared" si="355"/>
        <v xml:space="preserve"> </v>
      </c>
      <c r="CE146" s="347" t="str">
        <f t="shared" si="356"/>
        <v xml:space="preserve"> </v>
      </c>
      <c r="CF146" s="347" t="str">
        <f t="shared" si="357"/>
        <v xml:space="preserve"> </v>
      </c>
      <c r="CG146" s="348" t="str">
        <f t="shared" si="358"/>
        <v xml:space="preserve"> </v>
      </c>
      <c r="CH146" s="347" t="str">
        <f t="shared" si="412"/>
        <v xml:space="preserve"> </v>
      </c>
      <c r="CI146" s="349" t="str">
        <f>IF($A146="N/A"," ",F146+G146+(D146*('Pricing Inputs'!T179)))</f>
        <v xml:space="preserve"> </v>
      </c>
      <c r="CJ146" s="347" t="str">
        <f>IF($A146="N/A"," ",IF(PV=1,0,'Pricing Inputs'!U179))</f>
        <v xml:space="preserve"> </v>
      </c>
      <c r="CK146" s="350" t="str">
        <f t="shared" si="359"/>
        <v xml:space="preserve"> </v>
      </c>
      <c r="CL146" s="365" t="str">
        <f t="shared" si="360"/>
        <v xml:space="preserve"> </v>
      </c>
      <c r="CM146" s="380" t="str">
        <f t="shared" si="413"/>
        <v xml:space="preserve"> </v>
      </c>
      <c r="CN146" s="378" t="str">
        <f t="shared" si="361"/>
        <v xml:space="preserve"> </v>
      </c>
      <c r="CO146" s="378" t="str">
        <f t="shared" si="362"/>
        <v xml:space="preserve"> </v>
      </c>
      <c r="CP146" s="378" t="str">
        <f t="shared" si="363"/>
        <v xml:space="preserve"> </v>
      </c>
      <c r="CQ146" s="378" t="str">
        <f t="shared" si="364"/>
        <v xml:space="preserve"> </v>
      </c>
      <c r="CR146" s="378" t="str">
        <f t="shared" si="365"/>
        <v xml:space="preserve"> </v>
      </c>
      <c r="CS146" s="378" t="str">
        <f t="shared" si="366"/>
        <v xml:space="preserve"> </v>
      </c>
      <c r="CT146" s="378" t="str">
        <f t="shared" si="367"/>
        <v xml:space="preserve"> </v>
      </c>
      <c r="CU146" s="378" t="str">
        <f t="shared" si="368"/>
        <v xml:space="preserve"> </v>
      </c>
      <c r="CV146" s="378" t="str">
        <f t="shared" si="369"/>
        <v xml:space="preserve"> </v>
      </c>
      <c r="CW146" s="254" t="str">
        <f t="shared" si="370"/>
        <v xml:space="preserve"> </v>
      </c>
      <c r="CX146" s="254" t="str">
        <f t="shared" si="371"/>
        <v xml:space="preserve"> </v>
      </c>
      <c r="CY146" s="254" t="str">
        <f t="shared" si="372"/>
        <v xml:space="preserve"> </v>
      </c>
      <c r="CZ146" s="254" t="str">
        <f t="shared" si="373"/>
        <v xml:space="preserve"> </v>
      </c>
      <c r="DA146" s="254" t="str">
        <f t="shared" si="374"/>
        <v xml:space="preserve"> </v>
      </c>
      <c r="DB146" s="254" t="str">
        <f t="shared" si="375"/>
        <v xml:space="preserve"> </v>
      </c>
      <c r="DC146" s="254" t="str">
        <f t="shared" si="376"/>
        <v xml:space="preserve"> </v>
      </c>
      <c r="DD146" s="254" t="str">
        <f t="shared" si="377"/>
        <v xml:space="preserve"> </v>
      </c>
      <c r="DE146" s="254" t="str">
        <f t="shared" si="378"/>
        <v xml:space="preserve"> </v>
      </c>
      <c r="DF146" s="374" t="str">
        <f>IF($A146="N/A"," ",IF(CC=2,(IF(MONTH(A146)&gt;=4,IF(MONTH(A146)&lt;=10,Inputs!$G$13,Inputs!$G$14),Inputs!$G$14))*$CK146,0))</f>
        <v xml:space="preserve"> </v>
      </c>
      <c r="DG146" s="373" t="str">
        <f t="shared" si="379"/>
        <v xml:space="preserve"> </v>
      </c>
      <c r="DH146" s="373" t="str">
        <f t="shared" si="380"/>
        <v xml:space="preserve"> </v>
      </c>
      <c r="DI146" s="373" t="str">
        <f t="shared" si="381"/>
        <v xml:space="preserve"> </v>
      </c>
      <c r="DJ146" s="373" t="str">
        <f t="shared" si="382"/>
        <v xml:space="preserve"> </v>
      </c>
      <c r="DK146" s="373" t="str">
        <f t="shared" si="383"/>
        <v xml:space="preserve"> </v>
      </c>
      <c r="DL146" s="373" t="str">
        <f t="shared" si="384"/>
        <v xml:space="preserve"> </v>
      </c>
      <c r="DM146" s="373" t="str">
        <f t="shared" si="385"/>
        <v xml:space="preserve"> </v>
      </c>
      <c r="DN146" s="373" t="str">
        <f t="shared" si="386"/>
        <v xml:space="preserve"> </v>
      </c>
      <c r="DO146" s="373" t="str">
        <f t="shared" si="387"/>
        <v xml:space="preserve"> </v>
      </c>
      <c r="DP146" s="375" t="str">
        <f t="shared" si="388"/>
        <v xml:space="preserve"> </v>
      </c>
      <c r="DQ146" t="str">
        <f t="shared" si="414"/>
        <v xml:space="preserve"> </v>
      </c>
      <c r="HD146" t="str">
        <f t="shared" si="415"/>
        <v xml:space="preserve"> </v>
      </c>
      <c r="HE146" t="str">
        <f t="shared" si="416"/>
        <v xml:space="preserve"> </v>
      </c>
      <c r="HF146" t="str">
        <f t="shared" si="417"/>
        <v xml:space="preserve"> </v>
      </c>
    </row>
    <row r="147" spans="1:214">
      <c r="A147" s="415" t="str">
        <f>IF(A146="N/A","N/A",IF(EDATE(A146,1)&gt;Inputs!$K$3,"N/A",EDATE(A146,1)))</f>
        <v>N/A</v>
      </c>
      <c r="B147" s="410" t="str">
        <f t="shared" si="389"/>
        <v xml:space="preserve"> </v>
      </c>
      <c r="C147" s="411" t="str">
        <f t="shared" si="390"/>
        <v xml:space="preserve"> </v>
      </c>
      <c r="D147" s="412" t="str">
        <f t="shared" si="391"/>
        <v xml:space="preserve"> </v>
      </c>
      <c r="E147" s="413" t="str">
        <f>IF($A147="N/A"," ",(C147-'Pricing Inputs'!T180)*D147)</f>
        <v xml:space="preserve"> </v>
      </c>
      <c r="F147" s="414" t="str">
        <f t="shared" si="440"/>
        <v xml:space="preserve"> </v>
      </c>
      <c r="G147" s="414" t="str">
        <f t="shared" si="392"/>
        <v xml:space="preserve"> </v>
      </c>
      <c r="H147" s="416" t="str">
        <f t="shared" si="393"/>
        <v xml:space="preserve"> </v>
      </c>
      <c r="I147" s="213" t="str">
        <f t="shared" si="342"/>
        <v xml:space="preserve"> </v>
      </c>
      <c r="J147" s="213" t="str">
        <f t="shared" si="343"/>
        <v xml:space="preserve"> </v>
      </c>
      <c r="K147" s="213" t="str">
        <f t="shared" si="344"/>
        <v xml:space="preserve"> </v>
      </c>
      <c r="L147" s="213" t="str">
        <f t="shared" si="345"/>
        <v xml:space="preserve"> </v>
      </c>
      <c r="M147" s="213" t="str">
        <f t="shared" si="346"/>
        <v xml:space="preserve"> </v>
      </c>
      <c r="N147" s="213" t="str">
        <f t="shared" si="347"/>
        <v xml:space="preserve"> </v>
      </c>
      <c r="O147" s="213" t="str">
        <f t="shared" si="348"/>
        <v xml:space="preserve"> </v>
      </c>
      <c r="P147" s="213" t="str">
        <f t="shared" si="349"/>
        <v xml:space="preserve"> </v>
      </c>
      <c r="Q147" s="213" t="str">
        <f t="shared" si="350"/>
        <v xml:space="preserve"> </v>
      </c>
      <c r="R147" s="405" t="str">
        <f>IF($A147="N/A"," ",IF(Pricetype=2,MAX(I147-$H147,0),IF(Pricetype=1,(_xll.xSPRDOPT(I147,$E147,$CI147,0,($CD147+IF(Smile=TRUE,VLOOKUP(MAX(-5,$H147-I147),Volsmile,2),0)),$CG147,$CH147,($A147-DateToday)+15,1,0)),I147-$H147)))</f>
        <v xml:space="preserve"> </v>
      </c>
      <c r="S147" s="405" t="str">
        <f>IF($A147="N/A"," ",IF(Pricetype=2,MAX(J147-$H147,0),IF(Pricetype=1,(_xll.xSPRDOPT(J147,$E147,$CI147,0,($CD147+IF(Smile=TRUE,VLOOKUP(MAX(-5,$H147-J147),Volsmile,2),0)),$CG147,$CH147,($A147-DateToday)+15,1,0)),J147-$H147)))</f>
        <v xml:space="preserve"> </v>
      </c>
      <c r="T147" s="406" t="str">
        <f t="shared" si="351"/>
        <v xml:space="preserve"> </v>
      </c>
      <c r="U147" s="405" t="str">
        <f>IF($A147="N/A"," ",IF(Pricetype=2,MAX(L147-$H147,0),IF(L147&lt;&gt;0,IF(Pricetype=1,(_xll.xSPRDOPT(L147,$E147,$CI147,0,($CD147+IF(Smile=TRUE,VLOOKUP(MAX(-5,$H147-L147),Volsmile,2),0)),$CG147,$CH147,($A147-DateToday)+15,1,0)),L147-$H147),0)))</f>
        <v xml:space="preserve"> </v>
      </c>
      <c r="V147" s="405" t="str">
        <f>IF($A147="N/A"," ",IF(Pricetype=2,MAX(M147-$H147,0),IF(M147&lt;&gt;0,IF(Pricetype=1,(_xll.xSPRDOPT(M147,$E147,$CI147,0,($CD147+IF(Smile=TRUE,VLOOKUP(MAX(-5,$H147-M147),Volsmile,2),0)),$CG147,$CH147,($A147-DateToday)+15,1,0)),M147-$H147),0)))</f>
        <v xml:space="preserve"> </v>
      </c>
      <c r="W147" s="406" t="str">
        <f t="shared" si="352"/>
        <v xml:space="preserve"> </v>
      </c>
      <c r="X147" s="405" t="str">
        <f>IF($A147="N/A"," ",IF(Pricetype=2,MAX(O147-$H147,0),IF(O147&lt;&gt;0,IF(Pricetype=1,(_xll.xSPRDOPT(O147,$E147,$CI147,0,($CD147+IF(Smile=TRUE,VLOOKUP(MAX(-5,$H147-O147),Volsmile,2),0)),$CG147,$CH147,($A147-DateToday)+15,1,0)),O147-$H147),0)))</f>
        <v xml:space="preserve"> </v>
      </c>
      <c r="Y147" s="405" t="str">
        <f>IF($A147="N/A"," ",IF(Pricetype=2,MAX(P147-$H147,0),IF(P147&lt;&gt;0,IF(Pricetype=1,(_xll.xSPRDOPT(P147,$E147,$CI147,0,($CD147+IF(Smile=TRUE,VLOOKUP(MAX(-5,$H147-P147),Volsmile,2),0)),$CG147,$CH147,($A147-DateToday)+15,1,0)),P147-$H147),0)))</f>
        <v xml:space="preserve"> </v>
      </c>
      <c r="Z147" s="406" t="str">
        <f t="shared" si="353"/>
        <v xml:space="preserve"> </v>
      </c>
      <c r="AA147" s="254" t="str">
        <f>IF($A147="N/A"," ",IF(VLOOKUP(MONTH(A147),ManualTable,2)=1,(IF(0&lt;&gt;R147,IF(Pricetype=1,(_xll.xSPRDOPT(I147,$E147,$CI147,0,($CD147+IF(Smile=TRUE,VLOOKUP(MAX(-5,$H147-I147),Volsmile,2),0)),$CG147,$CH147,($A147-DateToday)+15,1,1))*(8*$HD147),8*$HD147),0)),0))</f>
        <v xml:space="preserve"> </v>
      </c>
      <c r="AB147" s="254" t="str">
        <f>IF($A147="N/A"," ",IF(VLOOKUP(MONTH(A147),ManualTable,3)=1,(IF(S147&lt;&gt;0,IF(Pricetype=1,(_xll.xSPRDOPT(J147,$E147,$CI147,0,($CD147+IF(Smile=TRUE,VLOOKUP(MAX(-5,$H147-J147),Volsmile,2),0)),$CG147,$CH147,($A147-DateToday)+15,1,1))*(8*$HD147),8*$HD147),0)),0))</f>
        <v xml:space="preserve"> </v>
      </c>
      <c r="AC147" s="254" t="str">
        <f t="shared" si="394"/>
        <v xml:space="preserve"> </v>
      </c>
      <c r="AD147" s="254" t="str">
        <f>IF($A147="N/A"," ",IF(VLOOKUP(MONTH(A147),ManualTable,5)=1,(IF(U147&lt;&gt;0,IF(Pricetype=1,(_xll.xSPRDOPT(L147,$E147,$CI147,0,($CD147+IF(Smile=TRUE,VLOOKUP(MAX(-5,$H147-L147),Volsmile,2),0)),$CG147,$CH147,($A147-DateToday)+15,1,1))*(8*$HE147),8*$HE147),0)),0))</f>
        <v xml:space="preserve"> </v>
      </c>
      <c r="AE147" s="254" t="str">
        <f>IF($A147="N/A"," ",IF(VLOOKUP(MONTH(A147),ManualTable,6)=1,(IF(V147&lt;&gt;0,IF(Pricetype=1,(_xll.xSPRDOPT(M147,$E147,$CI147,0,($CD147+IF(Smile=TRUE,VLOOKUP(MAX(-5,$H147-M147),Volsmile,2),0)),$CG147,$CH147,($A147-DateToday)+15,1,1))*(8*$HE147),8*$HE147),0)),0))</f>
        <v xml:space="preserve"> </v>
      </c>
      <c r="AF147" s="254" t="str">
        <f t="shared" si="395"/>
        <v xml:space="preserve"> </v>
      </c>
      <c r="AG147" s="254" t="str">
        <f>IF($A147="N/A"," ",IF(VLOOKUP(MONTH(A147),ManualTable,8)=1,(IF(X147&lt;&gt;0,IF(Pricetype=1,(_xll.xSPRDOPT(O147,$E147,$CI147,0,($CD147+IF(Smile=TRUE,VLOOKUP(MAX(-5,$H147-O147),Volsmile,2),0)),$CG147,$CH147,($A147-DateToday)+15,1,1))*(8*$HF147),8*$HF147),0)),0))</f>
        <v xml:space="preserve"> </v>
      </c>
      <c r="AH147" s="254" t="str">
        <f>IF($A147="N/A"," ",IF(VLOOKUP(MONTH(A147),ManualTable,9)=1,(IF(Y147&lt;&gt;0,IF(Pricetype=1,(_xll.xSPRDOPT(P147,$E147,$CI147,0,($CD147+IF(Smile=TRUE,VLOOKUP(MAX(-5,$H147-P147),Volsmile,2),0)),$CG147,$CH147,($A147-DateToday)+15,1,1))*(8*$HF147),8*$HF147),0)),0))</f>
        <v xml:space="preserve"> </v>
      </c>
      <c r="AI147" s="254" t="str">
        <f t="shared" si="396"/>
        <v xml:space="preserve"> </v>
      </c>
      <c r="AJ147" s="230" t="str">
        <f t="shared" si="426"/>
        <v xml:space="preserve"> </v>
      </c>
      <c r="AK147" s="231" t="str">
        <f t="shared" si="427"/>
        <v xml:space="preserve"> </v>
      </c>
      <c r="AL147" s="231" t="str">
        <f t="shared" si="427"/>
        <v xml:space="preserve"> </v>
      </c>
      <c r="AM147" s="231" t="str">
        <f t="shared" si="428"/>
        <v xml:space="preserve"> </v>
      </c>
      <c r="AN147" s="231" t="str">
        <f t="shared" si="429"/>
        <v xml:space="preserve"> </v>
      </c>
      <c r="AO147" s="231" t="str">
        <f t="shared" si="429"/>
        <v xml:space="preserve"> </v>
      </c>
      <c r="AP147" s="231" t="str">
        <f t="shared" si="430"/>
        <v xml:space="preserve"> </v>
      </c>
      <c r="AQ147" s="231" t="str">
        <f t="shared" si="431"/>
        <v xml:space="preserve"> </v>
      </c>
      <c r="AR147" s="232" t="str">
        <f t="shared" si="432"/>
        <v xml:space="preserve"> </v>
      </c>
      <c r="AS147" s="264" t="str">
        <f t="shared" si="433"/>
        <v xml:space="preserve"> </v>
      </c>
      <c r="AT147" s="265" t="str">
        <f t="shared" si="434"/>
        <v xml:space="preserve"> </v>
      </c>
      <c r="AU147" s="265" t="str">
        <f t="shared" si="434"/>
        <v xml:space="preserve"> </v>
      </c>
      <c r="AV147" s="265" t="str">
        <f t="shared" si="435"/>
        <v xml:space="preserve"> </v>
      </c>
      <c r="AW147" s="265" t="str">
        <f t="shared" si="436"/>
        <v xml:space="preserve"> </v>
      </c>
      <c r="AX147" s="265" t="str">
        <f t="shared" si="436"/>
        <v xml:space="preserve"> </v>
      </c>
      <c r="AY147" s="265" t="str">
        <f t="shared" si="437"/>
        <v xml:space="preserve"> </v>
      </c>
      <c r="AZ147" s="265" t="str">
        <f t="shared" si="438"/>
        <v xml:space="preserve"> </v>
      </c>
      <c r="BA147" s="265" t="str">
        <f t="shared" si="439"/>
        <v xml:space="preserve"> </v>
      </c>
      <c r="BB147" s="232">
        <f>IF(($AZ$2-BB146)&gt;=0,$AZ$2-BB146,0)</f>
        <v>980</v>
      </c>
      <c r="BC147" s="270" t="str">
        <f t="shared" si="419"/>
        <v xml:space="preserve"> </v>
      </c>
      <c r="BD147" s="271" t="str">
        <f t="shared" si="420"/>
        <v xml:space="preserve"> </v>
      </c>
      <c r="BE147" s="269" t="str">
        <f t="shared" si="420"/>
        <v xml:space="preserve"> </v>
      </c>
      <c r="BF147" s="271" t="str">
        <f t="shared" si="421"/>
        <v xml:space="preserve"> </v>
      </c>
      <c r="BG147" s="271" t="str">
        <f t="shared" si="422"/>
        <v xml:space="preserve"> </v>
      </c>
      <c r="BH147" s="269" t="str">
        <f t="shared" si="422"/>
        <v xml:space="preserve"> </v>
      </c>
      <c r="BI147" s="271" t="str">
        <f t="shared" si="423"/>
        <v xml:space="preserve"> </v>
      </c>
      <c r="BJ147" s="271" t="str">
        <f t="shared" si="424"/>
        <v xml:space="preserve"> </v>
      </c>
      <c r="BK147" s="271" t="str">
        <f t="shared" si="425"/>
        <v xml:space="preserve"> </v>
      </c>
      <c r="BL147" s="235">
        <f>BB146+BL146</f>
        <v>0</v>
      </c>
      <c r="BM147" s="220" t="str">
        <f>IF($A147="N/A"," ",(IF(MONTH(A147)&gt;=4,IF(MONTH(A147)&lt;=10,Inputs!$F$13-Inputs!$G$13,Inputs!$F$14-Inputs!$G$14),Inputs!$F$14-Inputs!$G$14))*$CK147*Availability)</f>
        <v xml:space="preserve"> </v>
      </c>
      <c r="BN147" s="221" t="str">
        <f t="shared" si="397"/>
        <v xml:space="preserve"> </v>
      </c>
      <c r="BO147" s="221" t="str">
        <f t="shared" si="398"/>
        <v xml:space="preserve"> </v>
      </c>
      <c r="BP147" s="221" t="str">
        <f t="shared" si="399"/>
        <v xml:space="preserve"> </v>
      </c>
      <c r="BQ147" s="221" t="str">
        <f t="shared" si="400"/>
        <v xml:space="preserve"> </v>
      </c>
      <c r="BR147" s="221" t="str">
        <f t="shared" si="401"/>
        <v xml:space="preserve"> </v>
      </c>
      <c r="BS147" s="221" t="str">
        <f t="shared" si="402"/>
        <v xml:space="preserve"> </v>
      </c>
      <c r="BT147" s="221" t="str">
        <f t="shared" si="403"/>
        <v xml:space="preserve"> </v>
      </c>
      <c r="BU147" s="221" t="str">
        <f t="shared" si="404"/>
        <v xml:space="preserve"> </v>
      </c>
      <c r="BV147" s="221" t="str">
        <f t="shared" si="405"/>
        <v xml:space="preserve"> </v>
      </c>
      <c r="BW147" s="221" t="str">
        <f t="shared" si="406"/>
        <v xml:space="preserve"> </v>
      </c>
      <c r="BX147" s="421" t="str">
        <f t="shared" si="407"/>
        <v xml:space="preserve"> </v>
      </c>
      <c r="BY147" s="417" t="str">
        <f t="shared" si="408"/>
        <v xml:space="preserve"> </v>
      </c>
      <c r="BZ147" s="417" t="str">
        <f t="shared" si="409"/>
        <v xml:space="preserve"> </v>
      </c>
      <c r="CA147" s="422" t="str">
        <f t="shared" si="410"/>
        <v xml:space="preserve"> </v>
      </c>
      <c r="CB147" s="347" t="str">
        <f t="shared" si="354"/>
        <v xml:space="preserve"> </v>
      </c>
      <c r="CC147" s="347" t="str">
        <f t="shared" si="411"/>
        <v xml:space="preserve"> </v>
      </c>
      <c r="CD147" s="348" t="str">
        <f t="shared" si="355"/>
        <v xml:space="preserve"> </v>
      </c>
      <c r="CE147" s="347" t="str">
        <f t="shared" si="356"/>
        <v xml:space="preserve"> </v>
      </c>
      <c r="CF147" s="347" t="str">
        <f t="shared" si="357"/>
        <v xml:space="preserve"> </v>
      </c>
      <c r="CG147" s="348" t="str">
        <f t="shared" si="358"/>
        <v xml:space="preserve"> </v>
      </c>
      <c r="CH147" s="347" t="str">
        <f t="shared" si="412"/>
        <v xml:space="preserve"> </v>
      </c>
      <c r="CI147" s="349" t="str">
        <f>IF($A147="N/A"," ",F147+G147+(D147*('Pricing Inputs'!T180)))</f>
        <v xml:space="preserve"> </v>
      </c>
      <c r="CJ147" s="347" t="str">
        <f>IF($A147="N/A"," ",IF(PV=1,0,'Pricing Inputs'!U180))</f>
        <v xml:space="preserve"> </v>
      </c>
      <c r="CK147" s="350" t="str">
        <f t="shared" si="359"/>
        <v xml:space="preserve"> </v>
      </c>
      <c r="CL147" s="365" t="str">
        <f t="shared" si="360"/>
        <v xml:space="preserve"> </v>
      </c>
      <c r="CM147" s="380" t="str">
        <f t="shared" si="413"/>
        <v xml:space="preserve"> </v>
      </c>
      <c r="CN147" s="378" t="str">
        <f t="shared" si="361"/>
        <v xml:space="preserve"> </v>
      </c>
      <c r="CO147" s="378" t="str">
        <f t="shared" si="362"/>
        <v xml:space="preserve"> </v>
      </c>
      <c r="CP147" s="378" t="str">
        <f t="shared" si="363"/>
        <v xml:space="preserve"> </v>
      </c>
      <c r="CQ147" s="378" t="str">
        <f t="shared" si="364"/>
        <v xml:space="preserve"> </v>
      </c>
      <c r="CR147" s="378" t="str">
        <f t="shared" si="365"/>
        <v xml:space="preserve"> </v>
      </c>
      <c r="CS147" s="378" t="str">
        <f t="shared" si="366"/>
        <v xml:space="preserve"> </v>
      </c>
      <c r="CT147" s="378" t="str">
        <f t="shared" si="367"/>
        <v xml:space="preserve"> </v>
      </c>
      <c r="CU147" s="378" t="str">
        <f t="shared" si="368"/>
        <v xml:space="preserve"> </v>
      </c>
      <c r="CV147" s="378" t="str">
        <f t="shared" si="369"/>
        <v xml:space="preserve"> </v>
      </c>
      <c r="CW147" s="254" t="str">
        <f t="shared" si="370"/>
        <v xml:space="preserve"> </v>
      </c>
      <c r="CX147" s="254" t="str">
        <f t="shared" si="371"/>
        <v xml:space="preserve"> </v>
      </c>
      <c r="CY147" s="254" t="str">
        <f t="shared" si="372"/>
        <v xml:space="preserve"> </v>
      </c>
      <c r="CZ147" s="254" t="str">
        <f t="shared" si="373"/>
        <v xml:space="preserve"> </v>
      </c>
      <c r="DA147" s="254" t="str">
        <f t="shared" si="374"/>
        <v xml:space="preserve"> </v>
      </c>
      <c r="DB147" s="254" t="str">
        <f t="shared" si="375"/>
        <v xml:space="preserve"> </v>
      </c>
      <c r="DC147" s="254" t="str">
        <f t="shared" si="376"/>
        <v xml:space="preserve"> </v>
      </c>
      <c r="DD147" s="254" t="str">
        <f t="shared" si="377"/>
        <v xml:space="preserve"> </v>
      </c>
      <c r="DE147" s="254" t="str">
        <f t="shared" si="378"/>
        <v xml:space="preserve"> </v>
      </c>
      <c r="DF147" s="374" t="str">
        <f>IF($A147="N/A"," ",IF(CC=2,(IF(MONTH(A147)&gt;=4,IF(MONTH(A147)&lt;=10,Inputs!$G$13,Inputs!$G$14),Inputs!$G$14))*$CK147,0))</f>
        <v xml:space="preserve"> </v>
      </c>
      <c r="DG147" s="373" t="str">
        <f t="shared" si="379"/>
        <v xml:space="preserve"> </v>
      </c>
      <c r="DH147" s="373" t="str">
        <f t="shared" si="380"/>
        <v xml:space="preserve"> </v>
      </c>
      <c r="DI147" s="373" t="str">
        <f t="shared" si="381"/>
        <v xml:space="preserve"> </v>
      </c>
      <c r="DJ147" s="373" t="str">
        <f t="shared" si="382"/>
        <v xml:space="preserve"> </v>
      </c>
      <c r="DK147" s="373" t="str">
        <f t="shared" si="383"/>
        <v xml:space="preserve"> </v>
      </c>
      <c r="DL147" s="373" t="str">
        <f t="shared" si="384"/>
        <v xml:space="preserve"> </v>
      </c>
      <c r="DM147" s="373" t="str">
        <f t="shared" si="385"/>
        <v xml:space="preserve"> </v>
      </c>
      <c r="DN147" s="373" t="str">
        <f t="shared" si="386"/>
        <v xml:space="preserve"> </v>
      </c>
      <c r="DO147" s="373" t="str">
        <f t="shared" si="387"/>
        <v xml:space="preserve"> </v>
      </c>
      <c r="DP147" s="375" t="str">
        <f t="shared" si="388"/>
        <v xml:space="preserve"> </v>
      </c>
      <c r="DQ147" t="str">
        <f t="shared" si="414"/>
        <v xml:space="preserve"> </v>
      </c>
      <c r="HD147" t="str">
        <f t="shared" si="415"/>
        <v xml:space="preserve"> </v>
      </c>
      <c r="HE147" t="str">
        <f t="shared" si="416"/>
        <v xml:space="preserve"> </v>
      </c>
      <c r="HF147" t="str">
        <f t="shared" si="417"/>
        <v xml:space="preserve"> </v>
      </c>
    </row>
    <row r="148" spans="1:214">
      <c r="A148" s="415" t="str">
        <f>IF(A147="N/A","N/A",IF(EDATE(A147,1)&gt;Inputs!$K$3,"N/A",EDATE(A147,1)))</f>
        <v>N/A</v>
      </c>
      <c r="B148" s="410" t="str">
        <f t="shared" si="389"/>
        <v xml:space="preserve"> </v>
      </c>
      <c r="C148" s="411" t="str">
        <f t="shared" si="390"/>
        <v xml:space="preserve"> </v>
      </c>
      <c r="D148" s="412" t="str">
        <f t="shared" si="391"/>
        <v xml:space="preserve"> </v>
      </c>
      <c r="E148" s="413" t="str">
        <f>IF($A148="N/A"," ",(C148-'Pricing Inputs'!T181)*D148)</f>
        <v xml:space="preserve"> </v>
      </c>
      <c r="F148" s="414" t="str">
        <f t="shared" si="440"/>
        <v xml:space="preserve"> </v>
      </c>
      <c r="G148" s="414" t="str">
        <f t="shared" si="392"/>
        <v xml:space="preserve"> </v>
      </c>
      <c r="H148" s="416" t="str">
        <f t="shared" si="393"/>
        <v xml:space="preserve"> </v>
      </c>
      <c r="I148" s="213" t="str">
        <f t="shared" si="342"/>
        <v xml:space="preserve"> </v>
      </c>
      <c r="J148" s="213" t="str">
        <f t="shared" si="343"/>
        <v xml:space="preserve"> </v>
      </c>
      <c r="K148" s="213" t="str">
        <f t="shared" si="344"/>
        <v xml:space="preserve"> </v>
      </c>
      <c r="L148" s="213" t="str">
        <f t="shared" si="345"/>
        <v xml:space="preserve"> </v>
      </c>
      <c r="M148" s="213" t="str">
        <f t="shared" si="346"/>
        <v xml:space="preserve"> </v>
      </c>
      <c r="N148" s="213" t="str">
        <f t="shared" si="347"/>
        <v xml:space="preserve"> </v>
      </c>
      <c r="O148" s="213" t="str">
        <f t="shared" si="348"/>
        <v xml:space="preserve"> </v>
      </c>
      <c r="P148" s="213" t="str">
        <f t="shared" si="349"/>
        <v xml:space="preserve"> </v>
      </c>
      <c r="Q148" s="213" t="str">
        <f t="shared" si="350"/>
        <v xml:space="preserve"> </v>
      </c>
      <c r="R148" s="405" t="str">
        <f>IF($A148="N/A"," ",IF(Pricetype=2,MAX(I148-$H148,0),IF(Pricetype=1,(_xll.xSPRDOPT(I148,$E148,$CI148,0,($CD148+IF(Smile=TRUE,VLOOKUP(MAX(-5,$H148-I148),Volsmile,2),0)),$CG148,$CH148,($A148-DateToday)+15,1,0)),I148-$H148)))</f>
        <v xml:space="preserve"> </v>
      </c>
      <c r="S148" s="405" t="str">
        <f>IF($A148="N/A"," ",IF(Pricetype=2,MAX(J148-$H148,0),IF(Pricetype=1,(_xll.xSPRDOPT(J148,$E148,$CI148,0,($CD148+IF(Smile=TRUE,VLOOKUP(MAX(-5,$H148-J148),Volsmile,2),0)),$CG148,$CH148,($A148-DateToday)+15,1,0)),J148-$H148)))</f>
        <v xml:space="preserve"> </v>
      </c>
      <c r="T148" s="406" t="str">
        <f t="shared" si="351"/>
        <v xml:space="preserve"> </v>
      </c>
      <c r="U148" s="405" t="str">
        <f>IF($A148="N/A"," ",IF(Pricetype=2,MAX(L148-$H148,0),IF(L148&lt;&gt;0,IF(Pricetype=1,(_xll.xSPRDOPT(L148,$E148,$CI148,0,($CD148+IF(Smile=TRUE,VLOOKUP(MAX(-5,$H148-L148),Volsmile,2),0)),$CG148,$CH148,($A148-DateToday)+15,1,0)),L148-$H148),0)))</f>
        <v xml:space="preserve"> </v>
      </c>
      <c r="V148" s="405" t="str">
        <f>IF($A148="N/A"," ",IF(Pricetype=2,MAX(M148-$H148,0),IF(M148&lt;&gt;0,IF(Pricetype=1,(_xll.xSPRDOPT(M148,$E148,$CI148,0,($CD148+IF(Smile=TRUE,VLOOKUP(MAX(-5,$H148-M148),Volsmile,2),0)),$CG148,$CH148,($A148-DateToday)+15,1,0)),M148-$H148),0)))</f>
        <v xml:space="preserve"> </v>
      </c>
      <c r="W148" s="406" t="str">
        <f t="shared" si="352"/>
        <v xml:space="preserve"> </v>
      </c>
      <c r="X148" s="405" t="str">
        <f>IF($A148="N/A"," ",IF(Pricetype=2,MAX(O148-$H148,0),IF(O148&lt;&gt;0,IF(Pricetype=1,(_xll.xSPRDOPT(O148,$E148,$CI148,0,($CD148+IF(Smile=TRUE,VLOOKUP(MAX(-5,$H148-O148),Volsmile,2),0)),$CG148,$CH148,($A148-DateToday)+15,1,0)),O148-$H148),0)))</f>
        <v xml:space="preserve"> </v>
      </c>
      <c r="Y148" s="405" t="str">
        <f>IF($A148="N/A"," ",IF(Pricetype=2,MAX(P148-$H148,0),IF(P148&lt;&gt;0,IF(Pricetype=1,(_xll.xSPRDOPT(P148,$E148,$CI148,0,($CD148+IF(Smile=TRUE,VLOOKUP(MAX(-5,$H148-P148),Volsmile,2),0)),$CG148,$CH148,($A148-DateToday)+15,1,0)),P148-$H148),0)))</f>
        <v xml:space="preserve"> </v>
      </c>
      <c r="Z148" s="406" t="str">
        <f t="shared" si="353"/>
        <v xml:space="preserve"> </v>
      </c>
      <c r="AA148" s="254" t="str">
        <f>IF($A148="N/A"," ",IF(VLOOKUP(MONTH(A148),ManualTable,2)=1,(IF(0&lt;&gt;R148,IF(Pricetype=1,(_xll.xSPRDOPT(I148,$E148,$CI148,0,($CD148+IF(Smile=TRUE,VLOOKUP(MAX(-5,$H148-I148),Volsmile,2),0)),$CG148,$CH148,($A148-DateToday)+15,1,1))*(8*$HD148),8*$HD148),0)),0))</f>
        <v xml:space="preserve"> </v>
      </c>
      <c r="AB148" s="254" t="str">
        <f>IF($A148="N/A"," ",IF(VLOOKUP(MONTH(A148),ManualTable,3)=1,(IF(S148&lt;&gt;0,IF(Pricetype=1,(_xll.xSPRDOPT(J148,$E148,$CI148,0,($CD148+IF(Smile=TRUE,VLOOKUP(MAX(-5,$H148-J148),Volsmile,2),0)),$CG148,$CH148,($A148-DateToday)+15,1,1))*(8*$HD148),8*$HD148),0)),0))</f>
        <v xml:space="preserve"> </v>
      </c>
      <c r="AC148" s="254" t="str">
        <f t="shared" si="394"/>
        <v xml:space="preserve"> </v>
      </c>
      <c r="AD148" s="254" t="str">
        <f>IF($A148="N/A"," ",IF(VLOOKUP(MONTH(A148),ManualTable,5)=1,(IF(U148&lt;&gt;0,IF(Pricetype=1,(_xll.xSPRDOPT(L148,$E148,$CI148,0,($CD148+IF(Smile=TRUE,VLOOKUP(MAX(-5,$H148-L148),Volsmile,2),0)),$CG148,$CH148,($A148-DateToday)+15,1,1))*(8*$HE148),8*$HE148),0)),0))</f>
        <v xml:space="preserve"> </v>
      </c>
      <c r="AE148" s="254" t="str">
        <f>IF($A148="N/A"," ",IF(VLOOKUP(MONTH(A148),ManualTable,6)=1,(IF(V148&lt;&gt;0,IF(Pricetype=1,(_xll.xSPRDOPT(M148,$E148,$CI148,0,($CD148+IF(Smile=TRUE,VLOOKUP(MAX(-5,$H148-M148),Volsmile,2),0)),$CG148,$CH148,($A148-DateToday)+15,1,1))*(8*$HE148),8*$HE148),0)),0))</f>
        <v xml:space="preserve"> </v>
      </c>
      <c r="AF148" s="254" t="str">
        <f t="shared" si="395"/>
        <v xml:space="preserve"> </v>
      </c>
      <c r="AG148" s="254" t="str">
        <f>IF($A148="N/A"," ",IF(VLOOKUP(MONTH(A148),ManualTable,8)=1,(IF(X148&lt;&gt;0,IF(Pricetype=1,(_xll.xSPRDOPT(O148,$E148,$CI148,0,($CD148+IF(Smile=TRUE,VLOOKUP(MAX(-5,$H148-O148),Volsmile,2),0)),$CG148,$CH148,($A148-DateToday)+15,1,1))*(8*$HF148),8*$HF148),0)),0))</f>
        <v xml:space="preserve"> </v>
      </c>
      <c r="AH148" s="254" t="str">
        <f>IF($A148="N/A"," ",IF(VLOOKUP(MONTH(A148),ManualTable,9)=1,(IF(Y148&lt;&gt;0,IF(Pricetype=1,(_xll.xSPRDOPT(P148,$E148,$CI148,0,($CD148+IF(Smile=TRUE,VLOOKUP(MAX(-5,$H148-P148),Volsmile,2),0)),$CG148,$CH148,($A148-DateToday)+15,1,1))*(8*$HF148),8*$HF148),0)),0))</f>
        <v xml:space="preserve"> </v>
      </c>
      <c r="AI148" s="254" t="str">
        <f t="shared" si="396"/>
        <v xml:space="preserve"> </v>
      </c>
      <c r="AJ148" s="224" t="str">
        <f t="shared" ref="AJ148:AR148" si="441">IF($A148="N/A"," ",RANK(R148,$R$148:$Z$159))</f>
        <v xml:space="preserve"> </v>
      </c>
      <c r="AK148" s="225" t="str">
        <f t="shared" si="441"/>
        <v xml:space="preserve"> </v>
      </c>
      <c r="AL148" s="225" t="str">
        <f t="shared" si="441"/>
        <v xml:space="preserve"> </v>
      </c>
      <c r="AM148" s="225" t="str">
        <f t="shared" si="441"/>
        <v xml:space="preserve"> </v>
      </c>
      <c r="AN148" s="225" t="str">
        <f t="shared" si="441"/>
        <v xml:space="preserve"> </v>
      </c>
      <c r="AO148" s="225" t="str">
        <f t="shared" si="441"/>
        <v xml:space="preserve"> </v>
      </c>
      <c r="AP148" s="225" t="str">
        <f t="shared" si="441"/>
        <v xml:space="preserve"> </v>
      </c>
      <c r="AQ148" s="225" t="str">
        <f t="shared" si="441"/>
        <v xml:space="preserve"> </v>
      </c>
      <c r="AR148" s="226" t="str">
        <f t="shared" si="441"/>
        <v xml:space="preserve"> </v>
      </c>
      <c r="AS148" s="260" t="str">
        <f t="shared" si="433"/>
        <v xml:space="preserve"> </v>
      </c>
      <c r="AT148" s="261" t="str">
        <f t="shared" si="434"/>
        <v xml:space="preserve"> </v>
      </c>
      <c r="AU148" s="263" t="str">
        <f t="shared" si="434"/>
        <v xml:space="preserve"> </v>
      </c>
      <c r="AV148" s="263" t="str">
        <f t="shared" si="435"/>
        <v xml:space="preserve"> </v>
      </c>
      <c r="AW148" s="263" t="str">
        <f t="shared" si="436"/>
        <v xml:space="preserve"> </v>
      </c>
      <c r="AX148" s="263" t="str">
        <f t="shared" si="436"/>
        <v xml:space="preserve"> </v>
      </c>
      <c r="AY148" s="261" t="str">
        <f t="shared" si="437"/>
        <v xml:space="preserve"> </v>
      </c>
      <c r="AZ148" s="261" t="str">
        <f t="shared" si="438"/>
        <v xml:space="preserve"> </v>
      </c>
      <c r="BA148" s="261" t="str">
        <f t="shared" si="439"/>
        <v xml:space="preserve"> </v>
      </c>
      <c r="BB148" s="226"/>
      <c r="BC148" s="272" t="str">
        <f t="shared" ref="BC148:BC159" si="442">IF($A148="N/A"," ",IF(AND(AJ148=$AR$2+1,AS148=0),MIN($BB$159,AA148),0))</f>
        <v xml:space="preserve"> </v>
      </c>
      <c r="BD148" s="267" t="str">
        <f t="shared" ref="BD148:BE159" si="443">IF($A148="N/A"," ",IF(AND(AK148=$AR$2+1,AT148=0),MIN($BB$159,AB148),0))</f>
        <v xml:space="preserve"> </v>
      </c>
      <c r="BE148" s="267" t="str">
        <f t="shared" si="443"/>
        <v xml:space="preserve"> </v>
      </c>
      <c r="BF148" s="267" t="str">
        <f t="shared" ref="BF148:BF159" si="444">IF($A148="N/A"," ",IF(AND(AM148=$AR$2+1,AV148=0),MIN($BB$159,AD148),0))</f>
        <v xml:space="preserve"> </v>
      </c>
      <c r="BG148" s="267" t="str">
        <f t="shared" ref="BG148:BH159" si="445">IF($A148="N/A"," ",IF(AND(AN148=$AR$2+1,AW148=0),MIN($BB$159,AE148),0))</f>
        <v xml:space="preserve"> </v>
      </c>
      <c r="BH148" s="267" t="str">
        <f t="shared" si="445"/>
        <v xml:space="preserve"> </v>
      </c>
      <c r="BI148" s="267" t="str">
        <f t="shared" ref="BI148:BI159" si="446">IF($A148="N/A"," ",IF(AND(AP148=$AR$2+1,AY148=0),MIN($BB$159,AG148),0))</f>
        <v xml:space="preserve"> </v>
      </c>
      <c r="BJ148" s="267" t="str">
        <f t="shared" ref="BJ148:BJ159" si="447">IF($A148="N/A"," ",IF(AND(AQ148=$AR$2+1,AZ148=0),MIN($BB$159,AH148),0))</f>
        <v xml:space="preserve"> </v>
      </c>
      <c r="BK148" s="267" t="str">
        <f t="shared" ref="BK148:BK159" si="448">IF($A148="N/A"," ",IF(AND(AR148=$AR$2+1,BA148=0),MIN($BB$159,AI148),0))</f>
        <v xml:space="preserve"> </v>
      </c>
      <c r="BL148" s="226"/>
      <c r="BM148" s="220" t="str">
        <f>IF($A148="N/A"," ",(IF(MONTH(A148)&gt;=4,IF(MONTH(A148)&lt;=10,Inputs!$F$13-Inputs!$G$13,Inputs!$F$14-Inputs!$G$14),Inputs!$F$14-Inputs!$G$14))*$CK148*Availability)</f>
        <v xml:space="preserve"> </v>
      </c>
      <c r="BN148" s="221" t="str">
        <f t="shared" si="397"/>
        <v xml:space="preserve"> </v>
      </c>
      <c r="BO148" s="221" t="str">
        <f t="shared" si="398"/>
        <v xml:space="preserve"> </v>
      </c>
      <c r="BP148" s="221" t="str">
        <f t="shared" si="399"/>
        <v xml:space="preserve"> </v>
      </c>
      <c r="BQ148" s="221" t="str">
        <f t="shared" si="400"/>
        <v xml:space="preserve"> </v>
      </c>
      <c r="BR148" s="221" t="str">
        <f t="shared" si="401"/>
        <v xml:space="preserve"> </v>
      </c>
      <c r="BS148" s="221" t="str">
        <f t="shared" si="402"/>
        <v xml:space="preserve"> </v>
      </c>
      <c r="BT148" s="221" t="str">
        <f t="shared" si="403"/>
        <v xml:space="preserve"> </v>
      </c>
      <c r="BU148" s="221" t="str">
        <f t="shared" si="404"/>
        <v xml:space="preserve"> </v>
      </c>
      <c r="BV148" s="221" t="str">
        <f t="shared" si="405"/>
        <v xml:space="preserve"> </v>
      </c>
      <c r="BW148" s="221" t="str">
        <f t="shared" si="406"/>
        <v xml:space="preserve"> </v>
      </c>
      <c r="BX148" s="421" t="str">
        <f t="shared" si="407"/>
        <v xml:space="preserve"> </v>
      </c>
      <c r="BY148" s="417" t="str">
        <f t="shared" si="408"/>
        <v xml:space="preserve"> </v>
      </c>
      <c r="BZ148" s="417" t="str">
        <f t="shared" si="409"/>
        <v xml:space="preserve"> </v>
      </c>
      <c r="CA148" s="422" t="str">
        <f t="shared" si="410"/>
        <v xml:space="preserve"> </v>
      </c>
      <c r="CB148" s="347" t="str">
        <f t="shared" si="354"/>
        <v xml:space="preserve"> </v>
      </c>
      <c r="CC148" s="347" t="str">
        <f t="shared" si="411"/>
        <v xml:space="preserve"> </v>
      </c>
      <c r="CD148" s="348" t="str">
        <f t="shared" si="355"/>
        <v xml:space="preserve"> </v>
      </c>
      <c r="CE148" s="347" t="str">
        <f t="shared" si="356"/>
        <v xml:space="preserve"> </v>
      </c>
      <c r="CF148" s="347" t="str">
        <f t="shared" si="357"/>
        <v xml:space="preserve"> </v>
      </c>
      <c r="CG148" s="348" t="str">
        <f t="shared" si="358"/>
        <v xml:space="preserve"> </v>
      </c>
      <c r="CH148" s="347" t="str">
        <f t="shared" si="412"/>
        <v xml:space="preserve"> </v>
      </c>
      <c r="CI148" s="349" t="str">
        <f>IF($A148="N/A"," ",F148+G148+(D148*('Pricing Inputs'!T181)))</f>
        <v xml:space="preserve"> </v>
      </c>
      <c r="CJ148" s="347" t="str">
        <f>IF($A148="N/A"," ",IF(PV=1,0,'Pricing Inputs'!U181))</f>
        <v xml:space="preserve"> </v>
      </c>
      <c r="CK148" s="350" t="str">
        <f t="shared" si="359"/>
        <v xml:space="preserve"> </v>
      </c>
      <c r="CL148" s="365" t="str">
        <f t="shared" si="360"/>
        <v xml:space="preserve"> </v>
      </c>
      <c r="CM148" s="380" t="str">
        <f t="shared" si="413"/>
        <v xml:space="preserve"> </v>
      </c>
      <c r="CN148" s="378" t="str">
        <f t="shared" si="361"/>
        <v xml:space="preserve"> </v>
      </c>
      <c r="CO148" s="378" t="str">
        <f t="shared" si="362"/>
        <v xml:space="preserve"> </v>
      </c>
      <c r="CP148" s="378" t="str">
        <f t="shared" si="363"/>
        <v xml:space="preserve"> </v>
      </c>
      <c r="CQ148" s="378" t="str">
        <f t="shared" si="364"/>
        <v xml:space="preserve"> </v>
      </c>
      <c r="CR148" s="378" t="str">
        <f t="shared" si="365"/>
        <v xml:space="preserve"> </v>
      </c>
      <c r="CS148" s="378" t="str">
        <f t="shared" si="366"/>
        <v xml:space="preserve"> </v>
      </c>
      <c r="CT148" s="378" t="str">
        <f t="shared" si="367"/>
        <v xml:space="preserve"> </v>
      </c>
      <c r="CU148" s="378" t="str">
        <f t="shared" si="368"/>
        <v xml:space="preserve"> </v>
      </c>
      <c r="CV148" s="378" t="str">
        <f t="shared" si="369"/>
        <v xml:space="preserve"> </v>
      </c>
      <c r="CW148" s="254" t="str">
        <f t="shared" si="370"/>
        <v xml:space="preserve"> </v>
      </c>
      <c r="CX148" s="254" t="str">
        <f t="shared" si="371"/>
        <v xml:space="preserve"> </v>
      </c>
      <c r="CY148" s="254" t="str">
        <f t="shared" si="372"/>
        <v xml:space="preserve"> </v>
      </c>
      <c r="CZ148" s="254" t="str">
        <f t="shared" si="373"/>
        <v xml:space="preserve"> </v>
      </c>
      <c r="DA148" s="254" t="str">
        <f t="shared" si="374"/>
        <v xml:space="preserve"> </v>
      </c>
      <c r="DB148" s="254" t="str">
        <f t="shared" si="375"/>
        <v xml:space="preserve"> </v>
      </c>
      <c r="DC148" s="254" t="str">
        <f t="shared" si="376"/>
        <v xml:space="preserve"> </v>
      </c>
      <c r="DD148" s="254" t="str">
        <f t="shared" si="377"/>
        <v xml:space="preserve"> </v>
      </c>
      <c r="DE148" s="254" t="str">
        <f t="shared" si="378"/>
        <v xml:space="preserve"> </v>
      </c>
      <c r="DF148" s="374" t="str">
        <f>IF($A148="N/A"," ",IF(CC=2,(IF(MONTH(A148)&gt;=4,IF(MONTH(A148)&lt;=10,Inputs!$G$13,Inputs!$G$14),Inputs!$G$14))*$CK148,0))</f>
        <v xml:space="preserve"> </v>
      </c>
      <c r="DG148" s="373" t="str">
        <f t="shared" si="379"/>
        <v xml:space="preserve"> </v>
      </c>
      <c r="DH148" s="373" t="str">
        <f t="shared" si="380"/>
        <v xml:space="preserve"> </v>
      </c>
      <c r="DI148" s="373" t="str">
        <f t="shared" si="381"/>
        <v xml:space="preserve"> </v>
      </c>
      <c r="DJ148" s="373" t="str">
        <f t="shared" si="382"/>
        <v xml:space="preserve"> </v>
      </c>
      <c r="DK148" s="373" t="str">
        <f t="shared" si="383"/>
        <v xml:space="preserve"> </v>
      </c>
      <c r="DL148" s="373" t="str">
        <f t="shared" si="384"/>
        <v xml:space="preserve"> </v>
      </c>
      <c r="DM148" s="373" t="str">
        <f t="shared" si="385"/>
        <v xml:space="preserve"> </v>
      </c>
      <c r="DN148" s="373" t="str">
        <f t="shared" si="386"/>
        <v xml:space="preserve"> </v>
      </c>
      <c r="DO148" s="373" t="str">
        <f t="shared" si="387"/>
        <v xml:space="preserve"> </v>
      </c>
      <c r="DP148" s="375" t="str">
        <f t="shared" si="388"/>
        <v xml:space="preserve"> </v>
      </c>
      <c r="DQ148" t="str">
        <f t="shared" si="414"/>
        <v xml:space="preserve"> </v>
      </c>
      <c r="HD148" t="str">
        <f t="shared" si="415"/>
        <v xml:space="preserve"> </v>
      </c>
      <c r="HE148" t="str">
        <f t="shared" si="416"/>
        <v xml:space="preserve"> </v>
      </c>
      <c r="HF148" t="str">
        <f t="shared" si="417"/>
        <v xml:space="preserve"> </v>
      </c>
    </row>
    <row r="149" spans="1:214">
      <c r="A149" s="415" t="str">
        <f>IF(A148="N/A","N/A",IF(EDATE(A148,1)&gt;Inputs!$K$3,"N/A",EDATE(A148,1)))</f>
        <v>N/A</v>
      </c>
      <c r="B149" s="410" t="str">
        <f t="shared" si="389"/>
        <v xml:space="preserve"> </v>
      </c>
      <c r="C149" s="411" t="str">
        <f t="shared" si="390"/>
        <v xml:space="preserve"> </v>
      </c>
      <c r="D149" s="412" t="str">
        <f t="shared" si="391"/>
        <v xml:space="preserve"> </v>
      </c>
      <c r="E149" s="413" t="str">
        <f>IF($A149="N/A"," ",(C149-'Pricing Inputs'!T182)*D149)</f>
        <v xml:space="preserve"> </v>
      </c>
      <c r="F149" s="414" t="str">
        <f t="shared" si="440"/>
        <v xml:space="preserve"> </v>
      </c>
      <c r="G149" s="414" t="str">
        <f t="shared" si="392"/>
        <v xml:space="preserve"> </v>
      </c>
      <c r="H149" s="416" t="str">
        <f t="shared" si="393"/>
        <v xml:space="preserve"> </v>
      </c>
      <c r="I149" s="213" t="str">
        <f t="shared" si="342"/>
        <v xml:space="preserve"> </v>
      </c>
      <c r="J149" s="213" t="str">
        <f t="shared" si="343"/>
        <v xml:space="preserve"> </v>
      </c>
      <c r="K149" s="213" t="str">
        <f t="shared" si="344"/>
        <v xml:space="preserve"> </v>
      </c>
      <c r="L149" s="213" t="str">
        <f t="shared" si="345"/>
        <v xml:space="preserve"> </v>
      </c>
      <c r="M149" s="213" t="str">
        <f t="shared" si="346"/>
        <v xml:space="preserve"> </v>
      </c>
      <c r="N149" s="213" t="str">
        <f t="shared" si="347"/>
        <v xml:space="preserve"> </v>
      </c>
      <c r="O149" s="213" t="str">
        <f t="shared" si="348"/>
        <v xml:space="preserve"> </v>
      </c>
      <c r="P149" s="213" t="str">
        <f t="shared" si="349"/>
        <v xml:space="preserve"> </v>
      </c>
      <c r="Q149" s="213" t="str">
        <f t="shared" si="350"/>
        <v xml:space="preserve"> </v>
      </c>
      <c r="R149" s="405" t="str">
        <f>IF($A149="N/A"," ",IF(Pricetype=2,MAX(I149-$H149,0),IF(Pricetype=1,(_xll.xSPRDOPT(I149,$E149,$CI149,0,($CD149+IF(Smile=TRUE,VLOOKUP(MAX(-5,$H149-I149),Volsmile,2),0)),$CG149,$CH149,($A149-DateToday)+15,1,0)),I149-$H149)))</f>
        <v xml:space="preserve"> </v>
      </c>
      <c r="S149" s="405" t="str">
        <f>IF($A149="N/A"," ",IF(Pricetype=2,MAX(J149-$H149,0),IF(Pricetype=1,(_xll.xSPRDOPT(J149,$E149,$CI149,0,($CD149+IF(Smile=TRUE,VLOOKUP(MAX(-5,$H149-J149),Volsmile,2),0)),$CG149,$CH149,($A149-DateToday)+15,1,0)),J149-$H149)))</f>
        <v xml:space="preserve"> </v>
      </c>
      <c r="T149" s="406" t="str">
        <f t="shared" si="351"/>
        <v xml:space="preserve"> </v>
      </c>
      <c r="U149" s="405" t="str">
        <f>IF($A149="N/A"," ",IF(Pricetype=2,MAX(L149-$H149,0),IF(L149&lt;&gt;0,IF(Pricetype=1,(_xll.xSPRDOPT(L149,$E149,$CI149,0,($CD149+IF(Smile=TRUE,VLOOKUP(MAX(-5,$H149-L149),Volsmile,2),0)),$CG149,$CH149,($A149-DateToday)+15,1,0)),L149-$H149),0)))</f>
        <v xml:space="preserve"> </v>
      </c>
      <c r="V149" s="405" t="str">
        <f>IF($A149="N/A"," ",IF(Pricetype=2,MAX(M149-$H149,0),IF(M149&lt;&gt;0,IF(Pricetype=1,(_xll.xSPRDOPT(M149,$E149,$CI149,0,($CD149+IF(Smile=TRUE,VLOOKUP(MAX(-5,$H149-M149),Volsmile,2),0)),$CG149,$CH149,($A149-DateToday)+15,1,0)),M149-$H149),0)))</f>
        <v xml:space="preserve"> </v>
      </c>
      <c r="W149" s="406" t="str">
        <f t="shared" si="352"/>
        <v xml:space="preserve"> </v>
      </c>
      <c r="X149" s="405" t="str">
        <f>IF($A149="N/A"," ",IF(Pricetype=2,MAX(O149-$H149,0),IF(O149&lt;&gt;0,IF(Pricetype=1,(_xll.xSPRDOPT(O149,$E149,$CI149,0,($CD149+IF(Smile=TRUE,VLOOKUP(MAX(-5,$H149-O149),Volsmile,2),0)),$CG149,$CH149,($A149-DateToday)+15,1,0)),O149-$H149),0)))</f>
        <v xml:space="preserve"> </v>
      </c>
      <c r="Y149" s="405" t="str">
        <f>IF($A149="N/A"," ",IF(Pricetype=2,MAX(P149-$H149,0),IF(P149&lt;&gt;0,IF(Pricetype=1,(_xll.xSPRDOPT(P149,$E149,$CI149,0,($CD149+IF(Smile=TRUE,VLOOKUP(MAX(-5,$H149-P149),Volsmile,2),0)),$CG149,$CH149,($A149-DateToday)+15,1,0)),P149-$H149),0)))</f>
        <v xml:space="preserve"> </v>
      </c>
      <c r="Z149" s="406" t="str">
        <f t="shared" si="353"/>
        <v xml:space="preserve"> </v>
      </c>
      <c r="AA149" s="254" t="str">
        <f>IF($A149="N/A"," ",IF(VLOOKUP(MONTH(A149),ManualTable,2)=1,(IF(0&lt;&gt;R149,IF(Pricetype=1,(_xll.xSPRDOPT(I149,$E149,$CI149,0,($CD149+IF(Smile=TRUE,VLOOKUP(MAX(-5,$H149-I149),Volsmile,2),0)),$CG149,$CH149,($A149-DateToday)+15,1,1))*(8*$HD149),8*$HD149),0)),0))</f>
        <v xml:space="preserve"> </v>
      </c>
      <c r="AB149" s="254" t="str">
        <f>IF($A149="N/A"," ",IF(VLOOKUP(MONTH(A149),ManualTable,3)=1,(IF(S149&lt;&gt;0,IF(Pricetype=1,(_xll.xSPRDOPT(J149,$E149,$CI149,0,($CD149+IF(Smile=TRUE,VLOOKUP(MAX(-5,$H149-J149),Volsmile,2),0)),$CG149,$CH149,($A149-DateToday)+15,1,1))*(8*$HD149),8*$HD149),0)),0))</f>
        <v xml:space="preserve"> </v>
      </c>
      <c r="AC149" s="254" t="str">
        <f t="shared" si="394"/>
        <v xml:space="preserve"> </v>
      </c>
      <c r="AD149" s="254" t="str">
        <f>IF($A149="N/A"," ",IF(VLOOKUP(MONTH(A149),ManualTable,5)=1,(IF(U149&lt;&gt;0,IF(Pricetype=1,(_xll.xSPRDOPT(L149,$E149,$CI149,0,($CD149+IF(Smile=TRUE,VLOOKUP(MAX(-5,$H149-L149),Volsmile,2),0)),$CG149,$CH149,($A149-DateToday)+15,1,1))*(8*$HE149),8*$HE149),0)),0))</f>
        <v xml:space="preserve"> </v>
      </c>
      <c r="AE149" s="254" t="str">
        <f>IF($A149="N/A"," ",IF(VLOOKUP(MONTH(A149),ManualTable,6)=1,(IF(V149&lt;&gt;0,IF(Pricetype=1,(_xll.xSPRDOPT(M149,$E149,$CI149,0,($CD149+IF(Smile=TRUE,VLOOKUP(MAX(-5,$H149-M149),Volsmile,2),0)),$CG149,$CH149,($A149-DateToday)+15,1,1))*(8*$HE149),8*$HE149),0)),0))</f>
        <v xml:space="preserve"> </v>
      </c>
      <c r="AF149" s="254" t="str">
        <f t="shared" si="395"/>
        <v xml:space="preserve"> </v>
      </c>
      <c r="AG149" s="254" t="str">
        <f>IF($A149="N/A"," ",IF(VLOOKUP(MONTH(A149),ManualTable,8)=1,(IF(X149&lt;&gt;0,IF(Pricetype=1,(_xll.xSPRDOPT(O149,$E149,$CI149,0,($CD149+IF(Smile=TRUE,VLOOKUP(MAX(-5,$H149-O149),Volsmile,2),0)),$CG149,$CH149,($A149-DateToday)+15,1,1))*(8*$HF149),8*$HF149),0)),0))</f>
        <v xml:space="preserve"> </v>
      </c>
      <c r="AH149" s="254" t="str">
        <f>IF($A149="N/A"," ",IF(VLOOKUP(MONTH(A149),ManualTable,9)=1,(IF(Y149&lt;&gt;0,IF(Pricetype=1,(_xll.xSPRDOPT(P149,$E149,$CI149,0,($CD149+IF(Smile=TRUE,VLOOKUP(MAX(-5,$H149-P149),Volsmile,2),0)),$CG149,$CH149,($A149-DateToday)+15,1,1))*(8*$HF149),8*$HF149),0)),0))</f>
        <v xml:space="preserve"> </v>
      </c>
      <c r="AI149" s="254" t="str">
        <f t="shared" si="396"/>
        <v xml:space="preserve"> </v>
      </c>
      <c r="AJ149" s="227" t="str">
        <f t="shared" ref="AJ149:AJ159" si="449">IF($A149="N/A"," ",RANK(R149,$R$148:$Z$159))</f>
        <v xml:space="preserve"> </v>
      </c>
      <c r="AK149" s="228" t="str">
        <f t="shared" ref="AK149:AL159" si="450">IF($A149="N/A"," ",RANK(S149,$R$148:$Z$159))</f>
        <v xml:space="preserve"> </v>
      </c>
      <c r="AL149" s="228" t="str">
        <f t="shared" si="450"/>
        <v xml:space="preserve"> </v>
      </c>
      <c r="AM149" s="228" t="str">
        <f t="shared" ref="AM149:AM159" si="451">IF($A149="N/A"," ",RANK(U149,$R$148:$Z$159))</f>
        <v xml:space="preserve"> </v>
      </c>
      <c r="AN149" s="228" t="str">
        <f t="shared" ref="AN149:AO159" si="452">IF($A149="N/A"," ",RANK(V149,$R$148:$Z$159))</f>
        <v xml:space="preserve"> </v>
      </c>
      <c r="AO149" s="228" t="str">
        <f t="shared" si="452"/>
        <v xml:space="preserve"> </v>
      </c>
      <c r="AP149" s="228" t="str">
        <f t="shared" ref="AP149:AP159" si="453">IF($A149="N/A"," ",RANK(X149,$R$148:$Z$159))</f>
        <v xml:space="preserve"> </v>
      </c>
      <c r="AQ149" s="228" t="str">
        <f t="shared" ref="AQ149:AQ159" si="454">IF($A149="N/A"," ",RANK(Y149,$R$148:$Z$159))</f>
        <v xml:space="preserve"> </v>
      </c>
      <c r="AR149" s="229" t="str">
        <f t="shared" ref="AR149:AR159" si="455">IF($A149="N/A"," ",RANK(Z149,$R$148:$Z$159))</f>
        <v xml:space="preserve"> </v>
      </c>
      <c r="AS149" s="262" t="str">
        <f t="shared" si="433"/>
        <v xml:space="preserve"> </v>
      </c>
      <c r="AT149" s="263" t="str">
        <f t="shared" si="434"/>
        <v xml:space="preserve"> </v>
      </c>
      <c r="AU149" s="263" t="str">
        <f t="shared" si="434"/>
        <v xml:space="preserve"> </v>
      </c>
      <c r="AV149" s="263" t="str">
        <f t="shared" si="435"/>
        <v xml:space="preserve"> </v>
      </c>
      <c r="AW149" s="263" t="str">
        <f t="shared" si="436"/>
        <v xml:space="preserve"> </v>
      </c>
      <c r="AX149" s="263" t="str">
        <f t="shared" si="436"/>
        <v xml:space="preserve"> </v>
      </c>
      <c r="AY149" s="263" t="str">
        <f t="shared" si="437"/>
        <v xml:space="preserve"> </v>
      </c>
      <c r="AZ149" s="263" t="str">
        <f t="shared" si="438"/>
        <v xml:space="preserve"> </v>
      </c>
      <c r="BA149" s="263" t="str">
        <f t="shared" si="439"/>
        <v xml:space="preserve"> </v>
      </c>
      <c r="BB149" s="229"/>
      <c r="BC149" s="266" t="str">
        <f t="shared" si="442"/>
        <v xml:space="preserve"> </v>
      </c>
      <c r="BD149" s="269" t="str">
        <f t="shared" si="443"/>
        <v xml:space="preserve"> </v>
      </c>
      <c r="BE149" s="269" t="str">
        <f t="shared" si="443"/>
        <v xml:space="preserve"> </v>
      </c>
      <c r="BF149" s="269" t="str">
        <f t="shared" si="444"/>
        <v xml:space="preserve"> </v>
      </c>
      <c r="BG149" s="269" t="str">
        <f t="shared" si="445"/>
        <v xml:space="preserve"> </v>
      </c>
      <c r="BH149" s="269" t="str">
        <f t="shared" si="445"/>
        <v xml:space="preserve"> </v>
      </c>
      <c r="BI149" s="269" t="str">
        <f t="shared" si="446"/>
        <v xml:space="preserve"> </v>
      </c>
      <c r="BJ149" s="269" t="str">
        <f t="shared" si="447"/>
        <v xml:space="preserve"> </v>
      </c>
      <c r="BK149" s="269" t="str">
        <f t="shared" si="448"/>
        <v xml:space="preserve"> </v>
      </c>
      <c r="BL149" s="229"/>
      <c r="BM149" s="220" t="str">
        <f>IF($A149="N/A"," ",(IF(MONTH(A149)&gt;=4,IF(MONTH(A149)&lt;=10,Inputs!$F$13-Inputs!$G$13,Inputs!$F$14-Inputs!$G$14),Inputs!$F$14-Inputs!$G$14))*$CK149*Availability)</f>
        <v xml:space="preserve"> </v>
      </c>
      <c r="BN149" s="221" t="str">
        <f t="shared" si="397"/>
        <v xml:space="preserve"> </v>
      </c>
      <c r="BO149" s="221" t="str">
        <f t="shared" si="398"/>
        <v xml:space="preserve"> </v>
      </c>
      <c r="BP149" s="221" t="str">
        <f t="shared" si="399"/>
        <v xml:space="preserve"> </v>
      </c>
      <c r="BQ149" s="221" t="str">
        <f t="shared" si="400"/>
        <v xml:space="preserve"> </v>
      </c>
      <c r="BR149" s="221" t="str">
        <f t="shared" si="401"/>
        <v xml:space="preserve"> </v>
      </c>
      <c r="BS149" s="221" t="str">
        <f t="shared" si="402"/>
        <v xml:space="preserve"> </v>
      </c>
      <c r="BT149" s="221" t="str">
        <f t="shared" si="403"/>
        <v xml:space="preserve"> </v>
      </c>
      <c r="BU149" s="221" t="str">
        <f t="shared" si="404"/>
        <v xml:space="preserve"> </v>
      </c>
      <c r="BV149" s="221" t="str">
        <f t="shared" si="405"/>
        <v xml:space="preserve"> </v>
      </c>
      <c r="BW149" s="221" t="str">
        <f t="shared" si="406"/>
        <v xml:space="preserve"> </v>
      </c>
      <c r="BX149" s="421" t="str">
        <f t="shared" si="407"/>
        <v xml:space="preserve"> </v>
      </c>
      <c r="BY149" s="417" t="str">
        <f t="shared" si="408"/>
        <v xml:space="preserve"> </v>
      </c>
      <c r="BZ149" s="417" t="str">
        <f t="shared" si="409"/>
        <v xml:space="preserve"> </v>
      </c>
      <c r="CA149" s="422" t="str">
        <f t="shared" si="410"/>
        <v xml:space="preserve"> </v>
      </c>
      <c r="CB149" s="347" t="str">
        <f t="shared" si="354"/>
        <v xml:space="preserve"> </v>
      </c>
      <c r="CC149" s="347" t="str">
        <f t="shared" si="411"/>
        <v xml:space="preserve"> </v>
      </c>
      <c r="CD149" s="348" t="str">
        <f t="shared" si="355"/>
        <v xml:space="preserve"> </v>
      </c>
      <c r="CE149" s="347" t="str">
        <f t="shared" si="356"/>
        <v xml:space="preserve"> </v>
      </c>
      <c r="CF149" s="347" t="str">
        <f t="shared" si="357"/>
        <v xml:space="preserve"> </v>
      </c>
      <c r="CG149" s="348" t="str">
        <f t="shared" si="358"/>
        <v xml:space="preserve"> </v>
      </c>
      <c r="CH149" s="347" t="str">
        <f t="shared" si="412"/>
        <v xml:space="preserve"> </v>
      </c>
      <c r="CI149" s="349" t="str">
        <f>IF($A149="N/A"," ",F149+G149+(D149*('Pricing Inputs'!T182)))</f>
        <v xml:space="preserve"> </v>
      </c>
      <c r="CJ149" s="347" t="str">
        <f>IF($A149="N/A"," ",IF(PV=1,0,'Pricing Inputs'!U182))</f>
        <v xml:space="preserve"> </v>
      </c>
      <c r="CK149" s="350" t="str">
        <f t="shared" si="359"/>
        <v xml:space="preserve"> </v>
      </c>
      <c r="CL149" s="365" t="str">
        <f t="shared" si="360"/>
        <v xml:space="preserve"> </v>
      </c>
      <c r="CM149" s="380" t="str">
        <f t="shared" si="413"/>
        <v xml:space="preserve"> </v>
      </c>
      <c r="CN149" s="378" t="str">
        <f t="shared" si="361"/>
        <v xml:space="preserve"> </v>
      </c>
      <c r="CO149" s="378" t="str">
        <f t="shared" si="362"/>
        <v xml:space="preserve"> </v>
      </c>
      <c r="CP149" s="378" t="str">
        <f t="shared" si="363"/>
        <v xml:space="preserve"> </v>
      </c>
      <c r="CQ149" s="378" t="str">
        <f t="shared" si="364"/>
        <v xml:space="preserve"> </v>
      </c>
      <c r="CR149" s="378" t="str">
        <f t="shared" si="365"/>
        <v xml:space="preserve"> </v>
      </c>
      <c r="CS149" s="378" t="str">
        <f t="shared" si="366"/>
        <v xml:space="preserve"> </v>
      </c>
      <c r="CT149" s="378" t="str">
        <f t="shared" si="367"/>
        <v xml:space="preserve"> </v>
      </c>
      <c r="CU149" s="378" t="str">
        <f t="shared" si="368"/>
        <v xml:space="preserve"> </v>
      </c>
      <c r="CV149" s="378" t="str">
        <f t="shared" si="369"/>
        <v xml:space="preserve"> </v>
      </c>
      <c r="CW149" s="254" t="str">
        <f t="shared" si="370"/>
        <v xml:space="preserve"> </v>
      </c>
      <c r="CX149" s="254" t="str">
        <f t="shared" si="371"/>
        <v xml:space="preserve"> </v>
      </c>
      <c r="CY149" s="254" t="str">
        <f t="shared" si="372"/>
        <v xml:space="preserve"> </v>
      </c>
      <c r="CZ149" s="254" t="str">
        <f t="shared" si="373"/>
        <v xml:space="preserve"> </v>
      </c>
      <c r="DA149" s="254" t="str">
        <f t="shared" si="374"/>
        <v xml:space="preserve"> </v>
      </c>
      <c r="DB149" s="254" t="str">
        <f t="shared" si="375"/>
        <v xml:space="preserve"> </v>
      </c>
      <c r="DC149" s="254" t="str">
        <f t="shared" si="376"/>
        <v xml:space="preserve"> </v>
      </c>
      <c r="DD149" s="254" t="str">
        <f t="shared" si="377"/>
        <v xml:space="preserve"> </v>
      </c>
      <c r="DE149" s="254" t="str">
        <f t="shared" si="378"/>
        <v xml:space="preserve"> </v>
      </c>
      <c r="DF149" s="374" t="str">
        <f>IF($A149="N/A"," ",IF(CC=2,(IF(MONTH(A149)&gt;=4,IF(MONTH(A149)&lt;=10,Inputs!$G$13,Inputs!$G$14),Inputs!$G$14))*$CK149,0))</f>
        <v xml:space="preserve"> </v>
      </c>
      <c r="DG149" s="373" t="str">
        <f t="shared" si="379"/>
        <v xml:space="preserve"> </v>
      </c>
      <c r="DH149" s="373" t="str">
        <f t="shared" si="380"/>
        <v xml:space="preserve"> </v>
      </c>
      <c r="DI149" s="373" t="str">
        <f t="shared" si="381"/>
        <v xml:space="preserve"> </v>
      </c>
      <c r="DJ149" s="373" t="str">
        <f t="shared" si="382"/>
        <v xml:space="preserve"> </v>
      </c>
      <c r="DK149" s="373" t="str">
        <f t="shared" si="383"/>
        <v xml:space="preserve"> </v>
      </c>
      <c r="DL149" s="373" t="str">
        <f t="shared" si="384"/>
        <v xml:space="preserve"> </v>
      </c>
      <c r="DM149" s="373" t="str">
        <f t="shared" si="385"/>
        <v xml:space="preserve"> </v>
      </c>
      <c r="DN149" s="373" t="str">
        <f t="shared" si="386"/>
        <v xml:space="preserve"> </v>
      </c>
      <c r="DO149" s="373" t="str">
        <f t="shared" si="387"/>
        <v xml:space="preserve"> </v>
      </c>
      <c r="DP149" s="375" t="str">
        <f t="shared" si="388"/>
        <v xml:space="preserve"> </v>
      </c>
      <c r="DQ149" t="str">
        <f t="shared" si="414"/>
        <v xml:space="preserve"> </v>
      </c>
      <c r="HD149" t="str">
        <f t="shared" si="415"/>
        <v xml:space="preserve"> </v>
      </c>
      <c r="HE149" t="str">
        <f t="shared" si="416"/>
        <v xml:space="preserve"> </v>
      </c>
      <c r="HF149" t="str">
        <f t="shared" si="417"/>
        <v xml:space="preserve"> </v>
      </c>
    </row>
    <row r="150" spans="1:214">
      <c r="A150" s="415" t="str">
        <f>IF(A149="N/A","N/A",IF(EDATE(A149,1)&gt;Inputs!$K$3,"N/A",EDATE(A149,1)))</f>
        <v>N/A</v>
      </c>
      <c r="B150" s="410" t="str">
        <f t="shared" si="389"/>
        <v xml:space="preserve"> </v>
      </c>
      <c r="C150" s="411" t="str">
        <f t="shared" si="390"/>
        <v xml:space="preserve"> </v>
      </c>
      <c r="D150" s="412" t="str">
        <f t="shared" si="391"/>
        <v xml:space="preserve"> </v>
      </c>
      <c r="E150" s="413" t="str">
        <f>IF($A150="N/A"," ",(C150-'Pricing Inputs'!T183)*D150)</f>
        <v xml:space="preserve"> </v>
      </c>
      <c r="F150" s="414" t="str">
        <f t="shared" si="440"/>
        <v xml:space="preserve"> </v>
      </c>
      <c r="G150" s="414" t="str">
        <f t="shared" si="392"/>
        <v xml:space="preserve"> </v>
      </c>
      <c r="H150" s="416" t="str">
        <f t="shared" si="393"/>
        <v xml:space="preserve"> </v>
      </c>
      <c r="I150" s="213" t="str">
        <f t="shared" si="342"/>
        <v xml:space="preserve"> </v>
      </c>
      <c r="J150" s="213" t="str">
        <f t="shared" si="343"/>
        <v xml:space="preserve"> </v>
      </c>
      <c r="K150" s="213" t="str">
        <f t="shared" si="344"/>
        <v xml:space="preserve"> </v>
      </c>
      <c r="L150" s="213" t="str">
        <f t="shared" si="345"/>
        <v xml:space="preserve"> </v>
      </c>
      <c r="M150" s="213" t="str">
        <f t="shared" si="346"/>
        <v xml:space="preserve"> </v>
      </c>
      <c r="N150" s="213" t="str">
        <f t="shared" si="347"/>
        <v xml:space="preserve"> </v>
      </c>
      <c r="O150" s="213" t="str">
        <f t="shared" si="348"/>
        <v xml:space="preserve"> </v>
      </c>
      <c r="P150" s="213" t="str">
        <f t="shared" si="349"/>
        <v xml:space="preserve"> </v>
      </c>
      <c r="Q150" s="213" t="str">
        <f t="shared" si="350"/>
        <v xml:space="preserve"> </v>
      </c>
      <c r="R150" s="405" t="str">
        <f>IF($A150="N/A"," ",IF(Pricetype=2,MAX(I150-$H150,0),IF(Pricetype=1,(_xll.xSPRDOPT(I150,$E150,$CI150,0,($CD150+IF(Smile=TRUE,VLOOKUP(MAX(-5,$H150-I150),Volsmile,2),0)),$CG150,$CH150,($A150-DateToday)+15,1,0)),I150-$H150)))</f>
        <v xml:space="preserve"> </v>
      </c>
      <c r="S150" s="405" t="str">
        <f>IF($A150="N/A"," ",IF(Pricetype=2,MAX(J150-$H150,0),IF(Pricetype=1,(_xll.xSPRDOPT(J150,$E150,$CI150,0,($CD150+IF(Smile=TRUE,VLOOKUP(MAX(-5,$H150-J150),Volsmile,2),0)),$CG150,$CH150,($A150-DateToday)+15,1,0)),J150-$H150)))</f>
        <v xml:space="preserve"> </v>
      </c>
      <c r="T150" s="406" t="str">
        <f t="shared" si="351"/>
        <v xml:space="preserve"> </v>
      </c>
      <c r="U150" s="405" t="str">
        <f>IF($A150="N/A"," ",IF(Pricetype=2,MAX(L150-$H150,0),IF(L150&lt;&gt;0,IF(Pricetype=1,(_xll.xSPRDOPT(L150,$E150,$CI150,0,($CD150+IF(Smile=TRUE,VLOOKUP(MAX(-5,$H150-L150),Volsmile,2),0)),$CG150,$CH150,($A150-DateToday)+15,1,0)),L150-$H150),0)))</f>
        <v xml:space="preserve"> </v>
      </c>
      <c r="V150" s="405" t="str">
        <f>IF($A150="N/A"," ",IF(Pricetype=2,MAX(M150-$H150,0),IF(M150&lt;&gt;0,IF(Pricetype=1,(_xll.xSPRDOPT(M150,$E150,$CI150,0,($CD150+IF(Smile=TRUE,VLOOKUP(MAX(-5,$H150-M150),Volsmile,2),0)),$CG150,$CH150,($A150-DateToday)+15,1,0)),M150-$H150),0)))</f>
        <v xml:space="preserve"> </v>
      </c>
      <c r="W150" s="406" t="str">
        <f t="shared" si="352"/>
        <v xml:space="preserve"> </v>
      </c>
      <c r="X150" s="405" t="str">
        <f>IF($A150="N/A"," ",IF(Pricetype=2,MAX(O150-$H150,0),IF(O150&lt;&gt;0,IF(Pricetype=1,(_xll.xSPRDOPT(O150,$E150,$CI150,0,($CD150+IF(Smile=TRUE,VLOOKUP(MAX(-5,$H150-O150),Volsmile,2),0)),$CG150,$CH150,($A150-DateToday)+15,1,0)),O150-$H150),0)))</f>
        <v xml:space="preserve"> </v>
      </c>
      <c r="Y150" s="405" t="str">
        <f>IF($A150="N/A"," ",IF(Pricetype=2,MAX(P150-$H150,0),IF(P150&lt;&gt;0,IF(Pricetype=1,(_xll.xSPRDOPT(P150,$E150,$CI150,0,($CD150+IF(Smile=TRUE,VLOOKUP(MAX(-5,$H150-P150),Volsmile,2),0)),$CG150,$CH150,($A150-DateToday)+15,1,0)),P150-$H150),0)))</f>
        <v xml:space="preserve"> </v>
      </c>
      <c r="Z150" s="406" t="str">
        <f t="shared" si="353"/>
        <v xml:space="preserve"> </v>
      </c>
      <c r="AA150" s="254" t="str">
        <f>IF($A150="N/A"," ",IF(VLOOKUP(MONTH(A150),ManualTable,2)=1,(IF(0&lt;&gt;R150,IF(Pricetype=1,(_xll.xSPRDOPT(I150,$E150,$CI150,0,($CD150+IF(Smile=TRUE,VLOOKUP(MAX(-5,$H150-I150),Volsmile,2),0)),$CG150,$CH150,($A150-DateToday)+15,1,1))*(8*$HD150),8*$HD150),0)),0))</f>
        <v xml:space="preserve"> </v>
      </c>
      <c r="AB150" s="254" t="str">
        <f>IF($A150="N/A"," ",IF(VLOOKUP(MONTH(A150),ManualTable,3)=1,(IF(S150&lt;&gt;0,IF(Pricetype=1,(_xll.xSPRDOPT(J150,$E150,$CI150,0,($CD150+IF(Smile=TRUE,VLOOKUP(MAX(-5,$H150-J150),Volsmile,2),0)),$CG150,$CH150,($A150-DateToday)+15,1,1))*(8*$HD150),8*$HD150),0)),0))</f>
        <v xml:space="preserve"> </v>
      </c>
      <c r="AC150" s="254" t="str">
        <f t="shared" si="394"/>
        <v xml:space="preserve"> </v>
      </c>
      <c r="AD150" s="254" t="str">
        <f>IF($A150="N/A"," ",IF(VLOOKUP(MONTH(A150),ManualTable,5)=1,(IF(U150&lt;&gt;0,IF(Pricetype=1,(_xll.xSPRDOPT(L150,$E150,$CI150,0,($CD150+IF(Smile=TRUE,VLOOKUP(MAX(-5,$H150-L150),Volsmile,2),0)),$CG150,$CH150,($A150-DateToday)+15,1,1))*(8*$HE150),8*$HE150),0)),0))</f>
        <v xml:space="preserve"> </v>
      </c>
      <c r="AE150" s="254" t="str">
        <f>IF($A150="N/A"," ",IF(VLOOKUP(MONTH(A150),ManualTable,6)=1,(IF(V150&lt;&gt;0,IF(Pricetype=1,(_xll.xSPRDOPT(M150,$E150,$CI150,0,($CD150+IF(Smile=TRUE,VLOOKUP(MAX(-5,$H150-M150),Volsmile,2),0)),$CG150,$CH150,($A150-DateToday)+15,1,1))*(8*$HE150),8*$HE150),0)),0))</f>
        <v xml:space="preserve"> </v>
      </c>
      <c r="AF150" s="254" t="str">
        <f t="shared" si="395"/>
        <v xml:space="preserve"> </v>
      </c>
      <c r="AG150" s="254" t="str">
        <f>IF($A150="N/A"," ",IF(VLOOKUP(MONTH(A150),ManualTable,8)=1,(IF(X150&lt;&gt;0,IF(Pricetype=1,(_xll.xSPRDOPT(O150,$E150,$CI150,0,($CD150+IF(Smile=TRUE,VLOOKUP(MAX(-5,$H150-O150),Volsmile,2),0)),$CG150,$CH150,($A150-DateToday)+15,1,1))*(8*$HF150),8*$HF150),0)),0))</f>
        <v xml:space="preserve"> </v>
      </c>
      <c r="AH150" s="254" t="str">
        <f>IF($A150="N/A"," ",IF(VLOOKUP(MONTH(A150),ManualTable,9)=1,(IF(Y150&lt;&gt;0,IF(Pricetype=1,(_xll.xSPRDOPT(P150,$E150,$CI150,0,($CD150+IF(Smile=TRUE,VLOOKUP(MAX(-5,$H150-P150),Volsmile,2),0)),$CG150,$CH150,($A150-DateToday)+15,1,1))*(8*$HF150),8*$HF150),0)),0))</f>
        <v xml:space="preserve"> </v>
      </c>
      <c r="AI150" s="254" t="str">
        <f t="shared" si="396"/>
        <v xml:space="preserve"> </v>
      </c>
      <c r="AJ150" s="227" t="str">
        <f t="shared" si="449"/>
        <v xml:space="preserve"> </v>
      </c>
      <c r="AK150" s="228" t="str">
        <f t="shared" si="450"/>
        <v xml:space="preserve"> </v>
      </c>
      <c r="AL150" s="228" t="str">
        <f t="shared" si="450"/>
        <v xml:space="preserve"> </v>
      </c>
      <c r="AM150" s="228" t="str">
        <f t="shared" si="451"/>
        <v xml:space="preserve"> </v>
      </c>
      <c r="AN150" s="228" t="str">
        <f t="shared" si="452"/>
        <v xml:space="preserve"> </v>
      </c>
      <c r="AO150" s="228" t="str">
        <f t="shared" si="452"/>
        <v xml:space="preserve"> </v>
      </c>
      <c r="AP150" s="228" t="str">
        <f t="shared" si="453"/>
        <v xml:space="preserve"> </v>
      </c>
      <c r="AQ150" s="228" t="str">
        <f t="shared" si="454"/>
        <v xml:space="preserve"> </v>
      </c>
      <c r="AR150" s="229" t="str">
        <f t="shared" si="455"/>
        <v xml:space="preserve"> </v>
      </c>
      <c r="AS150" s="262" t="str">
        <f t="shared" si="433"/>
        <v xml:space="preserve"> </v>
      </c>
      <c r="AT150" s="263" t="str">
        <f t="shared" si="434"/>
        <v xml:space="preserve"> </v>
      </c>
      <c r="AU150" s="263" t="str">
        <f t="shared" si="434"/>
        <v xml:space="preserve"> </v>
      </c>
      <c r="AV150" s="263" t="str">
        <f t="shared" si="435"/>
        <v xml:space="preserve"> </v>
      </c>
      <c r="AW150" s="263" t="str">
        <f t="shared" si="436"/>
        <v xml:space="preserve"> </v>
      </c>
      <c r="AX150" s="263" t="str">
        <f t="shared" si="436"/>
        <v xml:space="preserve"> </v>
      </c>
      <c r="AY150" s="263" t="str">
        <f t="shared" si="437"/>
        <v xml:space="preserve"> </v>
      </c>
      <c r="AZ150" s="263" t="str">
        <f t="shared" si="438"/>
        <v xml:space="preserve"> </v>
      </c>
      <c r="BA150" s="263" t="str">
        <f t="shared" si="439"/>
        <v xml:space="preserve"> </v>
      </c>
      <c r="BB150" s="229"/>
      <c r="BC150" s="266" t="str">
        <f t="shared" si="442"/>
        <v xml:space="preserve"> </v>
      </c>
      <c r="BD150" s="269" t="str">
        <f t="shared" si="443"/>
        <v xml:space="preserve"> </v>
      </c>
      <c r="BE150" s="269" t="str">
        <f t="shared" si="443"/>
        <v xml:space="preserve"> </v>
      </c>
      <c r="BF150" s="269" t="str">
        <f t="shared" si="444"/>
        <v xml:space="preserve"> </v>
      </c>
      <c r="BG150" s="269" t="str">
        <f t="shared" si="445"/>
        <v xml:space="preserve"> </v>
      </c>
      <c r="BH150" s="269" t="str">
        <f t="shared" si="445"/>
        <v xml:space="preserve"> </v>
      </c>
      <c r="BI150" s="269" t="str">
        <f t="shared" si="446"/>
        <v xml:space="preserve"> </v>
      </c>
      <c r="BJ150" s="269" t="str">
        <f t="shared" si="447"/>
        <v xml:space="preserve"> </v>
      </c>
      <c r="BK150" s="269" t="str">
        <f t="shared" si="448"/>
        <v xml:space="preserve"> </v>
      </c>
      <c r="BL150" s="229"/>
      <c r="BM150" s="220" t="str">
        <f>IF($A150="N/A"," ",(IF(MONTH(A150)&gt;=4,IF(MONTH(A150)&lt;=10,Inputs!$F$13-Inputs!$G$13,Inputs!$F$14-Inputs!$G$14),Inputs!$F$14-Inputs!$G$14))*$CK150*Availability)</f>
        <v xml:space="preserve"> </v>
      </c>
      <c r="BN150" s="221" t="str">
        <f t="shared" si="397"/>
        <v xml:space="preserve"> </v>
      </c>
      <c r="BO150" s="221" t="str">
        <f t="shared" si="398"/>
        <v xml:space="preserve"> </v>
      </c>
      <c r="BP150" s="221" t="str">
        <f t="shared" si="399"/>
        <v xml:space="preserve"> </v>
      </c>
      <c r="BQ150" s="221" t="str">
        <f t="shared" si="400"/>
        <v xml:space="preserve"> </v>
      </c>
      <c r="BR150" s="221" t="str">
        <f t="shared" si="401"/>
        <v xml:space="preserve"> </v>
      </c>
      <c r="BS150" s="221" t="str">
        <f t="shared" si="402"/>
        <v xml:space="preserve"> </v>
      </c>
      <c r="BT150" s="221" t="str">
        <f t="shared" si="403"/>
        <v xml:space="preserve"> </v>
      </c>
      <c r="BU150" s="221" t="str">
        <f t="shared" si="404"/>
        <v xml:space="preserve"> </v>
      </c>
      <c r="BV150" s="221" t="str">
        <f t="shared" si="405"/>
        <v xml:space="preserve"> </v>
      </c>
      <c r="BW150" s="221" t="str">
        <f t="shared" si="406"/>
        <v xml:space="preserve"> </v>
      </c>
      <c r="BX150" s="421" t="str">
        <f t="shared" si="407"/>
        <v xml:space="preserve"> </v>
      </c>
      <c r="BY150" s="417" t="str">
        <f t="shared" si="408"/>
        <v xml:space="preserve"> </v>
      </c>
      <c r="BZ150" s="417" t="str">
        <f t="shared" si="409"/>
        <v xml:space="preserve"> </v>
      </c>
      <c r="CA150" s="422" t="str">
        <f t="shared" si="410"/>
        <v xml:space="preserve"> </v>
      </c>
      <c r="CB150" s="347" t="str">
        <f t="shared" si="354"/>
        <v xml:space="preserve"> </v>
      </c>
      <c r="CC150" s="347" t="str">
        <f t="shared" si="411"/>
        <v xml:space="preserve"> </v>
      </c>
      <c r="CD150" s="348" t="str">
        <f t="shared" si="355"/>
        <v xml:space="preserve"> </v>
      </c>
      <c r="CE150" s="347" t="str">
        <f t="shared" si="356"/>
        <v xml:space="preserve"> </v>
      </c>
      <c r="CF150" s="347" t="str">
        <f t="shared" si="357"/>
        <v xml:space="preserve"> </v>
      </c>
      <c r="CG150" s="348" t="str">
        <f t="shared" si="358"/>
        <v xml:space="preserve"> </v>
      </c>
      <c r="CH150" s="347" t="str">
        <f t="shared" si="412"/>
        <v xml:space="preserve"> </v>
      </c>
      <c r="CI150" s="349" t="str">
        <f>IF($A150="N/A"," ",F150+G150+(D150*('Pricing Inputs'!T183)))</f>
        <v xml:space="preserve"> </v>
      </c>
      <c r="CJ150" s="347" t="str">
        <f>IF($A150="N/A"," ",IF(PV=1,0,'Pricing Inputs'!U183))</f>
        <v xml:space="preserve"> </v>
      </c>
      <c r="CK150" s="350" t="str">
        <f t="shared" si="359"/>
        <v xml:space="preserve"> </v>
      </c>
      <c r="CL150" s="365" t="str">
        <f t="shared" si="360"/>
        <v xml:space="preserve"> </v>
      </c>
      <c r="CM150" s="380" t="str">
        <f t="shared" si="413"/>
        <v xml:space="preserve"> </v>
      </c>
      <c r="CN150" s="378" t="str">
        <f t="shared" si="361"/>
        <v xml:space="preserve"> </v>
      </c>
      <c r="CO150" s="378" t="str">
        <f t="shared" si="362"/>
        <v xml:space="preserve"> </v>
      </c>
      <c r="CP150" s="378" t="str">
        <f t="shared" si="363"/>
        <v xml:space="preserve"> </v>
      </c>
      <c r="CQ150" s="378" t="str">
        <f t="shared" si="364"/>
        <v xml:space="preserve"> </v>
      </c>
      <c r="CR150" s="378" t="str">
        <f t="shared" si="365"/>
        <v xml:space="preserve"> </v>
      </c>
      <c r="CS150" s="378" t="str">
        <f t="shared" si="366"/>
        <v xml:space="preserve"> </v>
      </c>
      <c r="CT150" s="378" t="str">
        <f t="shared" si="367"/>
        <v xml:space="preserve"> </v>
      </c>
      <c r="CU150" s="378" t="str">
        <f t="shared" si="368"/>
        <v xml:space="preserve"> </v>
      </c>
      <c r="CV150" s="378" t="str">
        <f t="shared" si="369"/>
        <v xml:space="preserve"> </v>
      </c>
      <c r="CW150" s="254" t="str">
        <f t="shared" si="370"/>
        <v xml:space="preserve"> </v>
      </c>
      <c r="CX150" s="254" t="str">
        <f t="shared" si="371"/>
        <v xml:space="preserve"> </v>
      </c>
      <c r="CY150" s="254" t="str">
        <f t="shared" si="372"/>
        <v xml:space="preserve"> </v>
      </c>
      <c r="CZ150" s="254" t="str">
        <f t="shared" si="373"/>
        <v xml:space="preserve"> </v>
      </c>
      <c r="DA150" s="254" t="str">
        <f t="shared" si="374"/>
        <v xml:space="preserve"> </v>
      </c>
      <c r="DB150" s="254" t="str">
        <f t="shared" si="375"/>
        <v xml:space="preserve"> </v>
      </c>
      <c r="DC150" s="254" t="str">
        <f t="shared" si="376"/>
        <v xml:space="preserve"> </v>
      </c>
      <c r="DD150" s="254" t="str">
        <f t="shared" si="377"/>
        <v xml:space="preserve"> </v>
      </c>
      <c r="DE150" s="254" t="str">
        <f t="shared" si="378"/>
        <v xml:space="preserve"> </v>
      </c>
      <c r="DF150" s="374" t="str">
        <f>IF($A150="N/A"," ",IF(CC=2,(IF(MONTH(A150)&gt;=4,IF(MONTH(A150)&lt;=10,Inputs!$G$13,Inputs!$G$14),Inputs!$G$14))*$CK150,0))</f>
        <v xml:space="preserve"> </v>
      </c>
      <c r="DG150" s="373" t="str">
        <f t="shared" si="379"/>
        <v xml:space="preserve"> </v>
      </c>
      <c r="DH150" s="373" t="str">
        <f t="shared" si="380"/>
        <v xml:space="preserve"> </v>
      </c>
      <c r="DI150" s="373" t="str">
        <f t="shared" si="381"/>
        <v xml:space="preserve"> </v>
      </c>
      <c r="DJ150" s="373" t="str">
        <f t="shared" si="382"/>
        <v xml:space="preserve"> </v>
      </c>
      <c r="DK150" s="373" t="str">
        <f t="shared" si="383"/>
        <v xml:space="preserve"> </v>
      </c>
      <c r="DL150" s="373" t="str">
        <f t="shared" si="384"/>
        <v xml:space="preserve"> </v>
      </c>
      <c r="DM150" s="373" t="str">
        <f t="shared" si="385"/>
        <v xml:space="preserve"> </v>
      </c>
      <c r="DN150" s="373" t="str">
        <f t="shared" si="386"/>
        <v xml:space="preserve"> </v>
      </c>
      <c r="DO150" s="373" t="str">
        <f t="shared" si="387"/>
        <v xml:space="preserve"> </v>
      </c>
      <c r="DP150" s="375" t="str">
        <f t="shared" si="388"/>
        <v xml:space="preserve"> </v>
      </c>
      <c r="DQ150" t="str">
        <f t="shared" si="414"/>
        <v xml:space="preserve"> </v>
      </c>
      <c r="HD150" t="str">
        <f t="shared" si="415"/>
        <v xml:space="preserve"> </v>
      </c>
      <c r="HE150" t="str">
        <f t="shared" si="416"/>
        <v xml:space="preserve"> </v>
      </c>
      <c r="HF150" t="str">
        <f t="shared" si="417"/>
        <v xml:space="preserve"> </v>
      </c>
    </row>
    <row r="151" spans="1:214">
      <c r="A151" s="415" t="str">
        <f>IF(A150="N/A","N/A",IF(EDATE(A150,1)&gt;Inputs!$K$3,"N/A",EDATE(A150,1)))</f>
        <v>N/A</v>
      </c>
      <c r="B151" s="410" t="str">
        <f t="shared" si="389"/>
        <v xml:space="preserve"> </v>
      </c>
      <c r="C151" s="411" t="str">
        <f t="shared" si="390"/>
        <v xml:space="preserve"> </v>
      </c>
      <c r="D151" s="412" t="str">
        <f t="shared" si="391"/>
        <v xml:space="preserve"> </v>
      </c>
      <c r="E151" s="413" t="str">
        <f>IF($A151="N/A"," ",(C151-'Pricing Inputs'!T184)*D151)</f>
        <v xml:space="preserve"> </v>
      </c>
      <c r="F151" s="414" t="str">
        <f t="shared" si="440"/>
        <v xml:space="preserve"> </v>
      </c>
      <c r="G151" s="414" t="str">
        <f t="shared" si="392"/>
        <v xml:space="preserve"> </v>
      </c>
      <c r="H151" s="416" t="str">
        <f t="shared" si="393"/>
        <v xml:space="preserve"> </v>
      </c>
      <c r="I151" s="213" t="str">
        <f t="shared" si="342"/>
        <v xml:space="preserve"> </v>
      </c>
      <c r="J151" s="213" t="str">
        <f t="shared" si="343"/>
        <v xml:space="preserve"> </v>
      </c>
      <c r="K151" s="213" t="str">
        <f t="shared" si="344"/>
        <v xml:space="preserve"> </v>
      </c>
      <c r="L151" s="213" t="str">
        <f t="shared" si="345"/>
        <v xml:space="preserve"> </v>
      </c>
      <c r="M151" s="213" t="str">
        <f t="shared" si="346"/>
        <v xml:space="preserve"> </v>
      </c>
      <c r="N151" s="213" t="str">
        <f t="shared" si="347"/>
        <v xml:space="preserve"> </v>
      </c>
      <c r="O151" s="213" t="str">
        <f t="shared" si="348"/>
        <v xml:space="preserve"> </v>
      </c>
      <c r="P151" s="213" t="str">
        <f t="shared" si="349"/>
        <v xml:space="preserve"> </v>
      </c>
      <c r="Q151" s="213" t="str">
        <f t="shared" si="350"/>
        <v xml:space="preserve"> </v>
      </c>
      <c r="R151" s="405" t="str">
        <f>IF($A151="N/A"," ",IF(Pricetype=2,MAX(I151-$H151,0),IF(Pricetype=1,(_xll.xSPRDOPT(I151,$E151,$CI151,0,($CD151+IF(Smile=TRUE,VLOOKUP(MAX(-5,$H151-I151),Volsmile,2),0)),$CG151,$CH151,($A151-DateToday)+15,1,0)),I151-$H151)))</f>
        <v xml:space="preserve"> </v>
      </c>
      <c r="S151" s="405" t="str">
        <f>IF($A151="N/A"," ",IF(Pricetype=2,MAX(J151-$H151,0),IF(Pricetype=1,(_xll.xSPRDOPT(J151,$E151,$CI151,0,($CD151+IF(Smile=TRUE,VLOOKUP(MAX(-5,$H151-J151),Volsmile,2),0)),$CG151,$CH151,($A151-DateToday)+15,1,0)),J151-$H151)))</f>
        <v xml:space="preserve"> </v>
      </c>
      <c r="T151" s="406" t="str">
        <f t="shared" si="351"/>
        <v xml:space="preserve"> </v>
      </c>
      <c r="U151" s="405" t="str">
        <f>IF($A151="N/A"," ",IF(Pricetype=2,MAX(L151-$H151,0),IF(L151&lt;&gt;0,IF(Pricetype=1,(_xll.xSPRDOPT(L151,$E151,$CI151,0,($CD151+IF(Smile=TRUE,VLOOKUP(MAX(-5,$H151-L151),Volsmile,2),0)),$CG151,$CH151,($A151-DateToday)+15,1,0)),L151-$H151),0)))</f>
        <v xml:space="preserve"> </v>
      </c>
      <c r="V151" s="405" t="str">
        <f>IF($A151="N/A"," ",IF(Pricetype=2,MAX(M151-$H151,0),IF(M151&lt;&gt;0,IF(Pricetype=1,(_xll.xSPRDOPT(M151,$E151,$CI151,0,($CD151+IF(Smile=TRUE,VLOOKUP(MAX(-5,$H151-M151),Volsmile,2),0)),$CG151,$CH151,($A151-DateToday)+15,1,0)),M151-$H151),0)))</f>
        <v xml:space="preserve"> </v>
      </c>
      <c r="W151" s="406" t="str">
        <f t="shared" si="352"/>
        <v xml:space="preserve"> </v>
      </c>
      <c r="X151" s="405" t="str">
        <f>IF($A151="N/A"," ",IF(Pricetype=2,MAX(O151-$H151,0),IF(O151&lt;&gt;0,IF(Pricetype=1,(_xll.xSPRDOPT(O151,$E151,$CI151,0,($CD151+IF(Smile=TRUE,VLOOKUP(MAX(-5,$H151-O151),Volsmile,2),0)),$CG151,$CH151,($A151-DateToday)+15,1,0)),O151-$H151),0)))</f>
        <v xml:space="preserve"> </v>
      </c>
      <c r="Y151" s="405" t="str">
        <f>IF($A151="N/A"," ",IF(Pricetype=2,MAX(P151-$H151,0),IF(P151&lt;&gt;0,IF(Pricetype=1,(_xll.xSPRDOPT(P151,$E151,$CI151,0,($CD151+IF(Smile=TRUE,VLOOKUP(MAX(-5,$H151-P151),Volsmile,2),0)),$CG151,$CH151,($A151-DateToday)+15,1,0)),P151-$H151),0)))</f>
        <v xml:space="preserve"> </v>
      </c>
      <c r="Z151" s="406" t="str">
        <f t="shared" si="353"/>
        <v xml:space="preserve"> </v>
      </c>
      <c r="AA151" s="254" t="str">
        <f>IF($A151="N/A"," ",IF(VLOOKUP(MONTH(A151),ManualTable,2)=1,(IF(0&lt;&gt;R151,IF(Pricetype=1,(_xll.xSPRDOPT(I151,$E151,$CI151,0,($CD151+IF(Smile=TRUE,VLOOKUP(MAX(-5,$H151-I151),Volsmile,2),0)),$CG151,$CH151,($A151-DateToday)+15,1,1))*(8*$HD151),8*$HD151),0)),0))</f>
        <v xml:space="preserve"> </v>
      </c>
      <c r="AB151" s="254" t="str">
        <f>IF($A151="N/A"," ",IF(VLOOKUP(MONTH(A151),ManualTable,3)=1,(IF(S151&lt;&gt;0,IF(Pricetype=1,(_xll.xSPRDOPT(J151,$E151,$CI151,0,($CD151+IF(Smile=TRUE,VLOOKUP(MAX(-5,$H151-J151),Volsmile,2),0)),$CG151,$CH151,($A151-DateToday)+15,1,1))*(8*$HD151),8*$HD151),0)),0))</f>
        <v xml:space="preserve"> </v>
      </c>
      <c r="AC151" s="254" t="str">
        <f t="shared" si="394"/>
        <v xml:space="preserve"> </v>
      </c>
      <c r="AD151" s="254" t="str">
        <f>IF($A151="N/A"," ",IF(VLOOKUP(MONTH(A151),ManualTable,5)=1,(IF(U151&lt;&gt;0,IF(Pricetype=1,(_xll.xSPRDOPT(L151,$E151,$CI151,0,($CD151+IF(Smile=TRUE,VLOOKUP(MAX(-5,$H151-L151),Volsmile,2),0)),$CG151,$CH151,($A151-DateToday)+15,1,1))*(8*$HE151),8*$HE151),0)),0))</f>
        <v xml:space="preserve"> </v>
      </c>
      <c r="AE151" s="254" t="str">
        <f>IF($A151="N/A"," ",IF(VLOOKUP(MONTH(A151),ManualTable,6)=1,(IF(V151&lt;&gt;0,IF(Pricetype=1,(_xll.xSPRDOPT(M151,$E151,$CI151,0,($CD151+IF(Smile=TRUE,VLOOKUP(MAX(-5,$H151-M151),Volsmile,2),0)),$CG151,$CH151,($A151-DateToday)+15,1,1))*(8*$HE151),8*$HE151),0)),0))</f>
        <v xml:space="preserve"> </v>
      </c>
      <c r="AF151" s="254" t="str">
        <f t="shared" si="395"/>
        <v xml:space="preserve"> </v>
      </c>
      <c r="AG151" s="254" t="str">
        <f>IF($A151="N/A"," ",IF(VLOOKUP(MONTH(A151),ManualTable,8)=1,(IF(X151&lt;&gt;0,IF(Pricetype=1,(_xll.xSPRDOPT(O151,$E151,$CI151,0,($CD151+IF(Smile=TRUE,VLOOKUP(MAX(-5,$H151-O151),Volsmile,2),0)),$CG151,$CH151,($A151-DateToday)+15,1,1))*(8*$HF151),8*$HF151),0)),0))</f>
        <v xml:space="preserve"> </v>
      </c>
      <c r="AH151" s="254" t="str">
        <f>IF($A151="N/A"," ",IF(VLOOKUP(MONTH(A151),ManualTable,9)=1,(IF(Y151&lt;&gt;0,IF(Pricetype=1,(_xll.xSPRDOPT(P151,$E151,$CI151,0,($CD151+IF(Smile=TRUE,VLOOKUP(MAX(-5,$H151-P151),Volsmile,2),0)),$CG151,$CH151,($A151-DateToday)+15,1,1))*(8*$HF151),8*$HF151),0)),0))</f>
        <v xml:space="preserve"> </v>
      </c>
      <c r="AI151" s="254" t="str">
        <f t="shared" si="396"/>
        <v xml:space="preserve"> </v>
      </c>
      <c r="AJ151" s="227" t="str">
        <f t="shared" si="449"/>
        <v xml:space="preserve"> </v>
      </c>
      <c r="AK151" s="228" t="str">
        <f t="shared" si="450"/>
        <v xml:space="preserve"> </v>
      </c>
      <c r="AL151" s="228" t="str">
        <f t="shared" si="450"/>
        <v xml:space="preserve"> </v>
      </c>
      <c r="AM151" s="228" t="str">
        <f t="shared" si="451"/>
        <v xml:space="preserve"> </v>
      </c>
      <c r="AN151" s="228" t="str">
        <f t="shared" si="452"/>
        <v xml:space="preserve"> </v>
      </c>
      <c r="AO151" s="228" t="str">
        <f t="shared" si="452"/>
        <v xml:space="preserve"> </v>
      </c>
      <c r="AP151" s="228" t="str">
        <f t="shared" si="453"/>
        <v xml:space="preserve"> </v>
      </c>
      <c r="AQ151" s="228" t="str">
        <f t="shared" si="454"/>
        <v xml:space="preserve"> </v>
      </c>
      <c r="AR151" s="229" t="str">
        <f t="shared" si="455"/>
        <v xml:space="preserve"> </v>
      </c>
      <c r="AS151" s="262" t="str">
        <f t="shared" si="433"/>
        <v xml:space="preserve"> </v>
      </c>
      <c r="AT151" s="263" t="str">
        <f t="shared" si="434"/>
        <v xml:space="preserve"> </v>
      </c>
      <c r="AU151" s="263" t="str">
        <f t="shared" si="434"/>
        <v xml:space="preserve"> </v>
      </c>
      <c r="AV151" s="263" t="str">
        <f t="shared" si="435"/>
        <v xml:space="preserve"> </v>
      </c>
      <c r="AW151" s="263" t="str">
        <f t="shared" si="436"/>
        <v xml:space="preserve"> </v>
      </c>
      <c r="AX151" s="263" t="str">
        <f t="shared" si="436"/>
        <v xml:space="preserve"> </v>
      </c>
      <c r="AY151" s="263" t="str">
        <f t="shared" si="437"/>
        <v xml:space="preserve"> </v>
      </c>
      <c r="AZ151" s="263" t="str">
        <f t="shared" si="438"/>
        <v xml:space="preserve"> </v>
      </c>
      <c r="BA151" s="263" t="str">
        <f t="shared" si="439"/>
        <v xml:space="preserve"> </v>
      </c>
      <c r="BB151" s="229"/>
      <c r="BC151" s="266" t="str">
        <f t="shared" si="442"/>
        <v xml:space="preserve"> </v>
      </c>
      <c r="BD151" s="269" t="str">
        <f t="shared" si="443"/>
        <v xml:space="preserve"> </v>
      </c>
      <c r="BE151" s="269" t="str">
        <f t="shared" si="443"/>
        <v xml:space="preserve"> </v>
      </c>
      <c r="BF151" s="269" t="str">
        <f t="shared" si="444"/>
        <v xml:space="preserve"> </v>
      </c>
      <c r="BG151" s="269" t="str">
        <f t="shared" si="445"/>
        <v xml:space="preserve"> </v>
      </c>
      <c r="BH151" s="269" t="str">
        <f t="shared" si="445"/>
        <v xml:space="preserve"> </v>
      </c>
      <c r="BI151" s="269" t="str">
        <f t="shared" si="446"/>
        <v xml:space="preserve"> </v>
      </c>
      <c r="BJ151" s="269" t="str">
        <f t="shared" si="447"/>
        <v xml:space="preserve"> </v>
      </c>
      <c r="BK151" s="269" t="str">
        <f t="shared" si="448"/>
        <v xml:space="preserve"> </v>
      </c>
      <c r="BL151" s="229"/>
      <c r="BM151" s="220" t="str">
        <f>IF($A151="N/A"," ",(IF(MONTH(A151)&gt;=4,IF(MONTH(A151)&lt;=10,Inputs!$F$13-Inputs!$G$13,Inputs!$F$14-Inputs!$G$14),Inputs!$F$14-Inputs!$G$14))*$CK151*Availability)</f>
        <v xml:space="preserve"> </v>
      </c>
      <c r="BN151" s="221" t="str">
        <f t="shared" si="397"/>
        <v xml:space="preserve"> </v>
      </c>
      <c r="BO151" s="221" t="str">
        <f t="shared" si="398"/>
        <v xml:space="preserve"> </v>
      </c>
      <c r="BP151" s="221" t="str">
        <f t="shared" si="399"/>
        <v xml:space="preserve"> </v>
      </c>
      <c r="BQ151" s="221" t="str">
        <f t="shared" si="400"/>
        <v xml:space="preserve"> </v>
      </c>
      <c r="BR151" s="221" t="str">
        <f t="shared" si="401"/>
        <v xml:space="preserve"> </v>
      </c>
      <c r="BS151" s="221" t="str">
        <f t="shared" si="402"/>
        <v xml:space="preserve"> </v>
      </c>
      <c r="BT151" s="221" t="str">
        <f t="shared" si="403"/>
        <v xml:space="preserve"> </v>
      </c>
      <c r="BU151" s="221" t="str">
        <f t="shared" si="404"/>
        <v xml:space="preserve"> </v>
      </c>
      <c r="BV151" s="221" t="str">
        <f t="shared" si="405"/>
        <v xml:space="preserve"> </v>
      </c>
      <c r="BW151" s="221" t="str">
        <f t="shared" si="406"/>
        <v xml:space="preserve"> </v>
      </c>
      <c r="BX151" s="421" t="str">
        <f t="shared" si="407"/>
        <v xml:space="preserve"> </v>
      </c>
      <c r="BY151" s="417" t="str">
        <f t="shared" si="408"/>
        <v xml:space="preserve"> </v>
      </c>
      <c r="BZ151" s="417" t="str">
        <f t="shared" si="409"/>
        <v xml:space="preserve"> </v>
      </c>
      <c r="CA151" s="422" t="str">
        <f t="shared" si="410"/>
        <v xml:space="preserve"> </v>
      </c>
      <c r="CB151" s="347" t="str">
        <f t="shared" si="354"/>
        <v xml:space="preserve"> </v>
      </c>
      <c r="CC151" s="347" t="str">
        <f t="shared" si="411"/>
        <v xml:space="preserve"> </v>
      </c>
      <c r="CD151" s="348" t="str">
        <f t="shared" si="355"/>
        <v xml:space="preserve"> </v>
      </c>
      <c r="CE151" s="347" t="str">
        <f t="shared" si="356"/>
        <v xml:space="preserve"> </v>
      </c>
      <c r="CF151" s="347" t="str">
        <f t="shared" si="357"/>
        <v xml:space="preserve"> </v>
      </c>
      <c r="CG151" s="348" t="str">
        <f t="shared" si="358"/>
        <v xml:space="preserve"> </v>
      </c>
      <c r="CH151" s="347" t="str">
        <f t="shared" si="412"/>
        <v xml:space="preserve"> </v>
      </c>
      <c r="CI151" s="349" t="str">
        <f>IF($A151="N/A"," ",F151+G151+(D151*('Pricing Inputs'!T184)))</f>
        <v xml:space="preserve"> </v>
      </c>
      <c r="CJ151" s="347" t="str">
        <f>IF($A151="N/A"," ",IF(PV=1,0,'Pricing Inputs'!U184))</f>
        <v xml:space="preserve"> </v>
      </c>
      <c r="CK151" s="350" t="str">
        <f t="shared" si="359"/>
        <v xml:space="preserve"> </v>
      </c>
      <c r="CL151" s="365" t="str">
        <f t="shared" si="360"/>
        <v xml:space="preserve"> </v>
      </c>
      <c r="CM151" s="380" t="str">
        <f t="shared" si="413"/>
        <v xml:space="preserve"> </v>
      </c>
      <c r="CN151" s="378" t="str">
        <f t="shared" si="361"/>
        <v xml:space="preserve"> </v>
      </c>
      <c r="CO151" s="378" t="str">
        <f t="shared" si="362"/>
        <v xml:space="preserve"> </v>
      </c>
      <c r="CP151" s="378" t="str">
        <f t="shared" si="363"/>
        <v xml:space="preserve"> </v>
      </c>
      <c r="CQ151" s="378" t="str">
        <f t="shared" si="364"/>
        <v xml:space="preserve"> </v>
      </c>
      <c r="CR151" s="378" t="str">
        <f t="shared" si="365"/>
        <v xml:space="preserve"> </v>
      </c>
      <c r="CS151" s="378" t="str">
        <f t="shared" si="366"/>
        <v xml:space="preserve"> </v>
      </c>
      <c r="CT151" s="378" t="str">
        <f t="shared" si="367"/>
        <v xml:space="preserve"> </v>
      </c>
      <c r="CU151" s="378" t="str">
        <f t="shared" si="368"/>
        <v xml:space="preserve"> </v>
      </c>
      <c r="CV151" s="378" t="str">
        <f t="shared" si="369"/>
        <v xml:space="preserve"> </v>
      </c>
      <c r="CW151" s="254" t="str">
        <f t="shared" si="370"/>
        <v xml:space="preserve"> </v>
      </c>
      <c r="CX151" s="254" t="str">
        <f t="shared" si="371"/>
        <v xml:space="preserve"> </v>
      </c>
      <c r="CY151" s="254" t="str">
        <f t="shared" si="372"/>
        <v xml:space="preserve"> </v>
      </c>
      <c r="CZ151" s="254" t="str">
        <f t="shared" si="373"/>
        <v xml:space="preserve"> </v>
      </c>
      <c r="DA151" s="254" t="str">
        <f t="shared" si="374"/>
        <v xml:space="preserve"> </v>
      </c>
      <c r="DB151" s="254" t="str">
        <f t="shared" si="375"/>
        <v xml:space="preserve"> </v>
      </c>
      <c r="DC151" s="254" t="str">
        <f t="shared" si="376"/>
        <v xml:space="preserve"> </v>
      </c>
      <c r="DD151" s="254" t="str">
        <f t="shared" si="377"/>
        <v xml:space="preserve"> </v>
      </c>
      <c r="DE151" s="254" t="str">
        <f t="shared" si="378"/>
        <v xml:space="preserve"> </v>
      </c>
      <c r="DF151" s="374" t="str">
        <f>IF($A151="N/A"," ",IF(CC=2,(IF(MONTH(A151)&gt;=4,IF(MONTH(A151)&lt;=10,Inputs!$G$13,Inputs!$G$14),Inputs!$G$14))*$CK151,0))</f>
        <v xml:space="preserve"> </v>
      </c>
      <c r="DG151" s="373" t="str">
        <f t="shared" si="379"/>
        <v xml:space="preserve"> </v>
      </c>
      <c r="DH151" s="373" t="str">
        <f t="shared" si="380"/>
        <v xml:space="preserve"> </v>
      </c>
      <c r="DI151" s="373" t="str">
        <f t="shared" si="381"/>
        <v xml:space="preserve"> </v>
      </c>
      <c r="DJ151" s="373" t="str">
        <f t="shared" si="382"/>
        <v xml:space="preserve"> </v>
      </c>
      <c r="DK151" s="373" t="str">
        <f t="shared" si="383"/>
        <v xml:space="preserve"> </v>
      </c>
      <c r="DL151" s="373" t="str">
        <f t="shared" si="384"/>
        <v xml:space="preserve"> </v>
      </c>
      <c r="DM151" s="373" t="str">
        <f t="shared" si="385"/>
        <v xml:space="preserve"> </v>
      </c>
      <c r="DN151" s="373" t="str">
        <f t="shared" si="386"/>
        <v xml:space="preserve"> </v>
      </c>
      <c r="DO151" s="373" t="str">
        <f t="shared" si="387"/>
        <v xml:space="preserve"> </v>
      </c>
      <c r="DP151" s="375" t="str">
        <f t="shared" si="388"/>
        <v xml:space="preserve"> </v>
      </c>
      <c r="DQ151" t="str">
        <f t="shared" si="414"/>
        <v xml:space="preserve"> </v>
      </c>
      <c r="HD151" t="str">
        <f t="shared" si="415"/>
        <v xml:space="preserve"> </v>
      </c>
      <c r="HE151" t="str">
        <f t="shared" si="416"/>
        <v xml:space="preserve"> </v>
      </c>
      <c r="HF151" t="str">
        <f t="shared" si="417"/>
        <v xml:space="preserve"> </v>
      </c>
    </row>
    <row r="152" spans="1:214">
      <c r="A152" s="415" t="str">
        <f>IF(A151="N/A","N/A",IF(EDATE(A151,1)&gt;Inputs!$K$3,"N/A",EDATE(A151,1)))</f>
        <v>N/A</v>
      </c>
      <c r="B152" s="410" t="str">
        <f t="shared" si="389"/>
        <v xml:space="preserve"> </v>
      </c>
      <c r="C152" s="411" t="str">
        <f t="shared" si="390"/>
        <v xml:space="preserve"> </v>
      </c>
      <c r="D152" s="412" t="str">
        <f t="shared" si="391"/>
        <v xml:space="preserve"> </v>
      </c>
      <c r="E152" s="413" t="str">
        <f>IF($A152="N/A"," ",(C152-'Pricing Inputs'!T185)*D152)</f>
        <v xml:space="preserve"> </v>
      </c>
      <c r="F152" s="414" t="str">
        <f t="shared" si="440"/>
        <v xml:space="preserve"> </v>
      </c>
      <c r="G152" s="414" t="str">
        <f t="shared" si="392"/>
        <v xml:space="preserve"> </v>
      </c>
      <c r="H152" s="416" t="str">
        <f t="shared" si="393"/>
        <v xml:space="preserve"> </v>
      </c>
      <c r="I152" s="213" t="str">
        <f t="shared" si="342"/>
        <v xml:space="preserve"> </v>
      </c>
      <c r="J152" s="213" t="str">
        <f t="shared" si="343"/>
        <v xml:space="preserve"> </v>
      </c>
      <c r="K152" s="213" t="str">
        <f t="shared" si="344"/>
        <v xml:space="preserve"> </v>
      </c>
      <c r="L152" s="213" t="str">
        <f t="shared" si="345"/>
        <v xml:space="preserve"> </v>
      </c>
      <c r="M152" s="213" t="str">
        <f t="shared" si="346"/>
        <v xml:space="preserve"> </v>
      </c>
      <c r="N152" s="213" t="str">
        <f t="shared" si="347"/>
        <v xml:space="preserve"> </v>
      </c>
      <c r="O152" s="213" t="str">
        <f t="shared" si="348"/>
        <v xml:space="preserve"> </v>
      </c>
      <c r="P152" s="213" t="str">
        <f t="shared" si="349"/>
        <v xml:space="preserve"> </v>
      </c>
      <c r="Q152" s="213" t="str">
        <f t="shared" si="350"/>
        <v xml:space="preserve"> </v>
      </c>
      <c r="R152" s="405" t="str">
        <f>IF($A152="N/A"," ",IF(Pricetype=2,MAX(I152-$H152,0),IF(Pricetype=1,(_xll.xSPRDOPT(I152,$E152,$CI152,0,($CD152+IF(Smile=TRUE,VLOOKUP(MAX(-5,$H152-I152),Volsmile,2),0)),$CG152,$CH152,($A152-DateToday)+15,1,0)),I152-$H152)))</f>
        <v xml:space="preserve"> </v>
      </c>
      <c r="S152" s="405" t="str">
        <f>IF($A152="N/A"," ",IF(Pricetype=2,MAX(J152-$H152,0),IF(Pricetype=1,(_xll.xSPRDOPT(J152,$E152,$CI152,0,($CD152+IF(Smile=TRUE,VLOOKUP(MAX(-5,$H152-J152),Volsmile,2),0)),$CG152,$CH152,($A152-DateToday)+15,1,0)),J152-$H152)))</f>
        <v xml:space="preserve"> </v>
      </c>
      <c r="T152" s="406" t="str">
        <f t="shared" si="351"/>
        <v xml:space="preserve"> </v>
      </c>
      <c r="U152" s="405" t="str">
        <f>IF($A152="N/A"," ",IF(Pricetype=2,MAX(L152-$H152,0),IF(L152&lt;&gt;0,IF(Pricetype=1,(_xll.xSPRDOPT(L152,$E152,$CI152,0,($CD152+IF(Smile=TRUE,VLOOKUP(MAX(-5,$H152-L152),Volsmile,2),0)),$CG152,$CH152,($A152-DateToday)+15,1,0)),L152-$H152),0)))</f>
        <v xml:space="preserve"> </v>
      </c>
      <c r="V152" s="405" t="str">
        <f>IF($A152="N/A"," ",IF(Pricetype=2,MAX(M152-$H152,0),IF(M152&lt;&gt;0,IF(Pricetype=1,(_xll.xSPRDOPT(M152,$E152,$CI152,0,($CD152+IF(Smile=TRUE,VLOOKUP(MAX(-5,$H152-M152),Volsmile,2),0)),$CG152,$CH152,($A152-DateToday)+15,1,0)),M152-$H152),0)))</f>
        <v xml:space="preserve"> </v>
      </c>
      <c r="W152" s="406" t="str">
        <f t="shared" si="352"/>
        <v xml:space="preserve"> </v>
      </c>
      <c r="X152" s="405" t="str">
        <f>IF($A152="N/A"," ",IF(Pricetype=2,MAX(O152-$H152,0),IF(O152&lt;&gt;0,IF(Pricetype=1,(_xll.xSPRDOPT(O152,$E152,$CI152,0,($CD152+IF(Smile=TRUE,VLOOKUP(MAX(-5,$H152-O152),Volsmile,2),0)),$CG152,$CH152,($A152-DateToday)+15,1,0)),O152-$H152),0)))</f>
        <v xml:space="preserve"> </v>
      </c>
      <c r="Y152" s="405" t="str">
        <f>IF($A152="N/A"," ",IF(Pricetype=2,MAX(P152-$H152,0),IF(P152&lt;&gt;0,IF(Pricetype=1,(_xll.xSPRDOPT(P152,$E152,$CI152,0,($CD152+IF(Smile=TRUE,VLOOKUP(MAX(-5,$H152-P152),Volsmile,2),0)),$CG152,$CH152,($A152-DateToday)+15,1,0)),P152-$H152),0)))</f>
        <v xml:space="preserve"> </v>
      </c>
      <c r="Z152" s="406" t="str">
        <f t="shared" si="353"/>
        <v xml:space="preserve"> </v>
      </c>
      <c r="AA152" s="254" t="str">
        <f>IF($A152="N/A"," ",IF(VLOOKUP(MONTH(A152),ManualTable,2)=1,(IF(0&lt;&gt;R152,IF(Pricetype=1,(_xll.xSPRDOPT(I152,$E152,$CI152,0,($CD152+IF(Smile=TRUE,VLOOKUP(MAX(-5,$H152-I152),Volsmile,2),0)),$CG152,$CH152,($A152-DateToday)+15,1,1))*(8*$HD152),8*$HD152),0)),0))</f>
        <v xml:space="preserve"> </v>
      </c>
      <c r="AB152" s="254" t="str">
        <f>IF($A152="N/A"," ",IF(VLOOKUP(MONTH(A152),ManualTable,3)=1,(IF(S152&lt;&gt;0,IF(Pricetype=1,(_xll.xSPRDOPT(J152,$E152,$CI152,0,($CD152+IF(Smile=TRUE,VLOOKUP(MAX(-5,$H152-J152),Volsmile,2),0)),$CG152,$CH152,($A152-DateToday)+15,1,1))*(8*$HD152),8*$HD152),0)),0))</f>
        <v xml:space="preserve"> </v>
      </c>
      <c r="AC152" s="254" t="str">
        <f t="shared" si="394"/>
        <v xml:space="preserve"> </v>
      </c>
      <c r="AD152" s="254" t="str">
        <f>IF($A152="N/A"," ",IF(VLOOKUP(MONTH(A152),ManualTable,5)=1,(IF(U152&lt;&gt;0,IF(Pricetype=1,(_xll.xSPRDOPT(L152,$E152,$CI152,0,($CD152+IF(Smile=TRUE,VLOOKUP(MAX(-5,$H152-L152),Volsmile,2),0)),$CG152,$CH152,($A152-DateToday)+15,1,1))*(8*$HE152),8*$HE152),0)),0))</f>
        <v xml:space="preserve"> </v>
      </c>
      <c r="AE152" s="254" t="str">
        <f>IF($A152="N/A"," ",IF(VLOOKUP(MONTH(A152),ManualTable,6)=1,(IF(V152&lt;&gt;0,IF(Pricetype=1,(_xll.xSPRDOPT(M152,$E152,$CI152,0,($CD152+IF(Smile=TRUE,VLOOKUP(MAX(-5,$H152-M152),Volsmile,2),0)),$CG152,$CH152,($A152-DateToday)+15,1,1))*(8*$HE152),8*$HE152),0)),0))</f>
        <v xml:space="preserve"> </v>
      </c>
      <c r="AF152" s="254" t="str">
        <f t="shared" si="395"/>
        <v xml:space="preserve"> </v>
      </c>
      <c r="AG152" s="254" t="str">
        <f>IF($A152="N/A"," ",IF(VLOOKUP(MONTH(A152),ManualTable,8)=1,(IF(X152&lt;&gt;0,IF(Pricetype=1,(_xll.xSPRDOPT(O152,$E152,$CI152,0,($CD152+IF(Smile=TRUE,VLOOKUP(MAX(-5,$H152-O152),Volsmile,2),0)),$CG152,$CH152,($A152-DateToday)+15,1,1))*(8*$HF152),8*$HF152),0)),0))</f>
        <v xml:space="preserve"> </v>
      </c>
      <c r="AH152" s="254" t="str">
        <f>IF($A152="N/A"," ",IF(VLOOKUP(MONTH(A152),ManualTable,9)=1,(IF(Y152&lt;&gt;0,IF(Pricetype=1,(_xll.xSPRDOPT(P152,$E152,$CI152,0,($CD152+IF(Smile=TRUE,VLOOKUP(MAX(-5,$H152-P152),Volsmile,2),0)),$CG152,$CH152,($A152-DateToday)+15,1,1))*(8*$HF152),8*$HF152),0)),0))</f>
        <v xml:space="preserve"> </v>
      </c>
      <c r="AI152" s="254" t="str">
        <f t="shared" si="396"/>
        <v xml:space="preserve"> </v>
      </c>
      <c r="AJ152" s="227" t="str">
        <f t="shared" si="449"/>
        <v xml:space="preserve"> </v>
      </c>
      <c r="AK152" s="228" t="str">
        <f t="shared" si="450"/>
        <v xml:space="preserve"> </v>
      </c>
      <c r="AL152" s="228" t="str">
        <f t="shared" si="450"/>
        <v xml:space="preserve"> </v>
      </c>
      <c r="AM152" s="228" t="str">
        <f t="shared" si="451"/>
        <v xml:space="preserve"> </v>
      </c>
      <c r="AN152" s="228" t="str">
        <f t="shared" si="452"/>
        <v xml:space="preserve"> </v>
      </c>
      <c r="AO152" s="228" t="str">
        <f t="shared" si="452"/>
        <v xml:space="preserve"> </v>
      </c>
      <c r="AP152" s="228" t="str">
        <f t="shared" si="453"/>
        <v xml:space="preserve"> </v>
      </c>
      <c r="AQ152" s="228" t="str">
        <f t="shared" si="454"/>
        <v xml:space="preserve"> </v>
      </c>
      <c r="AR152" s="229" t="str">
        <f t="shared" si="455"/>
        <v xml:space="preserve"> </v>
      </c>
      <c r="AS152" s="262" t="str">
        <f t="shared" si="433"/>
        <v xml:space="preserve"> </v>
      </c>
      <c r="AT152" s="263" t="str">
        <f t="shared" si="434"/>
        <v xml:space="preserve"> </v>
      </c>
      <c r="AU152" s="263" t="str">
        <f t="shared" si="434"/>
        <v xml:space="preserve"> </v>
      </c>
      <c r="AV152" s="263" t="str">
        <f t="shared" si="435"/>
        <v xml:space="preserve"> </v>
      </c>
      <c r="AW152" s="263" t="str">
        <f t="shared" si="436"/>
        <v xml:space="preserve"> </v>
      </c>
      <c r="AX152" s="263" t="str">
        <f t="shared" si="436"/>
        <v xml:space="preserve"> </v>
      </c>
      <c r="AY152" s="263" t="str">
        <f t="shared" si="437"/>
        <v xml:space="preserve"> </v>
      </c>
      <c r="AZ152" s="263" t="str">
        <f t="shared" si="438"/>
        <v xml:space="preserve"> </v>
      </c>
      <c r="BA152" s="263" t="str">
        <f t="shared" si="439"/>
        <v xml:space="preserve"> </v>
      </c>
      <c r="BB152" s="229"/>
      <c r="BC152" s="266" t="str">
        <f t="shared" si="442"/>
        <v xml:space="preserve"> </v>
      </c>
      <c r="BD152" s="269" t="str">
        <f t="shared" si="443"/>
        <v xml:space="preserve"> </v>
      </c>
      <c r="BE152" s="269" t="str">
        <f t="shared" si="443"/>
        <v xml:space="preserve"> </v>
      </c>
      <c r="BF152" s="269" t="str">
        <f t="shared" si="444"/>
        <v xml:space="preserve"> </v>
      </c>
      <c r="BG152" s="269" t="str">
        <f t="shared" si="445"/>
        <v xml:space="preserve"> </v>
      </c>
      <c r="BH152" s="269" t="str">
        <f t="shared" si="445"/>
        <v xml:space="preserve"> </v>
      </c>
      <c r="BI152" s="269" t="str">
        <f t="shared" si="446"/>
        <v xml:space="preserve"> </v>
      </c>
      <c r="BJ152" s="269" t="str">
        <f t="shared" si="447"/>
        <v xml:space="preserve"> </v>
      </c>
      <c r="BK152" s="269" t="str">
        <f t="shared" si="448"/>
        <v xml:space="preserve"> </v>
      </c>
      <c r="BL152" s="229"/>
      <c r="BM152" s="220" t="str">
        <f>IF($A152="N/A"," ",(IF(MONTH(A152)&gt;=4,IF(MONTH(A152)&lt;=10,Inputs!$F$13-Inputs!$G$13,Inputs!$F$14-Inputs!$G$14),Inputs!$F$14-Inputs!$G$14))*$CK152*Availability)</f>
        <v xml:space="preserve"> </v>
      </c>
      <c r="BN152" s="221" t="str">
        <f t="shared" si="397"/>
        <v xml:space="preserve"> </v>
      </c>
      <c r="BO152" s="221" t="str">
        <f t="shared" si="398"/>
        <v xml:space="preserve"> </v>
      </c>
      <c r="BP152" s="221" t="str">
        <f t="shared" si="399"/>
        <v xml:space="preserve"> </v>
      </c>
      <c r="BQ152" s="221" t="str">
        <f t="shared" si="400"/>
        <v xml:space="preserve"> </v>
      </c>
      <c r="BR152" s="221" t="str">
        <f t="shared" si="401"/>
        <v xml:space="preserve"> </v>
      </c>
      <c r="BS152" s="221" t="str">
        <f t="shared" si="402"/>
        <v xml:space="preserve"> </v>
      </c>
      <c r="BT152" s="221" t="str">
        <f t="shared" si="403"/>
        <v xml:space="preserve"> </v>
      </c>
      <c r="BU152" s="221" t="str">
        <f t="shared" si="404"/>
        <v xml:space="preserve"> </v>
      </c>
      <c r="BV152" s="221" t="str">
        <f t="shared" si="405"/>
        <v xml:space="preserve"> </v>
      </c>
      <c r="BW152" s="221" t="str">
        <f t="shared" si="406"/>
        <v xml:space="preserve"> </v>
      </c>
      <c r="BX152" s="421" t="str">
        <f t="shared" si="407"/>
        <v xml:space="preserve"> </v>
      </c>
      <c r="BY152" s="417" t="str">
        <f t="shared" si="408"/>
        <v xml:space="preserve"> </v>
      </c>
      <c r="BZ152" s="417" t="str">
        <f t="shared" si="409"/>
        <v xml:space="preserve"> </v>
      </c>
      <c r="CA152" s="422" t="str">
        <f t="shared" si="410"/>
        <v xml:space="preserve"> </v>
      </c>
      <c r="CB152" s="347" t="str">
        <f t="shared" si="354"/>
        <v xml:space="preserve"> </v>
      </c>
      <c r="CC152" s="347" t="str">
        <f t="shared" si="411"/>
        <v xml:space="preserve"> </v>
      </c>
      <c r="CD152" s="348" t="str">
        <f t="shared" si="355"/>
        <v xml:space="preserve"> </v>
      </c>
      <c r="CE152" s="347" t="str">
        <f t="shared" si="356"/>
        <v xml:space="preserve"> </v>
      </c>
      <c r="CF152" s="347" t="str">
        <f t="shared" si="357"/>
        <v xml:space="preserve"> </v>
      </c>
      <c r="CG152" s="348" t="str">
        <f t="shared" si="358"/>
        <v xml:space="preserve"> </v>
      </c>
      <c r="CH152" s="347" t="str">
        <f t="shared" si="412"/>
        <v xml:space="preserve"> </v>
      </c>
      <c r="CI152" s="349" t="str">
        <f>IF($A152="N/A"," ",F152+G152+(D152*('Pricing Inputs'!T185)))</f>
        <v xml:space="preserve"> </v>
      </c>
      <c r="CJ152" s="347" t="str">
        <f>IF($A152="N/A"," ",IF(PV=1,0,'Pricing Inputs'!U185))</f>
        <v xml:space="preserve"> </v>
      </c>
      <c r="CK152" s="350" t="str">
        <f t="shared" si="359"/>
        <v xml:space="preserve"> </v>
      </c>
      <c r="CL152" s="365" t="str">
        <f t="shared" si="360"/>
        <v xml:space="preserve"> </v>
      </c>
      <c r="CM152" s="380" t="str">
        <f t="shared" si="413"/>
        <v xml:space="preserve"> </v>
      </c>
      <c r="CN152" s="378" t="str">
        <f t="shared" si="361"/>
        <v xml:space="preserve"> </v>
      </c>
      <c r="CO152" s="378" t="str">
        <f t="shared" si="362"/>
        <v xml:space="preserve"> </v>
      </c>
      <c r="CP152" s="378" t="str">
        <f t="shared" si="363"/>
        <v xml:space="preserve"> </v>
      </c>
      <c r="CQ152" s="378" t="str">
        <f t="shared" si="364"/>
        <v xml:space="preserve"> </v>
      </c>
      <c r="CR152" s="378" t="str">
        <f t="shared" si="365"/>
        <v xml:space="preserve"> </v>
      </c>
      <c r="CS152" s="378" t="str">
        <f t="shared" si="366"/>
        <v xml:space="preserve"> </v>
      </c>
      <c r="CT152" s="378" t="str">
        <f t="shared" si="367"/>
        <v xml:space="preserve"> </v>
      </c>
      <c r="CU152" s="378" t="str">
        <f t="shared" si="368"/>
        <v xml:space="preserve"> </v>
      </c>
      <c r="CV152" s="378" t="str">
        <f t="shared" si="369"/>
        <v xml:space="preserve"> </v>
      </c>
      <c r="CW152" s="254" t="str">
        <f t="shared" si="370"/>
        <v xml:space="preserve"> </v>
      </c>
      <c r="CX152" s="254" t="str">
        <f t="shared" si="371"/>
        <v xml:space="preserve"> </v>
      </c>
      <c r="CY152" s="254" t="str">
        <f t="shared" si="372"/>
        <v xml:space="preserve"> </v>
      </c>
      <c r="CZ152" s="254" t="str">
        <f t="shared" si="373"/>
        <v xml:space="preserve"> </v>
      </c>
      <c r="DA152" s="254" t="str">
        <f t="shared" si="374"/>
        <v xml:space="preserve"> </v>
      </c>
      <c r="DB152" s="254" t="str">
        <f t="shared" si="375"/>
        <v xml:space="preserve"> </v>
      </c>
      <c r="DC152" s="254" t="str">
        <f t="shared" si="376"/>
        <v xml:space="preserve"> </v>
      </c>
      <c r="DD152" s="254" t="str">
        <f t="shared" si="377"/>
        <v xml:space="preserve"> </v>
      </c>
      <c r="DE152" s="254" t="str">
        <f t="shared" si="378"/>
        <v xml:space="preserve"> </v>
      </c>
      <c r="DF152" s="374" t="str">
        <f>IF($A152="N/A"," ",IF(CC=2,(IF(MONTH(A152)&gt;=4,IF(MONTH(A152)&lt;=10,Inputs!$G$13,Inputs!$G$14),Inputs!$G$14))*$CK152,0))</f>
        <v xml:space="preserve"> </v>
      </c>
      <c r="DG152" s="373" t="str">
        <f t="shared" si="379"/>
        <v xml:space="preserve"> </v>
      </c>
      <c r="DH152" s="373" t="str">
        <f t="shared" si="380"/>
        <v xml:space="preserve"> </v>
      </c>
      <c r="DI152" s="373" t="str">
        <f t="shared" si="381"/>
        <v xml:space="preserve"> </v>
      </c>
      <c r="DJ152" s="373" t="str">
        <f t="shared" si="382"/>
        <v xml:space="preserve"> </v>
      </c>
      <c r="DK152" s="373" t="str">
        <f t="shared" si="383"/>
        <v xml:space="preserve"> </v>
      </c>
      <c r="DL152" s="373" t="str">
        <f t="shared" si="384"/>
        <v xml:space="preserve"> </v>
      </c>
      <c r="DM152" s="373" t="str">
        <f t="shared" si="385"/>
        <v xml:space="preserve"> </v>
      </c>
      <c r="DN152" s="373" t="str">
        <f t="shared" si="386"/>
        <v xml:space="preserve"> </v>
      </c>
      <c r="DO152" s="373" t="str">
        <f t="shared" si="387"/>
        <v xml:space="preserve"> </v>
      </c>
      <c r="DP152" s="375" t="str">
        <f t="shared" si="388"/>
        <v xml:space="preserve"> </v>
      </c>
      <c r="DQ152" t="str">
        <f t="shared" si="414"/>
        <v xml:space="preserve"> </v>
      </c>
      <c r="HD152" t="str">
        <f t="shared" si="415"/>
        <v xml:space="preserve"> </v>
      </c>
      <c r="HE152" t="str">
        <f t="shared" si="416"/>
        <v xml:space="preserve"> </v>
      </c>
      <c r="HF152" t="str">
        <f t="shared" si="417"/>
        <v xml:space="preserve"> </v>
      </c>
    </row>
    <row r="153" spans="1:214">
      <c r="A153" s="415" t="str">
        <f>IF(A152="N/A","N/A",IF(EDATE(A152,1)&gt;Inputs!$K$3,"N/A",EDATE(A152,1)))</f>
        <v>N/A</v>
      </c>
      <c r="B153" s="410" t="str">
        <f t="shared" si="389"/>
        <v xml:space="preserve"> </v>
      </c>
      <c r="C153" s="411" t="str">
        <f t="shared" si="390"/>
        <v xml:space="preserve"> </v>
      </c>
      <c r="D153" s="412" t="str">
        <f t="shared" si="391"/>
        <v xml:space="preserve"> </v>
      </c>
      <c r="E153" s="413" t="str">
        <f>IF($A153="N/A"," ",(C153-'Pricing Inputs'!T186)*D153)</f>
        <v xml:space="preserve"> </v>
      </c>
      <c r="F153" s="414" t="str">
        <f t="shared" si="440"/>
        <v xml:space="preserve"> </v>
      </c>
      <c r="G153" s="414" t="str">
        <f t="shared" si="392"/>
        <v xml:space="preserve"> </v>
      </c>
      <c r="H153" s="416" t="str">
        <f t="shared" si="393"/>
        <v xml:space="preserve"> </v>
      </c>
      <c r="I153" s="213" t="str">
        <f t="shared" si="342"/>
        <v xml:space="preserve"> </v>
      </c>
      <c r="J153" s="213" t="str">
        <f t="shared" si="343"/>
        <v xml:space="preserve"> </v>
      </c>
      <c r="K153" s="213" t="str">
        <f t="shared" si="344"/>
        <v xml:space="preserve"> </v>
      </c>
      <c r="L153" s="213" t="str">
        <f t="shared" si="345"/>
        <v xml:space="preserve"> </v>
      </c>
      <c r="M153" s="213" t="str">
        <f t="shared" si="346"/>
        <v xml:space="preserve"> </v>
      </c>
      <c r="N153" s="213" t="str">
        <f t="shared" si="347"/>
        <v xml:space="preserve"> </v>
      </c>
      <c r="O153" s="213" t="str">
        <f t="shared" si="348"/>
        <v xml:space="preserve"> </v>
      </c>
      <c r="P153" s="213" t="str">
        <f t="shared" si="349"/>
        <v xml:space="preserve"> </v>
      </c>
      <c r="Q153" s="213" t="str">
        <f t="shared" si="350"/>
        <v xml:space="preserve"> </v>
      </c>
      <c r="R153" s="405" t="str">
        <f>IF($A153="N/A"," ",IF(Pricetype=2,MAX(I153-$H153,0),IF(Pricetype=1,(_xll.xSPRDOPT(I153,$E153,$CI153,0,($CD153+IF(Smile=TRUE,VLOOKUP(MAX(-5,$H153-I153),Volsmile,2),0)),$CG153,$CH153,($A153-DateToday)+15,1,0)),I153-$H153)))</f>
        <v xml:space="preserve"> </v>
      </c>
      <c r="S153" s="405" t="str">
        <f>IF($A153="N/A"," ",IF(Pricetype=2,MAX(J153-$H153,0),IF(Pricetype=1,(_xll.xSPRDOPT(J153,$E153,$CI153,0,($CD153+IF(Smile=TRUE,VLOOKUP(MAX(-5,$H153-J153),Volsmile,2),0)),$CG153,$CH153,($A153-DateToday)+15,1,0)),J153-$H153)))</f>
        <v xml:space="preserve"> </v>
      </c>
      <c r="T153" s="406" t="str">
        <f t="shared" si="351"/>
        <v xml:space="preserve"> </v>
      </c>
      <c r="U153" s="405" t="str">
        <f>IF($A153="N/A"," ",IF(Pricetype=2,MAX(L153-$H153,0),IF(L153&lt;&gt;0,IF(Pricetype=1,(_xll.xSPRDOPT(L153,$E153,$CI153,0,($CD153+IF(Smile=TRUE,VLOOKUP(MAX(-5,$H153-L153),Volsmile,2),0)),$CG153,$CH153,($A153-DateToday)+15,1,0)),L153-$H153),0)))</f>
        <v xml:space="preserve"> </v>
      </c>
      <c r="V153" s="405" t="str">
        <f>IF($A153="N/A"," ",IF(Pricetype=2,MAX(M153-$H153,0),IF(M153&lt;&gt;0,IF(Pricetype=1,(_xll.xSPRDOPT(M153,$E153,$CI153,0,($CD153+IF(Smile=TRUE,VLOOKUP(MAX(-5,$H153-M153),Volsmile,2),0)),$CG153,$CH153,($A153-DateToday)+15,1,0)),M153-$H153),0)))</f>
        <v xml:space="preserve"> </v>
      </c>
      <c r="W153" s="406" t="str">
        <f t="shared" si="352"/>
        <v xml:space="preserve"> </v>
      </c>
      <c r="X153" s="405" t="str">
        <f>IF($A153="N/A"," ",IF(Pricetype=2,MAX(O153-$H153,0),IF(O153&lt;&gt;0,IF(Pricetype=1,(_xll.xSPRDOPT(O153,$E153,$CI153,0,($CD153+IF(Smile=TRUE,VLOOKUP(MAX(-5,$H153-O153),Volsmile,2),0)),$CG153,$CH153,($A153-DateToday)+15,1,0)),O153-$H153),0)))</f>
        <v xml:space="preserve"> </v>
      </c>
      <c r="Y153" s="405" t="str">
        <f>IF($A153="N/A"," ",IF(Pricetype=2,MAX(P153-$H153,0),IF(P153&lt;&gt;0,IF(Pricetype=1,(_xll.xSPRDOPT(P153,$E153,$CI153,0,($CD153+IF(Smile=TRUE,VLOOKUP(MAX(-5,$H153-P153),Volsmile,2),0)),$CG153,$CH153,($A153-DateToday)+15,1,0)),P153-$H153),0)))</f>
        <v xml:space="preserve"> </v>
      </c>
      <c r="Z153" s="406" t="str">
        <f t="shared" si="353"/>
        <v xml:space="preserve"> </v>
      </c>
      <c r="AA153" s="254" t="str">
        <f>IF($A153="N/A"," ",IF(VLOOKUP(MONTH(A153),ManualTable,2)=1,(IF(0&lt;&gt;R153,IF(Pricetype=1,(_xll.xSPRDOPT(I153,$E153,$CI153,0,($CD153+IF(Smile=TRUE,VLOOKUP(MAX(-5,$H153-I153),Volsmile,2),0)),$CG153,$CH153,($A153-DateToday)+15,1,1))*(8*$HD153),8*$HD153),0)),0))</f>
        <v xml:space="preserve"> </v>
      </c>
      <c r="AB153" s="254" t="str">
        <f>IF($A153="N/A"," ",IF(VLOOKUP(MONTH(A153),ManualTable,3)=1,(IF(S153&lt;&gt;0,IF(Pricetype=1,(_xll.xSPRDOPT(J153,$E153,$CI153,0,($CD153+IF(Smile=TRUE,VLOOKUP(MAX(-5,$H153-J153),Volsmile,2),0)),$CG153,$CH153,($A153-DateToday)+15,1,1))*(8*$HD153),8*$HD153),0)),0))</f>
        <v xml:space="preserve"> </v>
      </c>
      <c r="AC153" s="254" t="str">
        <f t="shared" si="394"/>
        <v xml:space="preserve"> </v>
      </c>
      <c r="AD153" s="254" t="str">
        <f>IF($A153="N/A"," ",IF(VLOOKUP(MONTH(A153),ManualTable,5)=1,(IF(U153&lt;&gt;0,IF(Pricetype=1,(_xll.xSPRDOPT(L153,$E153,$CI153,0,($CD153+IF(Smile=TRUE,VLOOKUP(MAX(-5,$H153-L153),Volsmile,2),0)),$CG153,$CH153,($A153-DateToday)+15,1,1))*(8*$HE153),8*$HE153),0)),0))</f>
        <v xml:space="preserve"> </v>
      </c>
      <c r="AE153" s="254" t="str">
        <f>IF($A153="N/A"," ",IF(VLOOKUP(MONTH(A153),ManualTable,6)=1,(IF(V153&lt;&gt;0,IF(Pricetype=1,(_xll.xSPRDOPT(M153,$E153,$CI153,0,($CD153+IF(Smile=TRUE,VLOOKUP(MAX(-5,$H153-M153),Volsmile,2),0)),$CG153,$CH153,($A153-DateToday)+15,1,1))*(8*$HE153),8*$HE153),0)),0))</f>
        <v xml:space="preserve"> </v>
      </c>
      <c r="AF153" s="254" t="str">
        <f t="shared" si="395"/>
        <v xml:space="preserve"> </v>
      </c>
      <c r="AG153" s="254" t="str">
        <f>IF($A153="N/A"," ",IF(VLOOKUP(MONTH(A153),ManualTable,8)=1,(IF(X153&lt;&gt;0,IF(Pricetype=1,(_xll.xSPRDOPT(O153,$E153,$CI153,0,($CD153+IF(Smile=TRUE,VLOOKUP(MAX(-5,$H153-O153),Volsmile,2),0)),$CG153,$CH153,($A153-DateToday)+15,1,1))*(8*$HF153),8*$HF153),0)),0))</f>
        <v xml:space="preserve"> </v>
      </c>
      <c r="AH153" s="254" t="str">
        <f>IF($A153="N/A"," ",IF(VLOOKUP(MONTH(A153),ManualTable,9)=1,(IF(Y153&lt;&gt;0,IF(Pricetype=1,(_xll.xSPRDOPT(P153,$E153,$CI153,0,($CD153+IF(Smile=TRUE,VLOOKUP(MAX(-5,$H153-P153),Volsmile,2),0)),$CG153,$CH153,($A153-DateToday)+15,1,1))*(8*$HF153),8*$HF153),0)),0))</f>
        <v xml:space="preserve"> </v>
      </c>
      <c r="AI153" s="254" t="str">
        <f t="shared" si="396"/>
        <v xml:space="preserve"> </v>
      </c>
      <c r="AJ153" s="227" t="str">
        <f t="shared" si="449"/>
        <v xml:space="preserve"> </v>
      </c>
      <c r="AK153" s="228" t="str">
        <f t="shared" si="450"/>
        <v xml:space="preserve"> </v>
      </c>
      <c r="AL153" s="228" t="str">
        <f t="shared" si="450"/>
        <v xml:space="preserve"> </v>
      </c>
      <c r="AM153" s="228" t="str">
        <f t="shared" si="451"/>
        <v xml:space="preserve"> </v>
      </c>
      <c r="AN153" s="228" t="str">
        <f t="shared" si="452"/>
        <v xml:space="preserve"> </v>
      </c>
      <c r="AO153" s="228" t="str">
        <f t="shared" si="452"/>
        <v xml:space="preserve"> </v>
      </c>
      <c r="AP153" s="228" t="str">
        <f t="shared" si="453"/>
        <v xml:space="preserve"> </v>
      </c>
      <c r="AQ153" s="228" t="str">
        <f t="shared" si="454"/>
        <v xml:space="preserve"> </v>
      </c>
      <c r="AR153" s="229" t="str">
        <f t="shared" si="455"/>
        <v xml:space="preserve"> </v>
      </c>
      <c r="AS153" s="262" t="str">
        <f t="shared" si="433"/>
        <v xml:space="preserve"> </v>
      </c>
      <c r="AT153" s="263" t="str">
        <f t="shared" si="434"/>
        <v xml:space="preserve"> </v>
      </c>
      <c r="AU153" s="263" t="str">
        <f t="shared" si="434"/>
        <v xml:space="preserve"> </v>
      </c>
      <c r="AV153" s="263" t="str">
        <f t="shared" si="435"/>
        <v xml:space="preserve"> </v>
      </c>
      <c r="AW153" s="263" t="str">
        <f t="shared" si="436"/>
        <v xml:space="preserve"> </v>
      </c>
      <c r="AX153" s="263" t="str">
        <f t="shared" si="436"/>
        <v xml:space="preserve"> </v>
      </c>
      <c r="AY153" s="263" t="str">
        <f t="shared" si="437"/>
        <v xml:space="preserve"> </v>
      </c>
      <c r="AZ153" s="263" t="str">
        <f t="shared" si="438"/>
        <v xml:space="preserve"> </v>
      </c>
      <c r="BA153" s="263" t="str">
        <f t="shared" si="439"/>
        <v xml:space="preserve"> </v>
      </c>
      <c r="BB153" s="229"/>
      <c r="BC153" s="266" t="str">
        <f t="shared" si="442"/>
        <v xml:space="preserve"> </v>
      </c>
      <c r="BD153" s="269" t="str">
        <f t="shared" si="443"/>
        <v xml:space="preserve"> </v>
      </c>
      <c r="BE153" s="269" t="str">
        <f t="shared" si="443"/>
        <v xml:space="preserve"> </v>
      </c>
      <c r="BF153" s="269" t="str">
        <f t="shared" si="444"/>
        <v xml:space="preserve"> </v>
      </c>
      <c r="BG153" s="269" t="str">
        <f t="shared" si="445"/>
        <v xml:space="preserve"> </v>
      </c>
      <c r="BH153" s="269" t="str">
        <f t="shared" si="445"/>
        <v xml:space="preserve"> </v>
      </c>
      <c r="BI153" s="269" t="str">
        <f t="shared" si="446"/>
        <v xml:space="preserve"> </v>
      </c>
      <c r="BJ153" s="269" t="str">
        <f t="shared" si="447"/>
        <v xml:space="preserve"> </v>
      </c>
      <c r="BK153" s="269" t="str">
        <f t="shared" si="448"/>
        <v xml:space="preserve"> </v>
      </c>
      <c r="BL153" s="229"/>
      <c r="BM153" s="220" t="str">
        <f>IF($A153="N/A"," ",(IF(MONTH(A153)&gt;=4,IF(MONTH(A153)&lt;=10,Inputs!$F$13-Inputs!$G$13,Inputs!$F$14-Inputs!$G$14),Inputs!$F$14-Inputs!$G$14))*$CK153*Availability)</f>
        <v xml:space="preserve"> </v>
      </c>
      <c r="BN153" s="221" t="str">
        <f t="shared" si="397"/>
        <v xml:space="preserve"> </v>
      </c>
      <c r="BO153" s="221" t="str">
        <f t="shared" si="398"/>
        <v xml:space="preserve"> </v>
      </c>
      <c r="BP153" s="221" t="str">
        <f t="shared" si="399"/>
        <v xml:space="preserve"> </v>
      </c>
      <c r="BQ153" s="221" t="str">
        <f t="shared" si="400"/>
        <v xml:space="preserve"> </v>
      </c>
      <c r="BR153" s="221" t="str">
        <f t="shared" si="401"/>
        <v xml:space="preserve"> </v>
      </c>
      <c r="BS153" s="221" t="str">
        <f t="shared" si="402"/>
        <v xml:space="preserve"> </v>
      </c>
      <c r="BT153" s="221" t="str">
        <f t="shared" si="403"/>
        <v xml:space="preserve"> </v>
      </c>
      <c r="BU153" s="221" t="str">
        <f t="shared" si="404"/>
        <v xml:space="preserve"> </v>
      </c>
      <c r="BV153" s="221" t="str">
        <f t="shared" si="405"/>
        <v xml:space="preserve"> </v>
      </c>
      <c r="BW153" s="221" t="str">
        <f t="shared" si="406"/>
        <v xml:space="preserve"> </v>
      </c>
      <c r="BX153" s="421" t="str">
        <f t="shared" si="407"/>
        <v xml:space="preserve"> </v>
      </c>
      <c r="BY153" s="417" t="str">
        <f t="shared" si="408"/>
        <v xml:space="preserve"> </v>
      </c>
      <c r="BZ153" s="417" t="str">
        <f t="shared" si="409"/>
        <v xml:space="preserve"> </v>
      </c>
      <c r="CA153" s="422" t="str">
        <f t="shared" si="410"/>
        <v xml:space="preserve"> </v>
      </c>
      <c r="CB153" s="347" t="str">
        <f t="shared" si="354"/>
        <v xml:space="preserve"> </v>
      </c>
      <c r="CC153" s="347" t="str">
        <f t="shared" si="411"/>
        <v xml:space="preserve"> </v>
      </c>
      <c r="CD153" s="348" t="str">
        <f t="shared" si="355"/>
        <v xml:space="preserve"> </v>
      </c>
      <c r="CE153" s="347" t="str">
        <f t="shared" si="356"/>
        <v xml:space="preserve"> </v>
      </c>
      <c r="CF153" s="347" t="str">
        <f t="shared" si="357"/>
        <v xml:space="preserve"> </v>
      </c>
      <c r="CG153" s="348" t="str">
        <f t="shared" si="358"/>
        <v xml:space="preserve"> </v>
      </c>
      <c r="CH153" s="347" t="str">
        <f t="shared" si="412"/>
        <v xml:space="preserve"> </v>
      </c>
      <c r="CI153" s="349" t="str">
        <f>IF($A153="N/A"," ",F153+G153+(D153*('Pricing Inputs'!T186)))</f>
        <v xml:space="preserve"> </v>
      </c>
      <c r="CJ153" s="347" t="str">
        <f>IF($A153="N/A"," ",IF(PV=1,0,'Pricing Inputs'!U186))</f>
        <v xml:space="preserve"> </v>
      </c>
      <c r="CK153" s="350" t="str">
        <f t="shared" si="359"/>
        <v xml:space="preserve"> </v>
      </c>
      <c r="CL153" s="365" t="str">
        <f t="shared" si="360"/>
        <v xml:space="preserve"> </v>
      </c>
      <c r="CM153" s="380" t="str">
        <f t="shared" si="413"/>
        <v xml:space="preserve"> </v>
      </c>
      <c r="CN153" s="378" t="str">
        <f t="shared" si="361"/>
        <v xml:space="preserve"> </v>
      </c>
      <c r="CO153" s="378" t="str">
        <f t="shared" si="362"/>
        <v xml:space="preserve"> </v>
      </c>
      <c r="CP153" s="378" t="str">
        <f t="shared" si="363"/>
        <v xml:space="preserve"> </v>
      </c>
      <c r="CQ153" s="378" t="str">
        <f t="shared" si="364"/>
        <v xml:space="preserve"> </v>
      </c>
      <c r="CR153" s="378" t="str">
        <f t="shared" si="365"/>
        <v xml:space="preserve"> </v>
      </c>
      <c r="CS153" s="378" t="str">
        <f t="shared" si="366"/>
        <v xml:space="preserve"> </v>
      </c>
      <c r="CT153" s="378" t="str">
        <f t="shared" si="367"/>
        <v xml:space="preserve"> </v>
      </c>
      <c r="CU153" s="378" t="str">
        <f t="shared" si="368"/>
        <v xml:space="preserve"> </v>
      </c>
      <c r="CV153" s="378" t="str">
        <f t="shared" si="369"/>
        <v xml:space="preserve"> </v>
      </c>
      <c r="CW153" s="254" t="str">
        <f t="shared" si="370"/>
        <v xml:space="preserve"> </v>
      </c>
      <c r="CX153" s="254" t="str">
        <f t="shared" si="371"/>
        <v xml:space="preserve"> </v>
      </c>
      <c r="CY153" s="254" t="str">
        <f t="shared" si="372"/>
        <v xml:space="preserve"> </v>
      </c>
      <c r="CZ153" s="254" t="str">
        <f t="shared" si="373"/>
        <v xml:space="preserve"> </v>
      </c>
      <c r="DA153" s="254" t="str">
        <f t="shared" si="374"/>
        <v xml:space="preserve"> </v>
      </c>
      <c r="DB153" s="254" t="str">
        <f t="shared" si="375"/>
        <v xml:space="preserve"> </v>
      </c>
      <c r="DC153" s="254" t="str">
        <f t="shared" si="376"/>
        <v xml:space="preserve"> </v>
      </c>
      <c r="DD153" s="254" t="str">
        <f t="shared" si="377"/>
        <v xml:space="preserve"> </v>
      </c>
      <c r="DE153" s="254" t="str">
        <f t="shared" si="378"/>
        <v xml:space="preserve"> </v>
      </c>
      <c r="DF153" s="374" t="str">
        <f>IF($A153="N/A"," ",IF(CC=2,(IF(MONTH(A153)&gt;=4,IF(MONTH(A153)&lt;=10,Inputs!$G$13,Inputs!$G$14),Inputs!$G$14))*$CK153,0))</f>
        <v xml:space="preserve"> </v>
      </c>
      <c r="DG153" s="373" t="str">
        <f t="shared" si="379"/>
        <v xml:space="preserve"> </v>
      </c>
      <c r="DH153" s="373" t="str">
        <f t="shared" si="380"/>
        <v xml:space="preserve"> </v>
      </c>
      <c r="DI153" s="373" t="str">
        <f t="shared" si="381"/>
        <v xml:space="preserve"> </v>
      </c>
      <c r="DJ153" s="373" t="str">
        <f t="shared" si="382"/>
        <v xml:space="preserve"> </v>
      </c>
      <c r="DK153" s="373" t="str">
        <f t="shared" si="383"/>
        <v xml:space="preserve"> </v>
      </c>
      <c r="DL153" s="373" t="str">
        <f t="shared" si="384"/>
        <v xml:space="preserve"> </v>
      </c>
      <c r="DM153" s="373" t="str">
        <f t="shared" si="385"/>
        <v xml:space="preserve"> </v>
      </c>
      <c r="DN153" s="373" t="str">
        <f t="shared" si="386"/>
        <v xml:space="preserve"> </v>
      </c>
      <c r="DO153" s="373" t="str">
        <f t="shared" si="387"/>
        <v xml:space="preserve"> </v>
      </c>
      <c r="DP153" s="375" t="str">
        <f t="shared" si="388"/>
        <v xml:space="preserve"> </v>
      </c>
      <c r="DQ153" t="str">
        <f t="shared" si="414"/>
        <v xml:space="preserve"> </v>
      </c>
      <c r="HD153" t="str">
        <f t="shared" si="415"/>
        <v xml:space="preserve"> </v>
      </c>
      <c r="HE153" t="str">
        <f t="shared" si="416"/>
        <v xml:space="preserve"> </v>
      </c>
      <c r="HF153" t="str">
        <f t="shared" si="417"/>
        <v xml:space="preserve"> </v>
      </c>
    </row>
    <row r="154" spans="1:214">
      <c r="A154" s="415" t="str">
        <f>IF(A153="N/A","N/A",IF(EDATE(A153,1)&gt;Inputs!$K$3,"N/A",EDATE(A153,1)))</f>
        <v>N/A</v>
      </c>
      <c r="B154" s="410" t="str">
        <f t="shared" si="389"/>
        <v xml:space="preserve"> </v>
      </c>
      <c r="C154" s="411" t="str">
        <f t="shared" si="390"/>
        <v xml:space="preserve"> </v>
      </c>
      <c r="D154" s="412" t="str">
        <f t="shared" si="391"/>
        <v xml:space="preserve"> </v>
      </c>
      <c r="E154" s="413" t="str">
        <f>IF($A154="N/A"," ",(C154-'Pricing Inputs'!T187)*D154)</f>
        <v xml:space="preserve"> </v>
      </c>
      <c r="F154" s="414" t="str">
        <f t="shared" si="440"/>
        <v xml:space="preserve"> </v>
      </c>
      <c r="G154" s="414" t="str">
        <f t="shared" si="392"/>
        <v xml:space="preserve"> </v>
      </c>
      <c r="H154" s="416" t="str">
        <f t="shared" si="393"/>
        <v xml:space="preserve"> </v>
      </c>
      <c r="I154" s="213" t="str">
        <f t="shared" si="342"/>
        <v xml:space="preserve"> </v>
      </c>
      <c r="J154" s="213" t="str">
        <f t="shared" si="343"/>
        <v xml:space="preserve"> </v>
      </c>
      <c r="K154" s="213" t="str">
        <f t="shared" si="344"/>
        <v xml:space="preserve"> </v>
      </c>
      <c r="L154" s="213" t="str">
        <f t="shared" si="345"/>
        <v xml:space="preserve"> </v>
      </c>
      <c r="M154" s="213" t="str">
        <f t="shared" si="346"/>
        <v xml:space="preserve"> </v>
      </c>
      <c r="N154" s="213" t="str">
        <f t="shared" si="347"/>
        <v xml:space="preserve"> </v>
      </c>
      <c r="O154" s="213" t="str">
        <f t="shared" si="348"/>
        <v xml:space="preserve"> </v>
      </c>
      <c r="P154" s="213" t="str">
        <f t="shared" si="349"/>
        <v xml:space="preserve"> </v>
      </c>
      <c r="Q154" s="213" t="str">
        <f t="shared" si="350"/>
        <v xml:space="preserve"> </v>
      </c>
      <c r="R154" s="405" t="str">
        <f>IF($A154="N/A"," ",IF(Pricetype=2,MAX(I154-$H154,0),IF(Pricetype=1,(_xll.xSPRDOPT(I154,$E154,$CI154,0,($CD154+IF(Smile=TRUE,VLOOKUP(MAX(-5,$H154-I154),Volsmile,2),0)),$CG154,$CH154,($A154-DateToday)+15,1,0)),I154-$H154)))</f>
        <v xml:space="preserve"> </v>
      </c>
      <c r="S154" s="405" t="str">
        <f>IF($A154="N/A"," ",IF(Pricetype=2,MAX(J154-$H154,0),IF(Pricetype=1,(_xll.xSPRDOPT(J154,$E154,$CI154,0,($CD154+IF(Smile=TRUE,VLOOKUP(MAX(-5,$H154-J154),Volsmile,2),0)),$CG154,$CH154,($A154-DateToday)+15,1,0)),J154-$H154)))</f>
        <v xml:space="preserve"> </v>
      </c>
      <c r="T154" s="406" t="str">
        <f t="shared" si="351"/>
        <v xml:space="preserve"> </v>
      </c>
      <c r="U154" s="405" t="str">
        <f>IF($A154="N/A"," ",IF(Pricetype=2,MAX(L154-$H154,0),IF(L154&lt;&gt;0,IF(Pricetype=1,(_xll.xSPRDOPT(L154,$E154,$CI154,0,($CD154+IF(Smile=TRUE,VLOOKUP(MAX(-5,$H154-L154),Volsmile,2),0)),$CG154,$CH154,($A154-DateToday)+15,1,0)),L154-$H154),0)))</f>
        <v xml:space="preserve"> </v>
      </c>
      <c r="V154" s="405" t="str">
        <f>IF($A154="N/A"," ",IF(Pricetype=2,MAX(M154-$H154,0),IF(M154&lt;&gt;0,IF(Pricetype=1,(_xll.xSPRDOPT(M154,$E154,$CI154,0,($CD154+IF(Smile=TRUE,VLOOKUP(MAX(-5,$H154-M154),Volsmile,2),0)),$CG154,$CH154,($A154-DateToday)+15,1,0)),M154-$H154),0)))</f>
        <v xml:space="preserve"> </v>
      </c>
      <c r="W154" s="406" t="str">
        <f t="shared" si="352"/>
        <v xml:space="preserve"> </v>
      </c>
      <c r="X154" s="405" t="str">
        <f>IF($A154="N/A"," ",IF(Pricetype=2,MAX(O154-$H154,0),IF(O154&lt;&gt;0,IF(Pricetype=1,(_xll.xSPRDOPT(O154,$E154,$CI154,0,($CD154+IF(Smile=TRUE,VLOOKUP(MAX(-5,$H154-O154),Volsmile,2),0)),$CG154,$CH154,($A154-DateToday)+15,1,0)),O154-$H154),0)))</f>
        <v xml:space="preserve"> </v>
      </c>
      <c r="Y154" s="405" t="str">
        <f>IF($A154="N/A"," ",IF(Pricetype=2,MAX(P154-$H154,0),IF(P154&lt;&gt;0,IF(Pricetype=1,(_xll.xSPRDOPT(P154,$E154,$CI154,0,($CD154+IF(Smile=TRUE,VLOOKUP(MAX(-5,$H154-P154),Volsmile,2),0)),$CG154,$CH154,($A154-DateToday)+15,1,0)),P154-$H154),0)))</f>
        <v xml:space="preserve"> </v>
      </c>
      <c r="Z154" s="406" t="str">
        <f t="shared" si="353"/>
        <v xml:space="preserve"> </v>
      </c>
      <c r="AA154" s="254" t="str">
        <f>IF($A154="N/A"," ",IF(VLOOKUP(MONTH(A154),ManualTable,2)=1,(IF(0&lt;&gt;R154,IF(Pricetype=1,(_xll.xSPRDOPT(I154,$E154,$CI154,0,($CD154+IF(Smile=TRUE,VLOOKUP(MAX(-5,$H154-I154),Volsmile,2),0)),$CG154,$CH154,($A154-DateToday)+15,1,1))*(8*$HD154),8*$HD154),0)),0))</f>
        <v xml:space="preserve"> </v>
      </c>
      <c r="AB154" s="254" t="str">
        <f>IF($A154="N/A"," ",IF(VLOOKUP(MONTH(A154),ManualTable,3)=1,(IF(S154&lt;&gt;0,IF(Pricetype=1,(_xll.xSPRDOPT(J154,$E154,$CI154,0,($CD154+IF(Smile=TRUE,VLOOKUP(MAX(-5,$H154-J154),Volsmile,2),0)),$CG154,$CH154,($A154-DateToday)+15,1,1))*(8*$HD154),8*$HD154),0)),0))</f>
        <v xml:space="preserve"> </v>
      </c>
      <c r="AC154" s="254" t="str">
        <f t="shared" si="394"/>
        <v xml:space="preserve"> </v>
      </c>
      <c r="AD154" s="254" t="str">
        <f>IF($A154="N/A"," ",IF(VLOOKUP(MONTH(A154),ManualTable,5)=1,(IF(U154&lt;&gt;0,IF(Pricetype=1,(_xll.xSPRDOPT(L154,$E154,$CI154,0,($CD154+IF(Smile=TRUE,VLOOKUP(MAX(-5,$H154-L154),Volsmile,2),0)),$CG154,$CH154,($A154-DateToday)+15,1,1))*(8*$HE154),8*$HE154),0)),0))</f>
        <v xml:space="preserve"> </v>
      </c>
      <c r="AE154" s="254" t="str">
        <f>IF($A154="N/A"," ",IF(VLOOKUP(MONTH(A154),ManualTable,6)=1,(IF(V154&lt;&gt;0,IF(Pricetype=1,(_xll.xSPRDOPT(M154,$E154,$CI154,0,($CD154+IF(Smile=TRUE,VLOOKUP(MAX(-5,$H154-M154),Volsmile,2),0)),$CG154,$CH154,($A154-DateToday)+15,1,1))*(8*$HE154),8*$HE154),0)),0))</f>
        <v xml:space="preserve"> </v>
      </c>
      <c r="AF154" s="254" t="str">
        <f t="shared" si="395"/>
        <v xml:space="preserve"> </v>
      </c>
      <c r="AG154" s="254" t="str">
        <f>IF($A154="N/A"," ",IF(VLOOKUP(MONTH(A154),ManualTable,8)=1,(IF(X154&lt;&gt;0,IF(Pricetype=1,(_xll.xSPRDOPT(O154,$E154,$CI154,0,($CD154+IF(Smile=TRUE,VLOOKUP(MAX(-5,$H154-O154),Volsmile,2),0)),$CG154,$CH154,($A154-DateToday)+15,1,1))*(8*$HF154),8*$HF154),0)),0))</f>
        <v xml:space="preserve"> </v>
      </c>
      <c r="AH154" s="254" t="str">
        <f>IF($A154="N/A"," ",IF(VLOOKUP(MONTH(A154),ManualTable,9)=1,(IF(Y154&lt;&gt;0,IF(Pricetype=1,(_xll.xSPRDOPT(P154,$E154,$CI154,0,($CD154+IF(Smile=TRUE,VLOOKUP(MAX(-5,$H154-P154),Volsmile,2),0)),$CG154,$CH154,($A154-DateToday)+15,1,1))*(8*$HF154),8*$HF154),0)),0))</f>
        <v xml:space="preserve"> </v>
      </c>
      <c r="AI154" s="254" t="str">
        <f t="shared" si="396"/>
        <v xml:space="preserve"> </v>
      </c>
      <c r="AJ154" s="227" t="str">
        <f t="shared" si="449"/>
        <v xml:space="preserve"> </v>
      </c>
      <c r="AK154" s="228" t="str">
        <f t="shared" si="450"/>
        <v xml:space="preserve"> </v>
      </c>
      <c r="AL154" s="228" t="str">
        <f t="shared" si="450"/>
        <v xml:space="preserve"> </v>
      </c>
      <c r="AM154" s="228" t="str">
        <f t="shared" si="451"/>
        <v xml:space="preserve"> </v>
      </c>
      <c r="AN154" s="228" t="str">
        <f t="shared" si="452"/>
        <v xml:space="preserve"> </v>
      </c>
      <c r="AO154" s="228" t="str">
        <f t="shared" si="452"/>
        <v xml:space="preserve"> </v>
      </c>
      <c r="AP154" s="228" t="str">
        <f t="shared" si="453"/>
        <v xml:space="preserve"> </v>
      </c>
      <c r="AQ154" s="228" t="str">
        <f t="shared" si="454"/>
        <v xml:space="preserve"> </v>
      </c>
      <c r="AR154" s="229" t="str">
        <f t="shared" si="455"/>
        <v xml:space="preserve"> </v>
      </c>
      <c r="AS154" s="262" t="str">
        <f t="shared" si="433"/>
        <v xml:space="preserve"> </v>
      </c>
      <c r="AT154" s="263" t="str">
        <f t="shared" si="434"/>
        <v xml:space="preserve"> </v>
      </c>
      <c r="AU154" s="263" t="str">
        <f t="shared" si="434"/>
        <v xml:space="preserve"> </v>
      </c>
      <c r="AV154" s="263" t="str">
        <f t="shared" si="435"/>
        <v xml:space="preserve"> </v>
      </c>
      <c r="AW154" s="263" t="str">
        <f t="shared" si="436"/>
        <v xml:space="preserve"> </v>
      </c>
      <c r="AX154" s="263" t="str">
        <f t="shared" si="436"/>
        <v xml:space="preserve"> </v>
      </c>
      <c r="AY154" s="263" t="str">
        <f t="shared" si="437"/>
        <v xml:space="preserve"> </v>
      </c>
      <c r="AZ154" s="263" t="str">
        <f t="shared" si="438"/>
        <v xml:space="preserve"> </v>
      </c>
      <c r="BA154" s="263" t="str">
        <f t="shared" si="439"/>
        <v xml:space="preserve"> </v>
      </c>
      <c r="BB154" s="229"/>
      <c r="BC154" s="266" t="str">
        <f t="shared" si="442"/>
        <v xml:space="preserve"> </v>
      </c>
      <c r="BD154" s="269" t="str">
        <f t="shared" si="443"/>
        <v xml:space="preserve"> </v>
      </c>
      <c r="BE154" s="269" t="str">
        <f t="shared" si="443"/>
        <v xml:space="preserve"> </v>
      </c>
      <c r="BF154" s="269" t="str">
        <f t="shared" si="444"/>
        <v xml:space="preserve"> </v>
      </c>
      <c r="BG154" s="269" t="str">
        <f t="shared" si="445"/>
        <v xml:space="preserve"> </v>
      </c>
      <c r="BH154" s="269" t="str">
        <f t="shared" si="445"/>
        <v xml:space="preserve"> </v>
      </c>
      <c r="BI154" s="269" t="str">
        <f t="shared" si="446"/>
        <v xml:space="preserve"> </v>
      </c>
      <c r="BJ154" s="269" t="str">
        <f t="shared" si="447"/>
        <v xml:space="preserve"> </v>
      </c>
      <c r="BK154" s="269" t="str">
        <f t="shared" si="448"/>
        <v xml:space="preserve"> </v>
      </c>
      <c r="BL154" s="229"/>
      <c r="BM154" s="220" t="str">
        <f>IF($A154="N/A"," ",(IF(MONTH(A154)&gt;=4,IF(MONTH(A154)&lt;=10,Inputs!$F$13-Inputs!$G$13,Inputs!$F$14-Inputs!$G$14),Inputs!$F$14-Inputs!$G$14))*$CK154*Availability)</f>
        <v xml:space="preserve"> </v>
      </c>
      <c r="BN154" s="221" t="str">
        <f t="shared" si="397"/>
        <v xml:space="preserve"> </v>
      </c>
      <c r="BO154" s="221" t="str">
        <f t="shared" si="398"/>
        <v xml:space="preserve"> </v>
      </c>
      <c r="BP154" s="221" t="str">
        <f t="shared" si="399"/>
        <v xml:space="preserve"> </v>
      </c>
      <c r="BQ154" s="221" t="str">
        <f t="shared" si="400"/>
        <v xml:space="preserve"> </v>
      </c>
      <c r="BR154" s="221" t="str">
        <f t="shared" si="401"/>
        <v xml:space="preserve"> </v>
      </c>
      <c r="BS154" s="221" t="str">
        <f t="shared" si="402"/>
        <v xml:space="preserve"> </v>
      </c>
      <c r="BT154" s="221" t="str">
        <f t="shared" si="403"/>
        <v xml:space="preserve"> </v>
      </c>
      <c r="BU154" s="221" t="str">
        <f t="shared" si="404"/>
        <v xml:space="preserve"> </v>
      </c>
      <c r="BV154" s="221" t="str">
        <f t="shared" si="405"/>
        <v xml:space="preserve"> </v>
      </c>
      <c r="BW154" s="221" t="str">
        <f t="shared" si="406"/>
        <v xml:space="preserve"> </v>
      </c>
      <c r="BX154" s="421" t="str">
        <f t="shared" si="407"/>
        <v xml:space="preserve"> </v>
      </c>
      <c r="BY154" s="417" t="str">
        <f t="shared" si="408"/>
        <v xml:space="preserve"> </v>
      </c>
      <c r="BZ154" s="417" t="str">
        <f t="shared" si="409"/>
        <v xml:space="preserve"> </v>
      </c>
      <c r="CA154" s="422" t="str">
        <f t="shared" si="410"/>
        <v xml:space="preserve"> </v>
      </c>
      <c r="CB154" s="347" t="str">
        <f t="shared" si="354"/>
        <v xml:space="preserve"> </v>
      </c>
      <c r="CC154" s="347" t="str">
        <f t="shared" si="411"/>
        <v xml:space="preserve"> </v>
      </c>
      <c r="CD154" s="348" t="str">
        <f t="shared" si="355"/>
        <v xml:space="preserve"> </v>
      </c>
      <c r="CE154" s="347" t="str">
        <f t="shared" si="356"/>
        <v xml:space="preserve"> </v>
      </c>
      <c r="CF154" s="347" t="str">
        <f t="shared" si="357"/>
        <v xml:space="preserve"> </v>
      </c>
      <c r="CG154" s="348" t="str">
        <f t="shared" si="358"/>
        <v xml:space="preserve"> </v>
      </c>
      <c r="CH154" s="347" t="str">
        <f t="shared" si="412"/>
        <v xml:space="preserve"> </v>
      </c>
      <c r="CI154" s="349" t="str">
        <f>IF($A154="N/A"," ",F154+G154+(D154*('Pricing Inputs'!T187)))</f>
        <v xml:space="preserve"> </v>
      </c>
      <c r="CJ154" s="347" t="str">
        <f>IF($A154="N/A"," ",IF(PV=1,0,'Pricing Inputs'!U187))</f>
        <v xml:space="preserve"> </v>
      </c>
      <c r="CK154" s="350" t="str">
        <f t="shared" si="359"/>
        <v xml:space="preserve"> </v>
      </c>
      <c r="CL154" s="365" t="str">
        <f t="shared" si="360"/>
        <v xml:space="preserve"> </v>
      </c>
      <c r="CM154" s="380" t="str">
        <f t="shared" si="413"/>
        <v xml:space="preserve"> </v>
      </c>
      <c r="CN154" s="378" t="str">
        <f t="shared" si="361"/>
        <v xml:space="preserve"> </v>
      </c>
      <c r="CO154" s="378" t="str">
        <f t="shared" si="362"/>
        <v xml:space="preserve"> </v>
      </c>
      <c r="CP154" s="378" t="str">
        <f t="shared" si="363"/>
        <v xml:space="preserve"> </v>
      </c>
      <c r="CQ154" s="378" t="str">
        <f t="shared" si="364"/>
        <v xml:space="preserve"> </v>
      </c>
      <c r="CR154" s="378" t="str">
        <f t="shared" si="365"/>
        <v xml:space="preserve"> </v>
      </c>
      <c r="CS154" s="378" t="str">
        <f t="shared" si="366"/>
        <v xml:space="preserve"> </v>
      </c>
      <c r="CT154" s="378" t="str">
        <f t="shared" si="367"/>
        <v xml:space="preserve"> </v>
      </c>
      <c r="CU154" s="378" t="str">
        <f t="shared" si="368"/>
        <v xml:space="preserve"> </v>
      </c>
      <c r="CV154" s="378" t="str">
        <f t="shared" si="369"/>
        <v xml:space="preserve"> </v>
      </c>
      <c r="CW154" s="254" t="str">
        <f t="shared" si="370"/>
        <v xml:space="preserve"> </v>
      </c>
      <c r="CX154" s="254" t="str">
        <f t="shared" si="371"/>
        <v xml:space="preserve"> </v>
      </c>
      <c r="CY154" s="254" t="str">
        <f t="shared" si="372"/>
        <v xml:space="preserve"> </v>
      </c>
      <c r="CZ154" s="254" t="str">
        <f t="shared" si="373"/>
        <v xml:space="preserve"> </v>
      </c>
      <c r="DA154" s="254" t="str">
        <f t="shared" si="374"/>
        <v xml:space="preserve"> </v>
      </c>
      <c r="DB154" s="254" t="str">
        <f t="shared" si="375"/>
        <v xml:space="preserve"> </v>
      </c>
      <c r="DC154" s="254" t="str">
        <f t="shared" si="376"/>
        <v xml:space="preserve"> </v>
      </c>
      <c r="DD154" s="254" t="str">
        <f t="shared" si="377"/>
        <v xml:space="preserve"> </v>
      </c>
      <c r="DE154" s="254" t="str">
        <f t="shared" si="378"/>
        <v xml:space="preserve"> </v>
      </c>
      <c r="DF154" s="374" t="str">
        <f>IF($A154="N/A"," ",IF(CC=2,(IF(MONTH(A154)&gt;=4,IF(MONTH(A154)&lt;=10,Inputs!$G$13,Inputs!$G$14),Inputs!$G$14))*$CK154,0))</f>
        <v xml:space="preserve"> </v>
      </c>
      <c r="DG154" s="373" t="str">
        <f t="shared" si="379"/>
        <v xml:space="preserve"> </v>
      </c>
      <c r="DH154" s="373" t="str">
        <f t="shared" si="380"/>
        <v xml:space="preserve"> </v>
      </c>
      <c r="DI154" s="373" t="str">
        <f t="shared" si="381"/>
        <v xml:space="preserve"> </v>
      </c>
      <c r="DJ154" s="373" t="str">
        <f t="shared" si="382"/>
        <v xml:space="preserve"> </v>
      </c>
      <c r="DK154" s="373" t="str">
        <f t="shared" si="383"/>
        <v xml:space="preserve"> </v>
      </c>
      <c r="DL154" s="373" t="str">
        <f t="shared" si="384"/>
        <v xml:space="preserve"> </v>
      </c>
      <c r="DM154" s="373" t="str">
        <f t="shared" si="385"/>
        <v xml:space="preserve"> </v>
      </c>
      <c r="DN154" s="373" t="str">
        <f t="shared" si="386"/>
        <v xml:space="preserve"> </v>
      </c>
      <c r="DO154" s="373" t="str">
        <f t="shared" si="387"/>
        <v xml:space="preserve"> </v>
      </c>
      <c r="DP154" s="375" t="str">
        <f t="shared" si="388"/>
        <v xml:space="preserve"> </v>
      </c>
      <c r="DQ154" t="str">
        <f t="shared" si="414"/>
        <v xml:space="preserve"> </v>
      </c>
      <c r="HD154" t="str">
        <f t="shared" si="415"/>
        <v xml:space="preserve"> </v>
      </c>
      <c r="HE154" t="str">
        <f t="shared" si="416"/>
        <v xml:space="preserve"> </v>
      </c>
      <c r="HF154" t="str">
        <f t="shared" si="417"/>
        <v xml:space="preserve"> </v>
      </c>
    </row>
    <row r="155" spans="1:214">
      <c r="A155" s="415" t="str">
        <f>IF(A154="N/A","N/A",IF(EDATE(A154,1)&gt;Inputs!$K$3,"N/A",EDATE(A154,1)))</f>
        <v>N/A</v>
      </c>
      <c r="B155" s="410" t="str">
        <f t="shared" si="389"/>
        <v xml:space="preserve"> </v>
      </c>
      <c r="C155" s="411" t="str">
        <f t="shared" si="390"/>
        <v xml:space="preserve"> </v>
      </c>
      <c r="D155" s="412" t="str">
        <f t="shared" si="391"/>
        <v xml:space="preserve"> </v>
      </c>
      <c r="E155" s="413" t="str">
        <f>IF($A155="N/A"," ",(C155-'Pricing Inputs'!T188)*D155)</f>
        <v xml:space="preserve"> </v>
      </c>
      <c r="F155" s="414" t="str">
        <f t="shared" si="440"/>
        <v xml:space="preserve"> </v>
      </c>
      <c r="G155" s="414" t="str">
        <f t="shared" si="392"/>
        <v xml:space="preserve"> </v>
      </c>
      <c r="H155" s="416" t="str">
        <f t="shared" si="393"/>
        <v xml:space="preserve"> </v>
      </c>
      <c r="I155" s="213" t="str">
        <f t="shared" si="342"/>
        <v xml:space="preserve"> </v>
      </c>
      <c r="J155" s="213" t="str">
        <f t="shared" si="343"/>
        <v xml:space="preserve"> </v>
      </c>
      <c r="K155" s="213" t="str">
        <f t="shared" si="344"/>
        <v xml:space="preserve"> </v>
      </c>
      <c r="L155" s="213" t="str">
        <f t="shared" si="345"/>
        <v xml:space="preserve"> </v>
      </c>
      <c r="M155" s="213" t="str">
        <f t="shared" si="346"/>
        <v xml:space="preserve"> </v>
      </c>
      <c r="N155" s="213" t="str">
        <f t="shared" si="347"/>
        <v xml:space="preserve"> </v>
      </c>
      <c r="O155" s="213" t="str">
        <f t="shared" si="348"/>
        <v xml:space="preserve"> </v>
      </c>
      <c r="P155" s="213" t="str">
        <f t="shared" si="349"/>
        <v xml:space="preserve"> </v>
      </c>
      <c r="Q155" s="213" t="str">
        <f t="shared" si="350"/>
        <v xml:space="preserve"> </v>
      </c>
      <c r="R155" s="405" t="str">
        <f>IF($A155="N/A"," ",IF(Pricetype=2,MAX(I155-$H155,0),IF(Pricetype=1,(_xll.xSPRDOPT(I155,$E155,$CI155,0,($CD155+IF(Smile=TRUE,VLOOKUP(MAX(-5,$H155-I155),Volsmile,2),0)),$CG155,$CH155,($A155-DateToday)+15,1,0)),I155-$H155)))</f>
        <v xml:space="preserve"> </v>
      </c>
      <c r="S155" s="405" t="str">
        <f>IF($A155="N/A"," ",IF(Pricetype=2,MAX(J155-$H155,0),IF(Pricetype=1,(_xll.xSPRDOPT(J155,$E155,$CI155,0,($CD155+IF(Smile=TRUE,VLOOKUP(MAX(-5,$H155-J155),Volsmile,2),0)),$CG155,$CH155,($A155-DateToday)+15,1,0)),J155-$H155)))</f>
        <v xml:space="preserve"> </v>
      </c>
      <c r="T155" s="406" t="str">
        <f t="shared" si="351"/>
        <v xml:space="preserve"> </v>
      </c>
      <c r="U155" s="405" t="str">
        <f>IF($A155="N/A"," ",IF(Pricetype=2,MAX(L155-$H155,0),IF(L155&lt;&gt;0,IF(Pricetype=1,(_xll.xSPRDOPT(L155,$E155,$CI155,0,($CD155+IF(Smile=TRUE,VLOOKUP(MAX(-5,$H155-L155),Volsmile,2),0)),$CG155,$CH155,($A155-DateToday)+15,1,0)),L155-$H155),0)))</f>
        <v xml:space="preserve"> </v>
      </c>
      <c r="V155" s="405" t="str">
        <f>IF($A155="N/A"," ",IF(Pricetype=2,MAX(M155-$H155,0),IF(M155&lt;&gt;0,IF(Pricetype=1,(_xll.xSPRDOPT(M155,$E155,$CI155,0,($CD155+IF(Smile=TRUE,VLOOKUP(MAX(-5,$H155-M155),Volsmile,2),0)),$CG155,$CH155,($A155-DateToday)+15,1,0)),M155-$H155),0)))</f>
        <v xml:space="preserve"> </v>
      </c>
      <c r="W155" s="406" t="str">
        <f t="shared" si="352"/>
        <v xml:space="preserve"> </v>
      </c>
      <c r="X155" s="405" t="str">
        <f>IF($A155="N/A"," ",IF(Pricetype=2,MAX(O155-$H155,0),IF(O155&lt;&gt;0,IF(Pricetype=1,(_xll.xSPRDOPT(O155,$E155,$CI155,0,($CD155+IF(Smile=TRUE,VLOOKUP(MAX(-5,$H155-O155),Volsmile,2),0)),$CG155,$CH155,($A155-DateToday)+15,1,0)),O155-$H155),0)))</f>
        <v xml:space="preserve"> </v>
      </c>
      <c r="Y155" s="405" t="str">
        <f>IF($A155="N/A"," ",IF(Pricetype=2,MAX(P155-$H155,0),IF(P155&lt;&gt;0,IF(Pricetype=1,(_xll.xSPRDOPT(P155,$E155,$CI155,0,($CD155+IF(Smile=TRUE,VLOOKUP(MAX(-5,$H155-P155),Volsmile,2),0)),$CG155,$CH155,($A155-DateToday)+15,1,0)),P155-$H155),0)))</f>
        <v xml:space="preserve"> </v>
      </c>
      <c r="Z155" s="406" t="str">
        <f t="shared" si="353"/>
        <v xml:space="preserve"> </v>
      </c>
      <c r="AA155" s="254" t="str">
        <f>IF($A155="N/A"," ",IF(VLOOKUP(MONTH(A155),ManualTable,2)=1,(IF(0&lt;&gt;R155,IF(Pricetype=1,(_xll.xSPRDOPT(I155,$E155,$CI155,0,($CD155+IF(Smile=TRUE,VLOOKUP(MAX(-5,$H155-I155),Volsmile,2),0)),$CG155,$CH155,($A155-DateToday)+15,1,1))*(8*$HD155),8*$HD155),0)),0))</f>
        <v xml:space="preserve"> </v>
      </c>
      <c r="AB155" s="254" t="str">
        <f>IF($A155="N/A"," ",IF(VLOOKUP(MONTH(A155),ManualTable,3)=1,(IF(S155&lt;&gt;0,IF(Pricetype=1,(_xll.xSPRDOPT(J155,$E155,$CI155,0,($CD155+IF(Smile=TRUE,VLOOKUP(MAX(-5,$H155-J155),Volsmile,2),0)),$CG155,$CH155,($A155-DateToday)+15,1,1))*(8*$HD155),8*$HD155),0)),0))</f>
        <v xml:space="preserve"> </v>
      </c>
      <c r="AC155" s="254" t="str">
        <f t="shared" si="394"/>
        <v xml:space="preserve"> </v>
      </c>
      <c r="AD155" s="254" t="str">
        <f>IF($A155="N/A"," ",IF(VLOOKUP(MONTH(A155),ManualTable,5)=1,(IF(U155&lt;&gt;0,IF(Pricetype=1,(_xll.xSPRDOPT(L155,$E155,$CI155,0,($CD155+IF(Smile=TRUE,VLOOKUP(MAX(-5,$H155-L155),Volsmile,2),0)),$CG155,$CH155,($A155-DateToday)+15,1,1))*(8*$HE155),8*$HE155),0)),0))</f>
        <v xml:space="preserve"> </v>
      </c>
      <c r="AE155" s="254" t="str">
        <f>IF($A155="N/A"," ",IF(VLOOKUP(MONTH(A155),ManualTable,6)=1,(IF(V155&lt;&gt;0,IF(Pricetype=1,(_xll.xSPRDOPT(M155,$E155,$CI155,0,($CD155+IF(Smile=TRUE,VLOOKUP(MAX(-5,$H155-M155),Volsmile,2),0)),$CG155,$CH155,($A155-DateToday)+15,1,1))*(8*$HE155),8*$HE155),0)),0))</f>
        <v xml:space="preserve"> </v>
      </c>
      <c r="AF155" s="254" t="str">
        <f t="shared" si="395"/>
        <v xml:space="preserve"> </v>
      </c>
      <c r="AG155" s="254" t="str">
        <f>IF($A155="N/A"," ",IF(VLOOKUP(MONTH(A155),ManualTable,8)=1,(IF(X155&lt;&gt;0,IF(Pricetype=1,(_xll.xSPRDOPT(O155,$E155,$CI155,0,($CD155+IF(Smile=TRUE,VLOOKUP(MAX(-5,$H155-O155),Volsmile,2),0)),$CG155,$CH155,($A155-DateToday)+15,1,1))*(8*$HF155),8*$HF155),0)),0))</f>
        <v xml:space="preserve"> </v>
      </c>
      <c r="AH155" s="254" t="str">
        <f>IF($A155="N/A"," ",IF(VLOOKUP(MONTH(A155),ManualTable,9)=1,(IF(Y155&lt;&gt;0,IF(Pricetype=1,(_xll.xSPRDOPT(P155,$E155,$CI155,0,($CD155+IF(Smile=TRUE,VLOOKUP(MAX(-5,$H155-P155),Volsmile,2),0)),$CG155,$CH155,($A155-DateToday)+15,1,1))*(8*$HF155),8*$HF155),0)),0))</f>
        <v xml:space="preserve"> </v>
      </c>
      <c r="AI155" s="254" t="str">
        <f t="shared" si="396"/>
        <v xml:space="preserve"> </v>
      </c>
      <c r="AJ155" s="227" t="str">
        <f t="shared" si="449"/>
        <v xml:space="preserve"> </v>
      </c>
      <c r="AK155" s="228" t="str">
        <f t="shared" si="450"/>
        <v xml:space="preserve"> </v>
      </c>
      <c r="AL155" s="228" t="str">
        <f t="shared" si="450"/>
        <v xml:space="preserve"> </v>
      </c>
      <c r="AM155" s="228" t="str">
        <f t="shared" si="451"/>
        <v xml:space="preserve"> </v>
      </c>
      <c r="AN155" s="228" t="str">
        <f t="shared" si="452"/>
        <v xml:space="preserve"> </v>
      </c>
      <c r="AO155" s="228" t="str">
        <f t="shared" si="452"/>
        <v xml:space="preserve"> </v>
      </c>
      <c r="AP155" s="228" t="str">
        <f t="shared" si="453"/>
        <v xml:space="preserve"> </v>
      </c>
      <c r="AQ155" s="228" t="str">
        <f t="shared" si="454"/>
        <v xml:space="preserve"> </v>
      </c>
      <c r="AR155" s="229" t="str">
        <f t="shared" si="455"/>
        <v xml:space="preserve"> </v>
      </c>
      <c r="AS155" s="262" t="str">
        <f t="shared" si="433"/>
        <v xml:space="preserve"> </v>
      </c>
      <c r="AT155" s="263" t="str">
        <f t="shared" si="434"/>
        <v xml:space="preserve"> </v>
      </c>
      <c r="AU155" s="263" t="str">
        <f t="shared" si="434"/>
        <v xml:space="preserve"> </v>
      </c>
      <c r="AV155" s="263" t="str">
        <f t="shared" si="435"/>
        <v xml:space="preserve"> </v>
      </c>
      <c r="AW155" s="263" t="str">
        <f t="shared" si="436"/>
        <v xml:space="preserve"> </v>
      </c>
      <c r="AX155" s="263" t="str">
        <f t="shared" si="436"/>
        <v xml:space="preserve"> </v>
      </c>
      <c r="AY155" s="263" t="str">
        <f t="shared" si="437"/>
        <v xml:space="preserve"> </v>
      </c>
      <c r="AZ155" s="263" t="str">
        <f t="shared" si="438"/>
        <v xml:space="preserve"> </v>
      </c>
      <c r="BA155" s="263" t="str">
        <f t="shared" si="439"/>
        <v xml:space="preserve"> </v>
      </c>
      <c r="BB155" s="229"/>
      <c r="BC155" s="266" t="str">
        <f t="shared" si="442"/>
        <v xml:space="preserve"> </v>
      </c>
      <c r="BD155" s="269" t="str">
        <f t="shared" si="443"/>
        <v xml:space="preserve"> </v>
      </c>
      <c r="BE155" s="269" t="str">
        <f t="shared" si="443"/>
        <v xml:space="preserve"> </v>
      </c>
      <c r="BF155" s="269" t="str">
        <f t="shared" si="444"/>
        <v xml:space="preserve"> </v>
      </c>
      <c r="BG155" s="269" t="str">
        <f t="shared" si="445"/>
        <v xml:space="preserve"> </v>
      </c>
      <c r="BH155" s="269" t="str">
        <f t="shared" si="445"/>
        <v xml:space="preserve"> </v>
      </c>
      <c r="BI155" s="269" t="str">
        <f t="shared" si="446"/>
        <v xml:space="preserve"> </v>
      </c>
      <c r="BJ155" s="269" t="str">
        <f t="shared" si="447"/>
        <v xml:space="preserve"> </v>
      </c>
      <c r="BK155" s="269" t="str">
        <f t="shared" si="448"/>
        <v xml:space="preserve"> </v>
      </c>
      <c r="BL155" s="229"/>
      <c r="BM155" s="220" t="str">
        <f>IF($A155="N/A"," ",(IF(MONTH(A155)&gt;=4,IF(MONTH(A155)&lt;=10,Inputs!$F$13-Inputs!$G$13,Inputs!$F$14-Inputs!$G$14),Inputs!$F$14-Inputs!$G$14))*$CK155*Availability)</f>
        <v xml:space="preserve"> </v>
      </c>
      <c r="BN155" s="221" t="str">
        <f t="shared" si="397"/>
        <v xml:space="preserve"> </v>
      </c>
      <c r="BO155" s="221" t="str">
        <f t="shared" si="398"/>
        <v xml:space="preserve"> </v>
      </c>
      <c r="BP155" s="221" t="str">
        <f t="shared" si="399"/>
        <v xml:space="preserve"> </v>
      </c>
      <c r="BQ155" s="221" t="str">
        <f t="shared" si="400"/>
        <v xml:space="preserve"> </v>
      </c>
      <c r="BR155" s="221" t="str">
        <f t="shared" si="401"/>
        <v xml:space="preserve"> </v>
      </c>
      <c r="BS155" s="221" t="str">
        <f t="shared" si="402"/>
        <v xml:space="preserve"> </v>
      </c>
      <c r="BT155" s="221" t="str">
        <f t="shared" si="403"/>
        <v xml:space="preserve"> </v>
      </c>
      <c r="BU155" s="221" t="str">
        <f t="shared" si="404"/>
        <v xml:space="preserve"> </v>
      </c>
      <c r="BV155" s="221" t="str">
        <f t="shared" si="405"/>
        <v xml:space="preserve"> </v>
      </c>
      <c r="BW155" s="221" t="str">
        <f t="shared" si="406"/>
        <v xml:space="preserve"> </v>
      </c>
      <c r="BX155" s="421" t="str">
        <f t="shared" si="407"/>
        <v xml:space="preserve"> </v>
      </c>
      <c r="BY155" s="417" t="str">
        <f t="shared" si="408"/>
        <v xml:space="preserve"> </v>
      </c>
      <c r="BZ155" s="417" t="str">
        <f t="shared" si="409"/>
        <v xml:space="preserve"> </v>
      </c>
      <c r="CA155" s="422" t="str">
        <f t="shared" si="410"/>
        <v xml:space="preserve"> </v>
      </c>
      <c r="CB155" s="347" t="str">
        <f t="shared" si="354"/>
        <v xml:space="preserve"> </v>
      </c>
      <c r="CC155" s="347" t="str">
        <f t="shared" si="411"/>
        <v xml:space="preserve"> </v>
      </c>
      <c r="CD155" s="348" t="str">
        <f t="shared" si="355"/>
        <v xml:space="preserve"> </v>
      </c>
      <c r="CE155" s="347" t="str">
        <f t="shared" si="356"/>
        <v xml:space="preserve"> </v>
      </c>
      <c r="CF155" s="347" t="str">
        <f t="shared" si="357"/>
        <v xml:space="preserve"> </v>
      </c>
      <c r="CG155" s="348" t="str">
        <f t="shared" si="358"/>
        <v xml:space="preserve"> </v>
      </c>
      <c r="CH155" s="347" t="str">
        <f t="shared" si="412"/>
        <v xml:space="preserve"> </v>
      </c>
      <c r="CI155" s="349" t="str">
        <f>IF($A155="N/A"," ",F155+G155+(D155*('Pricing Inputs'!T188)))</f>
        <v xml:space="preserve"> </v>
      </c>
      <c r="CJ155" s="347" t="str">
        <f>IF($A155="N/A"," ",IF(PV=1,0,'Pricing Inputs'!U188))</f>
        <v xml:space="preserve"> </v>
      </c>
      <c r="CK155" s="350" t="str">
        <f t="shared" si="359"/>
        <v xml:space="preserve"> </v>
      </c>
      <c r="CL155" s="365" t="str">
        <f t="shared" si="360"/>
        <v xml:space="preserve"> </v>
      </c>
      <c r="CM155" s="380" t="str">
        <f t="shared" si="413"/>
        <v xml:space="preserve"> </v>
      </c>
      <c r="CN155" s="378" t="str">
        <f t="shared" si="361"/>
        <v xml:space="preserve"> </v>
      </c>
      <c r="CO155" s="378" t="str">
        <f t="shared" si="362"/>
        <v xml:space="preserve"> </v>
      </c>
      <c r="CP155" s="378" t="str">
        <f t="shared" si="363"/>
        <v xml:space="preserve"> </v>
      </c>
      <c r="CQ155" s="378" t="str">
        <f t="shared" si="364"/>
        <v xml:space="preserve"> </v>
      </c>
      <c r="CR155" s="378" t="str">
        <f t="shared" si="365"/>
        <v xml:space="preserve"> </v>
      </c>
      <c r="CS155" s="378" t="str">
        <f t="shared" si="366"/>
        <v xml:space="preserve"> </v>
      </c>
      <c r="CT155" s="378" t="str">
        <f t="shared" si="367"/>
        <v xml:space="preserve"> </v>
      </c>
      <c r="CU155" s="378" t="str">
        <f t="shared" si="368"/>
        <v xml:space="preserve"> </v>
      </c>
      <c r="CV155" s="378" t="str">
        <f t="shared" si="369"/>
        <v xml:space="preserve"> </v>
      </c>
      <c r="CW155" s="254" t="str">
        <f t="shared" si="370"/>
        <v xml:space="preserve"> </v>
      </c>
      <c r="CX155" s="254" t="str">
        <f t="shared" si="371"/>
        <v xml:space="preserve"> </v>
      </c>
      <c r="CY155" s="254" t="str">
        <f t="shared" si="372"/>
        <v xml:space="preserve"> </v>
      </c>
      <c r="CZ155" s="254" t="str">
        <f t="shared" si="373"/>
        <v xml:space="preserve"> </v>
      </c>
      <c r="DA155" s="254" t="str">
        <f t="shared" si="374"/>
        <v xml:space="preserve"> </v>
      </c>
      <c r="DB155" s="254" t="str">
        <f t="shared" si="375"/>
        <v xml:space="preserve"> </v>
      </c>
      <c r="DC155" s="254" t="str">
        <f t="shared" si="376"/>
        <v xml:space="preserve"> </v>
      </c>
      <c r="DD155" s="254" t="str">
        <f t="shared" si="377"/>
        <v xml:space="preserve"> </v>
      </c>
      <c r="DE155" s="254" t="str">
        <f t="shared" si="378"/>
        <v xml:space="preserve"> </v>
      </c>
      <c r="DF155" s="374" t="str">
        <f>IF($A155="N/A"," ",IF(CC=2,(IF(MONTH(A155)&gt;=4,IF(MONTH(A155)&lt;=10,Inputs!$G$13,Inputs!$G$14),Inputs!$G$14))*$CK155,0))</f>
        <v xml:space="preserve"> </v>
      </c>
      <c r="DG155" s="373" t="str">
        <f t="shared" si="379"/>
        <v xml:space="preserve"> </v>
      </c>
      <c r="DH155" s="373" t="str">
        <f t="shared" si="380"/>
        <v xml:space="preserve"> </v>
      </c>
      <c r="DI155" s="373" t="str">
        <f t="shared" si="381"/>
        <v xml:space="preserve"> </v>
      </c>
      <c r="DJ155" s="373" t="str">
        <f t="shared" si="382"/>
        <v xml:space="preserve"> </v>
      </c>
      <c r="DK155" s="373" t="str">
        <f t="shared" si="383"/>
        <v xml:space="preserve"> </v>
      </c>
      <c r="DL155" s="373" t="str">
        <f t="shared" si="384"/>
        <v xml:space="preserve"> </v>
      </c>
      <c r="DM155" s="373" t="str">
        <f t="shared" si="385"/>
        <v xml:space="preserve"> </v>
      </c>
      <c r="DN155" s="373" t="str">
        <f t="shared" si="386"/>
        <v xml:space="preserve"> </v>
      </c>
      <c r="DO155" s="373" t="str">
        <f t="shared" si="387"/>
        <v xml:space="preserve"> </v>
      </c>
      <c r="DP155" s="375" t="str">
        <f t="shared" si="388"/>
        <v xml:space="preserve"> </v>
      </c>
      <c r="DQ155" t="str">
        <f t="shared" si="414"/>
        <v xml:space="preserve"> </v>
      </c>
      <c r="HD155" t="str">
        <f t="shared" si="415"/>
        <v xml:space="preserve"> </v>
      </c>
      <c r="HE155" t="str">
        <f t="shared" si="416"/>
        <v xml:space="preserve"> </v>
      </c>
      <c r="HF155" t="str">
        <f t="shared" si="417"/>
        <v xml:space="preserve"> </v>
      </c>
    </row>
    <row r="156" spans="1:214">
      <c r="A156" s="415" t="str">
        <f>IF(A155="N/A","N/A",IF(EDATE(A155,1)&gt;Inputs!$K$3,"N/A",EDATE(A155,1)))</f>
        <v>N/A</v>
      </c>
      <c r="B156" s="410" t="str">
        <f t="shared" si="389"/>
        <v xml:space="preserve"> </v>
      </c>
      <c r="C156" s="411" t="str">
        <f t="shared" si="390"/>
        <v xml:space="preserve"> </v>
      </c>
      <c r="D156" s="412" t="str">
        <f t="shared" si="391"/>
        <v xml:space="preserve"> </v>
      </c>
      <c r="E156" s="413" t="str">
        <f>IF($A156="N/A"," ",(C156-'Pricing Inputs'!T189)*D156)</f>
        <v xml:space="preserve"> </v>
      </c>
      <c r="F156" s="414" t="str">
        <f t="shared" si="440"/>
        <v xml:space="preserve"> </v>
      </c>
      <c r="G156" s="414" t="str">
        <f t="shared" si="392"/>
        <v xml:space="preserve"> </v>
      </c>
      <c r="H156" s="416" t="str">
        <f t="shared" si="393"/>
        <v xml:space="preserve"> </v>
      </c>
      <c r="I156" s="213" t="str">
        <f t="shared" si="342"/>
        <v xml:space="preserve"> </v>
      </c>
      <c r="J156" s="213" t="str">
        <f t="shared" si="343"/>
        <v xml:space="preserve"> </v>
      </c>
      <c r="K156" s="213" t="str">
        <f t="shared" si="344"/>
        <v xml:space="preserve"> </v>
      </c>
      <c r="L156" s="213" t="str">
        <f t="shared" si="345"/>
        <v xml:space="preserve"> </v>
      </c>
      <c r="M156" s="213" t="str">
        <f t="shared" si="346"/>
        <v xml:space="preserve"> </v>
      </c>
      <c r="N156" s="213" t="str">
        <f t="shared" si="347"/>
        <v xml:space="preserve"> </v>
      </c>
      <c r="O156" s="213" t="str">
        <f t="shared" si="348"/>
        <v xml:space="preserve"> </v>
      </c>
      <c r="P156" s="213" t="str">
        <f t="shared" si="349"/>
        <v xml:space="preserve"> </v>
      </c>
      <c r="Q156" s="213" t="str">
        <f t="shared" si="350"/>
        <v xml:space="preserve"> </v>
      </c>
      <c r="R156" s="405" t="str">
        <f>IF($A156="N/A"," ",IF(Pricetype=2,MAX(I156-$H156,0),IF(Pricetype=1,(_xll.xSPRDOPT(I156,$E156,$CI156,0,($CD156+IF(Smile=TRUE,VLOOKUP(MAX(-5,$H156-I156),Volsmile,2),0)),$CG156,$CH156,($A156-DateToday)+15,1,0)),I156-$H156)))</f>
        <v xml:space="preserve"> </v>
      </c>
      <c r="S156" s="405" t="str">
        <f>IF($A156="N/A"," ",IF(Pricetype=2,MAX(J156-$H156,0),IF(Pricetype=1,(_xll.xSPRDOPT(J156,$E156,$CI156,0,($CD156+IF(Smile=TRUE,VLOOKUP(MAX(-5,$H156-J156),Volsmile,2),0)),$CG156,$CH156,($A156-DateToday)+15,1,0)),J156-$H156)))</f>
        <v xml:space="preserve"> </v>
      </c>
      <c r="T156" s="406" t="str">
        <f t="shared" si="351"/>
        <v xml:space="preserve"> </v>
      </c>
      <c r="U156" s="405" t="str">
        <f>IF($A156="N/A"," ",IF(Pricetype=2,MAX(L156-$H156,0),IF(L156&lt;&gt;0,IF(Pricetype=1,(_xll.xSPRDOPT(L156,$E156,$CI156,0,($CD156+IF(Smile=TRUE,VLOOKUP(MAX(-5,$H156-L156),Volsmile,2),0)),$CG156,$CH156,($A156-DateToday)+15,1,0)),L156-$H156),0)))</f>
        <v xml:space="preserve"> </v>
      </c>
      <c r="V156" s="405" t="str">
        <f>IF($A156="N/A"," ",IF(Pricetype=2,MAX(M156-$H156,0),IF(M156&lt;&gt;0,IF(Pricetype=1,(_xll.xSPRDOPT(M156,$E156,$CI156,0,($CD156+IF(Smile=TRUE,VLOOKUP(MAX(-5,$H156-M156),Volsmile,2),0)),$CG156,$CH156,($A156-DateToday)+15,1,0)),M156-$H156),0)))</f>
        <v xml:space="preserve"> </v>
      </c>
      <c r="W156" s="406" t="str">
        <f t="shared" si="352"/>
        <v xml:space="preserve"> </v>
      </c>
      <c r="X156" s="405" t="str">
        <f>IF($A156="N/A"," ",IF(Pricetype=2,MAX(O156-$H156,0),IF(O156&lt;&gt;0,IF(Pricetype=1,(_xll.xSPRDOPT(O156,$E156,$CI156,0,($CD156+IF(Smile=TRUE,VLOOKUP(MAX(-5,$H156-O156),Volsmile,2),0)),$CG156,$CH156,($A156-DateToday)+15,1,0)),O156-$H156),0)))</f>
        <v xml:space="preserve"> </v>
      </c>
      <c r="Y156" s="405" t="str">
        <f>IF($A156="N/A"," ",IF(Pricetype=2,MAX(P156-$H156,0),IF(P156&lt;&gt;0,IF(Pricetype=1,(_xll.xSPRDOPT(P156,$E156,$CI156,0,($CD156+IF(Smile=TRUE,VLOOKUP(MAX(-5,$H156-P156),Volsmile,2),0)),$CG156,$CH156,($A156-DateToday)+15,1,0)),P156-$H156),0)))</f>
        <v xml:space="preserve"> </v>
      </c>
      <c r="Z156" s="406" t="str">
        <f t="shared" si="353"/>
        <v xml:space="preserve"> </v>
      </c>
      <c r="AA156" s="254" t="str">
        <f>IF($A156="N/A"," ",IF(VLOOKUP(MONTH(A156),ManualTable,2)=1,(IF(0&lt;&gt;R156,IF(Pricetype=1,(_xll.xSPRDOPT(I156,$E156,$CI156,0,($CD156+IF(Smile=TRUE,VLOOKUP(MAX(-5,$H156-I156),Volsmile,2),0)),$CG156,$CH156,($A156-DateToday)+15,1,1))*(8*$HD156),8*$HD156),0)),0))</f>
        <v xml:space="preserve"> </v>
      </c>
      <c r="AB156" s="254" t="str">
        <f>IF($A156="N/A"," ",IF(VLOOKUP(MONTH(A156),ManualTable,3)=1,(IF(S156&lt;&gt;0,IF(Pricetype=1,(_xll.xSPRDOPT(J156,$E156,$CI156,0,($CD156+IF(Smile=TRUE,VLOOKUP(MAX(-5,$H156-J156),Volsmile,2),0)),$CG156,$CH156,($A156-DateToday)+15,1,1))*(8*$HD156),8*$HD156),0)),0))</f>
        <v xml:space="preserve"> </v>
      </c>
      <c r="AC156" s="254" t="str">
        <f t="shared" si="394"/>
        <v xml:space="preserve"> </v>
      </c>
      <c r="AD156" s="254" t="str">
        <f>IF($A156="N/A"," ",IF(VLOOKUP(MONTH(A156),ManualTable,5)=1,(IF(U156&lt;&gt;0,IF(Pricetype=1,(_xll.xSPRDOPT(L156,$E156,$CI156,0,($CD156+IF(Smile=TRUE,VLOOKUP(MAX(-5,$H156-L156),Volsmile,2),0)),$CG156,$CH156,($A156-DateToday)+15,1,1))*(8*$HE156),8*$HE156),0)),0))</f>
        <v xml:space="preserve"> </v>
      </c>
      <c r="AE156" s="254" t="str">
        <f>IF($A156="N/A"," ",IF(VLOOKUP(MONTH(A156),ManualTable,6)=1,(IF(V156&lt;&gt;0,IF(Pricetype=1,(_xll.xSPRDOPT(M156,$E156,$CI156,0,($CD156+IF(Smile=TRUE,VLOOKUP(MAX(-5,$H156-M156),Volsmile,2),0)),$CG156,$CH156,($A156-DateToday)+15,1,1))*(8*$HE156),8*$HE156),0)),0))</f>
        <v xml:space="preserve"> </v>
      </c>
      <c r="AF156" s="254" t="str">
        <f t="shared" si="395"/>
        <v xml:space="preserve"> </v>
      </c>
      <c r="AG156" s="254" t="str">
        <f>IF($A156="N/A"," ",IF(VLOOKUP(MONTH(A156),ManualTable,8)=1,(IF(X156&lt;&gt;0,IF(Pricetype=1,(_xll.xSPRDOPT(O156,$E156,$CI156,0,($CD156+IF(Smile=TRUE,VLOOKUP(MAX(-5,$H156-O156),Volsmile,2),0)),$CG156,$CH156,($A156-DateToday)+15,1,1))*(8*$HF156),8*$HF156),0)),0))</f>
        <v xml:space="preserve"> </v>
      </c>
      <c r="AH156" s="254" t="str">
        <f>IF($A156="N/A"," ",IF(VLOOKUP(MONTH(A156),ManualTable,9)=1,(IF(Y156&lt;&gt;0,IF(Pricetype=1,(_xll.xSPRDOPT(P156,$E156,$CI156,0,($CD156+IF(Smile=TRUE,VLOOKUP(MAX(-5,$H156-P156),Volsmile,2),0)),$CG156,$CH156,($A156-DateToday)+15,1,1))*(8*$HF156),8*$HF156),0)),0))</f>
        <v xml:space="preserve"> </v>
      </c>
      <c r="AI156" s="254" t="str">
        <f t="shared" si="396"/>
        <v xml:space="preserve"> </v>
      </c>
      <c r="AJ156" s="227" t="str">
        <f t="shared" si="449"/>
        <v xml:space="preserve"> </v>
      </c>
      <c r="AK156" s="228" t="str">
        <f t="shared" si="450"/>
        <v xml:space="preserve"> </v>
      </c>
      <c r="AL156" s="228" t="str">
        <f t="shared" si="450"/>
        <v xml:space="preserve"> </v>
      </c>
      <c r="AM156" s="228" t="str">
        <f t="shared" si="451"/>
        <v xml:space="preserve"> </v>
      </c>
      <c r="AN156" s="228" t="str">
        <f t="shared" si="452"/>
        <v xml:space="preserve"> </v>
      </c>
      <c r="AO156" s="228" t="str">
        <f t="shared" si="452"/>
        <v xml:space="preserve"> </v>
      </c>
      <c r="AP156" s="228" t="str">
        <f t="shared" si="453"/>
        <v xml:space="preserve"> </v>
      </c>
      <c r="AQ156" s="228" t="str">
        <f t="shared" si="454"/>
        <v xml:space="preserve"> </v>
      </c>
      <c r="AR156" s="229" t="str">
        <f t="shared" si="455"/>
        <v xml:space="preserve"> </v>
      </c>
      <c r="AS156" s="262" t="str">
        <f t="shared" si="433"/>
        <v xml:space="preserve"> </v>
      </c>
      <c r="AT156" s="263" t="str">
        <f t="shared" si="434"/>
        <v xml:space="preserve"> </v>
      </c>
      <c r="AU156" s="263" t="str">
        <f t="shared" si="434"/>
        <v xml:space="preserve"> </v>
      </c>
      <c r="AV156" s="263" t="str">
        <f t="shared" si="435"/>
        <v xml:space="preserve"> </v>
      </c>
      <c r="AW156" s="263" t="str">
        <f t="shared" si="436"/>
        <v xml:space="preserve"> </v>
      </c>
      <c r="AX156" s="263" t="str">
        <f t="shared" si="436"/>
        <v xml:space="preserve"> </v>
      </c>
      <c r="AY156" s="263" t="str">
        <f t="shared" si="437"/>
        <v xml:space="preserve"> </v>
      </c>
      <c r="AZ156" s="263" t="str">
        <f t="shared" si="438"/>
        <v xml:space="preserve"> </v>
      </c>
      <c r="BA156" s="263" t="str">
        <f t="shared" si="439"/>
        <v xml:space="preserve"> </v>
      </c>
      <c r="BB156" s="229"/>
      <c r="BC156" s="266" t="str">
        <f t="shared" si="442"/>
        <v xml:space="preserve"> </v>
      </c>
      <c r="BD156" s="269" t="str">
        <f t="shared" si="443"/>
        <v xml:space="preserve"> </v>
      </c>
      <c r="BE156" s="269" t="str">
        <f t="shared" si="443"/>
        <v xml:space="preserve"> </v>
      </c>
      <c r="BF156" s="269" t="str">
        <f t="shared" si="444"/>
        <v xml:space="preserve"> </v>
      </c>
      <c r="BG156" s="269" t="str">
        <f t="shared" si="445"/>
        <v xml:space="preserve"> </v>
      </c>
      <c r="BH156" s="269" t="str">
        <f t="shared" si="445"/>
        <v xml:space="preserve"> </v>
      </c>
      <c r="BI156" s="269" t="str">
        <f t="shared" si="446"/>
        <v xml:space="preserve"> </v>
      </c>
      <c r="BJ156" s="269" t="str">
        <f t="shared" si="447"/>
        <v xml:space="preserve"> </v>
      </c>
      <c r="BK156" s="269" t="str">
        <f t="shared" si="448"/>
        <v xml:space="preserve"> </v>
      </c>
      <c r="BL156" s="229"/>
      <c r="BM156" s="220" t="str">
        <f>IF($A156="N/A"," ",(IF(MONTH(A156)&gt;=4,IF(MONTH(A156)&lt;=10,Inputs!$F$13-Inputs!$G$13,Inputs!$F$14-Inputs!$G$14),Inputs!$F$14-Inputs!$G$14))*$CK156*Availability)</f>
        <v xml:space="preserve"> </v>
      </c>
      <c r="BN156" s="221" t="str">
        <f t="shared" si="397"/>
        <v xml:space="preserve"> </v>
      </c>
      <c r="BO156" s="221" t="str">
        <f t="shared" si="398"/>
        <v xml:space="preserve"> </v>
      </c>
      <c r="BP156" s="221" t="str">
        <f t="shared" si="399"/>
        <v xml:space="preserve"> </v>
      </c>
      <c r="BQ156" s="221" t="str">
        <f t="shared" si="400"/>
        <v xml:space="preserve"> </v>
      </c>
      <c r="BR156" s="221" t="str">
        <f t="shared" si="401"/>
        <v xml:space="preserve"> </v>
      </c>
      <c r="BS156" s="221" t="str">
        <f t="shared" si="402"/>
        <v xml:space="preserve"> </v>
      </c>
      <c r="BT156" s="221" t="str">
        <f t="shared" si="403"/>
        <v xml:space="preserve"> </v>
      </c>
      <c r="BU156" s="221" t="str">
        <f t="shared" si="404"/>
        <v xml:space="preserve"> </v>
      </c>
      <c r="BV156" s="221" t="str">
        <f t="shared" si="405"/>
        <v xml:space="preserve"> </v>
      </c>
      <c r="BW156" s="221" t="str">
        <f t="shared" si="406"/>
        <v xml:space="preserve"> </v>
      </c>
      <c r="BX156" s="421" t="str">
        <f t="shared" si="407"/>
        <v xml:space="preserve"> </v>
      </c>
      <c r="BY156" s="417" t="str">
        <f t="shared" si="408"/>
        <v xml:space="preserve"> </v>
      </c>
      <c r="BZ156" s="417" t="str">
        <f t="shared" si="409"/>
        <v xml:space="preserve"> </v>
      </c>
      <c r="CA156" s="422" t="str">
        <f t="shared" si="410"/>
        <v xml:space="preserve"> </v>
      </c>
      <c r="CB156" s="347" t="str">
        <f t="shared" si="354"/>
        <v xml:space="preserve"> </v>
      </c>
      <c r="CC156" s="347" t="str">
        <f t="shared" si="411"/>
        <v xml:space="preserve"> </v>
      </c>
      <c r="CD156" s="348" t="str">
        <f t="shared" si="355"/>
        <v xml:space="preserve"> </v>
      </c>
      <c r="CE156" s="347" t="str">
        <f t="shared" si="356"/>
        <v xml:space="preserve"> </v>
      </c>
      <c r="CF156" s="347" t="str">
        <f t="shared" si="357"/>
        <v xml:space="preserve"> </v>
      </c>
      <c r="CG156" s="348" t="str">
        <f t="shared" si="358"/>
        <v xml:space="preserve"> </v>
      </c>
      <c r="CH156" s="347" t="str">
        <f t="shared" si="412"/>
        <v xml:space="preserve"> </v>
      </c>
      <c r="CI156" s="349" t="str">
        <f>IF($A156="N/A"," ",F156+G156+(D156*('Pricing Inputs'!T189)))</f>
        <v xml:space="preserve"> </v>
      </c>
      <c r="CJ156" s="347" t="str">
        <f>IF($A156="N/A"," ",IF(PV=1,0,'Pricing Inputs'!U189))</f>
        <v xml:space="preserve"> </v>
      </c>
      <c r="CK156" s="350" t="str">
        <f t="shared" si="359"/>
        <v xml:space="preserve"> </v>
      </c>
      <c r="CL156" s="365" t="str">
        <f t="shared" si="360"/>
        <v xml:space="preserve"> </v>
      </c>
      <c r="CM156" s="380" t="str">
        <f t="shared" si="413"/>
        <v xml:space="preserve"> </v>
      </c>
      <c r="CN156" s="378" t="str">
        <f t="shared" si="361"/>
        <v xml:space="preserve"> </v>
      </c>
      <c r="CO156" s="378" t="str">
        <f t="shared" si="362"/>
        <v xml:space="preserve"> </v>
      </c>
      <c r="CP156" s="378" t="str">
        <f t="shared" si="363"/>
        <v xml:space="preserve"> </v>
      </c>
      <c r="CQ156" s="378" t="str">
        <f t="shared" si="364"/>
        <v xml:space="preserve"> </v>
      </c>
      <c r="CR156" s="378" t="str">
        <f t="shared" si="365"/>
        <v xml:space="preserve"> </v>
      </c>
      <c r="CS156" s="378" t="str">
        <f t="shared" si="366"/>
        <v xml:space="preserve"> </v>
      </c>
      <c r="CT156" s="378" t="str">
        <f t="shared" si="367"/>
        <v xml:space="preserve"> </v>
      </c>
      <c r="CU156" s="378" t="str">
        <f t="shared" si="368"/>
        <v xml:space="preserve"> </v>
      </c>
      <c r="CV156" s="378" t="str">
        <f t="shared" si="369"/>
        <v xml:space="preserve"> </v>
      </c>
      <c r="CW156" s="254" t="str">
        <f t="shared" si="370"/>
        <v xml:space="preserve"> </v>
      </c>
      <c r="CX156" s="254" t="str">
        <f t="shared" si="371"/>
        <v xml:space="preserve"> </v>
      </c>
      <c r="CY156" s="254" t="str">
        <f t="shared" si="372"/>
        <v xml:space="preserve"> </v>
      </c>
      <c r="CZ156" s="254" t="str">
        <f t="shared" si="373"/>
        <v xml:space="preserve"> </v>
      </c>
      <c r="DA156" s="254" t="str">
        <f t="shared" si="374"/>
        <v xml:space="preserve"> </v>
      </c>
      <c r="DB156" s="254" t="str">
        <f t="shared" si="375"/>
        <v xml:space="preserve"> </v>
      </c>
      <c r="DC156" s="254" t="str">
        <f t="shared" si="376"/>
        <v xml:space="preserve"> </v>
      </c>
      <c r="DD156" s="254" t="str">
        <f t="shared" si="377"/>
        <v xml:space="preserve"> </v>
      </c>
      <c r="DE156" s="254" t="str">
        <f t="shared" si="378"/>
        <v xml:space="preserve"> </v>
      </c>
      <c r="DF156" s="374" t="str">
        <f>IF($A156="N/A"," ",IF(CC=2,(IF(MONTH(A156)&gt;=4,IF(MONTH(A156)&lt;=10,Inputs!$G$13,Inputs!$G$14),Inputs!$G$14))*$CK156,0))</f>
        <v xml:space="preserve"> </v>
      </c>
      <c r="DG156" s="373" t="str">
        <f t="shared" si="379"/>
        <v xml:space="preserve"> </v>
      </c>
      <c r="DH156" s="373" t="str">
        <f t="shared" si="380"/>
        <v xml:space="preserve"> </v>
      </c>
      <c r="DI156" s="373" t="str">
        <f t="shared" si="381"/>
        <v xml:space="preserve"> </v>
      </c>
      <c r="DJ156" s="373" t="str">
        <f t="shared" si="382"/>
        <v xml:space="preserve"> </v>
      </c>
      <c r="DK156" s="373" t="str">
        <f t="shared" si="383"/>
        <v xml:space="preserve"> </v>
      </c>
      <c r="DL156" s="373" t="str">
        <f t="shared" si="384"/>
        <v xml:space="preserve"> </v>
      </c>
      <c r="DM156" s="373" t="str">
        <f t="shared" si="385"/>
        <v xml:space="preserve"> </v>
      </c>
      <c r="DN156" s="373" t="str">
        <f t="shared" si="386"/>
        <v xml:space="preserve"> </v>
      </c>
      <c r="DO156" s="373" t="str">
        <f t="shared" si="387"/>
        <v xml:space="preserve"> </v>
      </c>
      <c r="DP156" s="375" t="str">
        <f t="shared" si="388"/>
        <v xml:space="preserve"> </v>
      </c>
      <c r="DQ156" t="str">
        <f t="shared" si="414"/>
        <v xml:space="preserve"> </v>
      </c>
      <c r="HD156" t="str">
        <f t="shared" si="415"/>
        <v xml:space="preserve"> </v>
      </c>
      <c r="HE156" t="str">
        <f t="shared" si="416"/>
        <v xml:space="preserve"> </v>
      </c>
      <c r="HF156" t="str">
        <f t="shared" si="417"/>
        <v xml:space="preserve"> </v>
      </c>
    </row>
    <row r="157" spans="1:214">
      <c r="A157" s="415" t="str">
        <f>IF(A156="N/A","N/A",IF(EDATE(A156,1)&gt;Inputs!$K$3,"N/A",EDATE(A156,1)))</f>
        <v>N/A</v>
      </c>
      <c r="B157" s="410" t="str">
        <f t="shared" si="389"/>
        <v xml:space="preserve"> </v>
      </c>
      <c r="C157" s="411" t="str">
        <f t="shared" si="390"/>
        <v xml:space="preserve"> </v>
      </c>
      <c r="D157" s="412" t="str">
        <f t="shared" si="391"/>
        <v xml:space="preserve"> </v>
      </c>
      <c r="E157" s="413" t="str">
        <f>IF($A157="N/A"," ",(C157-'Pricing Inputs'!T190)*D157)</f>
        <v xml:space="preserve"> </v>
      </c>
      <c r="F157" s="414" t="str">
        <f t="shared" si="440"/>
        <v xml:space="preserve"> </v>
      </c>
      <c r="G157" s="414" t="str">
        <f t="shared" si="392"/>
        <v xml:space="preserve"> </v>
      </c>
      <c r="H157" s="416" t="str">
        <f t="shared" si="393"/>
        <v xml:space="preserve"> </v>
      </c>
      <c r="I157" s="213" t="str">
        <f t="shared" si="342"/>
        <v xml:space="preserve"> </v>
      </c>
      <c r="J157" s="213" t="str">
        <f t="shared" si="343"/>
        <v xml:space="preserve"> </v>
      </c>
      <c r="K157" s="213" t="str">
        <f t="shared" si="344"/>
        <v xml:space="preserve"> </v>
      </c>
      <c r="L157" s="213" t="str">
        <f t="shared" si="345"/>
        <v xml:space="preserve"> </v>
      </c>
      <c r="M157" s="213" t="str">
        <f t="shared" si="346"/>
        <v xml:space="preserve"> </v>
      </c>
      <c r="N157" s="213" t="str">
        <f t="shared" si="347"/>
        <v xml:space="preserve"> </v>
      </c>
      <c r="O157" s="213" t="str">
        <f t="shared" si="348"/>
        <v xml:space="preserve"> </v>
      </c>
      <c r="P157" s="213" t="str">
        <f t="shared" si="349"/>
        <v xml:space="preserve"> </v>
      </c>
      <c r="Q157" s="213" t="str">
        <f t="shared" si="350"/>
        <v xml:space="preserve"> </v>
      </c>
      <c r="R157" s="405" t="str">
        <f>IF($A157="N/A"," ",IF(Pricetype=2,MAX(I157-$H157,0),IF(Pricetype=1,(_xll.xSPRDOPT(I157,$E157,$CI157,0,($CD157+IF(Smile=TRUE,VLOOKUP(MAX(-5,$H157-I157),Volsmile,2),0)),$CG157,$CH157,($A157-DateToday)+15,1,0)),I157-$H157)))</f>
        <v xml:space="preserve"> </v>
      </c>
      <c r="S157" s="405" t="str">
        <f>IF($A157="N/A"," ",IF(Pricetype=2,MAX(J157-$H157,0),IF(Pricetype=1,(_xll.xSPRDOPT(J157,$E157,$CI157,0,($CD157+IF(Smile=TRUE,VLOOKUP(MAX(-5,$H157-J157),Volsmile,2),0)),$CG157,$CH157,($A157-DateToday)+15,1,0)),J157-$H157)))</f>
        <v xml:space="preserve"> </v>
      </c>
      <c r="T157" s="406" t="str">
        <f t="shared" si="351"/>
        <v xml:space="preserve"> </v>
      </c>
      <c r="U157" s="405" t="str">
        <f>IF($A157="N/A"," ",IF(Pricetype=2,MAX(L157-$H157,0),IF(L157&lt;&gt;0,IF(Pricetype=1,(_xll.xSPRDOPT(L157,$E157,$CI157,0,($CD157+IF(Smile=TRUE,VLOOKUP(MAX(-5,$H157-L157),Volsmile,2),0)),$CG157,$CH157,($A157-DateToday)+15,1,0)),L157-$H157),0)))</f>
        <v xml:space="preserve"> </v>
      </c>
      <c r="V157" s="405" t="str">
        <f>IF($A157="N/A"," ",IF(Pricetype=2,MAX(M157-$H157,0),IF(M157&lt;&gt;0,IF(Pricetype=1,(_xll.xSPRDOPT(M157,$E157,$CI157,0,($CD157+IF(Smile=TRUE,VLOOKUP(MAX(-5,$H157-M157),Volsmile,2),0)),$CG157,$CH157,($A157-DateToday)+15,1,0)),M157-$H157),0)))</f>
        <v xml:space="preserve"> </v>
      </c>
      <c r="W157" s="406" t="str">
        <f t="shared" si="352"/>
        <v xml:space="preserve"> </v>
      </c>
      <c r="X157" s="405" t="str">
        <f>IF($A157="N/A"," ",IF(Pricetype=2,MAX(O157-$H157,0),IF(O157&lt;&gt;0,IF(Pricetype=1,(_xll.xSPRDOPT(O157,$E157,$CI157,0,($CD157+IF(Smile=TRUE,VLOOKUP(MAX(-5,$H157-O157),Volsmile,2),0)),$CG157,$CH157,($A157-DateToday)+15,1,0)),O157-$H157),0)))</f>
        <v xml:space="preserve"> </v>
      </c>
      <c r="Y157" s="405" t="str">
        <f>IF($A157="N/A"," ",IF(Pricetype=2,MAX(P157-$H157,0),IF(P157&lt;&gt;0,IF(Pricetype=1,(_xll.xSPRDOPT(P157,$E157,$CI157,0,($CD157+IF(Smile=TRUE,VLOOKUP(MAX(-5,$H157-P157),Volsmile,2),0)),$CG157,$CH157,($A157-DateToday)+15,1,0)),P157-$H157),0)))</f>
        <v xml:space="preserve"> </v>
      </c>
      <c r="Z157" s="406" t="str">
        <f t="shared" si="353"/>
        <v xml:space="preserve"> </v>
      </c>
      <c r="AA157" s="254" t="str">
        <f>IF($A157="N/A"," ",IF(VLOOKUP(MONTH(A157),ManualTable,2)=1,(IF(0&lt;&gt;R157,IF(Pricetype=1,(_xll.xSPRDOPT(I157,$E157,$CI157,0,($CD157+IF(Smile=TRUE,VLOOKUP(MAX(-5,$H157-I157),Volsmile,2),0)),$CG157,$CH157,($A157-DateToday)+15,1,1))*(8*$HD157),8*$HD157),0)),0))</f>
        <v xml:space="preserve"> </v>
      </c>
      <c r="AB157" s="254" t="str">
        <f>IF($A157="N/A"," ",IF(VLOOKUP(MONTH(A157),ManualTable,3)=1,(IF(S157&lt;&gt;0,IF(Pricetype=1,(_xll.xSPRDOPT(J157,$E157,$CI157,0,($CD157+IF(Smile=TRUE,VLOOKUP(MAX(-5,$H157-J157),Volsmile,2),0)),$CG157,$CH157,($A157-DateToday)+15,1,1))*(8*$HD157),8*$HD157),0)),0))</f>
        <v xml:space="preserve"> </v>
      </c>
      <c r="AC157" s="254" t="str">
        <f t="shared" si="394"/>
        <v xml:space="preserve"> </v>
      </c>
      <c r="AD157" s="254" t="str">
        <f>IF($A157="N/A"," ",IF(VLOOKUP(MONTH(A157),ManualTable,5)=1,(IF(U157&lt;&gt;0,IF(Pricetype=1,(_xll.xSPRDOPT(L157,$E157,$CI157,0,($CD157+IF(Smile=TRUE,VLOOKUP(MAX(-5,$H157-L157),Volsmile,2),0)),$CG157,$CH157,($A157-DateToday)+15,1,1))*(8*$HE157),8*$HE157),0)),0))</f>
        <v xml:space="preserve"> </v>
      </c>
      <c r="AE157" s="254" t="str">
        <f>IF($A157="N/A"," ",IF(VLOOKUP(MONTH(A157),ManualTable,6)=1,(IF(V157&lt;&gt;0,IF(Pricetype=1,(_xll.xSPRDOPT(M157,$E157,$CI157,0,($CD157+IF(Smile=TRUE,VLOOKUP(MAX(-5,$H157-M157),Volsmile,2),0)),$CG157,$CH157,($A157-DateToday)+15,1,1))*(8*$HE157),8*$HE157),0)),0))</f>
        <v xml:space="preserve"> </v>
      </c>
      <c r="AF157" s="254" t="str">
        <f t="shared" si="395"/>
        <v xml:space="preserve"> </v>
      </c>
      <c r="AG157" s="254" t="str">
        <f>IF($A157="N/A"," ",IF(VLOOKUP(MONTH(A157),ManualTable,8)=1,(IF(X157&lt;&gt;0,IF(Pricetype=1,(_xll.xSPRDOPT(O157,$E157,$CI157,0,($CD157+IF(Smile=TRUE,VLOOKUP(MAX(-5,$H157-O157),Volsmile,2),0)),$CG157,$CH157,($A157-DateToday)+15,1,1))*(8*$HF157),8*$HF157),0)),0))</f>
        <v xml:space="preserve"> </v>
      </c>
      <c r="AH157" s="254" t="str">
        <f>IF($A157="N/A"," ",IF(VLOOKUP(MONTH(A157),ManualTable,9)=1,(IF(Y157&lt;&gt;0,IF(Pricetype=1,(_xll.xSPRDOPT(P157,$E157,$CI157,0,($CD157+IF(Smile=TRUE,VLOOKUP(MAX(-5,$H157-P157),Volsmile,2),0)),$CG157,$CH157,($A157-DateToday)+15,1,1))*(8*$HF157),8*$HF157),0)),0))</f>
        <v xml:space="preserve"> </v>
      </c>
      <c r="AI157" s="254" t="str">
        <f t="shared" si="396"/>
        <v xml:space="preserve"> </v>
      </c>
      <c r="AJ157" s="227" t="str">
        <f t="shared" si="449"/>
        <v xml:space="preserve"> </v>
      </c>
      <c r="AK157" s="228" t="str">
        <f t="shared" si="450"/>
        <v xml:space="preserve"> </v>
      </c>
      <c r="AL157" s="228" t="str">
        <f t="shared" si="450"/>
        <v xml:space="preserve"> </v>
      </c>
      <c r="AM157" s="228" t="str">
        <f t="shared" si="451"/>
        <v xml:space="preserve"> </v>
      </c>
      <c r="AN157" s="228" t="str">
        <f t="shared" si="452"/>
        <v xml:space="preserve"> </v>
      </c>
      <c r="AO157" s="228" t="str">
        <f t="shared" si="452"/>
        <v xml:space="preserve"> </v>
      </c>
      <c r="AP157" s="228" t="str">
        <f t="shared" si="453"/>
        <v xml:space="preserve"> </v>
      </c>
      <c r="AQ157" s="228" t="str">
        <f t="shared" si="454"/>
        <v xml:space="preserve"> </v>
      </c>
      <c r="AR157" s="229" t="str">
        <f t="shared" si="455"/>
        <v xml:space="preserve"> </v>
      </c>
      <c r="AS157" s="262" t="str">
        <f t="shared" si="433"/>
        <v xml:space="preserve"> </v>
      </c>
      <c r="AT157" s="263" t="str">
        <f t="shared" si="434"/>
        <v xml:space="preserve"> </v>
      </c>
      <c r="AU157" s="263" t="str">
        <f t="shared" si="434"/>
        <v xml:space="preserve"> </v>
      </c>
      <c r="AV157" s="263" t="str">
        <f t="shared" si="435"/>
        <v xml:space="preserve"> </v>
      </c>
      <c r="AW157" s="263" t="str">
        <f t="shared" si="436"/>
        <v xml:space="preserve"> </v>
      </c>
      <c r="AX157" s="263" t="str">
        <f t="shared" si="436"/>
        <v xml:space="preserve"> </v>
      </c>
      <c r="AY157" s="263" t="str">
        <f t="shared" si="437"/>
        <v xml:space="preserve"> </v>
      </c>
      <c r="AZ157" s="263" t="str">
        <f t="shared" si="438"/>
        <v xml:space="preserve"> </v>
      </c>
      <c r="BA157" s="263" t="str">
        <f t="shared" si="439"/>
        <v xml:space="preserve"> </v>
      </c>
      <c r="BB157" s="234" t="s">
        <v>1271</v>
      </c>
      <c r="BC157" s="266" t="str">
        <f t="shared" si="442"/>
        <v xml:space="preserve"> </v>
      </c>
      <c r="BD157" s="269" t="str">
        <f t="shared" si="443"/>
        <v xml:space="preserve"> </v>
      </c>
      <c r="BE157" s="269" t="str">
        <f t="shared" si="443"/>
        <v xml:space="preserve"> </v>
      </c>
      <c r="BF157" s="269" t="str">
        <f t="shared" si="444"/>
        <v xml:space="preserve"> </v>
      </c>
      <c r="BG157" s="269" t="str">
        <f t="shared" si="445"/>
        <v xml:space="preserve"> </v>
      </c>
      <c r="BH157" s="269" t="str">
        <f t="shared" si="445"/>
        <v xml:space="preserve"> </v>
      </c>
      <c r="BI157" s="269" t="str">
        <f t="shared" si="446"/>
        <v xml:space="preserve"> </v>
      </c>
      <c r="BJ157" s="269" t="str">
        <f t="shared" si="447"/>
        <v xml:space="preserve"> </v>
      </c>
      <c r="BK157" s="269" t="str">
        <f t="shared" si="448"/>
        <v xml:space="preserve"> </v>
      </c>
      <c r="BL157" s="233" t="s">
        <v>1283</v>
      </c>
      <c r="BM157" s="220" t="str">
        <f>IF($A157="N/A"," ",(IF(MONTH(A157)&gt;=4,IF(MONTH(A157)&lt;=10,Inputs!$F$13-Inputs!$G$13,Inputs!$F$14-Inputs!$G$14),Inputs!$F$14-Inputs!$G$14))*$CK157*Availability)</f>
        <v xml:space="preserve"> </v>
      </c>
      <c r="BN157" s="221" t="str">
        <f t="shared" si="397"/>
        <v xml:space="preserve"> </v>
      </c>
      <c r="BO157" s="221" t="str">
        <f t="shared" si="398"/>
        <v xml:space="preserve"> </v>
      </c>
      <c r="BP157" s="221" t="str">
        <f t="shared" si="399"/>
        <v xml:space="preserve"> </v>
      </c>
      <c r="BQ157" s="221" t="str">
        <f t="shared" si="400"/>
        <v xml:space="preserve"> </v>
      </c>
      <c r="BR157" s="221" t="str">
        <f t="shared" si="401"/>
        <v xml:space="preserve"> </v>
      </c>
      <c r="BS157" s="221" t="str">
        <f t="shared" si="402"/>
        <v xml:space="preserve"> </v>
      </c>
      <c r="BT157" s="221" t="str">
        <f t="shared" si="403"/>
        <v xml:space="preserve"> </v>
      </c>
      <c r="BU157" s="221" t="str">
        <f t="shared" si="404"/>
        <v xml:space="preserve"> </v>
      </c>
      <c r="BV157" s="221" t="str">
        <f t="shared" si="405"/>
        <v xml:space="preserve"> </v>
      </c>
      <c r="BW157" s="221" t="str">
        <f t="shared" si="406"/>
        <v xml:space="preserve"> </v>
      </c>
      <c r="BX157" s="421" t="str">
        <f t="shared" si="407"/>
        <v xml:space="preserve"> </v>
      </c>
      <c r="BY157" s="417" t="str">
        <f t="shared" si="408"/>
        <v xml:space="preserve"> </v>
      </c>
      <c r="BZ157" s="417" t="str">
        <f t="shared" si="409"/>
        <v xml:space="preserve"> </v>
      </c>
      <c r="CA157" s="422" t="str">
        <f t="shared" si="410"/>
        <v xml:space="preserve"> </v>
      </c>
      <c r="CB157" s="347" t="str">
        <f t="shared" si="354"/>
        <v xml:space="preserve"> </v>
      </c>
      <c r="CC157" s="347" t="str">
        <f t="shared" si="411"/>
        <v xml:space="preserve"> </v>
      </c>
      <c r="CD157" s="348" t="str">
        <f t="shared" si="355"/>
        <v xml:space="preserve"> </v>
      </c>
      <c r="CE157" s="347" t="str">
        <f t="shared" si="356"/>
        <v xml:space="preserve"> </v>
      </c>
      <c r="CF157" s="347" t="str">
        <f t="shared" si="357"/>
        <v xml:space="preserve"> </v>
      </c>
      <c r="CG157" s="348" t="str">
        <f t="shared" si="358"/>
        <v xml:space="preserve"> </v>
      </c>
      <c r="CH157" s="347" t="str">
        <f t="shared" si="412"/>
        <v xml:space="preserve"> </v>
      </c>
      <c r="CI157" s="349" t="str">
        <f>IF($A157="N/A"," ",F157+G157+(D157*('Pricing Inputs'!T190)))</f>
        <v xml:space="preserve"> </v>
      </c>
      <c r="CJ157" s="347" t="str">
        <f>IF($A157="N/A"," ",IF(PV=1,0,'Pricing Inputs'!U190))</f>
        <v xml:space="preserve"> </v>
      </c>
      <c r="CK157" s="350" t="str">
        <f t="shared" si="359"/>
        <v xml:space="preserve"> </v>
      </c>
      <c r="CL157" s="365" t="str">
        <f t="shared" si="360"/>
        <v xml:space="preserve"> </v>
      </c>
      <c r="CM157" s="380" t="str">
        <f t="shared" si="413"/>
        <v xml:space="preserve"> </v>
      </c>
      <c r="CN157" s="378" t="str">
        <f t="shared" si="361"/>
        <v xml:space="preserve"> </v>
      </c>
      <c r="CO157" s="378" t="str">
        <f t="shared" si="362"/>
        <v xml:space="preserve"> </v>
      </c>
      <c r="CP157" s="378" t="str">
        <f t="shared" si="363"/>
        <v xml:space="preserve"> </v>
      </c>
      <c r="CQ157" s="378" t="str">
        <f t="shared" si="364"/>
        <v xml:space="preserve"> </v>
      </c>
      <c r="CR157" s="378" t="str">
        <f t="shared" si="365"/>
        <v xml:space="preserve"> </v>
      </c>
      <c r="CS157" s="378" t="str">
        <f t="shared" si="366"/>
        <v xml:space="preserve"> </v>
      </c>
      <c r="CT157" s="378" t="str">
        <f t="shared" si="367"/>
        <v xml:space="preserve"> </v>
      </c>
      <c r="CU157" s="378" t="str">
        <f t="shared" si="368"/>
        <v xml:space="preserve"> </v>
      </c>
      <c r="CV157" s="378" t="str">
        <f t="shared" si="369"/>
        <v xml:space="preserve"> </v>
      </c>
      <c r="CW157" s="254" t="str">
        <f t="shared" si="370"/>
        <v xml:space="preserve"> </v>
      </c>
      <c r="CX157" s="254" t="str">
        <f t="shared" si="371"/>
        <v xml:space="preserve"> </v>
      </c>
      <c r="CY157" s="254" t="str">
        <f t="shared" si="372"/>
        <v xml:space="preserve"> </v>
      </c>
      <c r="CZ157" s="254" t="str">
        <f t="shared" si="373"/>
        <v xml:space="preserve"> </v>
      </c>
      <c r="DA157" s="254" t="str">
        <f t="shared" si="374"/>
        <v xml:space="preserve"> </v>
      </c>
      <c r="DB157" s="254" t="str">
        <f t="shared" si="375"/>
        <v xml:space="preserve"> </v>
      </c>
      <c r="DC157" s="254" t="str">
        <f t="shared" si="376"/>
        <v xml:space="preserve"> </v>
      </c>
      <c r="DD157" s="254" t="str">
        <f t="shared" si="377"/>
        <v xml:space="preserve"> </v>
      </c>
      <c r="DE157" s="254" t="str">
        <f t="shared" si="378"/>
        <v xml:space="preserve"> </v>
      </c>
      <c r="DF157" s="374" t="str">
        <f>IF($A157="N/A"," ",IF(CC=2,(IF(MONTH(A157)&gt;=4,IF(MONTH(A157)&lt;=10,Inputs!$G$13,Inputs!$G$14),Inputs!$G$14))*$CK157,0))</f>
        <v xml:space="preserve"> </v>
      </c>
      <c r="DG157" s="373" t="str">
        <f t="shared" si="379"/>
        <v xml:space="preserve"> </v>
      </c>
      <c r="DH157" s="373" t="str">
        <f t="shared" si="380"/>
        <v xml:space="preserve"> </v>
      </c>
      <c r="DI157" s="373" t="str">
        <f t="shared" si="381"/>
        <v xml:space="preserve"> </v>
      </c>
      <c r="DJ157" s="373" t="str">
        <f t="shared" si="382"/>
        <v xml:space="preserve"> </v>
      </c>
      <c r="DK157" s="373" t="str">
        <f t="shared" si="383"/>
        <v xml:space="preserve"> </v>
      </c>
      <c r="DL157" s="373" t="str">
        <f t="shared" si="384"/>
        <v xml:space="preserve"> </v>
      </c>
      <c r="DM157" s="373" t="str">
        <f t="shared" si="385"/>
        <v xml:space="preserve"> </v>
      </c>
      <c r="DN157" s="373" t="str">
        <f t="shared" si="386"/>
        <v xml:space="preserve"> </v>
      </c>
      <c r="DO157" s="373" t="str">
        <f t="shared" si="387"/>
        <v xml:space="preserve"> </v>
      </c>
      <c r="DP157" s="375" t="str">
        <f t="shared" si="388"/>
        <v xml:space="preserve"> </v>
      </c>
      <c r="DQ157" t="str">
        <f t="shared" si="414"/>
        <v xml:space="preserve"> </v>
      </c>
      <c r="HD157" t="str">
        <f t="shared" si="415"/>
        <v xml:space="preserve"> </v>
      </c>
      <c r="HE157" t="str">
        <f t="shared" si="416"/>
        <v xml:space="preserve"> </v>
      </c>
      <c r="HF157" t="str">
        <f t="shared" si="417"/>
        <v xml:space="preserve"> </v>
      </c>
    </row>
    <row r="158" spans="1:214">
      <c r="A158" s="415" t="str">
        <f>IF(A157="N/A","N/A",IF(EDATE(A157,1)&gt;Inputs!$K$3,"N/A",EDATE(A157,1)))</f>
        <v>N/A</v>
      </c>
      <c r="B158" s="410" t="str">
        <f t="shared" si="389"/>
        <v xml:space="preserve"> </v>
      </c>
      <c r="C158" s="411" t="str">
        <f t="shared" si="390"/>
        <v xml:space="preserve"> </v>
      </c>
      <c r="D158" s="412" t="str">
        <f t="shared" si="391"/>
        <v xml:space="preserve"> </v>
      </c>
      <c r="E158" s="413" t="str">
        <f>IF($A158="N/A"," ",(C158-'Pricing Inputs'!T191)*D158)</f>
        <v xml:space="preserve"> </v>
      </c>
      <c r="F158" s="414" t="str">
        <f t="shared" si="440"/>
        <v xml:space="preserve"> </v>
      </c>
      <c r="G158" s="414" t="str">
        <f t="shared" si="392"/>
        <v xml:space="preserve"> </v>
      </c>
      <c r="H158" s="416" t="str">
        <f t="shared" si="393"/>
        <v xml:space="preserve"> </v>
      </c>
      <c r="I158" s="213" t="str">
        <f t="shared" si="342"/>
        <v xml:space="preserve"> </v>
      </c>
      <c r="J158" s="213" t="str">
        <f t="shared" si="343"/>
        <v xml:space="preserve"> </v>
      </c>
      <c r="K158" s="213" t="str">
        <f t="shared" si="344"/>
        <v xml:space="preserve"> </v>
      </c>
      <c r="L158" s="213" t="str">
        <f t="shared" si="345"/>
        <v xml:space="preserve"> </v>
      </c>
      <c r="M158" s="213" t="str">
        <f t="shared" si="346"/>
        <v xml:space="preserve"> </v>
      </c>
      <c r="N158" s="213" t="str">
        <f t="shared" si="347"/>
        <v xml:space="preserve"> </v>
      </c>
      <c r="O158" s="213" t="str">
        <f t="shared" si="348"/>
        <v xml:space="preserve"> </v>
      </c>
      <c r="P158" s="213" t="str">
        <f t="shared" si="349"/>
        <v xml:space="preserve"> </v>
      </c>
      <c r="Q158" s="213" t="str">
        <f t="shared" si="350"/>
        <v xml:space="preserve"> </v>
      </c>
      <c r="R158" s="405" t="str">
        <f>IF($A158="N/A"," ",IF(Pricetype=2,MAX(I158-$H158,0),IF(Pricetype=1,(_xll.xSPRDOPT(I158,$E158,$CI158,0,($CD158+IF(Smile=TRUE,VLOOKUP(MAX(-5,$H158-I158),Volsmile,2),0)),$CG158,$CH158,($A158-DateToday)+15,1,0)),I158-$H158)))</f>
        <v xml:space="preserve"> </v>
      </c>
      <c r="S158" s="405" t="str">
        <f>IF($A158="N/A"," ",IF(Pricetype=2,MAX(J158-$H158,0),IF(Pricetype=1,(_xll.xSPRDOPT(J158,$E158,$CI158,0,($CD158+IF(Smile=TRUE,VLOOKUP(MAX(-5,$H158-J158),Volsmile,2),0)),$CG158,$CH158,($A158-DateToday)+15,1,0)),J158-$H158)))</f>
        <v xml:space="preserve"> </v>
      </c>
      <c r="T158" s="406" t="str">
        <f t="shared" si="351"/>
        <v xml:space="preserve"> </v>
      </c>
      <c r="U158" s="405" t="str">
        <f>IF($A158="N/A"," ",IF(Pricetype=2,MAX(L158-$H158,0),IF(L158&lt;&gt;0,IF(Pricetype=1,(_xll.xSPRDOPT(L158,$E158,$CI158,0,($CD158+IF(Smile=TRUE,VLOOKUP(MAX(-5,$H158-L158),Volsmile,2),0)),$CG158,$CH158,($A158-DateToday)+15,1,0)),L158-$H158),0)))</f>
        <v xml:space="preserve"> </v>
      </c>
      <c r="V158" s="405" t="str">
        <f>IF($A158="N/A"," ",IF(Pricetype=2,MAX(M158-$H158,0),IF(M158&lt;&gt;0,IF(Pricetype=1,(_xll.xSPRDOPT(M158,$E158,$CI158,0,($CD158+IF(Smile=TRUE,VLOOKUP(MAX(-5,$H158-M158),Volsmile,2),0)),$CG158,$CH158,($A158-DateToday)+15,1,0)),M158-$H158),0)))</f>
        <v xml:space="preserve"> </v>
      </c>
      <c r="W158" s="406" t="str">
        <f t="shared" si="352"/>
        <v xml:space="preserve"> </v>
      </c>
      <c r="X158" s="405" t="str">
        <f>IF($A158="N/A"," ",IF(Pricetype=2,MAX(O158-$H158,0),IF(O158&lt;&gt;0,IF(Pricetype=1,(_xll.xSPRDOPT(O158,$E158,$CI158,0,($CD158+IF(Smile=TRUE,VLOOKUP(MAX(-5,$H158-O158),Volsmile,2),0)),$CG158,$CH158,($A158-DateToday)+15,1,0)),O158-$H158),0)))</f>
        <v xml:space="preserve"> </v>
      </c>
      <c r="Y158" s="405" t="str">
        <f>IF($A158="N/A"," ",IF(Pricetype=2,MAX(P158-$H158,0),IF(P158&lt;&gt;0,IF(Pricetype=1,(_xll.xSPRDOPT(P158,$E158,$CI158,0,($CD158+IF(Smile=TRUE,VLOOKUP(MAX(-5,$H158-P158),Volsmile,2),0)),$CG158,$CH158,($A158-DateToday)+15,1,0)),P158-$H158),0)))</f>
        <v xml:space="preserve"> </v>
      </c>
      <c r="Z158" s="406" t="str">
        <f t="shared" si="353"/>
        <v xml:space="preserve"> </v>
      </c>
      <c r="AA158" s="254" t="str">
        <f>IF($A158="N/A"," ",IF(VLOOKUP(MONTH(A158),ManualTable,2)=1,(IF(0&lt;&gt;R158,IF(Pricetype=1,(_xll.xSPRDOPT(I158,$E158,$CI158,0,($CD158+IF(Smile=TRUE,VLOOKUP(MAX(-5,$H158-I158),Volsmile,2),0)),$CG158,$CH158,($A158-DateToday)+15,1,1))*(8*$HD158),8*$HD158),0)),0))</f>
        <v xml:space="preserve"> </v>
      </c>
      <c r="AB158" s="254" t="str">
        <f>IF($A158="N/A"," ",IF(VLOOKUP(MONTH(A158),ManualTable,3)=1,(IF(S158&lt;&gt;0,IF(Pricetype=1,(_xll.xSPRDOPT(J158,$E158,$CI158,0,($CD158+IF(Smile=TRUE,VLOOKUP(MAX(-5,$H158-J158),Volsmile,2),0)),$CG158,$CH158,($A158-DateToday)+15,1,1))*(8*$HD158),8*$HD158),0)),0))</f>
        <v xml:space="preserve"> </v>
      </c>
      <c r="AC158" s="254" t="str">
        <f t="shared" si="394"/>
        <v xml:space="preserve"> </v>
      </c>
      <c r="AD158" s="254" t="str">
        <f>IF($A158="N/A"," ",IF(VLOOKUP(MONTH(A158),ManualTable,5)=1,(IF(U158&lt;&gt;0,IF(Pricetype=1,(_xll.xSPRDOPT(L158,$E158,$CI158,0,($CD158+IF(Smile=TRUE,VLOOKUP(MAX(-5,$H158-L158),Volsmile,2),0)),$CG158,$CH158,($A158-DateToday)+15,1,1))*(8*$HE158),8*$HE158),0)),0))</f>
        <v xml:space="preserve"> </v>
      </c>
      <c r="AE158" s="254" t="str">
        <f>IF($A158="N/A"," ",IF(VLOOKUP(MONTH(A158),ManualTable,6)=1,(IF(V158&lt;&gt;0,IF(Pricetype=1,(_xll.xSPRDOPT(M158,$E158,$CI158,0,($CD158+IF(Smile=TRUE,VLOOKUP(MAX(-5,$H158-M158),Volsmile,2),0)),$CG158,$CH158,($A158-DateToday)+15,1,1))*(8*$HE158),8*$HE158),0)),0))</f>
        <v xml:space="preserve"> </v>
      </c>
      <c r="AF158" s="254" t="str">
        <f t="shared" si="395"/>
        <v xml:space="preserve"> </v>
      </c>
      <c r="AG158" s="254" t="str">
        <f>IF($A158="N/A"," ",IF(VLOOKUP(MONTH(A158),ManualTable,8)=1,(IF(X158&lt;&gt;0,IF(Pricetype=1,(_xll.xSPRDOPT(O158,$E158,$CI158,0,($CD158+IF(Smile=TRUE,VLOOKUP(MAX(-5,$H158-O158),Volsmile,2),0)),$CG158,$CH158,($A158-DateToday)+15,1,1))*(8*$HF158),8*$HF158),0)),0))</f>
        <v xml:space="preserve"> </v>
      </c>
      <c r="AH158" s="254" t="str">
        <f>IF($A158="N/A"," ",IF(VLOOKUP(MONTH(A158),ManualTable,9)=1,(IF(Y158&lt;&gt;0,IF(Pricetype=1,(_xll.xSPRDOPT(P158,$E158,$CI158,0,($CD158+IF(Smile=TRUE,VLOOKUP(MAX(-5,$H158-P158),Volsmile,2),0)),$CG158,$CH158,($A158-DateToday)+15,1,1))*(8*$HF158),8*$HF158),0)),0))</f>
        <v xml:space="preserve"> </v>
      </c>
      <c r="AI158" s="254" t="str">
        <f t="shared" si="396"/>
        <v xml:space="preserve"> </v>
      </c>
      <c r="AJ158" s="227" t="str">
        <f t="shared" si="449"/>
        <v xml:space="preserve"> </v>
      </c>
      <c r="AK158" s="228" t="str">
        <f t="shared" si="450"/>
        <v xml:space="preserve"> </v>
      </c>
      <c r="AL158" s="228" t="str">
        <f t="shared" si="450"/>
        <v xml:space="preserve"> </v>
      </c>
      <c r="AM158" s="228" t="str">
        <f t="shared" si="451"/>
        <v xml:space="preserve"> </v>
      </c>
      <c r="AN158" s="228" t="str">
        <f t="shared" si="452"/>
        <v xml:space="preserve"> </v>
      </c>
      <c r="AO158" s="228" t="str">
        <f t="shared" si="452"/>
        <v xml:space="preserve"> </v>
      </c>
      <c r="AP158" s="228" t="str">
        <f t="shared" si="453"/>
        <v xml:space="preserve"> </v>
      </c>
      <c r="AQ158" s="228" t="str">
        <f t="shared" si="454"/>
        <v xml:space="preserve"> </v>
      </c>
      <c r="AR158" s="229" t="str">
        <f t="shared" si="455"/>
        <v xml:space="preserve"> </v>
      </c>
      <c r="AS158" s="262" t="str">
        <f t="shared" si="433"/>
        <v xml:space="preserve"> </v>
      </c>
      <c r="AT158" s="263" t="str">
        <f t="shared" si="434"/>
        <v xml:space="preserve"> </v>
      </c>
      <c r="AU158" s="263" t="str">
        <f t="shared" si="434"/>
        <v xml:space="preserve"> </v>
      </c>
      <c r="AV158" s="263" t="str">
        <f t="shared" si="435"/>
        <v xml:space="preserve"> </v>
      </c>
      <c r="AW158" s="263" t="str">
        <f t="shared" si="436"/>
        <v xml:space="preserve"> </v>
      </c>
      <c r="AX158" s="263" t="str">
        <f t="shared" si="436"/>
        <v xml:space="preserve"> </v>
      </c>
      <c r="AY158" s="263" t="str">
        <f t="shared" si="437"/>
        <v xml:space="preserve"> </v>
      </c>
      <c r="AZ158" s="263" t="str">
        <f t="shared" si="438"/>
        <v xml:space="preserve"> </v>
      </c>
      <c r="BA158" s="263" t="str">
        <f t="shared" si="439"/>
        <v xml:space="preserve"> </v>
      </c>
      <c r="BB158" s="229">
        <f>SUM(AS148:BA159)</f>
        <v>0</v>
      </c>
      <c r="BC158" s="266" t="str">
        <f t="shared" si="442"/>
        <v xml:space="preserve"> </v>
      </c>
      <c r="BD158" s="269" t="str">
        <f t="shared" si="443"/>
        <v xml:space="preserve"> </v>
      </c>
      <c r="BE158" s="269" t="str">
        <f t="shared" si="443"/>
        <v xml:space="preserve"> </v>
      </c>
      <c r="BF158" s="269" t="str">
        <f t="shared" si="444"/>
        <v xml:space="preserve"> </v>
      </c>
      <c r="BG158" s="269" t="str">
        <f t="shared" si="445"/>
        <v xml:space="preserve"> </v>
      </c>
      <c r="BH158" s="269" t="str">
        <f t="shared" si="445"/>
        <v xml:space="preserve"> </v>
      </c>
      <c r="BI158" s="269" t="str">
        <f t="shared" si="446"/>
        <v xml:space="preserve"> </v>
      </c>
      <c r="BJ158" s="269" t="str">
        <f t="shared" si="447"/>
        <v xml:space="preserve"> </v>
      </c>
      <c r="BK158" s="269" t="str">
        <f t="shared" si="448"/>
        <v xml:space="preserve"> </v>
      </c>
      <c r="BL158" s="229">
        <f>SUM(BC148:BK159)</f>
        <v>0</v>
      </c>
      <c r="BM158" s="220" t="str">
        <f>IF($A158="N/A"," ",(IF(MONTH(A158)&gt;=4,IF(MONTH(A158)&lt;=10,Inputs!$F$13-Inputs!$G$13,Inputs!$F$14-Inputs!$G$14),Inputs!$F$14-Inputs!$G$14))*$CK158*Availability)</f>
        <v xml:space="preserve"> </v>
      </c>
      <c r="BN158" s="221" t="str">
        <f t="shared" si="397"/>
        <v xml:space="preserve"> </v>
      </c>
      <c r="BO158" s="221" t="str">
        <f t="shared" si="398"/>
        <v xml:space="preserve"> </v>
      </c>
      <c r="BP158" s="221" t="str">
        <f t="shared" si="399"/>
        <v xml:space="preserve"> </v>
      </c>
      <c r="BQ158" s="221" t="str">
        <f t="shared" si="400"/>
        <v xml:space="preserve"> </v>
      </c>
      <c r="BR158" s="221" t="str">
        <f t="shared" si="401"/>
        <v xml:space="preserve"> </v>
      </c>
      <c r="BS158" s="221" t="str">
        <f t="shared" si="402"/>
        <v xml:space="preserve"> </v>
      </c>
      <c r="BT158" s="221" t="str">
        <f t="shared" si="403"/>
        <v xml:space="preserve"> </v>
      </c>
      <c r="BU158" s="221" t="str">
        <f t="shared" si="404"/>
        <v xml:space="preserve"> </v>
      </c>
      <c r="BV158" s="221" t="str">
        <f t="shared" si="405"/>
        <v xml:space="preserve"> </v>
      </c>
      <c r="BW158" s="221" t="str">
        <f t="shared" si="406"/>
        <v xml:space="preserve"> </v>
      </c>
      <c r="BX158" s="421" t="str">
        <f t="shared" si="407"/>
        <v xml:space="preserve"> </v>
      </c>
      <c r="BY158" s="417" t="str">
        <f t="shared" si="408"/>
        <v xml:space="preserve"> </v>
      </c>
      <c r="BZ158" s="417" t="str">
        <f t="shared" si="409"/>
        <v xml:space="preserve"> </v>
      </c>
      <c r="CA158" s="422" t="str">
        <f t="shared" si="410"/>
        <v xml:space="preserve"> </v>
      </c>
      <c r="CB158" s="347" t="str">
        <f t="shared" si="354"/>
        <v xml:space="preserve"> </v>
      </c>
      <c r="CC158" s="347" t="str">
        <f t="shared" si="411"/>
        <v xml:space="preserve"> </v>
      </c>
      <c r="CD158" s="348" t="str">
        <f t="shared" si="355"/>
        <v xml:space="preserve"> </v>
      </c>
      <c r="CE158" s="347" t="str">
        <f t="shared" si="356"/>
        <v xml:space="preserve"> </v>
      </c>
      <c r="CF158" s="347" t="str">
        <f t="shared" si="357"/>
        <v xml:space="preserve"> </v>
      </c>
      <c r="CG158" s="348" t="str">
        <f t="shared" si="358"/>
        <v xml:space="preserve"> </v>
      </c>
      <c r="CH158" s="347" t="str">
        <f t="shared" si="412"/>
        <v xml:space="preserve"> </v>
      </c>
      <c r="CI158" s="349" t="str">
        <f>IF($A158="N/A"," ",F158+G158+(D158*('Pricing Inputs'!T191)))</f>
        <v xml:space="preserve"> </v>
      </c>
      <c r="CJ158" s="347" t="str">
        <f>IF($A158="N/A"," ",IF(PV=1,0,'Pricing Inputs'!U191))</f>
        <v xml:space="preserve"> </v>
      </c>
      <c r="CK158" s="350" t="str">
        <f t="shared" si="359"/>
        <v xml:space="preserve"> </v>
      </c>
      <c r="CL158" s="365" t="str">
        <f t="shared" si="360"/>
        <v xml:space="preserve"> </v>
      </c>
      <c r="CM158" s="380" t="str">
        <f t="shared" si="413"/>
        <v xml:space="preserve"> </v>
      </c>
      <c r="CN158" s="378" t="str">
        <f t="shared" si="361"/>
        <v xml:space="preserve"> </v>
      </c>
      <c r="CO158" s="378" t="str">
        <f t="shared" si="362"/>
        <v xml:space="preserve"> </v>
      </c>
      <c r="CP158" s="378" t="str">
        <f t="shared" si="363"/>
        <v xml:space="preserve"> </v>
      </c>
      <c r="CQ158" s="378" t="str">
        <f t="shared" si="364"/>
        <v xml:space="preserve"> </v>
      </c>
      <c r="CR158" s="378" t="str">
        <f t="shared" si="365"/>
        <v xml:space="preserve"> </v>
      </c>
      <c r="CS158" s="378" t="str">
        <f t="shared" si="366"/>
        <v xml:space="preserve"> </v>
      </c>
      <c r="CT158" s="378" t="str">
        <f t="shared" si="367"/>
        <v xml:space="preserve"> </v>
      </c>
      <c r="CU158" s="378" t="str">
        <f t="shared" si="368"/>
        <v xml:space="preserve"> </v>
      </c>
      <c r="CV158" s="378" t="str">
        <f t="shared" si="369"/>
        <v xml:space="preserve"> </v>
      </c>
      <c r="CW158" s="254" t="str">
        <f t="shared" si="370"/>
        <v xml:space="preserve"> </v>
      </c>
      <c r="CX158" s="254" t="str">
        <f t="shared" si="371"/>
        <v xml:space="preserve"> </v>
      </c>
      <c r="CY158" s="254" t="str">
        <f t="shared" si="372"/>
        <v xml:space="preserve"> </v>
      </c>
      <c r="CZ158" s="254" t="str">
        <f t="shared" si="373"/>
        <v xml:space="preserve"> </v>
      </c>
      <c r="DA158" s="254" t="str">
        <f t="shared" si="374"/>
        <v xml:space="preserve"> </v>
      </c>
      <c r="DB158" s="254" t="str">
        <f t="shared" si="375"/>
        <v xml:space="preserve"> </v>
      </c>
      <c r="DC158" s="254" t="str">
        <f t="shared" si="376"/>
        <v xml:space="preserve"> </v>
      </c>
      <c r="DD158" s="254" t="str">
        <f t="shared" si="377"/>
        <v xml:space="preserve"> </v>
      </c>
      <c r="DE158" s="254" t="str">
        <f t="shared" si="378"/>
        <v xml:space="preserve"> </v>
      </c>
      <c r="DF158" s="374" t="str">
        <f>IF($A158="N/A"," ",IF(CC=2,(IF(MONTH(A158)&gt;=4,IF(MONTH(A158)&lt;=10,Inputs!$G$13,Inputs!$G$14),Inputs!$G$14))*$CK158,0))</f>
        <v xml:space="preserve"> </v>
      </c>
      <c r="DG158" s="373" t="str">
        <f t="shared" si="379"/>
        <v xml:space="preserve"> </v>
      </c>
      <c r="DH158" s="373" t="str">
        <f t="shared" si="380"/>
        <v xml:space="preserve"> </v>
      </c>
      <c r="DI158" s="373" t="str">
        <f t="shared" si="381"/>
        <v xml:space="preserve"> </v>
      </c>
      <c r="DJ158" s="373" t="str">
        <f t="shared" si="382"/>
        <v xml:space="preserve"> </v>
      </c>
      <c r="DK158" s="373" t="str">
        <f t="shared" si="383"/>
        <v xml:space="preserve"> </v>
      </c>
      <c r="DL158" s="373" t="str">
        <f t="shared" si="384"/>
        <v xml:space="preserve"> </v>
      </c>
      <c r="DM158" s="373" t="str">
        <f t="shared" si="385"/>
        <v xml:space="preserve"> </v>
      </c>
      <c r="DN158" s="373" t="str">
        <f t="shared" si="386"/>
        <v xml:space="preserve"> </v>
      </c>
      <c r="DO158" s="373" t="str">
        <f t="shared" si="387"/>
        <v xml:space="preserve"> </v>
      </c>
      <c r="DP158" s="375" t="str">
        <f t="shared" si="388"/>
        <v xml:space="preserve"> </v>
      </c>
      <c r="DQ158" t="str">
        <f t="shared" si="414"/>
        <v xml:space="preserve"> </v>
      </c>
      <c r="HD158" t="str">
        <f t="shared" si="415"/>
        <v xml:space="preserve"> </v>
      </c>
      <c r="HE158" t="str">
        <f t="shared" si="416"/>
        <v xml:space="preserve"> </v>
      </c>
      <c r="HF158" t="str">
        <f t="shared" si="417"/>
        <v xml:space="preserve"> </v>
      </c>
    </row>
    <row r="159" spans="1:214">
      <c r="A159" s="415" t="str">
        <f>IF(A158="N/A","N/A",IF(EDATE(A158,1)&gt;Inputs!$K$3,"N/A",EDATE(A158,1)))</f>
        <v>N/A</v>
      </c>
      <c r="B159" s="410" t="str">
        <f t="shared" si="389"/>
        <v xml:space="preserve"> </v>
      </c>
      <c r="C159" s="411" t="str">
        <f t="shared" si="390"/>
        <v xml:space="preserve"> </v>
      </c>
      <c r="D159" s="412" t="str">
        <f t="shared" si="391"/>
        <v xml:space="preserve"> </v>
      </c>
      <c r="E159" s="413" t="str">
        <f>IF($A159="N/A"," ",(C159-'Pricing Inputs'!T192)*D159)</f>
        <v xml:space="preserve"> </v>
      </c>
      <c r="F159" s="414" t="str">
        <f t="shared" si="440"/>
        <v xml:space="preserve"> </v>
      </c>
      <c r="G159" s="414" t="str">
        <f t="shared" si="392"/>
        <v xml:space="preserve"> </v>
      </c>
      <c r="H159" s="416" t="str">
        <f t="shared" si="393"/>
        <v xml:space="preserve"> </v>
      </c>
      <c r="I159" s="213" t="str">
        <f t="shared" si="342"/>
        <v xml:space="preserve"> </v>
      </c>
      <c r="J159" s="213" t="str">
        <f t="shared" si="343"/>
        <v xml:space="preserve"> </v>
      </c>
      <c r="K159" s="213" t="str">
        <f t="shared" si="344"/>
        <v xml:space="preserve"> </v>
      </c>
      <c r="L159" s="213" t="str">
        <f t="shared" si="345"/>
        <v xml:space="preserve"> </v>
      </c>
      <c r="M159" s="213" t="str">
        <f t="shared" si="346"/>
        <v xml:space="preserve"> </v>
      </c>
      <c r="N159" s="213" t="str">
        <f t="shared" si="347"/>
        <v xml:space="preserve"> </v>
      </c>
      <c r="O159" s="213" t="str">
        <f t="shared" si="348"/>
        <v xml:space="preserve"> </v>
      </c>
      <c r="P159" s="213" t="str">
        <f t="shared" si="349"/>
        <v xml:space="preserve"> </v>
      </c>
      <c r="Q159" s="213" t="str">
        <f t="shared" si="350"/>
        <v xml:space="preserve"> </v>
      </c>
      <c r="R159" s="405" t="str">
        <f>IF($A159="N/A"," ",IF(Pricetype=2,MAX(I159-$H159,0),IF(Pricetype=1,(_xll.xSPRDOPT(I159,$E159,$CI159,0,($CD159+IF(Smile=TRUE,VLOOKUP(MAX(-5,$H159-I159),Volsmile,2),0)),$CG159,$CH159,($A159-DateToday)+15,1,0)),I159-$H159)))</f>
        <v xml:space="preserve"> </v>
      </c>
      <c r="S159" s="405" t="str">
        <f>IF($A159="N/A"," ",IF(Pricetype=2,MAX(J159-$H159,0),IF(Pricetype=1,(_xll.xSPRDOPT(J159,$E159,$CI159,0,($CD159+IF(Smile=TRUE,VLOOKUP(MAX(-5,$H159-J159),Volsmile,2),0)),$CG159,$CH159,($A159-DateToday)+15,1,0)),J159-$H159)))</f>
        <v xml:space="preserve"> </v>
      </c>
      <c r="T159" s="406" t="str">
        <f t="shared" si="351"/>
        <v xml:space="preserve"> </v>
      </c>
      <c r="U159" s="405" t="str">
        <f>IF($A159="N/A"," ",IF(Pricetype=2,MAX(L159-$H159,0),IF(L159&lt;&gt;0,IF(Pricetype=1,(_xll.xSPRDOPT(L159,$E159,$CI159,0,($CD159+IF(Smile=TRUE,VLOOKUP(MAX(-5,$H159-L159),Volsmile,2),0)),$CG159,$CH159,($A159-DateToday)+15,1,0)),L159-$H159),0)))</f>
        <v xml:space="preserve"> </v>
      </c>
      <c r="V159" s="405" t="str">
        <f>IF($A159="N/A"," ",IF(Pricetype=2,MAX(M159-$H159,0),IF(M159&lt;&gt;0,IF(Pricetype=1,(_xll.xSPRDOPT(M159,$E159,$CI159,0,($CD159+IF(Smile=TRUE,VLOOKUP(MAX(-5,$H159-M159),Volsmile,2),0)),$CG159,$CH159,($A159-DateToday)+15,1,0)),M159-$H159),0)))</f>
        <v xml:space="preserve"> </v>
      </c>
      <c r="W159" s="406" t="str">
        <f t="shared" si="352"/>
        <v xml:space="preserve"> </v>
      </c>
      <c r="X159" s="405" t="str">
        <f>IF($A159="N/A"," ",IF(Pricetype=2,MAX(O159-$H159,0),IF(O159&lt;&gt;0,IF(Pricetype=1,(_xll.xSPRDOPT(O159,$E159,$CI159,0,($CD159+IF(Smile=TRUE,VLOOKUP(MAX(-5,$H159-O159),Volsmile,2),0)),$CG159,$CH159,($A159-DateToday)+15,1,0)),O159-$H159),0)))</f>
        <v xml:space="preserve"> </v>
      </c>
      <c r="Y159" s="405" t="str">
        <f>IF($A159="N/A"," ",IF(Pricetype=2,MAX(P159-$H159,0),IF(P159&lt;&gt;0,IF(Pricetype=1,(_xll.xSPRDOPT(P159,$E159,$CI159,0,($CD159+IF(Smile=TRUE,VLOOKUP(MAX(-5,$H159-P159),Volsmile,2),0)),$CG159,$CH159,($A159-DateToday)+15,1,0)),P159-$H159),0)))</f>
        <v xml:space="preserve"> </v>
      </c>
      <c r="Z159" s="406" t="str">
        <f t="shared" si="353"/>
        <v xml:space="preserve"> </v>
      </c>
      <c r="AA159" s="254" t="str">
        <f>IF($A159="N/A"," ",IF(VLOOKUP(MONTH(A159),ManualTable,2)=1,(IF(0&lt;&gt;R159,IF(Pricetype=1,(_xll.xSPRDOPT(I159,$E159,$CI159,0,($CD159+IF(Smile=TRUE,VLOOKUP(MAX(-5,$H159-I159),Volsmile,2),0)),$CG159,$CH159,($A159-DateToday)+15,1,1))*(8*$HD159),8*$HD159),0)),0))</f>
        <v xml:space="preserve"> </v>
      </c>
      <c r="AB159" s="254" t="str">
        <f>IF($A159="N/A"," ",IF(VLOOKUP(MONTH(A159),ManualTable,3)=1,(IF(S159&lt;&gt;0,IF(Pricetype=1,(_xll.xSPRDOPT(J159,$E159,$CI159,0,($CD159+IF(Smile=TRUE,VLOOKUP(MAX(-5,$H159-J159),Volsmile,2),0)),$CG159,$CH159,($A159-DateToday)+15,1,1))*(8*$HD159),8*$HD159),0)),0))</f>
        <v xml:space="preserve"> </v>
      </c>
      <c r="AC159" s="254" t="str">
        <f t="shared" si="394"/>
        <v xml:space="preserve"> </v>
      </c>
      <c r="AD159" s="254" t="str">
        <f>IF($A159="N/A"," ",IF(VLOOKUP(MONTH(A159),ManualTable,5)=1,(IF(U159&lt;&gt;0,IF(Pricetype=1,(_xll.xSPRDOPT(L159,$E159,$CI159,0,($CD159+IF(Smile=TRUE,VLOOKUP(MAX(-5,$H159-L159),Volsmile,2),0)),$CG159,$CH159,($A159-DateToday)+15,1,1))*(8*$HE159),8*$HE159),0)),0))</f>
        <v xml:space="preserve"> </v>
      </c>
      <c r="AE159" s="254" t="str">
        <f>IF($A159="N/A"," ",IF(VLOOKUP(MONTH(A159),ManualTable,6)=1,(IF(V159&lt;&gt;0,IF(Pricetype=1,(_xll.xSPRDOPT(M159,$E159,$CI159,0,($CD159+IF(Smile=TRUE,VLOOKUP(MAX(-5,$H159-M159),Volsmile,2),0)),$CG159,$CH159,($A159-DateToday)+15,1,1))*(8*$HE159),8*$HE159),0)),0))</f>
        <v xml:space="preserve"> </v>
      </c>
      <c r="AF159" s="254" t="str">
        <f t="shared" si="395"/>
        <v xml:space="preserve"> </v>
      </c>
      <c r="AG159" s="254" t="str">
        <f>IF($A159="N/A"," ",IF(VLOOKUP(MONTH(A159),ManualTable,8)=1,(IF(X159&lt;&gt;0,IF(Pricetype=1,(_xll.xSPRDOPT(O159,$E159,$CI159,0,($CD159+IF(Smile=TRUE,VLOOKUP(MAX(-5,$H159-O159),Volsmile,2),0)),$CG159,$CH159,($A159-DateToday)+15,1,1))*(8*$HF159),8*$HF159),0)),0))</f>
        <v xml:space="preserve"> </v>
      </c>
      <c r="AH159" s="254" t="str">
        <f>IF($A159="N/A"," ",IF(VLOOKUP(MONTH(A159),ManualTable,9)=1,(IF(Y159&lt;&gt;0,IF(Pricetype=1,(_xll.xSPRDOPT(P159,$E159,$CI159,0,($CD159+IF(Smile=TRUE,VLOOKUP(MAX(-5,$H159-P159),Volsmile,2),0)),$CG159,$CH159,($A159-DateToday)+15,1,1))*(8*$HF159),8*$HF159),0)),0))</f>
        <v xml:space="preserve"> </v>
      </c>
      <c r="AI159" s="254" t="str">
        <f t="shared" si="396"/>
        <v xml:space="preserve"> </v>
      </c>
      <c r="AJ159" s="230" t="str">
        <f t="shared" si="449"/>
        <v xml:space="preserve"> </v>
      </c>
      <c r="AK159" s="231" t="str">
        <f t="shared" si="450"/>
        <v xml:space="preserve"> </v>
      </c>
      <c r="AL159" s="231" t="str">
        <f t="shared" si="450"/>
        <v xml:space="preserve"> </v>
      </c>
      <c r="AM159" s="231" t="str">
        <f t="shared" si="451"/>
        <v xml:space="preserve"> </v>
      </c>
      <c r="AN159" s="231" t="str">
        <f t="shared" si="452"/>
        <v xml:space="preserve"> </v>
      </c>
      <c r="AO159" s="231" t="str">
        <f t="shared" si="452"/>
        <v xml:space="preserve"> </v>
      </c>
      <c r="AP159" s="231" t="str">
        <f t="shared" si="453"/>
        <v xml:space="preserve"> </v>
      </c>
      <c r="AQ159" s="231" t="str">
        <f t="shared" si="454"/>
        <v xml:space="preserve"> </v>
      </c>
      <c r="AR159" s="232" t="str">
        <f t="shared" si="455"/>
        <v xml:space="preserve"> </v>
      </c>
      <c r="AS159" s="264" t="str">
        <f t="shared" si="433"/>
        <v xml:space="preserve"> </v>
      </c>
      <c r="AT159" s="265" t="str">
        <f t="shared" si="434"/>
        <v xml:space="preserve"> </v>
      </c>
      <c r="AU159" s="265" t="str">
        <f t="shared" si="434"/>
        <v xml:space="preserve"> </v>
      </c>
      <c r="AV159" s="265" t="str">
        <f t="shared" si="435"/>
        <v xml:space="preserve"> </v>
      </c>
      <c r="AW159" s="265" t="str">
        <f t="shared" si="436"/>
        <v xml:space="preserve"> </v>
      </c>
      <c r="AX159" s="265" t="str">
        <f t="shared" si="436"/>
        <v xml:space="preserve"> </v>
      </c>
      <c r="AY159" s="265" t="str">
        <f t="shared" si="437"/>
        <v xml:space="preserve"> </v>
      </c>
      <c r="AZ159" s="265" t="str">
        <f t="shared" si="438"/>
        <v xml:space="preserve"> </v>
      </c>
      <c r="BA159" s="265" t="str">
        <f t="shared" si="439"/>
        <v xml:space="preserve"> </v>
      </c>
      <c r="BB159" s="232">
        <f>IF(($AZ$2-BB158)&gt;=0,$AZ$2-BB158,0)</f>
        <v>980</v>
      </c>
      <c r="BC159" s="270" t="str">
        <f t="shared" si="442"/>
        <v xml:space="preserve"> </v>
      </c>
      <c r="BD159" s="271" t="str">
        <f t="shared" si="443"/>
        <v xml:space="preserve"> </v>
      </c>
      <c r="BE159" s="269" t="str">
        <f t="shared" si="443"/>
        <v xml:space="preserve"> </v>
      </c>
      <c r="BF159" s="271" t="str">
        <f t="shared" si="444"/>
        <v xml:space="preserve"> </v>
      </c>
      <c r="BG159" s="271" t="str">
        <f t="shared" si="445"/>
        <v xml:space="preserve"> </v>
      </c>
      <c r="BH159" s="269" t="str">
        <f t="shared" si="445"/>
        <v xml:space="preserve"> </v>
      </c>
      <c r="BI159" s="271" t="str">
        <f t="shared" si="446"/>
        <v xml:space="preserve"> </v>
      </c>
      <c r="BJ159" s="271" t="str">
        <f t="shared" si="447"/>
        <v xml:space="preserve"> </v>
      </c>
      <c r="BK159" s="271" t="str">
        <f t="shared" si="448"/>
        <v xml:space="preserve"> </v>
      </c>
      <c r="BL159" s="235">
        <f>BB158+BL158</f>
        <v>0</v>
      </c>
      <c r="BM159" s="220" t="str">
        <f>IF($A159="N/A"," ",(IF(MONTH(A159)&gt;=4,IF(MONTH(A159)&lt;=10,Inputs!$F$13-Inputs!$G$13,Inputs!$F$14-Inputs!$G$14),Inputs!$F$14-Inputs!$G$14))*$CK159*Availability)</f>
        <v xml:space="preserve"> </v>
      </c>
      <c r="BN159" s="221" t="str">
        <f t="shared" si="397"/>
        <v xml:space="preserve"> </v>
      </c>
      <c r="BO159" s="221" t="str">
        <f t="shared" si="398"/>
        <v xml:space="preserve"> </v>
      </c>
      <c r="BP159" s="221" t="str">
        <f t="shared" si="399"/>
        <v xml:space="preserve"> </v>
      </c>
      <c r="BQ159" s="221" t="str">
        <f t="shared" si="400"/>
        <v xml:space="preserve"> </v>
      </c>
      <c r="BR159" s="221" t="str">
        <f t="shared" si="401"/>
        <v xml:space="preserve"> </v>
      </c>
      <c r="BS159" s="221" t="str">
        <f t="shared" si="402"/>
        <v xml:space="preserve"> </v>
      </c>
      <c r="BT159" s="221" t="str">
        <f t="shared" si="403"/>
        <v xml:space="preserve"> </v>
      </c>
      <c r="BU159" s="221" t="str">
        <f t="shared" si="404"/>
        <v xml:space="preserve"> </v>
      </c>
      <c r="BV159" s="221" t="str">
        <f t="shared" si="405"/>
        <v xml:space="preserve"> </v>
      </c>
      <c r="BW159" s="221" t="str">
        <f t="shared" si="406"/>
        <v xml:space="preserve"> </v>
      </c>
      <c r="BX159" s="421" t="str">
        <f t="shared" si="407"/>
        <v xml:space="preserve"> </v>
      </c>
      <c r="BY159" s="417" t="str">
        <f t="shared" si="408"/>
        <v xml:space="preserve"> </v>
      </c>
      <c r="BZ159" s="417" t="str">
        <f t="shared" si="409"/>
        <v xml:space="preserve"> </v>
      </c>
      <c r="CA159" s="422" t="str">
        <f t="shared" si="410"/>
        <v xml:space="preserve"> </v>
      </c>
      <c r="CB159" s="347" t="str">
        <f t="shared" si="354"/>
        <v xml:space="preserve"> </v>
      </c>
      <c r="CC159" s="347" t="str">
        <f t="shared" si="411"/>
        <v xml:space="preserve"> </v>
      </c>
      <c r="CD159" s="348" t="str">
        <f t="shared" si="355"/>
        <v xml:space="preserve"> </v>
      </c>
      <c r="CE159" s="347" t="str">
        <f t="shared" si="356"/>
        <v xml:space="preserve"> </v>
      </c>
      <c r="CF159" s="347" t="str">
        <f t="shared" si="357"/>
        <v xml:space="preserve"> </v>
      </c>
      <c r="CG159" s="348" t="str">
        <f t="shared" si="358"/>
        <v xml:space="preserve"> </v>
      </c>
      <c r="CH159" s="347" t="str">
        <f t="shared" si="412"/>
        <v xml:space="preserve"> </v>
      </c>
      <c r="CI159" s="349" t="str">
        <f>IF($A159="N/A"," ",F159+G159+(D159*('Pricing Inputs'!T192)))</f>
        <v xml:space="preserve"> </v>
      </c>
      <c r="CJ159" s="347" t="str">
        <f>IF($A159="N/A"," ",IF(PV=1,0,'Pricing Inputs'!U192))</f>
        <v xml:space="preserve"> </v>
      </c>
      <c r="CK159" s="350" t="str">
        <f t="shared" si="359"/>
        <v xml:space="preserve"> </v>
      </c>
      <c r="CL159" s="365" t="str">
        <f t="shared" si="360"/>
        <v xml:space="preserve"> </v>
      </c>
      <c r="CM159" s="380" t="str">
        <f t="shared" si="413"/>
        <v xml:space="preserve"> </v>
      </c>
      <c r="CN159" s="378" t="str">
        <f t="shared" si="361"/>
        <v xml:space="preserve"> </v>
      </c>
      <c r="CO159" s="378" t="str">
        <f t="shared" si="362"/>
        <v xml:space="preserve"> </v>
      </c>
      <c r="CP159" s="378" t="str">
        <f t="shared" si="363"/>
        <v xml:space="preserve"> </v>
      </c>
      <c r="CQ159" s="378" t="str">
        <f t="shared" si="364"/>
        <v xml:space="preserve"> </v>
      </c>
      <c r="CR159" s="378" t="str">
        <f t="shared" si="365"/>
        <v xml:space="preserve"> </v>
      </c>
      <c r="CS159" s="378" t="str">
        <f t="shared" si="366"/>
        <v xml:space="preserve"> </v>
      </c>
      <c r="CT159" s="378" t="str">
        <f t="shared" si="367"/>
        <v xml:space="preserve"> </v>
      </c>
      <c r="CU159" s="378" t="str">
        <f t="shared" si="368"/>
        <v xml:space="preserve"> </v>
      </c>
      <c r="CV159" s="378" t="str">
        <f t="shared" si="369"/>
        <v xml:space="preserve"> </v>
      </c>
      <c r="CW159" s="254" t="str">
        <f t="shared" si="370"/>
        <v xml:space="preserve"> </v>
      </c>
      <c r="CX159" s="254" t="str">
        <f t="shared" si="371"/>
        <v xml:space="preserve"> </v>
      </c>
      <c r="CY159" s="254" t="str">
        <f t="shared" si="372"/>
        <v xml:space="preserve"> </v>
      </c>
      <c r="CZ159" s="254" t="str">
        <f t="shared" si="373"/>
        <v xml:space="preserve"> </v>
      </c>
      <c r="DA159" s="254" t="str">
        <f t="shared" si="374"/>
        <v xml:space="preserve"> </v>
      </c>
      <c r="DB159" s="254" t="str">
        <f t="shared" si="375"/>
        <v xml:space="preserve"> </v>
      </c>
      <c r="DC159" s="254" t="str">
        <f t="shared" si="376"/>
        <v xml:space="preserve"> </v>
      </c>
      <c r="DD159" s="254" t="str">
        <f t="shared" si="377"/>
        <v xml:space="preserve"> </v>
      </c>
      <c r="DE159" s="254" t="str">
        <f t="shared" si="378"/>
        <v xml:space="preserve"> </v>
      </c>
      <c r="DF159" s="374" t="str">
        <f>IF($A159="N/A"," ",IF(CC=2,(IF(MONTH(A159)&gt;=4,IF(MONTH(A159)&lt;=10,Inputs!$G$13,Inputs!$G$14),Inputs!$G$14))*$CK159,0))</f>
        <v xml:space="preserve"> </v>
      </c>
      <c r="DG159" s="373" t="str">
        <f t="shared" si="379"/>
        <v xml:space="preserve"> </v>
      </c>
      <c r="DH159" s="373" t="str">
        <f t="shared" si="380"/>
        <v xml:space="preserve"> </v>
      </c>
      <c r="DI159" s="373" t="str">
        <f t="shared" si="381"/>
        <v xml:space="preserve"> </v>
      </c>
      <c r="DJ159" s="373" t="str">
        <f t="shared" si="382"/>
        <v xml:space="preserve"> </v>
      </c>
      <c r="DK159" s="373" t="str">
        <f t="shared" si="383"/>
        <v xml:space="preserve"> </v>
      </c>
      <c r="DL159" s="373" t="str">
        <f t="shared" si="384"/>
        <v xml:space="preserve"> </v>
      </c>
      <c r="DM159" s="373" t="str">
        <f t="shared" si="385"/>
        <v xml:space="preserve"> </v>
      </c>
      <c r="DN159" s="373" t="str">
        <f t="shared" si="386"/>
        <v xml:space="preserve"> </v>
      </c>
      <c r="DO159" s="373" t="str">
        <f t="shared" si="387"/>
        <v xml:space="preserve"> </v>
      </c>
      <c r="DP159" s="375" t="str">
        <f t="shared" si="388"/>
        <v xml:space="preserve"> </v>
      </c>
      <c r="DQ159" t="str">
        <f t="shared" si="414"/>
        <v xml:space="preserve"> </v>
      </c>
      <c r="HD159" t="str">
        <f t="shared" si="415"/>
        <v xml:space="preserve"> </v>
      </c>
      <c r="HE159" t="str">
        <f t="shared" si="416"/>
        <v xml:space="preserve"> </v>
      </c>
      <c r="HF159" t="str">
        <f t="shared" si="417"/>
        <v xml:space="preserve"> </v>
      </c>
    </row>
    <row r="160" spans="1:214">
      <c r="A160" s="415" t="str">
        <f>IF(A159="N/A","N/A",IF(EDATE(A159,1)&gt;Inputs!$K$3,"N/A",EDATE(A159,1)))</f>
        <v>N/A</v>
      </c>
      <c r="B160" s="410" t="str">
        <f t="shared" si="389"/>
        <v xml:space="preserve"> </v>
      </c>
      <c r="C160" s="411" t="str">
        <f t="shared" si="390"/>
        <v xml:space="preserve"> </v>
      </c>
      <c r="D160" s="412" t="str">
        <f t="shared" si="391"/>
        <v xml:space="preserve"> </v>
      </c>
      <c r="E160" s="413" t="str">
        <f>IF($A160="N/A"," ",(C160-'Pricing Inputs'!T193)*D160)</f>
        <v xml:space="preserve"> </v>
      </c>
      <c r="F160" s="414" t="str">
        <f t="shared" si="440"/>
        <v xml:space="preserve"> </v>
      </c>
      <c r="G160" s="414" t="str">
        <f t="shared" si="392"/>
        <v xml:space="preserve"> </v>
      </c>
      <c r="H160" s="416" t="str">
        <f t="shared" si="393"/>
        <v xml:space="preserve"> </v>
      </c>
      <c r="I160" s="213" t="str">
        <f t="shared" si="342"/>
        <v xml:space="preserve"> </v>
      </c>
      <c r="J160" s="213" t="str">
        <f t="shared" si="343"/>
        <v xml:space="preserve"> </v>
      </c>
      <c r="K160" s="213" t="str">
        <f t="shared" si="344"/>
        <v xml:space="preserve"> </v>
      </c>
      <c r="L160" s="213" t="str">
        <f t="shared" si="345"/>
        <v xml:space="preserve"> </v>
      </c>
      <c r="M160" s="213" t="str">
        <f t="shared" si="346"/>
        <v xml:space="preserve"> </v>
      </c>
      <c r="N160" s="213" t="str">
        <f t="shared" si="347"/>
        <v xml:space="preserve"> </v>
      </c>
      <c r="O160" s="213" t="str">
        <f t="shared" si="348"/>
        <v xml:space="preserve"> </v>
      </c>
      <c r="P160" s="213" t="str">
        <f t="shared" si="349"/>
        <v xml:space="preserve"> </v>
      </c>
      <c r="Q160" s="213" t="str">
        <f t="shared" si="350"/>
        <v xml:space="preserve"> </v>
      </c>
      <c r="R160" s="405" t="str">
        <f>IF($A160="N/A"," ",IF(Pricetype=2,MAX(I160-$H160,0),IF(Pricetype=1,(_xll.xSPRDOPT(I160,$E160,$CI160,0,($CD160+IF(Smile=TRUE,VLOOKUP(MAX(-5,$H160-I160),Volsmile,2),0)),$CG160,$CH160,($A160-DateToday)+15,1,0)),I160-$H160)))</f>
        <v xml:space="preserve"> </v>
      </c>
      <c r="S160" s="405" t="str">
        <f>IF($A160="N/A"," ",IF(Pricetype=2,MAX(J160-$H160,0),IF(Pricetype=1,(_xll.xSPRDOPT(J160,$E160,$CI160,0,($CD160+IF(Smile=TRUE,VLOOKUP(MAX(-5,$H160-J160),Volsmile,2),0)),$CG160,$CH160,($A160-DateToday)+15,1,0)),J160-$H160)))</f>
        <v xml:space="preserve"> </v>
      </c>
      <c r="T160" s="406" t="str">
        <f t="shared" si="351"/>
        <v xml:space="preserve"> </v>
      </c>
      <c r="U160" s="405" t="str">
        <f>IF($A160="N/A"," ",IF(Pricetype=2,MAX(L160-$H160,0),IF(L160&lt;&gt;0,IF(Pricetype=1,(_xll.xSPRDOPT(L160,$E160,$CI160,0,($CD160+IF(Smile=TRUE,VLOOKUP(MAX(-5,$H160-L160),Volsmile,2),0)),$CG160,$CH160,($A160-DateToday)+15,1,0)),L160-$H160),0)))</f>
        <v xml:space="preserve"> </v>
      </c>
      <c r="V160" s="405" t="str">
        <f>IF($A160="N/A"," ",IF(Pricetype=2,MAX(M160-$H160,0),IF(M160&lt;&gt;0,IF(Pricetype=1,(_xll.xSPRDOPT(M160,$E160,$CI160,0,($CD160+IF(Smile=TRUE,VLOOKUP(MAX(-5,$H160-M160),Volsmile,2),0)),$CG160,$CH160,($A160-DateToday)+15,1,0)),M160-$H160),0)))</f>
        <v xml:space="preserve"> </v>
      </c>
      <c r="W160" s="406" t="str">
        <f t="shared" si="352"/>
        <v xml:space="preserve"> </v>
      </c>
      <c r="X160" s="405" t="str">
        <f>IF($A160="N/A"," ",IF(Pricetype=2,MAX(O160-$H160,0),IF(O160&lt;&gt;0,IF(Pricetype=1,(_xll.xSPRDOPT(O160,$E160,$CI160,0,($CD160+IF(Smile=TRUE,VLOOKUP(MAX(-5,$H160-O160),Volsmile,2),0)),$CG160,$CH160,($A160-DateToday)+15,1,0)),O160-$H160),0)))</f>
        <v xml:space="preserve"> </v>
      </c>
      <c r="Y160" s="405" t="str">
        <f>IF($A160="N/A"," ",IF(Pricetype=2,MAX(P160-$H160,0),IF(P160&lt;&gt;0,IF(Pricetype=1,(_xll.xSPRDOPT(P160,$E160,$CI160,0,($CD160+IF(Smile=TRUE,VLOOKUP(MAX(-5,$H160-P160),Volsmile,2),0)),$CG160,$CH160,($A160-DateToday)+15,1,0)),P160-$H160),0)))</f>
        <v xml:space="preserve"> </v>
      </c>
      <c r="Z160" s="406" t="str">
        <f t="shared" si="353"/>
        <v xml:space="preserve"> </v>
      </c>
      <c r="AA160" s="254" t="str">
        <f>IF($A160="N/A"," ",IF(VLOOKUP(MONTH(A160),ManualTable,2)=1,(IF(0&lt;&gt;R160,IF(Pricetype=1,(_xll.xSPRDOPT(I160,$E160,$CI160,0,($CD160+IF(Smile=TRUE,VLOOKUP(MAX(-5,$H160-I160),Volsmile,2),0)),$CG160,$CH160,($A160-DateToday)+15,1,1))*(8*$HD160),8*$HD160),0)),0))</f>
        <v xml:space="preserve"> </v>
      </c>
      <c r="AB160" s="254" t="str">
        <f>IF($A160="N/A"," ",IF(VLOOKUP(MONTH(A160),ManualTable,3)=1,(IF(S160&lt;&gt;0,IF(Pricetype=1,(_xll.xSPRDOPT(J160,$E160,$CI160,0,($CD160+IF(Smile=TRUE,VLOOKUP(MAX(-5,$H160-J160),Volsmile,2),0)),$CG160,$CH160,($A160-DateToday)+15,1,1))*(8*$HD160),8*$HD160),0)),0))</f>
        <v xml:space="preserve"> </v>
      </c>
      <c r="AC160" s="254" t="str">
        <f t="shared" si="394"/>
        <v xml:space="preserve"> </v>
      </c>
      <c r="AD160" s="254" t="str">
        <f>IF($A160="N/A"," ",IF(VLOOKUP(MONTH(A160),ManualTable,5)=1,(IF(U160&lt;&gt;0,IF(Pricetype=1,(_xll.xSPRDOPT(L160,$E160,$CI160,0,($CD160+IF(Smile=TRUE,VLOOKUP(MAX(-5,$H160-L160),Volsmile,2),0)),$CG160,$CH160,($A160-DateToday)+15,1,1))*(8*$HE160),8*$HE160),0)),0))</f>
        <v xml:space="preserve"> </v>
      </c>
      <c r="AE160" s="254" t="str">
        <f>IF($A160="N/A"," ",IF(VLOOKUP(MONTH(A160),ManualTable,6)=1,(IF(V160&lt;&gt;0,IF(Pricetype=1,(_xll.xSPRDOPT(M160,$E160,$CI160,0,($CD160+IF(Smile=TRUE,VLOOKUP(MAX(-5,$H160-M160),Volsmile,2),0)),$CG160,$CH160,($A160-DateToday)+15,1,1))*(8*$HE160),8*$HE160),0)),0))</f>
        <v xml:space="preserve"> </v>
      </c>
      <c r="AF160" s="254" t="str">
        <f t="shared" si="395"/>
        <v xml:space="preserve"> </v>
      </c>
      <c r="AG160" s="254" t="str">
        <f>IF($A160="N/A"," ",IF(VLOOKUP(MONTH(A160),ManualTable,8)=1,(IF(X160&lt;&gt;0,IF(Pricetype=1,(_xll.xSPRDOPT(O160,$E160,$CI160,0,($CD160+IF(Smile=TRUE,VLOOKUP(MAX(-5,$H160-O160),Volsmile,2),0)),$CG160,$CH160,($A160-DateToday)+15,1,1))*(8*$HF160),8*$HF160),0)),0))</f>
        <v xml:space="preserve"> </v>
      </c>
      <c r="AH160" s="254" t="str">
        <f>IF($A160="N/A"," ",IF(VLOOKUP(MONTH(A160),ManualTable,9)=1,(IF(Y160&lt;&gt;0,IF(Pricetype=1,(_xll.xSPRDOPT(P160,$E160,$CI160,0,($CD160+IF(Smile=TRUE,VLOOKUP(MAX(-5,$H160-P160),Volsmile,2),0)),$CG160,$CH160,($A160-DateToday)+15,1,1))*(8*$HF160),8*$HF160),0)),0))</f>
        <v xml:space="preserve"> </v>
      </c>
      <c r="AI160" s="254" t="str">
        <f t="shared" si="396"/>
        <v xml:space="preserve"> </v>
      </c>
      <c r="AJ160" s="224" t="str">
        <f t="shared" ref="AJ160:AR160" si="456">IF($A160="N/A"," ",RANK(R160,$R$160:$Z$171))</f>
        <v xml:space="preserve"> </v>
      </c>
      <c r="AK160" s="225" t="str">
        <f t="shared" si="456"/>
        <v xml:space="preserve"> </v>
      </c>
      <c r="AL160" s="225" t="str">
        <f t="shared" si="456"/>
        <v xml:space="preserve"> </v>
      </c>
      <c r="AM160" s="225" t="str">
        <f t="shared" si="456"/>
        <v xml:space="preserve"> </v>
      </c>
      <c r="AN160" s="225" t="str">
        <f t="shared" si="456"/>
        <v xml:space="preserve"> </v>
      </c>
      <c r="AO160" s="225" t="str">
        <f t="shared" si="456"/>
        <v xml:space="preserve"> </v>
      </c>
      <c r="AP160" s="225" t="str">
        <f t="shared" si="456"/>
        <v xml:space="preserve"> </v>
      </c>
      <c r="AQ160" s="225" t="str">
        <f t="shared" si="456"/>
        <v xml:space="preserve"> </v>
      </c>
      <c r="AR160" s="226" t="str">
        <f t="shared" si="456"/>
        <v xml:space="preserve"> </v>
      </c>
      <c r="AS160" s="260" t="str">
        <f t="shared" si="433"/>
        <v xml:space="preserve"> </v>
      </c>
      <c r="AT160" s="261" t="str">
        <f t="shared" si="434"/>
        <v xml:space="preserve"> </v>
      </c>
      <c r="AU160" s="263" t="str">
        <f t="shared" si="434"/>
        <v xml:space="preserve"> </v>
      </c>
      <c r="AV160" s="263" t="str">
        <f t="shared" si="435"/>
        <v xml:space="preserve"> </v>
      </c>
      <c r="AW160" s="263" t="str">
        <f t="shared" si="436"/>
        <v xml:space="preserve"> </v>
      </c>
      <c r="AX160" s="263" t="str">
        <f t="shared" si="436"/>
        <v xml:space="preserve"> </v>
      </c>
      <c r="AY160" s="261" t="str">
        <f t="shared" si="437"/>
        <v xml:space="preserve"> </v>
      </c>
      <c r="AZ160" s="261" t="str">
        <f t="shared" si="438"/>
        <v xml:space="preserve"> </v>
      </c>
      <c r="BA160" s="261" t="str">
        <f t="shared" si="439"/>
        <v xml:space="preserve"> </v>
      </c>
      <c r="BB160" s="226"/>
      <c r="BC160" s="272" t="str">
        <f t="shared" ref="BC160:BC171" si="457">IF($A160="N/A"," ",IF(AND(AJ160=$AR$2+1,AS160=0),MIN($BB$171,AA160),0))</f>
        <v xml:space="preserve"> </v>
      </c>
      <c r="BD160" s="267" t="str">
        <f t="shared" ref="BD160:BE171" si="458">IF($A160="N/A"," ",IF(AND(AK160=$AR$2+1,AT160=0),MIN($BB$171,AB160),0))</f>
        <v xml:space="preserve"> </v>
      </c>
      <c r="BE160" s="267" t="str">
        <f t="shared" si="458"/>
        <v xml:space="preserve"> </v>
      </c>
      <c r="BF160" s="267" t="str">
        <f t="shared" ref="BF160:BF171" si="459">IF($A160="N/A"," ",IF(AND(AM160=$AR$2+1,AV160=0),MIN($BB$171,AD160),0))</f>
        <v xml:space="preserve"> </v>
      </c>
      <c r="BG160" s="267" t="str">
        <f t="shared" ref="BG160:BH171" si="460">IF($A160="N/A"," ",IF(AND(AN160=$AR$2+1,AW160=0),MIN($BB$171,AE160),0))</f>
        <v xml:space="preserve"> </v>
      </c>
      <c r="BH160" s="267" t="str">
        <f t="shared" si="460"/>
        <v xml:space="preserve"> </v>
      </c>
      <c r="BI160" s="267" t="str">
        <f t="shared" ref="BI160:BI171" si="461">IF($A160="N/A"," ",IF(AND(AP160=$AR$2+1,AY160=0),MIN($BB$171,AG160),0))</f>
        <v xml:space="preserve"> </v>
      </c>
      <c r="BJ160" s="267" t="str">
        <f t="shared" ref="BJ160:BJ171" si="462">IF($A160="N/A"," ",IF(AND(AQ160=$AR$2+1,AZ160=0),MIN($BB$171,AH160),0))</f>
        <v xml:space="preserve"> </v>
      </c>
      <c r="BK160" s="267" t="str">
        <f t="shared" ref="BK160:BK171" si="463">IF($A160="N/A"," ",IF(AND(AR160=$AR$2+1,BA160=0),MIN($BB$171,AI160),0))</f>
        <v xml:space="preserve"> </v>
      </c>
      <c r="BL160" s="226"/>
      <c r="BM160" s="220" t="str">
        <f>IF($A160="N/A"," ",(IF(MONTH(A160)&gt;=4,IF(MONTH(A160)&lt;=10,Inputs!$F$13-Inputs!$G$13,Inputs!$F$14-Inputs!$G$14),Inputs!$F$14-Inputs!$G$14))*$CK160*Availability)</f>
        <v xml:space="preserve"> </v>
      </c>
      <c r="BN160" s="221" t="str">
        <f t="shared" si="397"/>
        <v xml:space="preserve"> </v>
      </c>
      <c r="BO160" s="221" t="str">
        <f t="shared" si="398"/>
        <v xml:space="preserve"> </v>
      </c>
      <c r="BP160" s="221" t="str">
        <f t="shared" si="399"/>
        <v xml:space="preserve"> </v>
      </c>
      <c r="BQ160" s="221" t="str">
        <f t="shared" si="400"/>
        <v xml:space="preserve"> </v>
      </c>
      <c r="BR160" s="221" t="str">
        <f t="shared" si="401"/>
        <v xml:space="preserve"> </v>
      </c>
      <c r="BS160" s="221" t="str">
        <f t="shared" si="402"/>
        <v xml:space="preserve"> </v>
      </c>
      <c r="BT160" s="221" t="str">
        <f t="shared" si="403"/>
        <v xml:space="preserve"> </v>
      </c>
      <c r="BU160" s="221" t="str">
        <f t="shared" si="404"/>
        <v xml:space="preserve"> </v>
      </c>
      <c r="BV160" s="221" t="str">
        <f t="shared" si="405"/>
        <v xml:space="preserve"> </v>
      </c>
      <c r="BW160" s="221" t="str">
        <f t="shared" si="406"/>
        <v xml:space="preserve"> </v>
      </c>
      <c r="BX160" s="421" t="str">
        <f t="shared" si="407"/>
        <v xml:space="preserve"> </v>
      </c>
      <c r="BY160" s="417" t="str">
        <f t="shared" si="408"/>
        <v xml:space="preserve"> </v>
      </c>
      <c r="BZ160" s="417" t="str">
        <f t="shared" si="409"/>
        <v xml:space="preserve"> </v>
      </c>
      <c r="CA160" s="422" t="str">
        <f t="shared" si="410"/>
        <v xml:space="preserve"> </v>
      </c>
      <c r="CB160" s="347" t="str">
        <f t="shared" si="354"/>
        <v xml:space="preserve"> </v>
      </c>
      <c r="CC160" s="347" t="str">
        <f t="shared" si="411"/>
        <v xml:space="preserve"> </v>
      </c>
      <c r="CD160" s="348" t="str">
        <f t="shared" si="355"/>
        <v xml:space="preserve"> </v>
      </c>
      <c r="CE160" s="347" t="str">
        <f t="shared" si="356"/>
        <v xml:space="preserve"> </v>
      </c>
      <c r="CF160" s="347" t="str">
        <f t="shared" si="357"/>
        <v xml:space="preserve"> </v>
      </c>
      <c r="CG160" s="348" t="str">
        <f t="shared" si="358"/>
        <v xml:space="preserve"> </v>
      </c>
      <c r="CH160" s="347" t="str">
        <f t="shared" si="412"/>
        <v xml:space="preserve"> </v>
      </c>
      <c r="CI160" s="349" t="str">
        <f>IF($A160="N/A"," ",F160+G160+(D160*('Pricing Inputs'!T193)))</f>
        <v xml:space="preserve"> </v>
      </c>
      <c r="CJ160" s="347" t="str">
        <f>IF($A160="N/A"," ",IF(PV=1,0,'Pricing Inputs'!U193))</f>
        <v xml:space="preserve"> </v>
      </c>
      <c r="CK160" s="350" t="str">
        <f t="shared" si="359"/>
        <v xml:space="preserve"> </v>
      </c>
      <c r="CL160" s="365" t="str">
        <f t="shared" si="360"/>
        <v xml:space="preserve"> </v>
      </c>
      <c r="CM160" s="380" t="str">
        <f t="shared" si="413"/>
        <v xml:space="preserve"> </v>
      </c>
      <c r="CN160" s="378" t="str">
        <f t="shared" si="361"/>
        <v xml:space="preserve"> </v>
      </c>
      <c r="CO160" s="378" t="str">
        <f t="shared" si="362"/>
        <v xml:space="preserve"> </v>
      </c>
      <c r="CP160" s="378" t="str">
        <f t="shared" si="363"/>
        <v xml:space="preserve"> </v>
      </c>
      <c r="CQ160" s="378" t="str">
        <f t="shared" si="364"/>
        <v xml:space="preserve"> </v>
      </c>
      <c r="CR160" s="378" t="str">
        <f t="shared" si="365"/>
        <v xml:space="preserve"> </v>
      </c>
      <c r="CS160" s="378" t="str">
        <f t="shared" si="366"/>
        <v xml:space="preserve"> </v>
      </c>
      <c r="CT160" s="378" t="str">
        <f t="shared" si="367"/>
        <v xml:space="preserve"> </v>
      </c>
      <c r="CU160" s="378" t="str">
        <f t="shared" si="368"/>
        <v xml:space="preserve"> </v>
      </c>
      <c r="CV160" s="378" t="str">
        <f t="shared" si="369"/>
        <v xml:space="preserve"> </v>
      </c>
      <c r="CW160" s="254" t="str">
        <f t="shared" si="370"/>
        <v xml:space="preserve"> </v>
      </c>
      <c r="CX160" s="254" t="str">
        <f t="shared" si="371"/>
        <v xml:space="preserve"> </v>
      </c>
      <c r="CY160" s="254" t="str">
        <f t="shared" si="372"/>
        <v xml:space="preserve"> </v>
      </c>
      <c r="CZ160" s="254" t="str">
        <f t="shared" si="373"/>
        <v xml:space="preserve"> </v>
      </c>
      <c r="DA160" s="254" t="str">
        <f t="shared" si="374"/>
        <v xml:space="preserve"> </v>
      </c>
      <c r="DB160" s="254" t="str">
        <f t="shared" si="375"/>
        <v xml:space="preserve"> </v>
      </c>
      <c r="DC160" s="254" t="str">
        <f t="shared" si="376"/>
        <v xml:space="preserve"> </v>
      </c>
      <c r="DD160" s="254" t="str">
        <f t="shared" si="377"/>
        <v xml:space="preserve"> </v>
      </c>
      <c r="DE160" s="254" t="str">
        <f t="shared" si="378"/>
        <v xml:space="preserve"> </v>
      </c>
      <c r="DF160" s="374" t="str">
        <f>IF($A160="N/A"," ",IF(CC=2,(IF(MONTH(A160)&gt;=4,IF(MONTH(A160)&lt;=10,Inputs!$G$13,Inputs!$G$14),Inputs!$G$14))*$CK160,0))</f>
        <v xml:space="preserve"> </v>
      </c>
      <c r="DG160" s="373" t="str">
        <f t="shared" si="379"/>
        <v xml:space="preserve"> </v>
      </c>
      <c r="DH160" s="373" t="str">
        <f t="shared" si="380"/>
        <v xml:space="preserve"> </v>
      </c>
      <c r="DI160" s="373" t="str">
        <f t="shared" si="381"/>
        <v xml:space="preserve"> </v>
      </c>
      <c r="DJ160" s="373" t="str">
        <f t="shared" si="382"/>
        <v xml:space="preserve"> </v>
      </c>
      <c r="DK160" s="373" t="str">
        <f t="shared" si="383"/>
        <v xml:space="preserve"> </v>
      </c>
      <c r="DL160" s="373" t="str">
        <f t="shared" si="384"/>
        <v xml:space="preserve"> </v>
      </c>
      <c r="DM160" s="373" t="str">
        <f t="shared" si="385"/>
        <v xml:space="preserve"> </v>
      </c>
      <c r="DN160" s="373" t="str">
        <f t="shared" si="386"/>
        <v xml:space="preserve"> </v>
      </c>
      <c r="DO160" s="373" t="str">
        <f t="shared" si="387"/>
        <v xml:space="preserve"> </v>
      </c>
      <c r="DP160" s="375" t="str">
        <f t="shared" si="388"/>
        <v xml:space="preserve"> </v>
      </c>
      <c r="DQ160" t="str">
        <f t="shared" si="414"/>
        <v xml:space="preserve"> </v>
      </c>
      <c r="HD160" t="str">
        <f t="shared" si="415"/>
        <v xml:space="preserve"> </v>
      </c>
      <c r="HE160" t="str">
        <f t="shared" si="416"/>
        <v xml:space="preserve"> </v>
      </c>
      <c r="HF160" t="str">
        <f t="shared" si="417"/>
        <v xml:space="preserve"> </v>
      </c>
    </row>
    <row r="161" spans="1:214">
      <c r="A161" s="415" t="str">
        <f>IF(A160="N/A","N/A",IF(EDATE(A160,1)&gt;Inputs!$K$3,"N/A",EDATE(A160,1)))</f>
        <v>N/A</v>
      </c>
      <c r="B161" s="410" t="str">
        <f t="shared" si="389"/>
        <v xml:space="preserve"> </v>
      </c>
      <c r="C161" s="411" t="str">
        <f t="shared" si="390"/>
        <v xml:space="preserve"> </v>
      </c>
      <c r="D161" s="412" t="str">
        <f t="shared" si="391"/>
        <v xml:space="preserve"> </v>
      </c>
      <c r="E161" s="413" t="str">
        <f>IF($A161="N/A"," ",(C161-'Pricing Inputs'!T194)*D161)</f>
        <v xml:space="preserve"> </v>
      </c>
      <c r="F161" s="414" t="str">
        <f t="shared" si="440"/>
        <v xml:space="preserve"> </v>
      </c>
      <c r="G161" s="414" t="str">
        <f t="shared" si="392"/>
        <v xml:space="preserve"> </v>
      </c>
      <c r="H161" s="416" t="str">
        <f t="shared" si="393"/>
        <v xml:space="preserve"> </v>
      </c>
      <c r="I161" s="213" t="str">
        <f t="shared" si="342"/>
        <v xml:space="preserve"> </v>
      </c>
      <c r="J161" s="213" t="str">
        <f t="shared" si="343"/>
        <v xml:space="preserve"> </v>
      </c>
      <c r="K161" s="213" t="str">
        <f t="shared" si="344"/>
        <v xml:space="preserve"> </v>
      </c>
      <c r="L161" s="213" t="str">
        <f t="shared" si="345"/>
        <v xml:space="preserve"> </v>
      </c>
      <c r="M161" s="213" t="str">
        <f t="shared" si="346"/>
        <v xml:space="preserve"> </v>
      </c>
      <c r="N161" s="213" t="str">
        <f t="shared" si="347"/>
        <v xml:space="preserve"> </v>
      </c>
      <c r="O161" s="213" t="str">
        <f t="shared" si="348"/>
        <v xml:space="preserve"> </v>
      </c>
      <c r="P161" s="213" t="str">
        <f t="shared" si="349"/>
        <v xml:space="preserve"> </v>
      </c>
      <c r="Q161" s="213" t="str">
        <f t="shared" si="350"/>
        <v xml:space="preserve"> </v>
      </c>
      <c r="R161" s="405" t="str">
        <f>IF($A161="N/A"," ",IF(Pricetype=2,MAX(I161-$H161,0),IF(Pricetype=1,(_xll.xSPRDOPT(I161,$E161,$CI161,0,($CD161+IF(Smile=TRUE,VLOOKUP(MAX(-5,$H161-I161),Volsmile,2),0)),$CG161,$CH161,($A161-DateToday)+15,1,0)),I161-$H161)))</f>
        <v xml:space="preserve"> </v>
      </c>
      <c r="S161" s="405" t="str">
        <f>IF($A161="N/A"," ",IF(Pricetype=2,MAX(J161-$H161,0),IF(Pricetype=1,(_xll.xSPRDOPT(J161,$E161,$CI161,0,($CD161+IF(Smile=TRUE,VLOOKUP(MAX(-5,$H161-J161),Volsmile,2),0)),$CG161,$CH161,($A161-DateToday)+15,1,0)),J161-$H161)))</f>
        <v xml:space="preserve"> </v>
      </c>
      <c r="T161" s="406" t="str">
        <f t="shared" si="351"/>
        <v xml:space="preserve"> </v>
      </c>
      <c r="U161" s="405" t="str">
        <f>IF($A161="N/A"," ",IF(Pricetype=2,MAX(L161-$H161,0),IF(L161&lt;&gt;0,IF(Pricetype=1,(_xll.xSPRDOPT(L161,$E161,$CI161,0,($CD161+IF(Smile=TRUE,VLOOKUP(MAX(-5,$H161-L161),Volsmile,2),0)),$CG161,$CH161,($A161-DateToday)+15,1,0)),L161-$H161),0)))</f>
        <v xml:space="preserve"> </v>
      </c>
      <c r="V161" s="405" t="str">
        <f>IF($A161="N/A"," ",IF(Pricetype=2,MAX(M161-$H161,0),IF(M161&lt;&gt;0,IF(Pricetype=1,(_xll.xSPRDOPT(M161,$E161,$CI161,0,($CD161+IF(Smile=TRUE,VLOOKUP(MAX(-5,$H161-M161),Volsmile,2),0)),$CG161,$CH161,($A161-DateToday)+15,1,0)),M161-$H161),0)))</f>
        <v xml:space="preserve"> </v>
      </c>
      <c r="W161" s="406" t="str">
        <f t="shared" si="352"/>
        <v xml:space="preserve"> </v>
      </c>
      <c r="X161" s="405" t="str">
        <f>IF($A161="N/A"," ",IF(Pricetype=2,MAX(O161-$H161,0),IF(O161&lt;&gt;0,IF(Pricetype=1,(_xll.xSPRDOPT(O161,$E161,$CI161,0,($CD161+IF(Smile=TRUE,VLOOKUP(MAX(-5,$H161-O161),Volsmile,2),0)),$CG161,$CH161,($A161-DateToday)+15,1,0)),O161-$H161),0)))</f>
        <v xml:space="preserve"> </v>
      </c>
      <c r="Y161" s="405" t="str">
        <f>IF($A161="N/A"," ",IF(Pricetype=2,MAX(P161-$H161,0),IF(P161&lt;&gt;0,IF(Pricetype=1,(_xll.xSPRDOPT(P161,$E161,$CI161,0,($CD161+IF(Smile=TRUE,VLOOKUP(MAX(-5,$H161-P161),Volsmile,2),0)),$CG161,$CH161,($A161-DateToday)+15,1,0)),P161-$H161),0)))</f>
        <v xml:space="preserve"> </v>
      </c>
      <c r="Z161" s="406" t="str">
        <f t="shared" si="353"/>
        <v xml:space="preserve"> </v>
      </c>
      <c r="AA161" s="254" t="str">
        <f>IF($A161="N/A"," ",IF(VLOOKUP(MONTH(A161),ManualTable,2)=1,(IF(0&lt;&gt;R161,IF(Pricetype=1,(_xll.xSPRDOPT(I161,$E161,$CI161,0,($CD161+IF(Smile=TRUE,VLOOKUP(MAX(-5,$H161-I161),Volsmile,2),0)),$CG161,$CH161,($A161-DateToday)+15,1,1))*(8*$HD161),8*$HD161),0)),0))</f>
        <v xml:space="preserve"> </v>
      </c>
      <c r="AB161" s="254" t="str">
        <f>IF($A161="N/A"," ",IF(VLOOKUP(MONTH(A161),ManualTable,3)=1,(IF(S161&lt;&gt;0,IF(Pricetype=1,(_xll.xSPRDOPT(J161,$E161,$CI161,0,($CD161+IF(Smile=TRUE,VLOOKUP(MAX(-5,$H161-J161),Volsmile,2),0)),$CG161,$CH161,($A161-DateToday)+15,1,1))*(8*$HD161),8*$HD161),0)),0))</f>
        <v xml:space="preserve"> </v>
      </c>
      <c r="AC161" s="254" t="str">
        <f t="shared" si="394"/>
        <v xml:space="preserve"> </v>
      </c>
      <c r="AD161" s="254" t="str">
        <f>IF($A161="N/A"," ",IF(VLOOKUP(MONTH(A161),ManualTable,5)=1,(IF(U161&lt;&gt;0,IF(Pricetype=1,(_xll.xSPRDOPT(L161,$E161,$CI161,0,($CD161+IF(Smile=TRUE,VLOOKUP(MAX(-5,$H161-L161),Volsmile,2),0)),$CG161,$CH161,($A161-DateToday)+15,1,1))*(8*$HE161),8*$HE161),0)),0))</f>
        <v xml:space="preserve"> </v>
      </c>
      <c r="AE161" s="254" t="str">
        <f>IF($A161="N/A"," ",IF(VLOOKUP(MONTH(A161),ManualTable,6)=1,(IF(V161&lt;&gt;0,IF(Pricetype=1,(_xll.xSPRDOPT(M161,$E161,$CI161,0,($CD161+IF(Smile=TRUE,VLOOKUP(MAX(-5,$H161-M161),Volsmile,2),0)),$CG161,$CH161,($A161-DateToday)+15,1,1))*(8*$HE161),8*$HE161),0)),0))</f>
        <v xml:space="preserve"> </v>
      </c>
      <c r="AF161" s="254" t="str">
        <f t="shared" si="395"/>
        <v xml:space="preserve"> </v>
      </c>
      <c r="AG161" s="254" t="str">
        <f>IF($A161="N/A"," ",IF(VLOOKUP(MONTH(A161),ManualTable,8)=1,(IF(X161&lt;&gt;0,IF(Pricetype=1,(_xll.xSPRDOPT(O161,$E161,$CI161,0,($CD161+IF(Smile=TRUE,VLOOKUP(MAX(-5,$H161-O161),Volsmile,2),0)),$CG161,$CH161,($A161-DateToday)+15,1,1))*(8*$HF161),8*$HF161),0)),0))</f>
        <v xml:space="preserve"> </v>
      </c>
      <c r="AH161" s="254" t="str">
        <f>IF($A161="N/A"," ",IF(VLOOKUP(MONTH(A161),ManualTable,9)=1,(IF(Y161&lt;&gt;0,IF(Pricetype=1,(_xll.xSPRDOPT(P161,$E161,$CI161,0,($CD161+IF(Smile=TRUE,VLOOKUP(MAX(-5,$H161-P161),Volsmile,2),0)),$CG161,$CH161,($A161-DateToday)+15,1,1))*(8*$HF161),8*$HF161),0)),0))</f>
        <v xml:space="preserve"> </v>
      </c>
      <c r="AI161" s="254" t="str">
        <f t="shared" si="396"/>
        <v xml:space="preserve"> </v>
      </c>
      <c r="AJ161" s="227" t="str">
        <f t="shared" ref="AJ161:AJ171" si="464">IF($A161="N/A"," ",RANK(R161,$R$160:$Z$171))</f>
        <v xml:space="preserve"> </v>
      </c>
      <c r="AK161" s="228" t="str">
        <f t="shared" ref="AK161:AL171" si="465">IF($A161="N/A"," ",RANK(S161,$R$160:$Z$171))</f>
        <v xml:space="preserve"> </v>
      </c>
      <c r="AL161" s="228" t="str">
        <f t="shared" si="465"/>
        <v xml:space="preserve"> </v>
      </c>
      <c r="AM161" s="228" t="str">
        <f t="shared" ref="AM161:AM171" si="466">IF($A161="N/A"," ",RANK(U161,$R$160:$Z$171))</f>
        <v xml:space="preserve"> </v>
      </c>
      <c r="AN161" s="228" t="str">
        <f t="shared" ref="AN161:AO171" si="467">IF($A161="N/A"," ",RANK(V161,$R$160:$Z$171))</f>
        <v xml:space="preserve"> </v>
      </c>
      <c r="AO161" s="228" t="str">
        <f t="shared" si="467"/>
        <v xml:space="preserve"> </v>
      </c>
      <c r="AP161" s="228" t="str">
        <f t="shared" ref="AP161:AP171" si="468">IF($A161="N/A"," ",RANK(X161,$R$160:$Z$171))</f>
        <v xml:space="preserve"> </v>
      </c>
      <c r="AQ161" s="228" t="str">
        <f t="shared" ref="AQ161:AQ171" si="469">IF($A161="N/A"," ",RANK(Y161,$R$160:$Z$171))</f>
        <v xml:space="preserve"> </v>
      </c>
      <c r="AR161" s="229" t="str">
        <f t="shared" ref="AR161:AR171" si="470">IF($A161="N/A"," ",RANK(Z161,$R$160:$Z$171))</f>
        <v xml:space="preserve"> </v>
      </c>
      <c r="AS161" s="262" t="str">
        <f t="shared" si="433"/>
        <v xml:space="preserve"> </v>
      </c>
      <c r="AT161" s="263" t="str">
        <f t="shared" si="434"/>
        <v xml:space="preserve"> </v>
      </c>
      <c r="AU161" s="263" t="str">
        <f t="shared" si="434"/>
        <v xml:space="preserve"> </v>
      </c>
      <c r="AV161" s="263" t="str">
        <f t="shared" si="435"/>
        <v xml:space="preserve"> </v>
      </c>
      <c r="AW161" s="263" t="str">
        <f t="shared" si="436"/>
        <v xml:space="preserve"> </v>
      </c>
      <c r="AX161" s="263" t="str">
        <f t="shared" si="436"/>
        <v xml:space="preserve"> </v>
      </c>
      <c r="AY161" s="263" t="str">
        <f t="shared" si="437"/>
        <v xml:space="preserve"> </v>
      </c>
      <c r="AZ161" s="263" t="str">
        <f t="shared" si="438"/>
        <v xml:space="preserve"> </v>
      </c>
      <c r="BA161" s="263" t="str">
        <f t="shared" si="439"/>
        <v xml:space="preserve"> </v>
      </c>
      <c r="BB161" s="229"/>
      <c r="BC161" s="266" t="str">
        <f t="shared" si="457"/>
        <v xml:space="preserve"> </v>
      </c>
      <c r="BD161" s="269" t="str">
        <f t="shared" si="458"/>
        <v xml:space="preserve"> </v>
      </c>
      <c r="BE161" s="269" t="str">
        <f t="shared" si="458"/>
        <v xml:space="preserve"> </v>
      </c>
      <c r="BF161" s="269" t="str">
        <f t="shared" si="459"/>
        <v xml:space="preserve"> </v>
      </c>
      <c r="BG161" s="269" t="str">
        <f t="shared" si="460"/>
        <v xml:space="preserve"> </v>
      </c>
      <c r="BH161" s="269" t="str">
        <f t="shared" si="460"/>
        <v xml:space="preserve"> </v>
      </c>
      <c r="BI161" s="269" t="str">
        <f t="shared" si="461"/>
        <v xml:space="preserve"> </v>
      </c>
      <c r="BJ161" s="269" t="str">
        <f t="shared" si="462"/>
        <v xml:space="preserve"> </v>
      </c>
      <c r="BK161" s="269" t="str">
        <f t="shared" si="463"/>
        <v xml:space="preserve"> </v>
      </c>
      <c r="BL161" s="229"/>
      <c r="BM161" s="220" t="str">
        <f>IF($A161="N/A"," ",(IF(MONTH(A161)&gt;=4,IF(MONTH(A161)&lt;=10,Inputs!$F$13-Inputs!$G$13,Inputs!$F$14-Inputs!$G$14),Inputs!$F$14-Inputs!$G$14))*$CK161*Availability)</f>
        <v xml:space="preserve"> </v>
      </c>
      <c r="BN161" s="221" t="str">
        <f t="shared" si="397"/>
        <v xml:space="preserve"> </v>
      </c>
      <c r="BO161" s="221" t="str">
        <f t="shared" si="398"/>
        <v xml:space="preserve"> </v>
      </c>
      <c r="BP161" s="221" t="str">
        <f t="shared" si="399"/>
        <v xml:space="preserve"> </v>
      </c>
      <c r="BQ161" s="221" t="str">
        <f t="shared" si="400"/>
        <v xml:space="preserve"> </v>
      </c>
      <c r="BR161" s="221" t="str">
        <f t="shared" si="401"/>
        <v xml:space="preserve"> </v>
      </c>
      <c r="BS161" s="221" t="str">
        <f t="shared" si="402"/>
        <v xml:space="preserve"> </v>
      </c>
      <c r="BT161" s="221" t="str">
        <f t="shared" si="403"/>
        <v xml:space="preserve"> </v>
      </c>
      <c r="BU161" s="221" t="str">
        <f t="shared" si="404"/>
        <v xml:space="preserve"> </v>
      </c>
      <c r="BV161" s="221" t="str">
        <f t="shared" si="405"/>
        <v xml:space="preserve"> </v>
      </c>
      <c r="BW161" s="221" t="str">
        <f t="shared" si="406"/>
        <v xml:space="preserve"> </v>
      </c>
      <c r="BX161" s="421" t="str">
        <f t="shared" si="407"/>
        <v xml:space="preserve"> </v>
      </c>
      <c r="BY161" s="417" t="str">
        <f t="shared" si="408"/>
        <v xml:space="preserve"> </v>
      </c>
      <c r="BZ161" s="417" t="str">
        <f t="shared" si="409"/>
        <v xml:space="preserve"> </v>
      </c>
      <c r="CA161" s="422" t="str">
        <f t="shared" si="410"/>
        <v xml:space="preserve"> </v>
      </c>
      <c r="CB161" s="347" t="str">
        <f t="shared" si="354"/>
        <v xml:space="preserve"> </v>
      </c>
      <c r="CC161" s="347" t="str">
        <f t="shared" si="411"/>
        <v xml:space="preserve"> </v>
      </c>
      <c r="CD161" s="348" t="str">
        <f t="shared" si="355"/>
        <v xml:space="preserve"> </v>
      </c>
      <c r="CE161" s="347" t="str">
        <f t="shared" si="356"/>
        <v xml:space="preserve"> </v>
      </c>
      <c r="CF161" s="347" t="str">
        <f t="shared" si="357"/>
        <v xml:space="preserve"> </v>
      </c>
      <c r="CG161" s="348" t="str">
        <f t="shared" si="358"/>
        <v xml:space="preserve"> </v>
      </c>
      <c r="CH161" s="347" t="str">
        <f t="shared" si="412"/>
        <v xml:space="preserve"> </v>
      </c>
      <c r="CI161" s="349" t="str">
        <f>IF($A161="N/A"," ",F161+G161+(D161*('Pricing Inputs'!T194)))</f>
        <v xml:space="preserve"> </v>
      </c>
      <c r="CJ161" s="347" t="str">
        <f>IF($A161="N/A"," ",IF(PV=1,0,'Pricing Inputs'!U194))</f>
        <v xml:space="preserve"> </v>
      </c>
      <c r="CK161" s="350" t="str">
        <f t="shared" si="359"/>
        <v xml:space="preserve"> </v>
      </c>
      <c r="CL161" s="365" t="str">
        <f t="shared" si="360"/>
        <v xml:space="preserve"> </v>
      </c>
      <c r="CM161" s="380" t="str">
        <f t="shared" si="413"/>
        <v xml:space="preserve"> </v>
      </c>
      <c r="CN161" s="378" t="str">
        <f t="shared" si="361"/>
        <v xml:space="preserve"> </v>
      </c>
      <c r="CO161" s="378" t="str">
        <f t="shared" si="362"/>
        <v xml:space="preserve"> </v>
      </c>
      <c r="CP161" s="378" t="str">
        <f t="shared" si="363"/>
        <v xml:space="preserve"> </v>
      </c>
      <c r="CQ161" s="378" t="str">
        <f t="shared" si="364"/>
        <v xml:space="preserve"> </v>
      </c>
      <c r="CR161" s="378" t="str">
        <f t="shared" si="365"/>
        <v xml:space="preserve"> </v>
      </c>
      <c r="CS161" s="378" t="str">
        <f t="shared" si="366"/>
        <v xml:space="preserve"> </v>
      </c>
      <c r="CT161" s="378" t="str">
        <f t="shared" si="367"/>
        <v xml:space="preserve"> </v>
      </c>
      <c r="CU161" s="378" t="str">
        <f t="shared" si="368"/>
        <v xml:space="preserve"> </v>
      </c>
      <c r="CV161" s="378" t="str">
        <f t="shared" si="369"/>
        <v xml:space="preserve"> </v>
      </c>
      <c r="CW161" s="254" t="str">
        <f t="shared" si="370"/>
        <v xml:space="preserve"> </v>
      </c>
      <c r="CX161" s="254" t="str">
        <f t="shared" si="371"/>
        <v xml:space="preserve"> </v>
      </c>
      <c r="CY161" s="254" t="str">
        <f t="shared" si="372"/>
        <v xml:space="preserve"> </v>
      </c>
      <c r="CZ161" s="254" t="str">
        <f t="shared" si="373"/>
        <v xml:space="preserve"> </v>
      </c>
      <c r="DA161" s="254" t="str">
        <f t="shared" si="374"/>
        <v xml:space="preserve"> </v>
      </c>
      <c r="DB161" s="254" t="str">
        <f t="shared" si="375"/>
        <v xml:space="preserve"> </v>
      </c>
      <c r="DC161" s="254" t="str">
        <f t="shared" si="376"/>
        <v xml:space="preserve"> </v>
      </c>
      <c r="DD161" s="254" t="str">
        <f t="shared" si="377"/>
        <v xml:space="preserve"> </v>
      </c>
      <c r="DE161" s="254" t="str">
        <f t="shared" si="378"/>
        <v xml:space="preserve"> </v>
      </c>
      <c r="DF161" s="374" t="str">
        <f>IF($A161="N/A"," ",IF(CC=2,(IF(MONTH(A161)&gt;=4,IF(MONTH(A161)&lt;=10,Inputs!$G$13,Inputs!$G$14),Inputs!$G$14))*$CK161,0))</f>
        <v xml:space="preserve"> </v>
      </c>
      <c r="DG161" s="373" t="str">
        <f t="shared" si="379"/>
        <v xml:space="preserve"> </v>
      </c>
      <c r="DH161" s="373" t="str">
        <f t="shared" si="380"/>
        <v xml:space="preserve"> </v>
      </c>
      <c r="DI161" s="373" t="str">
        <f t="shared" si="381"/>
        <v xml:space="preserve"> </v>
      </c>
      <c r="DJ161" s="373" t="str">
        <f t="shared" si="382"/>
        <v xml:space="preserve"> </v>
      </c>
      <c r="DK161" s="373" t="str">
        <f t="shared" si="383"/>
        <v xml:space="preserve"> </v>
      </c>
      <c r="DL161" s="373" t="str">
        <f t="shared" si="384"/>
        <v xml:space="preserve"> </v>
      </c>
      <c r="DM161" s="373" t="str">
        <f t="shared" si="385"/>
        <v xml:space="preserve"> </v>
      </c>
      <c r="DN161" s="373" t="str">
        <f t="shared" si="386"/>
        <v xml:space="preserve"> </v>
      </c>
      <c r="DO161" s="373" t="str">
        <f t="shared" si="387"/>
        <v xml:space="preserve"> </v>
      </c>
      <c r="DP161" s="375" t="str">
        <f t="shared" si="388"/>
        <v xml:space="preserve"> </v>
      </c>
      <c r="DQ161" t="str">
        <f t="shared" si="414"/>
        <v xml:space="preserve"> </v>
      </c>
      <c r="HD161" t="str">
        <f t="shared" si="415"/>
        <v xml:space="preserve"> </v>
      </c>
      <c r="HE161" t="str">
        <f t="shared" si="416"/>
        <v xml:space="preserve"> </v>
      </c>
      <c r="HF161" t="str">
        <f t="shared" si="417"/>
        <v xml:space="preserve"> </v>
      </c>
    </row>
    <row r="162" spans="1:214">
      <c r="A162" s="415" t="str">
        <f>IF(A161="N/A","N/A",IF(EDATE(A161,1)&gt;Inputs!$K$3,"N/A",EDATE(A161,1)))</f>
        <v>N/A</v>
      </c>
      <c r="B162" s="410" t="str">
        <f t="shared" si="389"/>
        <v xml:space="preserve"> </v>
      </c>
      <c r="C162" s="411" t="str">
        <f t="shared" si="390"/>
        <v xml:space="preserve"> </v>
      </c>
      <c r="D162" s="412" t="str">
        <f t="shared" si="391"/>
        <v xml:space="preserve"> </v>
      </c>
      <c r="E162" s="413" t="str">
        <f>IF($A162="N/A"," ",(C162-'Pricing Inputs'!T195)*D162)</f>
        <v xml:space="preserve"> </v>
      </c>
      <c r="F162" s="414" t="str">
        <f t="shared" si="440"/>
        <v xml:space="preserve"> </v>
      </c>
      <c r="G162" s="414" t="str">
        <f t="shared" si="392"/>
        <v xml:space="preserve"> </v>
      </c>
      <c r="H162" s="416" t="str">
        <f t="shared" si="393"/>
        <v xml:space="preserve"> </v>
      </c>
      <c r="I162" s="213" t="str">
        <f t="shared" si="342"/>
        <v xml:space="preserve"> </v>
      </c>
      <c r="J162" s="213" t="str">
        <f t="shared" si="343"/>
        <v xml:space="preserve"> </v>
      </c>
      <c r="K162" s="213" t="str">
        <f t="shared" si="344"/>
        <v xml:space="preserve"> </v>
      </c>
      <c r="L162" s="213" t="str">
        <f t="shared" si="345"/>
        <v xml:space="preserve"> </v>
      </c>
      <c r="M162" s="213" t="str">
        <f t="shared" si="346"/>
        <v xml:space="preserve"> </v>
      </c>
      <c r="N162" s="213" t="str">
        <f t="shared" si="347"/>
        <v xml:space="preserve"> </v>
      </c>
      <c r="O162" s="213" t="str">
        <f t="shared" si="348"/>
        <v xml:space="preserve"> </v>
      </c>
      <c r="P162" s="213" t="str">
        <f t="shared" si="349"/>
        <v xml:space="preserve"> </v>
      </c>
      <c r="Q162" s="213" t="str">
        <f t="shared" si="350"/>
        <v xml:space="preserve"> </v>
      </c>
      <c r="R162" s="405" t="str">
        <f>IF($A162="N/A"," ",IF(Pricetype=2,MAX(I162-$H162,0),IF(Pricetype=1,(_xll.xSPRDOPT(I162,$E162,$CI162,0,($CD162+IF(Smile=TRUE,VLOOKUP(MAX(-5,$H162-I162),Volsmile,2),0)),$CG162,$CH162,($A162-DateToday)+15,1,0)),I162-$H162)))</f>
        <v xml:space="preserve"> </v>
      </c>
      <c r="S162" s="405" t="str">
        <f>IF($A162="N/A"," ",IF(Pricetype=2,MAX(J162-$H162,0),IF(Pricetype=1,(_xll.xSPRDOPT(J162,$E162,$CI162,0,($CD162+IF(Smile=TRUE,VLOOKUP(MAX(-5,$H162-J162),Volsmile,2),0)),$CG162,$CH162,($A162-DateToday)+15,1,0)),J162-$H162)))</f>
        <v xml:space="preserve"> </v>
      </c>
      <c r="T162" s="406" t="str">
        <f t="shared" si="351"/>
        <v xml:space="preserve"> </v>
      </c>
      <c r="U162" s="405" t="str">
        <f>IF($A162="N/A"," ",IF(Pricetype=2,MAX(L162-$H162,0),IF(L162&lt;&gt;0,IF(Pricetype=1,(_xll.xSPRDOPT(L162,$E162,$CI162,0,($CD162+IF(Smile=TRUE,VLOOKUP(MAX(-5,$H162-L162),Volsmile,2),0)),$CG162,$CH162,($A162-DateToday)+15,1,0)),L162-$H162),0)))</f>
        <v xml:space="preserve"> </v>
      </c>
      <c r="V162" s="405" t="str">
        <f>IF($A162="N/A"," ",IF(Pricetype=2,MAX(M162-$H162,0),IF(M162&lt;&gt;0,IF(Pricetype=1,(_xll.xSPRDOPT(M162,$E162,$CI162,0,($CD162+IF(Smile=TRUE,VLOOKUP(MAX(-5,$H162-M162),Volsmile,2),0)),$CG162,$CH162,($A162-DateToday)+15,1,0)),M162-$H162),0)))</f>
        <v xml:space="preserve"> </v>
      </c>
      <c r="W162" s="406" t="str">
        <f t="shared" si="352"/>
        <v xml:space="preserve"> </v>
      </c>
      <c r="X162" s="405" t="str">
        <f>IF($A162="N/A"," ",IF(Pricetype=2,MAX(O162-$H162,0),IF(O162&lt;&gt;0,IF(Pricetype=1,(_xll.xSPRDOPT(O162,$E162,$CI162,0,($CD162+IF(Smile=TRUE,VLOOKUP(MAX(-5,$H162-O162),Volsmile,2),0)),$CG162,$CH162,($A162-DateToday)+15,1,0)),O162-$H162),0)))</f>
        <v xml:space="preserve"> </v>
      </c>
      <c r="Y162" s="405" t="str">
        <f>IF($A162="N/A"," ",IF(Pricetype=2,MAX(P162-$H162,0),IF(P162&lt;&gt;0,IF(Pricetype=1,(_xll.xSPRDOPT(P162,$E162,$CI162,0,($CD162+IF(Smile=TRUE,VLOOKUP(MAX(-5,$H162-P162),Volsmile,2),0)),$CG162,$CH162,($A162-DateToday)+15,1,0)),P162-$H162),0)))</f>
        <v xml:space="preserve"> </v>
      </c>
      <c r="Z162" s="406" t="str">
        <f t="shared" si="353"/>
        <v xml:space="preserve"> </v>
      </c>
      <c r="AA162" s="254" t="str">
        <f>IF($A162="N/A"," ",IF(VLOOKUP(MONTH(A162),ManualTable,2)=1,(IF(0&lt;&gt;R162,IF(Pricetype=1,(_xll.xSPRDOPT(I162,$E162,$CI162,0,($CD162+IF(Smile=TRUE,VLOOKUP(MAX(-5,$H162-I162),Volsmile,2),0)),$CG162,$CH162,($A162-DateToday)+15,1,1))*(8*$HD162),8*$HD162),0)),0))</f>
        <v xml:space="preserve"> </v>
      </c>
      <c r="AB162" s="254" t="str">
        <f>IF($A162="N/A"," ",IF(VLOOKUP(MONTH(A162),ManualTable,3)=1,(IF(S162&lt;&gt;0,IF(Pricetype=1,(_xll.xSPRDOPT(J162,$E162,$CI162,0,($CD162+IF(Smile=TRUE,VLOOKUP(MAX(-5,$H162-J162),Volsmile,2),0)),$CG162,$CH162,($A162-DateToday)+15,1,1))*(8*$HD162),8*$HD162),0)),0))</f>
        <v xml:space="preserve"> </v>
      </c>
      <c r="AC162" s="254" t="str">
        <f t="shared" si="394"/>
        <v xml:space="preserve"> </v>
      </c>
      <c r="AD162" s="254" t="str">
        <f>IF($A162="N/A"," ",IF(VLOOKUP(MONTH(A162),ManualTable,5)=1,(IF(U162&lt;&gt;0,IF(Pricetype=1,(_xll.xSPRDOPT(L162,$E162,$CI162,0,($CD162+IF(Smile=TRUE,VLOOKUP(MAX(-5,$H162-L162),Volsmile,2),0)),$CG162,$CH162,($A162-DateToday)+15,1,1))*(8*$HE162),8*$HE162),0)),0))</f>
        <v xml:space="preserve"> </v>
      </c>
      <c r="AE162" s="254" t="str">
        <f>IF($A162="N/A"," ",IF(VLOOKUP(MONTH(A162),ManualTable,6)=1,(IF(V162&lt;&gt;0,IF(Pricetype=1,(_xll.xSPRDOPT(M162,$E162,$CI162,0,($CD162+IF(Smile=TRUE,VLOOKUP(MAX(-5,$H162-M162),Volsmile,2),0)),$CG162,$CH162,($A162-DateToday)+15,1,1))*(8*$HE162),8*$HE162),0)),0))</f>
        <v xml:space="preserve"> </v>
      </c>
      <c r="AF162" s="254" t="str">
        <f t="shared" si="395"/>
        <v xml:space="preserve"> </v>
      </c>
      <c r="AG162" s="254" t="str">
        <f>IF($A162="N/A"," ",IF(VLOOKUP(MONTH(A162),ManualTable,8)=1,(IF(X162&lt;&gt;0,IF(Pricetype=1,(_xll.xSPRDOPT(O162,$E162,$CI162,0,($CD162+IF(Smile=TRUE,VLOOKUP(MAX(-5,$H162-O162),Volsmile,2),0)),$CG162,$CH162,($A162-DateToday)+15,1,1))*(8*$HF162),8*$HF162),0)),0))</f>
        <v xml:space="preserve"> </v>
      </c>
      <c r="AH162" s="254" t="str">
        <f>IF($A162="N/A"," ",IF(VLOOKUP(MONTH(A162),ManualTable,9)=1,(IF(Y162&lt;&gt;0,IF(Pricetype=1,(_xll.xSPRDOPT(P162,$E162,$CI162,0,($CD162+IF(Smile=TRUE,VLOOKUP(MAX(-5,$H162-P162),Volsmile,2),0)),$CG162,$CH162,($A162-DateToday)+15,1,1))*(8*$HF162),8*$HF162),0)),0))</f>
        <v xml:space="preserve"> </v>
      </c>
      <c r="AI162" s="254" t="str">
        <f t="shared" si="396"/>
        <v xml:space="preserve"> </v>
      </c>
      <c r="AJ162" s="227" t="str">
        <f t="shared" si="464"/>
        <v xml:space="preserve"> </v>
      </c>
      <c r="AK162" s="228" t="str">
        <f t="shared" si="465"/>
        <v xml:space="preserve"> </v>
      </c>
      <c r="AL162" s="228" t="str">
        <f t="shared" si="465"/>
        <v xml:space="preserve"> </v>
      </c>
      <c r="AM162" s="228" t="str">
        <f t="shared" si="466"/>
        <v xml:space="preserve"> </v>
      </c>
      <c r="AN162" s="228" t="str">
        <f t="shared" si="467"/>
        <v xml:space="preserve"> </v>
      </c>
      <c r="AO162" s="228" t="str">
        <f t="shared" si="467"/>
        <v xml:space="preserve"> </v>
      </c>
      <c r="AP162" s="228" t="str">
        <f t="shared" si="468"/>
        <v xml:space="preserve"> </v>
      </c>
      <c r="AQ162" s="228" t="str">
        <f t="shared" si="469"/>
        <v xml:space="preserve"> </v>
      </c>
      <c r="AR162" s="229" t="str">
        <f t="shared" si="470"/>
        <v xml:space="preserve"> </v>
      </c>
      <c r="AS162" s="262" t="str">
        <f t="shared" si="433"/>
        <v xml:space="preserve"> </v>
      </c>
      <c r="AT162" s="263" t="str">
        <f t="shared" si="434"/>
        <v xml:space="preserve"> </v>
      </c>
      <c r="AU162" s="263" t="str">
        <f t="shared" si="434"/>
        <v xml:space="preserve"> </v>
      </c>
      <c r="AV162" s="263" t="str">
        <f t="shared" si="435"/>
        <v xml:space="preserve"> </v>
      </c>
      <c r="AW162" s="263" t="str">
        <f t="shared" si="436"/>
        <v xml:space="preserve"> </v>
      </c>
      <c r="AX162" s="263" t="str">
        <f t="shared" si="436"/>
        <v xml:space="preserve"> </v>
      </c>
      <c r="AY162" s="263" t="str">
        <f t="shared" si="437"/>
        <v xml:space="preserve"> </v>
      </c>
      <c r="AZ162" s="263" t="str">
        <f t="shared" si="438"/>
        <v xml:space="preserve"> </v>
      </c>
      <c r="BA162" s="263" t="str">
        <f t="shared" si="439"/>
        <v xml:space="preserve"> </v>
      </c>
      <c r="BB162" s="229"/>
      <c r="BC162" s="266" t="str">
        <f t="shared" si="457"/>
        <v xml:space="preserve"> </v>
      </c>
      <c r="BD162" s="269" t="str">
        <f t="shared" si="458"/>
        <v xml:space="preserve"> </v>
      </c>
      <c r="BE162" s="269" t="str">
        <f t="shared" si="458"/>
        <v xml:space="preserve"> </v>
      </c>
      <c r="BF162" s="269" t="str">
        <f t="shared" si="459"/>
        <v xml:space="preserve"> </v>
      </c>
      <c r="BG162" s="269" t="str">
        <f t="shared" si="460"/>
        <v xml:space="preserve"> </v>
      </c>
      <c r="BH162" s="269" t="str">
        <f t="shared" si="460"/>
        <v xml:space="preserve"> </v>
      </c>
      <c r="BI162" s="269" t="str">
        <f t="shared" si="461"/>
        <v xml:space="preserve"> </v>
      </c>
      <c r="BJ162" s="269" t="str">
        <f t="shared" si="462"/>
        <v xml:space="preserve"> </v>
      </c>
      <c r="BK162" s="269" t="str">
        <f t="shared" si="463"/>
        <v xml:space="preserve"> </v>
      </c>
      <c r="BL162" s="229"/>
      <c r="BM162" s="220" t="str">
        <f>IF($A162="N/A"," ",(IF(MONTH(A162)&gt;=4,IF(MONTH(A162)&lt;=10,Inputs!$F$13-Inputs!$G$13,Inputs!$F$14-Inputs!$G$14),Inputs!$F$14-Inputs!$G$14))*$CK162*Availability)</f>
        <v xml:space="preserve"> </v>
      </c>
      <c r="BN162" s="221" t="str">
        <f t="shared" si="397"/>
        <v xml:space="preserve"> </v>
      </c>
      <c r="BO162" s="221" t="str">
        <f t="shared" si="398"/>
        <v xml:space="preserve"> </v>
      </c>
      <c r="BP162" s="221" t="str">
        <f t="shared" si="399"/>
        <v xml:space="preserve"> </v>
      </c>
      <c r="BQ162" s="221" t="str">
        <f t="shared" si="400"/>
        <v xml:space="preserve"> </v>
      </c>
      <c r="BR162" s="221" t="str">
        <f t="shared" si="401"/>
        <v xml:space="preserve"> </v>
      </c>
      <c r="BS162" s="221" t="str">
        <f t="shared" si="402"/>
        <v xml:space="preserve"> </v>
      </c>
      <c r="BT162" s="221" t="str">
        <f t="shared" si="403"/>
        <v xml:space="preserve"> </v>
      </c>
      <c r="BU162" s="221" t="str">
        <f t="shared" si="404"/>
        <v xml:space="preserve"> </v>
      </c>
      <c r="BV162" s="221" t="str">
        <f t="shared" si="405"/>
        <v xml:space="preserve"> </v>
      </c>
      <c r="BW162" s="221" t="str">
        <f t="shared" si="406"/>
        <v xml:space="preserve"> </v>
      </c>
      <c r="BX162" s="421" t="str">
        <f t="shared" si="407"/>
        <v xml:space="preserve"> </v>
      </c>
      <c r="BY162" s="417" t="str">
        <f t="shared" si="408"/>
        <v xml:space="preserve"> </v>
      </c>
      <c r="BZ162" s="417" t="str">
        <f t="shared" si="409"/>
        <v xml:space="preserve"> </v>
      </c>
      <c r="CA162" s="422" t="str">
        <f t="shared" si="410"/>
        <v xml:space="preserve"> </v>
      </c>
      <c r="CB162" s="347" t="str">
        <f t="shared" si="354"/>
        <v xml:space="preserve"> </v>
      </c>
      <c r="CC162" s="347" t="str">
        <f t="shared" si="411"/>
        <v xml:space="preserve"> </v>
      </c>
      <c r="CD162" s="348" t="str">
        <f t="shared" si="355"/>
        <v xml:space="preserve"> </v>
      </c>
      <c r="CE162" s="347" t="str">
        <f t="shared" si="356"/>
        <v xml:space="preserve"> </v>
      </c>
      <c r="CF162" s="347" t="str">
        <f t="shared" si="357"/>
        <v xml:space="preserve"> </v>
      </c>
      <c r="CG162" s="348" t="str">
        <f t="shared" si="358"/>
        <v xml:space="preserve"> </v>
      </c>
      <c r="CH162" s="347" t="str">
        <f t="shared" si="412"/>
        <v xml:space="preserve"> </v>
      </c>
      <c r="CI162" s="349" t="str">
        <f>IF($A162="N/A"," ",F162+G162+(D162*('Pricing Inputs'!T195)))</f>
        <v xml:space="preserve"> </v>
      </c>
      <c r="CJ162" s="347" t="str">
        <f>IF($A162="N/A"," ",IF(PV=1,0,'Pricing Inputs'!U195))</f>
        <v xml:space="preserve"> </v>
      </c>
      <c r="CK162" s="350" t="str">
        <f t="shared" si="359"/>
        <v xml:space="preserve"> </v>
      </c>
      <c r="CL162" s="365" t="str">
        <f t="shared" si="360"/>
        <v xml:space="preserve"> </v>
      </c>
      <c r="CM162" s="380" t="str">
        <f t="shared" si="413"/>
        <v xml:space="preserve"> </v>
      </c>
      <c r="CN162" s="378" t="str">
        <f t="shared" si="361"/>
        <v xml:space="preserve"> </v>
      </c>
      <c r="CO162" s="378" t="str">
        <f t="shared" si="362"/>
        <v xml:space="preserve"> </v>
      </c>
      <c r="CP162" s="378" t="str">
        <f t="shared" si="363"/>
        <v xml:space="preserve"> </v>
      </c>
      <c r="CQ162" s="378" t="str">
        <f t="shared" si="364"/>
        <v xml:space="preserve"> </v>
      </c>
      <c r="CR162" s="378" t="str">
        <f t="shared" si="365"/>
        <v xml:space="preserve"> </v>
      </c>
      <c r="CS162" s="378" t="str">
        <f t="shared" si="366"/>
        <v xml:space="preserve"> </v>
      </c>
      <c r="CT162" s="378" t="str">
        <f t="shared" si="367"/>
        <v xml:space="preserve"> </v>
      </c>
      <c r="CU162" s="378" t="str">
        <f t="shared" si="368"/>
        <v xml:space="preserve"> </v>
      </c>
      <c r="CV162" s="378" t="str">
        <f t="shared" si="369"/>
        <v xml:space="preserve"> </v>
      </c>
      <c r="CW162" s="254" t="str">
        <f t="shared" si="370"/>
        <v xml:space="preserve"> </v>
      </c>
      <c r="CX162" s="254" t="str">
        <f t="shared" si="371"/>
        <v xml:space="preserve"> </v>
      </c>
      <c r="CY162" s="254" t="str">
        <f t="shared" si="372"/>
        <v xml:space="preserve"> </v>
      </c>
      <c r="CZ162" s="254" t="str">
        <f t="shared" si="373"/>
        <v xml:space="preserve"> </v>
      </c>
      <c r="DA162" s="254" t="str">
        <f t="shared" si="374"/>
        <v xml:space="preserve"> </v>
      </c>
      <c r="DB162" s="254" t="str">
        <f t="shared" si="375"/>
        <v xml:space="preserve"> </v>
      </c>
      <c r="DC162" s="254" t="str">
        <f t="shared" si="376"/>
        <v xml:space="preserve"> </v>
      </c>
      <c r="DD162" s="254" t="str">
        <f t="shared" si="377"/>
        <v xml:space="preserve"> </v>
      </c>
      <c r="DE162" s="254" t="str">
        <f t="shared" si="378"/>
        <v xml:space="preserve"> </v>
      </c>
      <c r="DF162" s="374" t="str">
        <f>IF($A162="N/A"," ",IF(CC=2,(IF(MONTH(A162)&gt;=4,IF(MONTH(A162)&lt;=10,Inputs!$G$13,Inputs!$G$14),Inputs!$G$14))*$CK162,0))</f>
        <v xml:space="preserve"> </v>
      </c>
      <c r="DG162" s="373" t="str">
        <f t="shared" si="379"/>
        <v xml:space="preserve"> </v>
      </c>
      <c r="DH162" s="373" t="str">
        <f t="shared" si="380"/>
        <v xml:space="preserve"> </v>
      </c>
      <c r="DI162" s="373" t="str">
        <f t="shared" si="381"/>
        <v xml:space="preserve"> </v>
      </c>
      <c r="DJ162" s="373" t="str">
        <f t="shared" si="382"/>
        <v xml:space="preserve"> </v>
      </c>
      <c r="DK162" s="373" t="str">
        <f t="shared" si="383"/>
        <v xml:space="preserve"> </v>
      </c>
      <c r="DL162" s="373" t="str">
        <f t="shared" si="384"/>
        <v xml:space="preserve"> </v>
      </c>
      <c r="DM162" s="373" t="str">
        <f t="shared" si="385"/>
        <v xml:space="preserve"> </v>
      </c>
      <c r="DN162" s="373" t="str">
        <f t="shared" si="386"/>
        <v xml:space="preserve"> </v>
      </c>
      <c r="DO162" s="373" t="str">
        <f t="shared" si="387"/>
        <v xml:space="preserve"> </v>
      </c>
      <c r="DP162" s="375" t="str">
        <f t="shared" si="388"/>
        <v xml:space="preserve"> </v>
      </c>
      <c r="DQ162" t="str">
        <f t="shared" si="414"/>
        <v xml:space="preserve"> </v>
      </c>
      <c r="HD162" t="str">
        <f t="shared" si="415"/>
        <v xml:space="preserve"> </v>
      </c>
      <c r="HE162" t="str">
        <f t="shared" si="416"/>
        <v xml:space="preserve"> </v>
      </c>
      <c r="HF162" t="str">
        <f t="shared" si="417"/>
        <v xml:space="preserve"> </v>
      </c>
    </row>
    <row r="163" spans="1:214">
      <c r="A163" s="415" t="str">
        <f>IF(A162="N/A","N/A",IF(EDATE(A162,1)&gt;Inputs!$K$3,"N/A",EDATE(A162,1)))</f>
        <v>N/A</v>
      </c>
      <c r="B163" s="410" t="str">
        <f t="shared" si="389"/>
        <v xml:space="preserve"> </v>
      </c>
      <c r="C163" s="411" t="str">
        <f t="shared" si="390"/>
        <v xml:space="preserve"> </v>
      </c>
      <c r="D163" s="412" t="str">
        <f t="shared" si="391"/>
        <v xml:space="preserve"> </v>
      </c>
      <c r="E163" s="413" t="str">
        <f>IF($A163="N/A"," ",(C163-'Pricing Inputs'!T196)*D163)</f>
        <v xml:space="preserve"> </v>
      </c>
      <c r="F163" s="414" t="str">
        <f t="shared" si="440"/>
        <v xml:space="preserve"> </v>
      </c>
      <c r="G163" s="414" t="str">
        <f t="shared" si="392"/>
        <v xml:space="preserve"> </v>
      </c>
      <c r="H163" s="416" t="str">
        <f t="shared" si="393"/>
        <v xml:space="preserve"> </v>
      </c>
      <c r="I163" s="213" t="str">
        <f t="shared" si="342"/>
        <v xml:space="preserve"> </v>
      </c>
      <c r="J163" s="213" t="str">
        <f t="shared" si="343"/>
        <v xml:space="preserve"> </v>
      </c>
      <c r="K163" s="213" t="str">
        <f t="shared" si="344"/>
        <v xml:space="preserve"> </v>
      </c>
      <c r="L163" s="213" t="str">
        <f t="shared" si="345"/>
        <v xml:space="preserve"> </v>
      </c>
      <c r="M163" s="213" t="str">
        <f t="shared" si="346"/>
        <v xml:space="preserve"> </v>
      </c>
      <c r="N163" s="213" t="str">
        <f t="shared" si="347"/>
        <v xml:space="preserve"> </v>
      </c>
      <c r="O163" s="213" t="str">
        <f t="shared" si="348"/>
        <v xml:space="preserve"> </v>
      </c>
      <c r="P163" s="213" t="str">
        <f t="shared" si="349"/>
        <v xml:space="preserve"> </v>
      </c>
      <c r="Q163" s="213" t="str">
        <f t="shared" si="350"/>
        <v xml:space="preserve"> </v>
      </c>
      <c r="R163" s="405" t="str">
        <f>IF($A163="N/A"," ",IF(Pricetype=2,MAX(I163-$H163,0),IF(Pricetype=1,(_xll.xSPRDOPT(I163,$E163,$CI163,0,($CD163+IF(Smile=TRUE,VLOOKUP(MAX(-5,$H163-I163),Volsmile,2),0)),$CG163,$CH163,($A163-DateToday)+15,1,0)),I163-$H163)))</f>
        <v xml:space="preserve"> </v>
      </c>
      <c r="S163" s="405" t="str">
        <f>IF($A163="N/A"," ",IF(Pricetype=2,MAX(J163-$H163,0),IF(Pricetype=1,(_xll.xSPRDOPT(J163,$E163,$CI163,0,($CD163+IF(Smile=TRUE,VLOOKUP(MAX(-5,$H163-J163),Volsmile,2),0)),$CG163,$CH163,($A163-DateToday)+15,1,0)),J163-$H163)))</f>
        <v xml:space="preserve"> </v>
      </c>
      <c r="T163" s="406" t="str">
        <f t="shared" si="351"/>
        <v xml:space="preserve"> </v>
      </c>
      <c r="U163" s="405" t="str">
        <f>IF($A163="N/A"," ",IF(Pricetype=2,MAX(L163-$H163,0),IF(L163&lt;&gt;0,IF(Pricetype=1,(_xll.xSPRDOPT(L163,$E163,$CI163,0,($CD163+IF(Smile=TRUE,VLOOKUP(MAX(-5,$H163-L163),Volsmile,2),0)),$CG163,$CH163,($A163-DateToday)+15,1,0)),L163-$H163),0)))</f>
        <v xml:space="preserve"> </v>
      </c>
      <c r="V163" s="405" t="str">
        <f>IF($A163="N/A"," ",IF(Pricetype=2,MAX(M163-$H163,0),IF(M163&lt;&gt;0,IF(Pricetype=1,(_xll.xSPRDOPT(M163,$E163,$CI163,0,($CD163+IF(Smile=TRUE,VLOOKUP(MAX(-5,$H163-M163),Volsmile,2),0)),$CG163,$CH163,($A163-DateToday)+15,1,0)),M163-$H163),0)))</f>
        <v xml:space="preserve"> </v>
      </c>
      <c r="W163" s="406" t="str">
        <f t="shared" si="352"/>
        <v xml:space="preserve"> </v>
      </c>
      <c r="X163" s="405" t="str">
        <f>IF($A163="N/A"," ",IF(Pricetype=2,MAX(O163-$H163,0),IF(O163&lt;&gt;0,IF(Pricetype=1,(_xll.xSPRDOPT(O163,$E163,$CI163,0,($CD163+IF(Smile=TRUE,VLOOKUP(MAX(-5,$H163-O163),Volsmile,2),0)),$CG163,$CH163,($A163-DateToday)+15,1,0)),O163-$H163),0)))</f>
        <v xml:space="preserve"> </v>
      </c>
      <c r="Y163" s="405" t="str">
        <f>IF($A163="N/A"," ",IF(Pricetype=2,MAX(P163-$H163,0),IF(P163&lt;&gt;0,IF(Pricetype=1,(_xll.xSPRDOPT(P163,$E163,$CI163,0,($CD163+IF(Smile=TRUE,VLOOKUP(MAX(-5,$H163-P163),Volsmile,2),0)),$CG163,$CH163,($A163-DateToday)+15,1,0)),P163-$H163),0)))</f>
        <v xml:space="preserve"> </v>
      </c>
      <c r="Z163" s="406" t="str">
        <f t="shared" si="353"/>
        <v xml:space="preserve"> </v>
      </c>
      <c r="AA163" s="254" t="str">
        <f>IF($A163="N/A"," ",IF(VLOOKUP(MONTH(A163),ManualTable,2)=1,(IF(0&lt;&gt;R163,IF(Pricetype=1,(_xll.xSPRDOPT(I163,$E163,$CI163,0,($CD163+IF(Smile=TRUE,VLOOKUP(MAX(-5,$H163-I163),Volsmile,2),0)),$CG163,$CH163,($A163-DateToday)+15,1,1))*(8*$HD163),8*$HD163),0)),0))</f>
        <v xml:space="preserve"> </v>
      </c>
      <c r="AB163" s="254" t="str">
        <f>IF($A163="N/A"," ",IF(VLOOKUP(MONTH(A163),ManualTable,3)=1,(IF(S163&lt;&gt;0,IF(Pricetype=1,(_xll.xSPRDOPT(J163,$E163,$CI163,0,($CD163+IF(Smile=TRUE,VLOOKUP(MAX(-5,$H163-J163),Volsmile,2),0)),$CG163,$CH163,($A163-DateToday)+15,1,1))*(8*$HD163),8*$HD163),0)),0))</f>
        <v xml:space="preserve"> </v>
      </c>
      <c r="AC163" s="254" t="str">
        <f t="shared" si="394"/>
        <v xml:space="preserve"> </v>
      </c>
      <c r="AD163" s="254" t="str">
        <f>IF($A163="N/A"," ",IF(VLOOKUP(MONTH(A163),ManualTable,5)=1,(IF(U163&lt;&gt;0,IF(Pricetype=1,(_xll.xSPRDOPT(L163,$E163,$CI163,0,($CD163+IF(Smile=TRUE,VLOOKUP(MAX(-5,$H163-L163),Volsmile,2),0)),$CG163,$CH163,($A163-DateToday)+15,1,1))*(8*$HE163),8*$HE163),0)),0))</f>
        <v xml:space="preserve"> </v>
      </c>
      <c r="AE163" s="254" t="str">
        <f>IF($A163="N/A"," ",IF(VLOOKUP(MONTH(A163),ManualTable,6)=1,(IF(V163&lt;&gt;0,IF(Pricetype=1,(_xll.xSPRDOPT(M163,$E163,$CI163,0,($CD163+IF(Smile=TRUE,VLOOKUP(MAX(-5,$H163-M163),Volsmile,2),0)),$CG163,$CH163,($A163-DateToday)+15,1,1))*(8*$HE163),8*$HE163),0)),0))</f>
        <v xml:space="preserve"> </v>
      </c>
      <c r="AF163" s="254" t="str">
        <f t="shared" si="395"/>
        <v xml:space="preserve"> </v>
      </c>
      <c r="AG163" s="254" t="str">
        <f>IF($A163="N/A"," ",IF(VLOOKUP(MONTH(A163),ManualTable,8)=1,(IF(X163&lt;&gt;0,IF(Pricetype=1,(_xll.xSPRDOPT(O163,$E163,$CI163,0,($CD163+IF(Smile=TRUE,VLOOKUP(MAX(-5,$H163-O163),Volsmile,2),0)),$CG163,$CH163,($A163-DateToday)+15,1,1))*(8*$HF163),8*$HF163),0)),0))</f>
        <v xml:space="preserve"> </v>
      </c>
      <c r="AH163" s="254" t="str">
        <f>IF($A163="N/A"," ",IF(VLOOKUP(MONTH(A163),ManualTable,9)=1,(IF(Y163&lt;&gt;0,IF(Pricetype=1,(_xll.xSPRDOPT(P163,$E163,$CI163,0,($CD163+IF(Smile=TRUE,VLOOKUP(MAX(-5,$H163-P163),Volsmile,2),0)),$CG163,$CH163,($A163-DateToday)+15,1,1))*(8*$HF163),8*$HF163),0)),0))</f>
        <v xml:space="preserve"> </v>
      </c>
      <c r="AI163" s="254" t="str">
        <f t="shared" si="396"/>
        <v xml:space="preserve"> </v>
      </c>
      <c r="AJ163" s="227" t="str">
        <f t="shared" si="464"/>
        <v xml:space="preserve"> </v>
      </c>
      <c r="AK163" s="228" t="str">
        <f t="shared" si="465"/>
        <v xml:space="preserve"> </v>
      </c>
      <c r="AL163" s="228" t="str">
        <f t="shared" si="465"/>
        <v xml:space="preserve"> </v>
      </c>
      <c r="AM163" s="228" t="str">
        <f t="shared" si="466"/>
        <v xml:space="preserve"> </v>
      </c>
      <c r="AN163" s="228" t="str">
        <f t="shared" si="467"/>
        <v xml:space="preserve"> </v>
      </c>
      <c r="AO163" s="228" t="str">
        <f t="shared" si="467"/>
        <v xml:space="preserve"> </v>
      </c>
      <c r="AP163" s="228" t="str">
        <f t="shared" si="468"/>
        <v xml:space="preserve"> </v>
      </c>
      <c r="AQ163" s="228" t="str">
        <f t="shared" si="469"/>
        <v xml:space="preserve"> </v>
      </c>
      <c r="AR163" s="229" t="str">
        <f t="shared" si="470"/>
        <v xml:space="preserve"> </v>
      </c>
      <c r="AS163" s="262" t="str">
        <f t="shared" si="433"/>
        <v xml:space="preserve"> </v>
      </c>
      <c r="AT163" s="263" t="str">
        <f t="shared" si="434"/>
        <v xml:space="preserve"> </v>
      </c>
      <c r="AU163" s="263" t="str">
        <f t="shared" si="434"/>
        <v xml:space="preserve"> </v>
      </c>
      <c r="AV163" s="263" t="str">
        <f t="shared" si="435"/>
        <v xml:space="preserve"> </v>
      </c>
      <c r="AW163" s="263" t="str">
        <f t="shared" si="436"/>
        <v xml:space="preserve"> </v>
      </c>
      <c r="AX163" s="263" t="str">
        <f t="shared" si="436"/>
        <v xml:space="preserve"> </v>
      </c>
      <c r="AY163" s="263" t="str">
        <f t="shared" si="437"/>
        <v xml:space="preserve"> </v>
      </c>
      <c r="AZ163" s="263" t="str">
        <f t="shared" si="438"/>
        <v xml:space="preserve"> </v>
      </c>
      <c r="BA163" s="263" t="str">
        <f t="shared" si="439"/>
        <v xml:space="preserve"> </v>
      </c>
      <c r="BB163" s="229"/>
      <c r="BC163" s="266" t="str">
        <f t="shared" si="457"/>
        <v xml:space="preserve"> </v>
      </c>
      <c r="BD163" s="269" t="str">
        <f t="shared" si="458"/>
        <v xml:space="preserve"> </v>
      </c>
      <c r="BE163" s="269" t="str">
        <f t="shared" si="458"/>
        <v xml:space="preserve"> </v>
      </c>
      <c r="BF163" s="269" t="str">
        <f t="shared" si="459"/>
        <v xml:space="preserve"> </v>
      </c>
      <c r="BG163" s="269" t="str">
        <f t="shared" si="460"/>
        <v xml:space="preserve"> </v>
      </c>
      <c r="BH163" s="269" t="str">
        <f t="shared" si="460"/>
        <v xml:space="preserve"> </v>
      </c>
      <c r="BI163" s="269" t="str">
        <f t="shared" si="461"/>
        <v xml:space="preserve"> </v>
      </c>
      <c r="BJ163" s="269" t="str">
        <f t="shared" si="462"/>
        <v xml:space="preserve"> </v>
      </c>
      <c r="BK163" s="269" t="str">
        <f t="shared" si="463"/>
        <v xml:space="preserve"> </v>
      </c>
      <c r="BL163" s="229"/>
      <c r="BM163" s="220" t="str">
        <f>IF($A163="N/A"," ",(IF(MONTH(A163)&gt;=4,IF(MONTH(A163)&lt;=10,Inputs!$F$13-Inputs!$G$13,Inputs!$F$14-Inputs!$G$14),Inputs!$F$14-Inputs!$G$14))*$CK163*Availability)</f>
        <v xml:space="preserve"> </v>
      </c>
      <c r="BN163" s="221" t="str">
        <f t="shared" si="397"/>
        <v xml:space="preserve"> </v>
      </c>
      <c r="BO163" s="221" t="str">
        <f t="shared" si="398"/>
        <v xml:space="preserve"> </v>
      </c>
      <c r="BP163" s="221" t="str">
        <f t="shared" si="399"/>
        <v xml:space="preserve"> </v>
      </c>
      <c r="BQ163" s="221" t="str">
        <f t="shared" si="400"/>
        <v xml:space="preserve"> </v>
      </c>
      <c r="BR163" s="221" t="str">
        <f t="shared" si="401"/>
        <v xml:space="preserve"> </v>
      </c>
      <c r="BS163" s="221" t="str">
        <f t="shared" si="402"/>
        <v xml:space="preserve"> </v>
      </c>
      <c r="BT163" s="221" t="str">
        <f t="shared" si="403"/>
        <v xml:space="preserve"> </v>
      </c>
      <c r="BU163" s="221" t="str">
        <f t="shared" si="404"/>
        <v xml:space="preserve"> </v>
      </c>
      <c r="BV163" s="221" t="str">
        <f t="shared" si="405"/>
        <v xml:space="preserve"> </v>
      </c>
      <c r="BW163" s="221" t="str">
        <f t="shared" si="406"/>
        <v xml:space="preserve"> </v>
      </c>
      <c r="BX163" s="421" t="str">
        <f t="shared" si="407"/>
        <v xml:space="preserve"> </v>
      </c>
      <c r="BY163" s="417" t="str">
        <f t="shared" si="408"/>
        <v xml:space="preserve"> </v>
      </c>
      <c r="BZ163" s="417" t="str">
        <f t="shared" si="409"/>
        <v xml:space="preserve"> </v>
      </c>
      <c r="CA163" s="422" t="str">
        <f t="shared" si="410"/>
        <v xml:space="preserve"> </v>
      </c>
      <c r="CB163" s="347" t="str">
        <f t="shared" si="354"/>
        <v xml:space="preserve"> </v>
      </c>
      <c r="CC163" s="347" t="str">
        <f t="shared" si="411"/>
        <v xml:space="preserve"> </v>
      </c>
      <c r="CD163" s="348" t="str">
        <f t="shared" si="355"/>
        <v xml:space="preserve"> </v>
      </c>
      <c r="CE163" s="347" t="str">
        <f t="shared" si="356"/>
        <v xml:space="preserve"> </v>
      </c>
      <c r="CF163" s="347" t="str">
        <f t="shared" si="357"/>
        <v xml:space="preserve"> </v>
      </c>
      <c r="CG163" s="348" t="str">
        <f t="shared" si="358"/>
        <v xml:space="preserve"> </v>
      </c>
      <c r="CH163" s="347" t="str">
        <f t="shared" si="412"/>
        <v xml:space="preserve"> </v>
      </c>
      <c r="CI163" s="349" t="str">
        <f>IF($A163="N/A"," ",F163+G163+(D163*('Pricing Inputs'!T196)))</f>
        <v xml:space="preserve"> </v>
      </c>
      <c r="CJ163" s="347" t="str">
        <f>IF($A163="N/A"," ",IF(PV=1,0,'Pricing Inputs'!U196))</f>
        <v xml:space="preserve"> </v>
      </c>
      <c r="CK163" s="350" t="str">
        <f t="shared" si="359"/>
        <v xml:space="preserve"> </v>
      </c>
      <c r="CL163" s="365" t="str">
        <f t="shared" si="360"/>
        <v xml:space="preserve"> </v>
      </c>
      <c r="CM163" s="380" t="str">
        <f t="shared" si="413"/>
        <v xml:space="preserve"> </v>
      </c>
      <c r="CN163" s="378" t="str">
        <f t="shared" si="361"/>
        <v xml:space="preserve"> </v>
      </c>
      <c r="CO163" s="378" t="str">
        <f t="shared" si="362"/>
        <v xml:space="preserve"> </v>
      </c>
      <c r="CP163" s="378" t="str">
        <f t="shared" si="363"/>
        <v xml:space="preserve"> </v>
      </c>
      <c r="CQ163" s="378" t="str">
        <f t="shared" si="364"/>
        <v xml:space="preserve"> </v>
      </c>
      <c r="CR163" s="378" t="str">
        <f t="shared" si="365"/>
        <v xml:space="preserve"> </v>
      </c>
      <c r="CS163" s="378" t="str">
        <f t="shared" si="366"/>
        <v xml:space="preserve"> </v>
      </c>
      <c r="CT163" s="378" t="str">
        <f t="shared" si="367"/>
        <v xml:space="preserve"> </v>
      </c>
      <c r="CU163" s="378" t="str">
        <f t="shared" si="368"/>
        <v xml:space="preserve"> </v>
      </c>
      <c r="CV163" s="378" t="str">
        <f t="shared" si="369"/>
        <v xml:space="preserve"> </v>
      </c>
      <c r="CW163" s="254" t="str">
        <f t="shared" si="370"/>
        <v xml:space="preserve"> </v>
      </c>
      <c r="CX163" s="254" t="str">
        <f t="shared" si="371"/>
        <v xml:space="preserve"> </v>
      </c>
      <c r="CY163" s="254" t="str">
        <f t="shared" si="372"/>
        <v xml:space="preserve"> </v>
      </c>
      <c r="CZ163" s="254" t="str">
        <f t="shared" si="373"/>
        <v xml:space="preserve"> </v>
      </c>
      <c r="DA163" s="254" t="str">
        <f t="shared" si="374"/>
        <v xml:space="preserve"> </v>
      </c>
      <c r="DB163" s="254" t="str">
        <f t="shared" si="375"/>
        <v xml:space="preserve"> </v>
      </c>
      <c r="DC163" s="254" t="str">
        <f t="shared" si="376"/>
        <v xml:space="preserve"> </v>
      </c>
      <c r="DD163" s="254" t="str">
        <f t="shared" si="377"/>
        <v xml:space="preserve"> </v>
      </c>
      <c r="DE163" s="254" t="str">
        <f t="shared" si="378"/>
        <v xml:space="preserve"> </v>
      </c>
      <c r="DF163" s="374" t="str">
        <f>IF($A163="N/A"," ",IF(CC=2,(IF(MONTH(A163)&gt;=4,IF(MONTH(A163)&lt;=10,Inputs!$G$13,Inputs!$G$14),Inputs!$G$14))*$CK163,0))</f>
        <v xml:space="preserve"> </v>
      </c>
      <c r="DG163" s="373" t="str">
        <f t="shared" si="379"/>
        <v xml:space="preserve"> </v>
      </c>
      <c r="DH163" s="373" t="str">
        <f t="shared" si="380"/>
        <v xml:space="preserve"> </v>
      </c>
      <c r="DI163" s="373" t="str">
        <f t="shared" si="381"/>
        <v xml:space="preserve"> </v>
      </c>
      <c r="DJ163" s="373" t="str">
        <f t="shared" si="382"/>
        <v xml:space="preserve"> </v>
      </c>
      <c r="DK163" s="373" t="str">
        <f t="shared" si="383"/>
        <v xml:space="preserve"> </v>
      </c>
      <c r="DL163" s="373" t="str">
        <f t="shared" si="384"/>
        <v xml:space="preserve"> </v>
      </c>
      <c r="DM163" s="373" t="str">
        <f t="shared" si="385"/>
        <v xml:space="preserve"> </v>
      </c>
      <c r="DN163" s="373" t="str">
        <f t="shared" si="386"/>
        <v xml:space="preserve"> </v>
      </c>
      <c r="DO163" s="373" t="str">
        <f t="shared" si="387"/>
        <v xml:space="preserve"> </v>
      </c>
      <c r="DP163" s="375" t="str">
        <f t="shared" si="388"/>
        <v xml:space="preserve"> </v>
      </c>
      <c r="DQ163" t="str">
        <f t="shared" si="414"/>
        <v xml:space="preserve"> </v>
      </c>
      <c r="HD163" t="str">
        <f t="shared" si="415"/>
        <v xml:space="preserve"> </v>
      </c>
      <c r="HE163" t="str">
        <f t="shared" si="416"/>
        <v xml:space="preserve"> </v>
      </c>
      <c r="HF163" t="str">
        <f t="shared" si="417"/>
        <v xml:space="preserve"> </v>
      </c>
    </row>
    <row r="164" spans="1:214">
      <c r="A164" s="415" t="str">
        <f>IF(A163="N/A","N/A",IF(EDATE(A163,1)&gt;Inputs!$K$3,"N/A",EDATE(A163,1)))</f>
        <v>N/A</v>
      </c>
      <c r="B164" s="410" t="str">
        <f t="shared" si="389"/>
        <v xml:space="preserve"> </v>
      </c>
      <c r="C164" s="411" t="str">
        <f t="shared" si="390"/>
        <v xml:space="preserve"> </v>
      </c>
      <c r="D164" s="412" t="str">
        <f t="shared" si="391"/>
        <v xml:space="preserve"> </v>
      </c>
      <c r="E164" s="413" t="str">
        <f>IF($A164="N/A"," ",(C164-'Pricing Inputs'!T197)*D164)</f>
        <v xml:space="preserve"> </v>
      </c>
      <c r="F164" s="414" t="str">
        <f t="shared" si="440"/>
        <v xml:space="preserve"> </v>
      </c>
      <c r="G164" s="414" t="str">
        <f t="shared" si="392"/>
        <v xml:space="preserve"> </v>
      </c>
      <c r="H164" s="416" t="str">
        <f t="shared" si="393"/>
        <v xml:space="preserve"> </v>
      </c>
      <c r="I164" s="213" t="str">
        <f t="shared" si="342"/>
        <v xml:space="preserve"> </v>
      </c>
      <c r="J164" s="213" t="str">
        <f t="shared" si="343"/>
        <v xml:space="preserve"> </v>
      </c>
      <c r="K164" s="213" t="str">
        <f t="shared" si="344"/>
        <v xml:space="preserve"> </v>
      </c>
      <c r="L164" s="213" t="str">
        <f t="shared" si="345"/>
        <v xml:space="preserve"> </v>
      </c>
      <c r="M164" s="213" t="str">
        <f t="shared" si="346"/>
        <v xml:space="preserve"> </v>
      </c>
      <c r="N164" s="213" t="str">
        <f t="shared" si="347"/>
        <v xml:space="preserve"> </v>
      </c>
      <c r="O164" s="213" t="str">
        <f t="shared" si="348"/>
        <v xml:space="preserve"> </v>
      </c>
      <c r="P164" s="213" t="str">
        <f t="shared" si="349"/>
        <v xml:space="preserve"> </v>
      </c>
      <c r="Q164" s="213" t="str">
        <f t="shared" si="350"/>
        <v xml:space="preserve"> </v>
      </c>
      <c r="R164" s="405" t="str">
        <f>IF($A164="N/A"," ",IF(Pricetype=2,MAX(I164-$H164,0),IF(Pricetype=1,(_xll.xSPRDOPT(I164,$E164,$CI164,0,($CD164+IF(Smile=TRUE,VLOOKUP(MAX(-5,$H164-I164),Volsmile,2),0)),$CG164,$CH164,($A164-DateToday)+15,1,0)),I164-$H164)))</f>
        <v xml:space="preserve"> </v>
      </c>
      <c r="S164" s="405" t="str">
        <f>IF($A164="N/A"," ",IF(Pricetype=2,MAX(J164-$H164,0),IF(Pricetype=1,(_xll.xSPRDOPT(J164,$E164,$CI164,0,($CD164+IF(Smile=TRUE,VLOOKUP(MAX(-5,$H164-J164),Volsmile,2),0)),$CG164,$CH164,($A164-DateToday)+15,1,0)),J164-$H164)))</f>
        <v xml:space="preserve"> </v>
      </c>
      <c r="T164" s="406" t="str">
        <f t="shared" si="351"/>
        <v xml:space="preserve"> </v>
      </c>
      <c r="U164" s="405" t="str">
        <f>IF($A164="N/A"," ",IF(Pricetype=2,MAX(L164-$H164,0),IF(L164&lt;&gt;0,IF(Pricetype=1,(_xll.xSPRDOPT(L164,$E164,$CI164,0,($CD164+IF(Smile=TRUE,VLOOKUP(MAX(-5,$H164-L164),Volsmile,2),0)),$CG164,$CH164,($A164-DateToday)+15,1,0)),L164-$H164),0)))</f>
        <v xml:space="preserve"> </v>
      </c>
      <c r="V164" s="405" t="str">
        <f>IF($A164="N/A"," ",IF(Pricetype=2,MAX(M164-$H164,0),IF(M164&lt;&gt;0,IF(Pricetype=1,(_xll.xSPRDOPT(M164,$E164,$CI164,0,($CD164+IF(Smile=TRUE,VLOOKUP(MAX(-5,$H164-M164),Volsmile,2),0)),$CG164,$CH164,($A164-DateToday)+15,1,0)),M164-$H164),0)))</f>
        <v xml:space="preserve"> </v>
      </c>
      <c r="W164" s="406" t="str">
        <f t="shared" si="352"/>
        <v xml:space="preserve"> </v>
      </c>
      <c r="X164" s="405" t="str">
        <f>IF($A164="N/A"," ",IF(Pricetype=2,MAX(O164-$H164,0),IF(O164&lt;&gt;0,IF(Pricetype=1,(_xll.xSPRDOPT(O164,$E164,$CI164,0,($CD164+IF(Smile=TRUE,VLOOKUP(MAX(-5,$H164-O164),Volsmile,2),0)),$CG164,$CH164,($A164-DateToday)+15,1,0)),O164-$H164),0)))</f>
        <v xml:space="preserve"> </v>
      </c>
      <c r="Y164" s="405" t="str">
        <f>IF($A164="N/A"," ",IF(Pricetype=2,MAX(P164-$H164,0),IF(P164&lt;&gt;0,IF(Pricetype=1,(_xll.xSPRDOPT(P164,$E164,$CI164,0,($CD164+IF(Smile=TRUE,VLOOKUP(MAX(-5,$H164-P164),Volsmile,2),0)),$CG164,$CH164,($A164-DateToday)+15,1,0)),P164-$H164),0)))</f>
        <v xml:space="preserve"> </v>
      </c>
      <c r="Z164" s="406" t="str">
        <f t="shared" si="353"/>
        <v xml:space="preserve"> </v>
      </c>
      <c r="AA164" s="254" t="str">
        <f>IF($A164="N/A"," ",IF(VLOOKUP(MONTH(A164),ManualTable,2)=1,(IF(0&lt;&gt;R164,IF(Pricetype=1,(_xll.xSPRDOPT(I164,$E164,$CI164,0,($CD164+IF(Smile=TRUE,VLOOKUP(MAX(-5,$H164-I164),Volsmile,2),0)),$CG164,$CH164,($A164-DateToday)+15,1,1))*(8*$HD164),8*$HD164),0)),0))</f>
        <v xml:space="preserve"> </v>
      </c>
      <c r="AB164" s="254" t="str">
        <f>IF($A164="N/A"," ",IF(VLOOKUP(MONTH(A164),ManualTable,3)=1,(IF(S164&lt;&gt;0,IF(Pricetype=1,(_xll.xSPRDOPT(J164,$E164,$CI164,0,($CD164+IF(Smile=TRUE,VLOOKUP(MAX(-5,$H164-J164),Volsmile,2),0)),$CG164,$CH164,($A164-DateToday)+15,1,1))*(8*$HD164),8*$HD164),0)),0))</f>
        <v xml:space="preserve"> </v>
      </c>
      <c r="AC164" s="254" t="str">
        <f t="shared" si="394"/>
        <v xml:space="preserve"> </v>
      </c>
      <c r="AD164" s="254" t="str">
        <f>IF($A164="N/A"," ",IF(VLOOKUP(MONTH(A164),ManualTable,5)=1,(IF(U164&lt;&gt;0,IF(Pricetype=1,(_xll.xSPRDOPT(L164,$E164,$CI164,0,($CD164+IF(Smile=TRUE,VLOOKUP(MAX(-5,$H164-L164),Volsmile,2),0)),$CG164,$CH164,($A164-DateToday)+15,1,1))*(8*$HE164),8*$HE164),0)),0))</f>
        <v xml:space="preserve"> </v>
      </c>
      <c r="AE164" s="254" t="str">
        <f>IF($A164="N/A"," ",IF(VLOOKUP(MONTH(A164),ManualTable,6)=1,(IF(V164&lt;&gt;0,IF(Pricetype=1,(_xll.xSPRDOPT(M164,$E164,$CI164,0,($CD164+IF(Smile=TRUE,VLOOKUP(MAX(-5,$H164-M164),Volsmile,2),0)),$CG164,$CH164,($A164-DateToday)+15,1,1))*(8*$HE164),8*$HE164),0)),0))</f>
        <v xml:space="preserve"> </v>
      </c>
      <c r="AF164" s="254" t="str">
        <f t="shared" si="395"/>
        <v xml:space="preserve"> </v>
      </c>
      <c r="AG164" s="254" t="str">
        <f>IF($A164="N/A"," ",IF(VLOOKUP(MONTH(A164),ManualTable,8)=1,(IF(X164&lt;&gt;0,IF(Pricetype=1,(_xll.xSPRDOPT(O164,$E164,$CI164,0,($CD164+IF(Smile=TRUE,VLOOKUP(MAX(-5,$H164-O164),Volsmile,2),0)),$CG164,$CH164,($A164-DateToday)+15,1,1))*(8*$HF164),8*$HF164),0)),0))</f>
        <v xml:space="preserve"> </v>
      </c>
      <c r="AH164" s="254" t="str">
        <f>IF($A164="N/A"," ",IF(VLOOKUP(MONTH(A164),ManualTable,9)=1,(IF(Y164&lt;&gt;0,IF(Pricetype=1,(_xll.xSPRDOPT(P164,$E164,$CI164,0,($CD164+IF(Smile=TRUE,VLOOKUP(MAX(-5,$H164-P164),Volsmile,2),0)),$CG164,$CH164,($A164-DateToday)+15,1,1))*(8*$HF164),8*$HF164),0)),0))</f>
        <v xml:space="preserve"> </v>
      </c>
      <c r="AI164" s="254" t="str">
        <f t="shared" si="396"/>
        <v xml:space="preserve"> </v>
      </c>
      <c r="AJ164" s="227" t="str">
        <f t="shared" si="464"/>
        <v xml:space="preserve"> </v>
      </c>
      <c r="AK164" s="228" t="str">
        <f t="shared" si="465"/>
        <v xml:space="preserve"> </v>
      </c>
      <c r="AL164" s="228" t="str">
        <f t="shared" si="465"/>
        <v xml:space="preserve"> </v>
      </c>
      <c r="AM164" s="228" t="str">
        <f t="shared" si="466"/>
        <v xml:space="preserve"> </v>
      </c>
      <c r="AN164" s="228" t="str">
        <f t="shared" si="467"/>
        <v xml:space="preserve"> </v>
      </c>
      <c r="AO164" s="228" t="str">
        <f t="shared" si="467"/>
        <v xml:space="preserve"> </v>
      </c>
      <c r="AP164" s="228" t="str">
        <f t="shared" si="468"/>
        <v xml:space="preserve"> </v>
      </c>
      <c r="AQ164" s="228" t="str">
        <f t="shared" si="469"/>
        <v xml:space="preserve"> </v>
      </c>
      <c r="AR164" s="229" t="str">
        <f t="shared" si="470"/>
        <v xml:space="preserve"> </v>
      </c>
      <c r="AS164" s="262" t="str">
        <f t="shared" si="433"/>
        <v xml:space="preserve"> </v>
      </c>
      <c r="AT164" s="263" t="str">
        <f t="shared" si="434"/>
        <v xml:space="preserve"> </v>
      </c>
      <c r="AU164" s="263" t="str">
        <f t="shared" si="434"/>
        <v xml:space="preserve"> </v>
      </c>
      <c r="AV164" s="263" t="str">
        <f t="shared" si="435"/>
        <v xml:space="preserve"> </v>
      </c>
      <c r="AW164" s="263" t="str">
        <f t="shared" si="436"/>
        <v xml:space="preserve"> </v>
      </c>
      <c r="AX164" s="263" t="str">
        <f t="shared" si="436"/>
        <v xml:space="preserve"> </v>
      </c>
      <c r="AY164" s="263" t="str">
        <f t="shared" si="437"/>
        <v xml:space="preserve"> </v>
      </c>
      <c r="AZ164" s="263" t="str">
        <f t="shared" si="438"/>
        <v xml:space="preserve"> </v>
      </c>
      <c r="BA164" s="263" t="str">
        <f t="shared" si="439"/>
        <v xml:space="preserve"> </v>
      </c>
      <c r="BB164" s="229"/>
      <c r="BC164" s="266" t="str">
        <f t="shared" si="457"/>
        <v xml:space="preserve"> </v>
      </c>
      <c r="BD164" s="269" t="str">
        <f t="shared" si="458"/>
        <v xml:space="preserve"> </v>
      </c>
      <c r="BE164" s="269" t="str">
        <f t="shared" si="458"/>
        <v xml:space="preserve"> </v>
      </c>
      <c r="BF164" s="269" t="str">
        <f t="shared" si="459"/>
        <v xml:space="preserve"> </v>
      </c>
      <c r="BG164" s="269" t="str">
        <f t="shared" si="460"/>
        <v xml:space="preserve"> </v>
      </c>
      <c r="BH164" s="269" t="str">
        <f t="shared" si="460"/>
        <v xml:space="preserve"> </v>
      </c>
      <c r="BI164" s="269" t="str">
        <f t="shared" si="461"/>
        <v xml:space="preserve"> </v>
      </c>
      <c r="BJ164" s="269" t="str">
        <f t="shared" si="462"/>
        <v xml:space="preserve"> </v>
      </c>
      <c r="BK164" s="269" t="str">
        <f t="shared" si="463"/>
        <v xml:space="preserve"> </v>
      </c>
      <c r="BL164" s="229"/>
      <c r="BM164" s="220" t="str">
        <f>IF($A164="N/A"," ",(IF(MONTH(A164)&gt;=4,IF(MONTH(A164)&lt;=10,Inputs!$F$13-Inputs!$G$13,Inputs!$F$14-Inputs!$G$14),Inputs!$F$14-Inputs!$G$14))*$CK164*Availability)</f>
        <v xml:space="preserve"> </v>
      </c>
      <c r="BN164" s="221" t="str">
        <f t="shared" si="397"/>
        <v xml:space="preserve"> </v>
      </c>
      <c r="BO164" s="221" t="str">
        <f t="shared" si="398"/>
        <v xml:space="preserve"> </v>
      </c>
      <c r="BP164" s="221" t="str">
        <f t="shared" si="399"/>
        <v xml:space="preserve"> </v>
      </c>
      <c r="BQ164" s="221" t="str">
        <f t="shared" si="400"/>
        <v xml:space="preserve"> </v>
      </c>
      <c r="BR164" s="221" t="str">
        <f t="shared" si="401"/>
        <v xml:space="preserve"> </v>
      </c>
      <c r="BS164" s="221" t="str">
        <f t="shared" si="402"/>
        <v xml:space="preserve"> </v>
      </c>
      <c r="BT164" s="221" t="str">
        <f t="shared" si="403"/>
        <v xml:space="preserve"> </v>
      </c>
      <c r="BU164" s="221" t="str">
        <f t="shared" si="404"/>
        <v xml:space="preserve"> </v>
      </c>
      <c r="BV164" s="221" t="str">
        <f t="shared" si="405"/>
        <v xml:space="preserve"> </v>
      </c>
      <c r="BW164" s="221" t="str">
        <f t="shared" si="406"/>
        <v xml:space="preserve"> </v>
      </c>
      <c r="BX164" s="421" t="str">
        <f t="shared" si="407"/>
        <v xml:space="preserve"> </v>
      </c>
      <c r="BY164" s="417" t="str">
        <f t="shared" si="408"/>
        <v xml:space="preserve"> </v>
      </c>
      <c r="BZ164" s="417" t="str">
        <f t="shared" si="409"/>
        <v xml:space="preserve"> </v>
      </c>
      <c r="CA164" s="422" t="str">
        <f t="shared" si="410"/>
        <v xml:space="preserve"> </v>
      </c>
      <c r="CB164" s="347" t="str">
        <f t="shared" si="354"/>
        <v xml:space="preserve"> </v>
      </c>
      <c r="CC164" s="347" t="str">
        <f t="shared" si="411"/>
        <v xml:space="preserve"> </v>
      </c>
      <c r="CD164" s="348" t="str">
        <f t="shared" si="355"/>
        <v xml:space="preserve"> </v>
      </c>
      <c r="CE164" s="347" t="str">
        <f t="shared" si="356"/>
        <v xml:space="preserve"> </v>
      </c>
      <c r="CF164" s="347" t="str">
        <f t="shared" si="357"/>
        <v xml:space="preserve"> </v>
      </c>
      <c r="CG164" s="348" t="str">
        <f t="shared" si="358"/>
        <v xml:space="preserve"> </v>
      </c>
      <c r="CH164" s="347" t="str">
        <f t="shared" si="412"/>
        <v xml:space="preserve"> </v>
      </c>
      <c r="CI164" s="349" t="str">
        <f>IF($A164="N/A"," ",F164+G164+(D164*('Pricing Inputs'!T197)))</f>
        <v xml:space="preserve"> </v>
      </c>
      <c r="CJ164" s="347" t="str">
        <f>IF($A164="N/A"," ",IF(PV=1,0,'Pricing Inputs'!U197))</f>
        <v xml:space="preserve"> </v>
      </c>
      <c r="CK164" s="350" t="str">
        <f t="shared" si="359"/>
        <v xml:space="preserve"> </v>
      </c>
      <c r="CL164" s="365" t="str">
        <f t="shared" si="360"/>
        <v xml:space="preserve"> </v>
      </c>
      <c r="CM164" s="380" t="str">
        <f t="shared" si="413"/>
        <v xml:space="preserve"> </v>
      </c>
      <c r="CN164" s="378" t="str">
        <f t="shared" si="361"/>
        <v xml:space="preserve"> </v>
      </c>
      <c r="CO164" s="378" t="str">
        <f t="shared" si="362"/>
        <v xml:space="preserve"> </v>
      </c>
      <c r="CP164" s="378" t="str">
        <f t="shared" si="363"/>
        <v xml:space="preserve"> </v>
      </c>
      <c r="CQ164" s="378" t="str">
        <f t="shared" si="364"/>
        <v xml:space="preserve"> </v>
      </c>
      <c r="CR164" s="378" t="str">
        <f t="shared" si="365"/>
        <v xml:space="preserve"> </v>
      </c>
      <c r="CS164" s="378" t="str">
        <f t="shared" si="366"/>
        <v xml:space="preserve"> </v>
      </c>
      <c r="CT164" s="378" t="str">
        <f t="shared" si="367"/>
        <v xml:space="preserve"> </v>
      </c>
      <c r="CU164" s="378" t="str">
        <f t="shared" si="368"/>
        <v xml:space="preserve"> </v>
      </c>
      <c r="CV164" s="378" t="str">
        <f t="shared" si="369"/>
        <v xml:space="preserve"> </v>
      </c>
      <c r="CW164" s="254" t="str">
        <f t="shared" si="370"/>
        <v xml:space="preserve"> </v>
      </c>
      <c r="CX164" s="254" t="str">
        <f t="shared" si="371"/>
        <v xml:space="preserve"> </v>
      </c>
      <c r="CY164" s="254" t="str">
        <f t="shared" si="372"/>
        <v xml:space="preserve"> </v>
      </c>
      <c r="CZ164" s="254" t="str">
        <f t="shared" si="373"/>
        <v xml:space="preserve"> </v>
      </c>
      <c r="DA164" s="254" t="str">
        <f t="shared" si="374"/>
        <v xml:space="preserve"> </v>
      </c>
      <c r="DB164" s="254" t="str">
        <f t="shared" si="375"/>
        <v xml:space="preserve"> </v>
      </c>
      <c r="DC164" s="254" t="str">
        <f t="shared" si="376"/>
        <v xml:space="preserve"> </v>
      </c>
      <c r="DD164" s="254" t="str">
        <f t="shared" si="377"/>
        <v xml:space="preserve"> </v>
      </c>
      <c r="DE164" s="254" t="str">
        <f t="shared" si="378"/>
        <v xml:space="preserve"> </v>
      </c>
      <c r="DF164" s="374" t="str">
        <f>IF($A164="N/A"," ",IF(CC=2,(IF(MONTH(A164)&gt;=4,IF(MONTH(A164)&lt;=10,Inputs!$G$13,Inputs!$G$14),Inputs!$G$14))*$CK164,0))</f>
        <v xml:space="preserve"> </v>
      </c>
      <c r="DG164" s="373" t="str">
        <f t="shared" si="379"/>
        <v xml:space="preserve"> </v>
      </c>
      <c r="DH164" s="373" t="str">
        <f t="shared" si="380"/>
        <v xml:space="preserve"> </v>
      </c>
      <c r="DI164" s="373" t="str">
        <f t="shared" si="381"/>
        <v xml:space="preserve"> </v>
      </c>
      <c r="DJ164" s="373" t="str">
        <f t="shared" si="382"/>
        <v xml:space="preserve"> </v>
      </c>
      <c r="DK164" s="373" t="str">
        <f t="shared" si="383"/>
        <v xml:space="preserve"> </v>
      </c>
      <c r="DL164" s="373" t="str">
        <f t="shared" si="384"/>
        <v xml:space="preserve"> </v>
      </c>
      <c r="DM164" s="373" t="str">
        <f t="shared" si="385"/>
        <v xml:space="preserve"> </v>
      </c>
      <c r="DN164" s="373" t="str">
        <f t="shared" si="386"/>
        <v xml:space="preserve"> </v>
      </c>
      <c r="DO164" s="373" t="str">
        <f t="shared" si="387"/>
        <v xml:space="preserve"> </v>
      </c>
      <c r="DP164" s="375" t="str">
        <f t="shared" si="388"/>
        <v xml:space="preserve"> </v>
      </c>
      <c r="DQ164" t="str">
        <f t="shared" si="414"/>
        <v xml:space="preserve"> </v>
      </c>
      <c r="HD164" t="str">
        <f t="shared" si="415"/>
        <v xml:space="preserve"> </v>
      </c>
      <c r="HE164" t="str">
        <f t="shared" si="416"/>
        <v xml:space="preserve"> </v>
      </c>
      <c r="HF164" t="str">
        <f t="shared" si="417"/>
        <v xml:space="preserve"> </v>
      </c>
    </row>
    <row r="165" spans="1:214">
      <c r="A165" s="415" t="str">
        <f>IF(A164="N/A","N/A",IF(EDATE(A164,1)&gt;Inputs!$K$3,"N/A",EDATE(A164,1)))</f>
        <v>N/A</v>
      </c>
      <c r="B165" s="410" t="str">
        <f t="shared" si="389"/>
        <v xml:space="preserve"> </v>
      </c>
      <c r="C165" s="411" t="str">
        <f t="shared" si="390"/>
        <v xml:space="preserve"> </v>
      </c>
      <c r="D165" s="412" t="str">
        <f t="shared" si="391"/>
        <v xml:space="preserve"> </v>
      </c>
      <c r="E165" s="413" t="str">
        <f>IF($A165="N/A"," ",(C165-'Pricing Inputs'!T198)*D165)</f>
        <v xml:space="preserve"> </v>
      </c>
      <c r="F165" s="414" t="str">
        <f t="shared" si="440"/>
        <v xml:space="preserve"> </v>
      </c>
      <c r="G165" s="414" t="str">
        <f t="shared" si="392"/>
        <v xml:space="preserve"> </v>
      </c>
      <c r="H165" s="416" t="str">
        <f t="shared" si="393"/>
        <v xml:space="preserve"> </v>
      </c>
      <c r="I165" s="213" t="str">
        <f t="shared" si="342"/>
        <v xml:space="preserve"> </v>
      </c>
      <c r="J165" s="213" t="str">
        <f t="shared" si="343"/>
        <v xml:space="preserve"> </v>
      </c>
      <c r="K165" s="213" t="str">
        <f t="shared" si="344"/>
        <v xml:space="preserve"> </v>
      </c>
      <c r="L165" s="213" t="str">
        <f t="shared" si="345"/>
        <v xml:space="preserve"> </v>
      </c>
      <c r="M165" s="213" t="str">
        <f t="shared" si="346"/>
        <v xml:space="preserve"> </v>
      </c>
      <c r="N165" s="213" t="str">
        <f t="shared" si="347"/>
        <v xml:space="preserve"> </v>
      </c>
      <c r="O165" s="213" t="str">
        <f t="shared" si="348"/>
        <v xml:space="preserve"> </v>
      </c>
      <c r="P165" s="213" t="str">
        <f t="shared" si="349"/>
        <v xml:space="preserve"> </v>
      </c>
      <c r="Q165" s="213" t="str">
        <f t="shared" si="350"/>
        <v xml:space="preserve"> </v>
      </c>
      <c r="R165" s="405" t="str">
        <f>IF($A165="N/A"," ",IF(Pricetype=2,MAX(I165-$H165,0),IF(Pricetype=1,(_xll.xSPRDOPT(I165,$E165,$CI165,0,($CD165+IF(Smile=TRUE,VLOOKUP(MAX(-5,$H165-I165),Volsmile,2),0)),$CG165,$CH165,($A165-DateToday)+15,1,0)),I165-$H165)))</f>
        <v xml:space="preserve"> </v>
      </c>
      <c r="S165" s="405" t="str">
        <f>IF($A165="N/A"," ",IF(Pricetype=2,MAX(J165-$H165,0),IF(Pricetype=1,(_xll.xSPRDOPT(J165,$E165,$CI165,0,($CD165+IF(Smile=TRUE,VLOOKUP(MAX(-5,$H165-J165),Volsmile,2),0)),$CG165,$CH165,($A165-DateToday)+15,1,0)),J165-$H165)))</f>
        <v xml:space="preserve"> </v>
      </c>
      <c r="T165" s="406" t="str">
        <f t="shared" si="351"/>
        <v xml:space="preserve"> </v>
      </c>
      <c r="U165" s="405" t="str">
        <f>IF($A165="N/A"," ",IF(Pricetype=2,MAX(L165-$H165,0),IF(L165&lt;&gt;0,IF(Pricetype=1,(_xll.xSPRDOPT(L165,$E165,$CI165,0,($CD165+IF(Smile=TRUE,VLOOKUP(MAX(-5,$H165-L165),Volsmile,2),0)),$CG165,$CH165,($A165-DateToday)+15,1,0)),L165-$H165),0)))</f>
        <v xml:space="preserve"> </v>
      </c>
      <c r="V165" s="405" t="str">
        <f>IF($A165="N/A"," ",IF(Pricetype=2,MAX(M165-$H165,0),IF(M165&lt;&gt;0,IF(Pricetype=1,(_xll.xSPRDOPT(M165,$E165,$CI165,0,($CD165+IF(Smile=TRUE,VLOOKUP(MAX(-5,$H165-M165),Volsmile,2),0)),$CG165,$CH165,($A165-DateToday)+15,1,0)),M165-$H165),0)))</f>
        <v xml:space="preserve"> </v>
      </c>
      <c r="W165" s="406" t="str">
        <f t="shared" si="352"/>
        <v xml:space="preserve"> </v>
      </c>
      <c r="X165" s="405" t="str">
        <f>IF($A165="N/A"," ",IF(Pricetype=2,MAX(O165-$H165,0),IF(O165&lt;&gt;0,IF(Pricetype=1,(_xll.xSPRDOPT(O165,$E165,$CI165,0,($CD165+IF(Smile=TRUE,VLOOKUP(MAX(-5,$H165-O165),Volsmile,2),0)),$CG165,$CH165,($A165-DateToday)+15,1,0)),O165-$H165),0)))</f>
        <v xml:space="preserve"> </v>
      </c>
      <c r="Y165" s="405" t="str">
        <f>IF($A165="N/A"," ",IF(Pricetype=2,MAX(P165-$H165,0),IF(P165&lt;&gt;0,IF(Pricetype=1,(_xll.xSPRDOPT(P165,$E165,$CI165,0,($CD165+IF(Smile=TRUE,VLOOKUP(MAX(-5,$H165-P165),Volsmile,2),0)),$CG165,$CH165,($A165-DateToday)+15,1,0)),P165-$H165),0)))</f>
        <v xml:space="preserve"> </v>
      </c>
      <c r="Z165" s="406" t="str">
        <f t="shared" si="353"/>
        <v xml:space="preserve"> </v>
      </c>
      <c r="AA165" s="254" t="str">
        <f>IF($A165="N/A"," ",IF(VLOOKUP(MONTH(A165),ManualTable,2)=1,(IF(0&lt;&gt;R165,IF(Pricetype=1,(_xll.xSPRDOPT(I165,$E165,$CI165,0,($CD165+IF(Smile=TRUE,VLOOKUP(MAX(-5,$H165-I165),Volsmile,2),0)),$CG165,$CH165,($A165-DateToday)+15,1,1))*(8*$HD165),8*$HD165),0)),0))</f>
        <v xml:space="preserve"> </v>
      </c>
      <c r="AB165" s="254" t="str">
        <f>IF($A165="N/A"," ",IF(VLOOKUP(MONTH(A165),ManualTable,3)=1,(IF(S165&lt;&gt;0,IF(Pricetype=1,(_xll.xSPRDOPT(J165,$E165,$CI165,0,($CD165+IF(Smile=TRUE,VLOOKUP(MAX(-5,$H165-J165),Volsmile,2),0)),$CG165,$CH165,($A165-DateToday)+15,1,1))*(8*$HD165),8*$HD165),0)),0))</f>
        <v xml:space="preserve"> </v>
      </c>
      <c r="AC165" s="254" t="str">
        <f t="shared" si="394"/>
        <v xml:space="preserve"> </v>
      </c>
      <c r="AD165" s="254" t="str">
        <f>IF($A165="N/A"," ",IF(VLOOKUP(MONTH(A165),ManualTable,5)=1,(IF(U165&lt;&gt;0,IF(Pricetype=1,(_xll.xSPRDOPT(L165,$E165,$CI165,0,($CD165+IF(Smile=TRUE,VLOOKUP(MAX(-5,$H165-L165),Volsmile,2),0)),$CG165,$CH165,($A165-DateToday)+15,1,1))*(8*$HE165),8*$HE165),0)),0))</f>
        <v xml:space="preserve"> </v>
      </c>
      <c r="AE165" s="254" t="str">
        <f>IF($A165="N/A"," ",IF(VLOOKUP(MONTH(A165),ManualTable,6)=1,(IF(V165&lt;&gt;0,IF(Pricetype=1,(_xll.xSPRDOPT(M165,$E165,$CI165,0,($CD165+IF(Smile=TRUE,VLOOKUP(MAX(-5,$H165-M165),Volsmile,2),0)),$CG165,$CH165,($A165-DateToday)+15,1,1))*(8*$HE165),8*$HE165),0)),0))</f>
        <v xml:space="preserve"> </v>
      </c>
      <c r="AF165" s="254" t="str">
        <f t="shared" si="395"/>
        <v xml:space="preserve"> </v>
      </c>
      <c r="AG165" s="254" t="str">
        <f>IF($A165="N/A"," ",IF(VLOOKUP(MONTH(A165),ManualTable,8)=1,(IF(X165&lt;&gt;0,IF(Pricetype=1,(_xll.xSPRDOPT(O165,$E165,$CI165,0,($CD165+IF(Smile=TRUE,VLOOKUP(MAX(-5,$H165-O165),Volsmile,2),0)),$CG165,$CH165,($A165-DateToday)+15,1,1))*(8*$HF165),8*$HF165),0)),0))</f>
        <v xml:space="preserve"> </v>
      </c>
      <c r="AH165" s="254" t="str">
        <f>IF($A165="N/A"," ",IF(VLOOKUP(MONTH(A165),ManualTable,9)=1,(IF(Y165&lt;&gt;0,IF(Pricetype=1,(_xll.xSPRDOPT(P165,$E165,$CI165,0,($CD165+IF(Smile=TRUE,VLOOKUP(MAX(-5,$H165-P165),Volsmile,2),0)),$CG165,$CH165,($A165-DateToday)+15,1,1))*(8*$HF165),8*$HF165),0)),0))</f>
        <v xml:space="preserve"> </v>
      </c>
      <c r="AI165" s="254" t="str">
        <f t="shared" si="396"/>
        <v xml:space="preserve"> </v>
      </c>
      <c r="AJ165" s="227" t="str">
        <f t="shared" si="464"/>
        <v xml:space="preserve"> </v>
      </c>
      <c r="AK165" s="228" t="str">
        <f t="shared" si="465"/>
        <v xml:space="preserve"> </v>
      </c>
      <c r="AL165" s="228" t="str">
        <f t="shared" si="465"/>
        <v xml:space="preserve"> </v>
      </c>
      <c r="AM165" s="228" t="str">
        <f t="shared" si="466"/>
        <v xml:space="preserve"> </v>
      </c>
      <c r="AN165" s="228" t="str">
        <f t="shared" si="467"/>
        <v xml:space="preserve"> </v>
      </c>
      <c r="AO165" s="228" t="str">
        <f t="shared" si="467"/>
        <v xml:space="preserve"> </v>
      </c>
      <c r="AP165" s="228" t="str">
        <f t="shared" si="468"/>
        <v xml:space="preserve"> </v>
      </c>
      <c r="AQ165" s="228" t="str">
        <f t="shared" si="469"/>
        <v xml:space="preserve"> </v>
      </c>
      <c r="AR165" s="229" t="str">
        <f t="shared" si="470"/>
        <v xml:space="preserve"> </v>
      </c>
      <c r="AS165" s="262" t="str">
        <f t="shared" si="433"/>
        <v xml:space="preserve"> </v>
      </c>
      <c r="AT165" s="263" t="str">
        <f t="shared" si="434"/>
        <v xml:space="preserve"> </v>
      </c>
      <c r="AU165" s="263" t="str">
        <f t="shared" si="434"/>
        <v xml:space="preserve"> </v>
      </c>
      <c r="AV165" s="263" t="str">
        <f t="shared" si="435"/>
        <v xml:space="preserve"> </v>
      </c>
      <c r="AW165" s="263" t="str">
        <f t="shared" si="436"/>
        <v xml:space="preserve"> </v>
      </c>
      <c r="AX165" s="263" t="str">
        <f t="shared" si="436"/>
        <v xml:space="preserve"> </v>
      </c>
      <c r="AY165" s="263" t="str">
        <f t="shared" si="437"/>
        <v xml:space="preserve"> </v>
      </c>
      <c r="AZ165" s="263" t="str">
        <f t="shared" si="438"/>
        <v xml:space="preserve"> </v>
      </c>
      <c r="BA165" s="263" t="str">
        <f t="shared" si="439"/>
        <v xml:space="preserve"> </v>
      </c>
      <c r="BB165" s="229"/>
      <c r="BC165" s="266" t="str">
        <f t="shared" si="457"/>
        <v xml:space="preserve"> </v>
      </c>
      <c r="BD165" s="269" t="str">
        <f t="shared" si="458"/>
        <v xml:space="preserve"> </v>
      </c>
      <c r="BE165" s="269" t="str">
        <f t="shared" si="458"/>
        <v xml:space="preserve"> </v>
      </c>
      <c r="BF165" s="269" t="str">
        <f t="shared" si="459"/>
        <v xml:space="preserve"> </v>
      </c>
      <c r="BG165" s="269" t="str">
        <f t="shared" si="460"/>
        <v xml:space="preserve"> </v>
      </c>
      <c r="BH165" s="269" t="str">
        <f t="shared" si="460"/>
        <v xml:space="preserve"> </v>
      </c>
      <c r="BI165" s="269" t="str">
        <f t="shared" si="461"/>
        <v xml:space="preserve"> </v>
      </c>
      <c r="BJ165" s="269" t="str">
        <f t="shared" si="462"/>
        <v xml:space="preserve"> </v>
      </c>
      <c r="BK165" s="269" t="str">
        <f t="shared" si="463"/>
        <v xml:space="preserve"> </v>
      </c>
      <c r="BL165" s="229"/>
      <c r="BM165" s="220" t="str">
        <f>IF($A165="N/A"," ",(IF(MONTH(A165)&gt;=4,IF(MONTH(A165)&lt;=10,Inputs!$F$13-Inputs!$G$13,Inputs!$F$14-Inputs!$G$14),Inputs!$F$14-Inputs!$G$14))*$CK165*Availability)</f>
        <v xml:space="preserve"> </v>
      </c>
      <c r="BN165" s="221" t="str">
        <f t="shared" si="397"/>
        <v xml:space="preserve"> </v>
      </c>
      <c r="BO165" s="221" t="str">
        <f t="shared" si="398"/>
        <v xml:space="preserve"> </v>
      </c>
      <c r="BP165" s="221" t="str">
        <f t="shared" si="399"/>
        <v xml:space="preserve"> </v>
      </c>
      <c r="BQ165" s="221" t="str">
        <f t="shared" si="400"/>
        <v xml:space="preserve"> </v>
      </c>
      <c r="BR165" s="221" t="str">
        <f t="shared" si="401"/>
        <v xml:space="preserve"> </v>
      </c>
      <c r="BS165" s="221" t="str">
        <f t="shared" si="402"/>
        <v xml:space="preserve"> </v>
      </c>
      <c r="BT165" s="221" t="str">
        <f t="shared" si="403"/>
        <v xml:space="preserve"> </v>
      </c>
      <c r="BU165" s="221" t="str">
        <f t="shared" si="404"/>
        <v xml:space="preserve"> </v>
      </c>
      <c r="BV165" s="221" t="str">
        <f t="shared" si="405"/>
        <v xml:space="preserve"> </v>
      </c>
      <c r="BW165" s="221" t="str">
        <f t="shared" si="406"/>
        <v xml:space="preserve"> </v>
      </c>
      <c r="BX165" s="421" t="str">
        <f t="shared" si="407"/>
        <v xml:space="preserve"> </v>
      </c>
      <c r="BY165" s="417" t="str">
        <f t="shared" si="408"/>
        <v xml:space="preserve"> </v>
      </c>
      <c r="BZ165" s="417" t="str">
        <f t="shared" si="409"/>
        <v xml:space="preserve"> </v>
      </c>
      <c r="CA165" s="422" t="str">
        <f t="shared" si="410"/>
        <v xml:space="preserve"> </v>
      </c>
      <c r="CB165" s="347" t="str">
        <f t="shared" si="354"/>
        <v xml:space="preserve"> </v>
      </c>
      <c r="CC165" s="347" t="str">
        <f t="shared" si="411"/>
        <v xml:space="preserve"> </v>
      </c>
      <c r="CD165" s="348" t="str">
        <f t="shared" si="355"/>
        <v xml:space="preserve"> </v>
      </c>
      <c r="CE165" s="347" t="str">
        <f t="shared" si="356"/>
        <v xml:space="preserve"> </v>
      </c>
      <c r="CF165" s="347" t="str">
        <f t="shared" si="357"/>
        <v xml:space="preserve"> </v>
      </c>
      <c r="CG165" s="348" t="str">
        <f t="shared" si="358"/>
        <v xml:space="preserve"> </v>
      </c>
      <c r="CH165" s="347" t="str">
        <f t="shared" si="412"/>
        <v xml:space="preserve"> </v>
      </c>
      <c r="CI165" s="349" t="str">
        <f>IF($A165="N/A"," ",F165+G165+(D165*('Pricing Inputs'!T198)))</f>
        <v xml:space="preserve"> </v>
      </c>
      <c r="CJ165" s="347" t="str">
        <f>IF($A165="N/A"," ",IF(PV=1,0,'Pricing Inputs'!U198))</f>
        <v xml:space="preserve"> </v>
      </c>
      <c r="CK165" s="350" t="str">
        <f t="shared" si="359"/>
        <v xml:space="preserve"> </v>
      </c>
      <c r="CL165" s="365" t="str">
        <f t="shared" si="360"/>
        <v xml:space="preserve"> </v>
      </c>
      <c r="CM165" s="380" t="str">
        <f t="shared" si="413"/>
        <v xml:space="preserve"> </v>
      </c>
      <c r="CN165" s="378" t="str">
        <f t="shared" si="361"/>
        <v xml:space="preserve"> </v>
      </c>
      <c r="CO165" s="378" t="str">
        <f t="shared" si="362"/>
        <v xml:space="preserve"> </v>
      </c>
      <c r="CP165" s="378" t="str">
        <f t="shared" si="363"/>
        <v xml:space="preserve"> </v>
      </c>
      <c r="CQ165" s="378" t="str">
        <f t="shared" si="364"/>
        <v xml:space="preserve"> </v>
      </c>
      <c r="CR165" s="378" t="str">
        <f t="shared" si="365"/>
        <v xml:space="preserve"> </v>
      </c>
      <c r="CS165" s="378" t="str">
        <f t="shared" si="366"/>
        <v xml:space="preserve"> </v>
      </c>
      <c r="CT165" s="378" t="str">
        <f t="shared" si="367"/>
        <v xml:space="preserve"> </v>
      </c>
      <c r="CU165" s="378" t="str">
        <f t="shared" si="368"/>
        <v xml:space="preserve"> </v>
      </c>
      <c r="CV165" s="378" t="str">
        <f t="shared" si="369"/>
        <v xml:space="preserve"> </v>
      </c>
      <c r="CW165" s="254" t="str">
        <f t="shared" si="370"/>
        <v xml:space="preserve"> </v>
      </c>
      <c r="CX165" s="254" t="str">
        <f t="shared" si="371"/>
        <v xml:space="preserve"> </v>
      </c>
      <c r="CY165" s="254" t="str">
        <f t="shared" si="372"/>
        <v xml:space="preserve"> </v>
      </c>
      <c r="CZ165" s="254" t="str">
        <f t="shared" si="373"/>
        <v xml:space="preserve"> </v>
      </c>
      <c r="DA165" s="254" t="str">
        <f t="shared" si="374"/>
        <v xml:space="preserve"> </v>
      </c>
      <c r="DB165" s="254" t="str">
        <f t="shared" si="375"/>
        <v xml:space="preserve"> </v>
      </c>
      <c r="DC165" s="254" t="str">
        <f t="shared" si="376"/>
        <v xml:space="preserve"> </v>
      </c>
      <c r="DD165" s="254" t="str">
        <f t="shared" si="377"/>
        <v xml:space="preserve"> </v>
      </c>
      <c r="DE165" s="254" t="str">
        <f t="shared" si="378"/>
        <v xml:space="preserve"> </v>
      </c>
      <c r="DF165" s="374" t="str">
        <f>IF($A165="N/A"," ",IF(CC=2,(IF(MONTH(A165)&gt;=4,IF(MONTH(A165)&lt;=10,Inputs!$G$13,Inputs!$G$14),Inputs!$G$14))*$CK165,0))</f>
        <v xml:space="preserve"> </v>
      </c>
      <c r="DG165" s="373" t="str">
        <f t="shared" si="379"/>
        <v xml:space="preserve"> </v>
      </c>
      <c r="DH165" s="373" t="str">
        <f t="shared" si="380"/>
        <v xml:space="preserve"> </v>
      </c>
      <c r="DI165" s="373" t="str">
        <f t="shared" si="381"/>
        <v xml:space="preserve"> </v>
      </c>
      <c r="DJ165" s="373" t="str">
        <f t="shared" si="382"/>
        <v xml:space="preserve"> </v>
      </c>
      <c r="DK165" s="373" t="str">
        <f t="shared" si="383"/>
        <v xml:space="preserve"> </v>
      </c>
      <c r="DL165" s="373" t="str">
        <f t="shared" si="384"/>
        <v xml:space="preserve"> </v>
      </c>
      <c r="DM165" s="373" t="str">
        <f t="shared" si="385"/>
        <v xml:space="preserve"> </v>
      </c>
      <c r="DN165" s="373" t="str">
        <f t="shared" si="386"/>
        <v xml:space="preserve"> </v>
      </c>
      <c r="DO165" s="373" t="str">
        <f t="shared" si="387"/>
        <v xml:space="preserve"> </v>
      </c>
      <c r="DP165" s="375" t="str">
        <f t="shared" si="388"/>
        <v xml:space="preserve"> </v>
      </c>
      <c r="DQ165" t="str">
        <f t="shared" si="414"/>
        <v xml:space="preserve"> </v>
      </c>
      <c r="HD165" t="str">
        <f t="shared" si="415"/>
        <v xml:space="preserve"> </v>
      </c>
      <c r="HE165" t="str">
        <f t="shared" si="416"/>
        <v xml:space="preserve"> </v>
      </c>
      <c r="HF165" t="str">
        <f t="shared" si="417"/>
        <v xml:space="preserve"> </v>
      </c>
    </row>
    <row r="166" spans="1:214">
      <c r="A166" s="415" t="str">
        <f>IF(A165="N/A","N/A",IF(EDATE(A165,1)&gt;Inputs!$K$3,"N/A",EDATE(A165,1)))</f>
        <v>N/A</v>
      </c>
      <c r="B166" s="410" t="str">
        <f t="shared" si="389"/>
        <v xml:space="preserve"> </v>
      </c>
      <c r="C166" s="411" t="str">
        <f t="shared" si="390"/>
        <v xml:space="preserve"> </v>
      </c>
      <c r="D166" s="412" t="str">
        <f t="shared" si="391"/>
        <v xml:space="preserve"> </v>
      </c>
      <c r="E166" s="413" t="str">
        <f>IF($A166="N/A"," ",(C166-'Pricing Inputs'!T199)*D166)</f>
        <v xml:space="preserve"> </v>
      </c>
      <c r="F166" s="414" t="str">
        <f t="shared" si="440"/>
        <v xml:space="preserve"> </v>
      </c>
      <c r="G166" s="414" t="str">
        <f t="shared" si="392"/>
        <v xml:space="preserve"> </v>
      </c>
      <c r="H166" s="416" t="str">
        <f t="shared" si="393"/>
        <v xml:space="preserve"> </v>
      </c>
      <c r="I166" s="213" t="str">
        <f t="shared" si="342"/>
        <v xml:space="preserve"> </v>
      </c>
      <c r="J166" s="213" t="str">
        <f t="shared" si="343"/>
        <v xml:space="preserve"> </v>
      </c>
      <c r="K166" s="213" t="str">
        <f t="shared" si="344"/>
        <v xml:space="preserve"> </v>
      </c>
      <c r="L166" s="213" t="str">
        <f t="shared" si="345"/>
        <v xml:space="preserve"> </v>
      </c>
      <c r="M166" s="213" t="str">
        <f t="shared" si="346"/>
        <v xml:space="preserve"> </v>
      </c>
      <c r="N166" s="213" t="str">
        <f t="shared" si="347"/>
        <v xml:space="preserve"> </v>
      </c>
      <c r="O166" s="213" t="str">
        <f t="shared" si="348"/>
        <v xml:space="preserve"> </v>
      </c>
      <c r="P166" s="213" t="str">
        <f t="shared" si="349"/>
        <v xml:space="preserve"> </v>
      </c>
      <c r="Q166" s="213" t="str">
        <f t="shared" si="350"/>
        <v xml:space="preserve"> </v>
      </c>
      <c r="R166" s="405" t="str">
        <f>IF($A166="N/A"," ",IF(Pricetype=2,MAX(I166-$H166,0),IF(Pricetype=1,(_xll.xSPRDOPT(I166,$E166,$CI166,0,($CD166+IF(Smile=TRUE,VLOOKUP(MAX(-5,$H166-I166),Volsmile,2),0)),$CG166,$CH166,($A166-DateToday)+15,1,0)),I166-$H166)))</f>
        <v xml:space="preserve"> </v>
      </c>
      <c r="S166" s="405" t="str">
        <f>IF($A166="N/A"," ",IF(Pricetype=2,MAX(J166-$H166,0),IF(Pricetype=1,(_xll.xSPRDOPT(J166,$E166,$CI166,0,($CD166+IF(Smile=TRUE,VLOOKUP(MAX(-5,$H166-J166),Volsmile,2),0)),$CG166,$CH166,($A166-DateToday)+15,1,0)),J166-$H166)))</f>
        <v xml:space="preserve"> </v>
      </c>
      <c r="T166" s="406" t="str">
        <f t="shared" si="351"/>
        <v xml:space="preserve"> </v>
      </c>
      <c r="U166" s="405" t="str">
        <f>IF($A166="N/A"," ",IF(Pricetype=2,MAX(L166-$H166,0),IF(L166&lt;&gt;0,IF(Pricetype=1,(_xll.xSPRDOPT(L166,$E166,$CI166,0,($CD166+IF(Smile=TRUE,VLOOKUP(MAX(-5,$H166-L166),Volsmile,2),0)),$CG166,$CH166,($A166-DateToday)+15,1,0)),L166-$H166),0)))</f>
        <v xml:space="preserve"> </v>
      </c>
      <c r="V166" s="405" t="str">
        <f>IF($A166="N/A"," ",IF(Pricetype=2,MAX(M166-$H166,0),IF(M166&lt;&gt;0,IF(Pricetype=1,(_xll.xSPRDOPT(M166,$E166,$CI166,0,($CD166+IF(Smile=TRUE,VLOOKUP(MAX(-5,$H166-M166),Volsmile,2),0)),$CG166,$CH166,($A166-DateToday)+15,1,0)),M166-$H166),0)))</f>
        <v xml:space="preserve"> </v>
      </c>
      <c r="W166" s="406" t="str">
        <f t="shared" si="352"/>
        <v xml:space="preserve"> </v>
      </c>
      <c r="X166" s="405" t="str">
        <f>IF($A166="N/A"," ",IF(Pricetype=2,MAX(O166-$H166,0),IF(O166&lt;&gt;0,IF(Pricetype=1,(_xll.xSPRDOPT(O166,$E166,$CI166,0,($CD166+IF(Smile=TRUE,VLOOKUP(MAX(-5,$H166-O166),Volsmile,2),0)),$CG166,$CH166,($A166-DateToday)+15,1,0)),O166-$H166),0)))</f>
        <v xml:space="preserve"> </v>
      </c>
      <c r="Y166" s="405" t="str">
        <f>IF($A166="N/A"," ",IF(Pricetype=2,MAX(P166-$H166,0),IF(P166&lt;&gt;0,IF(Pricetype=1,(_xll.xSPRDOPT(P166,$E166,$CI166,0,($CD166+IF(Smile=TRUE,VLOOKUP(MAX(-5,$H166-P166),Volsmile,2),0)),$CG166,$CH166,($A166-DateToday)+15,1,0)),P166-$H166),0)))</f>
        <v xml:space="preserve"> </v>
      </c>
      <c r="Z166" s="406" t="str">
        <f t="shared" si="353"/>
        <v xml:space="preserve"> </v>
      </c>
      <c r="AA166" s="254" t="str">
        <f>IF($A166="N/A"," ",IF(VLOOKUP(MONTH(A166),ManualTable,2)=1,(IF(0&lt;&gt;R166,IF(Pricetype=1,(_xll.xSPRDOPT(I166,$E166,$CI166,0,($CD166+IF(Smile=TRUE,VLOOKUP(MAX(-5,$H166-I166),Volsmile,2),0)),$CG166,$CH166,($A166-DateToday)+15,1,1))*(8*$HD166),8*$HD166),0)),0))</f>
        <v xml:space="preserve"> </v>
      </c>
      <c r="AB166" s="254" t="str">
        <f>IF($A166="N/A"," ",IF(VLOOKUP(MONTH(A166),ManualTable,3)=1,(IF(S166&lt;&gt;0,IF(Pricetype=1,(_xll.xSPRDOPT(J166,$E166,$CI166,0,($CD166+IF(Smile=TRUE,VLOOKUP(MAX(-5,$H166-J166),Volsmile,2),0)),$CG166,$CH166,($A166-DateToday)+15,1,1))*(8*$HD166),8*$HD166),0)),0))</f>
        <v xml:space="preserve"> </v>
      </c>
      <c r="AC166" s="254" t="str">
        <f t="shared" si="394"/>
        <v xml:space="preserve"> </v>
      </c>
      <c r="AD166" s="254" t="str">
        <f>IF($A166="N/A"," ",IF(VLOOKUP(MONTH(A166),ManualTable,5)=1,(IF(U166&lt;&gt;0,IF(Pricetype=1,(_xll.xSPRDOPT(L166,$E166,$CI166,0,($CD166+IF(Smile=TRUE,VLOOKUP(MAX(-5,$H166-L166),Volsmile,2),0)),$CG166,$CH166,($A166-DateToday)+15,1,1))*(8*$HE166),8*$HE166),0)),0))</f>
        <v xml:space="preserve"> </v>
      </c>
      <c r="AE166" s="254" t="str">
        <f>IF($A166="N/A"," ",IF(VLOOKUP(MONTH(A166),ManualTable,6)=1,(IF(V166&lt;&gt;0,IF(Pricetype=1,(_xll.xSPRDOPT(M166,$E166,$CI166,0,($CD166+IF(Smile=TRUE,VLOOKUP(MAX(-5,$H166-M166),Volsmile,2),0)),$CG166,$CH166,($A166-DateToday)+15,1,1))*(8*$HE166),8*$HE166),0)),0))</f>
        <v xml:space="preserve"> </v>
      </c>
      <c r="AF166" s="254" t="str">
        <f t="shared" si="395"/>
        <v xml:space="preserve"> </v>
      </c>
      <c r="AG166" s="254" t="str">
        <f>IF($A166="N/A"," ",IF(VLOOKUP(MONTH(A166),ManualTable,8)=1,(IF(X166&lt;&gt;0,IF(Pricetype=1,(_xll.xSPRDOPT(O166,$E166,$CI166,0,($CD166+IF(Smile=TRUE,VLOOKUP(MAX(-5,$H166-O166),Volsmile,2),0)),$CG166,$CH166,($A166-DateToday)+15,1,1))*(8*$HF166),8*$HF166),0)),0))</f>
        <v xml:space="preserve"> </v>
      </c>
      <c r="AH166" s="254" t="str">
        <f>IF($A166="N/A"," ",IF(VLOOKUP(MONTH(A166),ManualTable,9)=1,(IF(Y166&lt;&gt;0,IF(Pricetype=1,(_xll.xSPRDOPT(P166,$E166,$CI166,0,($CD166+IF(Smile=TRUE,VLOOKUP(MAX(-5,$H166-P166),Volsmile,2),0)),$CG166,$CH166,($A166-DateToday)+15,1,1))*(8*$HF166),8*$HF166),0)),0))</f>
        <v xml:space="preserve"> </v>
      </c>
      <c r="AI166" s="254" t="str">
        <f t="shared" si="396"/>
        <v xml:space="preserve"> </v>
      </c>
      <c r="AJ166" s="227" t="str">
        <f t="shared" si="464"/>
        <v xml:space="preserve"> </v>
      </c>
      <c r="AK166" s="228" t="str">
        <f t="shared" si="465"/>
        <v xml:space="preserve"> </v>
      </c>
      <c r="AL166" s="228" t="str">
        <f t="shared" si="465"/>
        <v xml:space="preserve"> </v>
      </c>
      <c r="AM166" s="228" t="str">
        <f t="shared" si="466"/>
        <v xml:space="preserve"> </v>
      </c>
      <c r="AN166" s="228" t="str">
        <f t="shared" si="467"/>
        <v xml:space="preserve"> </v>
      </c>
      <c r="AO166" s="228" t="str">
        <f t="shared" si="467"/>
        <v xml:space="preserve"> </v>
      </c>
      <c r="AP166" s="228" t="str">
        <f t="shared" si="468"/>
        <v xml:space="preserve"> </v>
      </c>
      <c r="AQ166" s="228" t="str">
        <f t="shared" si="469"/>
        <v xml:space="preserve"> </v>
      </c>
      <c r="AR166" s="229" t="str">
        <f t="shared" si="470"/>
        <v xml:space="preserve"> </v>
      </c>
      <c r="AS166" s="262" t="str">
        <f t="shared" si="433"/>
        <v xml:space="preserve"> </v>
      </c>
      <c r="AT166" s="263" t="str">
        <f t="shared" si="434"/>
        <v xml:space="preserve"> </v>
      </c>
      <c r="AU166" s="263" t="str">
        <f t="shared" si="434"/>
        <v xml:space="preserve"> </v>
      </c>
      <c r="AV166" s="263" t="str">
        <f t="shared" si="435"/>
        <v xml:space="preserve"> </v>
      </c>
      <c r="AW166" s="263" t="str">
        <f t="shared" si="436"/>
        <v xml:space="preserve"> </v>
      </c>
      <c r="AX166" s="263" t="str">
        <f t="shared" si="436"/>
        <v xml:space="preserve"> </v>
      </c>
      <c r="AY166" s="263" t="str">
        <f t="shared" si="437"/>
        <v xml:space="preserve"> </v>
      </c>
      <c r="AZ166" s="263" t="str">
        <f t="shared" si="438"/>
        <v xml:space="preserve"> </v>
      </c>
      <c r="BA166" s="263" t="str">
        <f t="shared" si="439"/>
        <v xml:space="preserve"> </v>
      </c>
      <c r="BB166" s="229"/>
      <c r="BC166" s="266" t="str">
        <f t="shared" si="457"/>
        <v xml:space="preserve"> </v>
      </c>
      <c r="BD166" s="269" t="str">
        <f t="shared" si="458"/>
        <v xml:space="preserve"> </v>
      </c>
      <c r="BE166" s="269" t="str">
        <f t="shared" si="458"/>
        <v xml:space="preserve"> </v>
      </c>
      <c r="BF166" s="269" t="str">
        <f t="shared" si="459"/>
        <v xml:space="preserve"> </v>
      </c>
      <c r="BG166" s="269" t="str">
        <f t="shared" si="460"/>
        <v xml:space="preserve"> </v>
      </c>
      <c r="BH166" s="269" t="str">
        <f t="shared" si="460"/>
        <v xml:space="preserve"> </v>
      </c>
      <c r="BI166" s="269" t="str">
        <f t="shared" si="461"/>
        <v xml:space="preserve"> </v>
      </c>
      <c r="BJ166" s="269" t="str">
        <f t="shared" si="462"/>
        <v xml:space="preserve"> </v>
      </c>
      <c r="BK166" s="269" t="str">
        <f t="shared" si="463"/>
        <v xml:space="preserve"> </v>
      </c>
      <c r="BL166" s="229"/>
      <c r="BM166" s="220" t="str">
        <f>IF($A166="N/A"," ",(IF(MONTH(A166)&gt;=4,IF(MONTH(A166)&lt;=10,Inputs!$F$13-Inputs!$G$13,Inputs!$F$14-Inputs!$G$14),Inputs!$F$14-Inputs!$G$14))*$CK166*Availability)</f>
        <v xml:space="preserve"> </v>
      </c>
      <c r="BN166" s="221" t="str">
        <f t="shared" si="397"/>
        <v xml:space="preserve"> </v>
      </c>
      <c r="BO166" s="221" t="str">
        <f t="shared" si="398"/>
        <v xml:space="preserve"> </v>
      </c>
      <c r="BP166" s="221" t="str">
        <f t="shared" si="399"/>
        <v xml:space="preserve"> </v>
      </c>
      <c r="BQ166" s="221" t="str">
        <f t="shared" si="400"/>
        <v xml:space="preserve"> </v>
      </c>
      <c r="BR166" s="221" t="str">
        <f t="shared" si="401"/>
        <v xml:space="preserve"> </v>
      </c>
      <c r="BS166" s="221" t="str">
        <f t="shared" si="402"/>
        <v xml:space="preserve"> </v>
      </c>
      <c r="BT166" s="221" t="str">
        <f t="shared" si="403"/>
        <v xml:space="preserve"> </v>
      </c>
      <c r="BU166" s="221" t="str">
        <f t="shared" si="404"/>
        <v xml:space="preserve"> </v>
      </c>
      <c r="BV166" s="221" t="str">
        <f t="shared" si="405"/>
        <v xml:space="preserve"> </v>
      </c>
      <c r="BW166" s="221" t="str">
        <f t="shared" si="406"/>
        <v xml:space="preserve"> </v>
      </c>
      <c r="BX166" s="421" t="str">
        <f t="shared" si="407"/>
        <v xml:space="preserve"> </v>
      </c>
      <c r="BY166" s="417" t="str">
        <f t="shared" si="408"/>
        <v xml:space="preserve"> </v>
      </c>
      <c r="BZ166" s="417" t="str">
        <f t="shared" si="409"/>
        <v xml:space="preserve"> </v>
      </c>
      <c r="CA166" s="422" t="str">
        <f t="shared" si="410"/>
        <v xml:space="preserve"> </v>
      </c>
      <c r="CB166" s="347" t="str">
        <f t="shared" si="354"/>
        <v xml:space="preserve"> </v>
      </c>
      <c r="CC166" s="347" t="str">
        <f t="shared" si="411"/>
        <v xml:space="preserve"> </v>
      </c>
      <c r="CD166" s="348" t="str">
        <f t="shared" si="355"/>
        <v xml:space="preserve"> </v>
      </c>
      <c r="CE166" s="347" t="str">
        <f t="shared" si="356"/>
        <v xml:space="preserve"> </v>
      </c>
      <c r="CF166" s="347" t="str">
        <f t="shared" si="357"/>
        <v xml:space="preserve"> </v>
      </c>
      <c r="CG166" s="348" t="str">
        <f t="shared" si="358"/>
        <v xml:space="preserve"> </v>
      </c>
      <c r="CH166" s="347" t="str">
        <f t="shared" si="412"/>
        <v xml:space="preserve"> </v>
      </c>
      <c r="CI166" s="349" t="str">
        <f>IF($A166="N/A"," ",F166+G166+(D166*('Pricing Inputs'!T199)))</f>
        <v xml:space="preserve"> </v>
      </c>
      <c r="CJ166" s="347" t="str">
        <f>IF($A166="N/A"," ",IF(PV=1,0,'Pricing Inputs'!U199))</f>
        <v xml:space="preserve"> </v>
      </c>
      <c r="CK166" s="350" t="str">
        <f t="shared" si="359"/>
        <v xml:space="preserve"> </v>
      </c>
      <c r="CL166" s="365" t="str">
        <f t="shared" si="360"/>
        <v xml:space="preserve"> </v>
      </c>
      <c r="CM166" s="380" t="str">
        <f t="shared" si="413"/>
        <v xml:space="preserve"> </v>
      </c>
      <c r="CN166" s="378" t="str">
        <f t="shared" si="361"/>
        <v xml:space="preserve"> </v>
      </c>
      <c r="CO166" s="378" t="str">
        <f t="shared" si="362"/>
        <v xml:space="preserve"> </v>
      </c>
      <c r="CP166" s="378" t="str">
        <f t="shared" si="363"/>
        <v xml:space="preserve"> </v>
      </c>
      <c r="CQ166" s="378" t="str">
        <f t="shared" si="364"/>
        <v xml:space="preserve"> </v>
      </c>
      <c r="CR166" s="378" t="str">
        <f t="shared" si="365"/>
        <v xml:space="preserve"> </v>
      </c>
      <c r="CS166" s="378" t="str">
        <f t="shared" si="366"/>
        <v xml:space="preserve"> </v>
      </c>
      <c r="CT166" s="378" t="str">
        <f t="shared" si="367"/>
        <v xml:space="preserve"> </v>
      </c>
      <c r="CU166" s="378" t="str">
        <f t="shared" si="368"/>
        <v xml:space="preserve"> </v>
      </c>
      <c r="CV166" s="378" t="str">
        <f t="shared" si="369"/>
        <v xml:space="preserve"> </v>
      </c>
      <c r="CW166" s="254" t="str">
        <f t="shared" si="370"/>
        <v xml:space="preserve"> </v>
      </c>
      <c r="CX166" s="254" t="str">
        <f t="shared" si="371"/>
        <v xml:space="preserve"> </v>
      </c>
      <c r="CY166" s="254" t="str">
        <f t="shared" si="372"/>
        <v xml:space="preserve"> </v>
      </c>
      <c r="CZ166" s="254" t="str">
        <f t="shared" si="373"/>
        <v xml:space="preserve"> </v>
      </c>
      <c r="DA166" s="254" t="str">
        <f t="shared" si="374"/>
        <v xml:space="preserve"> </v>
      </c>
      <c r="DB166" s="254" t="str">
        <f t="shared" si="375"/>
        <v xml:space="preserve"> </v>
      </c>
      <c r="DC166" s="254" t="str">
        <f t="shared" si="376"/>
        <v xml:space="preserve"> </v>
      </c>
      <c r="DD166" s="254" t="str">
        <f t="shared" si="377"/>
        <v xml:space="preserve"> </v>
      </c>
      <c r="DE166" s="254" t="str">
        <f t="shared" si="378"/>
        <v xml:space="preserve"> </v>
      </c>
      <c r="DF166" s="374" t="str">
        <f>IF($A166="N/A"," ",IF(CC=2,(IF(MONTH(A166)&gt;=4,IF(MONTH(A166)&lt;=10,Inputs!$G$13,Inputs!$G$14),Inputs!$G$14))*$CK166,0))</f>
        <v xml:space="preserve"> </v>
      </c>
      <c r="DG166" s="373" t="str">
        <f t="shared" si="379"/>
        <v xml:space="preserve"> </v>
      </c>
      <c r="DH166" s="373" t="str">
        <f t="shared" si="380"/>
        <v xml:space="preserve"> </v>
      </c>
      <c r="DI166" s="373" t="str">
        <f t="shared" si="381"/>
        <v xml:space="preserve"> </v>
      </c>
      <c r="DJ166" s="373" t="str">
        <f t="shared" si="382"/>
        <v xml:space="preserve"> </v>
      </c>
      <c r="DK166" s="373" t="str">
        <f t="shared" si="383"/>
        <v xml:space="preserve"> </v>
      </c>
      <c r="DL166" s="373" t="str">
        <f t="shared" si="384"/>
        <v xml:space="preserve"> </v>
      </c>
      <c r="DM166" s="373" t="str">
        <f t="shared" si="385"/>
        <v xml:space="preserve"> </v>
      </c>
      <c r="DN166" s="373" t="str">
        <f t="shared" si="386"/>
        <v xml:space="preserve"> </v>
      </c>
      <c r="DO166" s="373" t="str">
        <f t="shared" si="387"/>
        <v xml:space="preserve"> </v>
      </c>
      <c r="DP166" s="375" t="str">
        <f t="shared" si="388"/>
        <v xml:space="preserve"> </v>
      </c>
      <c r="DQ166" t="str">
        <f t="shared" si="414"/>
        <v xml:space="preserve"> </v>
      </c>
      <c r="HD166" t="str">
        <f t="shared" si="415"/>
        <v xml:space="preserve"> </v>
      </c>
      <c r="HE166" t="str">
        <f t="shared" si="416"/>
        <v xml:space="preserve"> </v>
      </c>
      <c r="HF166" t="str">
        <f t="shared" si="417"/>
        <v xml:space="preserve"> </v>
      </c>
    </row>
    <row r="167" spans="1:214">
      <c r="A167" s="415" t="str">
        <f>IF(A166="N/A","N/A",IF(EDATE(A166,1)&gt;Inputs!$K$3,"N/A",EDATE(A166,1)))</f>
        <v>N/A</v>
      </c>
      <c r="B167" s="410" t="str">
        <f t="shared" si="389"/>
        <v xml:space="preserve"> </v>
      </c>
      <c r="C167" s="411" t="str">
        <f t="shared" si="390"/>
        <v xml:space="preserve"> </v>
      </c>
      <c r="D167" s="412" t="str">
        <f t="shared" si="391"/>
        <v xml:space="preserve"> </v>
      </c>
      <c r="E167" s="413" t="str">
        <f>IF($A167="N/A"," ",(C167-'Pricing Inputs'!T200)*D167)</f>
        <v xml:space="preserve"> </v>
      </c>
      <c r="F167" s="414" t="str">
        <f t="shared" si="440"/>
        <v xml:space="preserve"> </v>
      </c>
      <c r="G167" s="414" t="str">
        <f t="shared" si="392"/>
        <v xml:space="preserve"> </v>
      </c>
      <c r="H167" s="416" t="str">
        <f t="shared" si="393"/>
        <v xml:space="preserve"> </v>
      </c>
      <c r="I167" s="213" t="str">
        <f t="shared" si="342"/>
        <v xml:space="preserve"> </v>
      </c>
      <c r="J167" s="213" t="str">
        <f t="shared" si="343"/>
        <v xml:space="preserve"> </v>
      </c>
      <c r="K167" s="213" t="str">
        <f t="shared" si="344"/>
        <v xml:space="preserve"> </v>
      </c>
      <c r="L167" s="213" t="str">
        <f t="shared" si="345"/>
        <v xml:space="preserve"> </v>
      </c>
      <c r="M167" s="213" t="str">
        <f t="shared" si="346"/>
        <v xml:space="preserve"> </v>
      </c>
      <c r="N167" s="213" t="str">
        <f t="shared" si="347"/>
        <v xml:space="preserve"> </v>
      </c>
      <c r="O167" s="213" t="str">
        <f t="shared" si="348"/>
        <v xml:space="preserve"> </v>
      </c>
      <c r="P167" s="213" t="str">
        <f t="shared" si="349"/>
        <v xml:space="preserve"> </v>
      </c>
      <c r="Q167" s="213" t="str">
        <f t="shared" si="350"/>
        <v xml:space="preserve"> </v>
      </c>
      <c r="R167" s="405" t="str">
        <f>IF($A167="N/A"," ",IF(Pricetype=2,MAX(I167-$H167,0),IF(Pricetype=1,(_xll.xSPRDOPT(I167,$E167,$CI167,0,($CD167+IF(Smile=TRUE,VLOOKUP(MAX(-5,$H167-I167),Volsmile,2),0)),$CG167,$CH167,($A167-DateToday)+15,1,0)),I167-$H167)))</f>
        <v xml:space="preserve"> </v>
      </c>
      <c r="S167" s="405" t="str">
        <f>IF($A167="N/A"," ",IF(Pricetype=2,MAX(J167-$H167,0),IF(Pricetype=1,(_xll.xSPRDOPT(J167,$E167,$CI167,0,($CD167+IF(Smile=TRUE,VLOOKUP(MAX(-5,$H167-J167),Volsmile,2),0)),$CG167,$CH167,($A167-DateToday)+15,1,0)),J167-$H167)))</f>
        <v xml:space="preserve"> </v>
      </c>
      <c r="T167" s="406" t="str">
        <f t="shared" si="351"/>
        <v xml:space="preserve"> </v>
      </c>
      <c r="U167" s="405" t="str">
        <f>IF($A167="N/A"," ",IF(Pricetype=2,MAX(L167-$H167,0),IF(L167&lt;&gt;0,IF(Pricetype=1,(_xll.xSPRDOPT(L167,$E167,$CI167,0,($CD167+IF(Smile=TRUE,VLOOKUP(MAX(-5,$H167-L167),Volsmile,2),0)),$CG167,$CH167,($A167-DateToday)+15,1,0)),L167-$H167),0)))</f>
        <v xml:space="preserve"> </v>
      </c>
      <c r="V167" s="405" t="str">
        <f>IF($A167="N/A"," ",IF(Pricetype=2,MAX(M167-$H167,0),IF(M167&lt;&gt;0,IF(Pricetype=1,(_xll.xSPRDOPT(M167,$E167,$CI167,0,($CD167+IF(Smile=TRUE,VLOOKUP(MAX(-5,$H167-M167),Volsmile,2),0)),$CG167,$CH167,($A167-DateToday)+15,1,0)),M167-$H167),0)))</f>
        <v xml:space="preserve"> </v>
      </c>
      <c r="W167" s="406" t="str">
        <f t="shared" si="352"/>
        <v xml:space="preserve"> </v>
      </c>
      <c r="X167" s="405" t="str">
        <f>IF($A167="N/A"," ",IF(Pricetype=2,MAX(O167-$H167,0),IF(O167&lt;&gt;0,IF(Pricetype=1,(_xll.xSPRDOPT(O167,$E167,$CI167,0,($CD167+IF(Smile=TRUE,VLOOKUP(MAX(-5,$H167-O167),Volsmile,2),0)),$CG167,$CH167,($A167-DateToday)+15,1,0)),O167-$H167),0)))</f>
        <v xml:space="preserve"> </v>
      </c>
      <c r="Y167" s="405" t="str">
        <f>IF($A167="N/A"," ",IF(Pricetype=2,MAX(P167-$H167,0),IF(P167&lt;&gt;0,IF(Pricetype=1,(_xll.xSPRDOPT(P167,$E167,$CI167,0,($CD167+IF(Smile=TRUE,VLOOKUP(MAX(-5,$H167-P167),Volsmile,2),0)),$CG167,$CH167,($A167-DateToday)+15,1,0)),P167-$H167),0)))</f>
        <v xml:space="preserve"> </v>
      </c>
      <c r="Z167" s="406" t="str">
        <f t="shared" si="353"/>
        <v xml:space="preserve"> </v>
      </c>
      <c r="AA167" s="254" t="str">
        <f>IF($A167="N/A"," ",IF(VLOOKUP(MONTH(A167),ManualTable,2)=1,(IF(0&lt;&gt;R167,IF(Pricetype=1,(_xll.xSPRDOPT(I167,$E167,$CI167,0,($CD167+IF(Smile=TRUE,VLOOKUP(MAX(-5,$H167-I167),Volsmile,2),0)),$CG167,$CH167,($A167-DateToday)+15,1,1))*(8*$HD167),8*$HD167),0)),0))</f>
        <v xml:space="preserve"> </v>
      </c>
      <c r="AB167" s="254" t="str">
        <f>IF($A167="N/A"," ",IF(VLOOKUP(MONTH(A167),ManualTable,3)=1,(IF(S167&lt;&gt;0,IF(Pricetype=1,(_xll.xSPRDOPT(J167,$E167,$CI167,0,($CD167+IF(Smile=TRUE,VLOOKUP(MAX(-5,$H167-J167),Volsmile,2),0)),$CG167,$CH167,($A167-DateToday)+15,1,1))*(8*$HD167),8*$HD167),0)),0))</f>
        <v xml:space="preserve"> </v>
      </c>
      <c r="AC167" s="254" t="str">
        <f t="shared" si="394"/>
        <v xml:space="preserve"> </v>
      </c>
      <c r="AD167" s="254" t="str">
        <f>IF($A167="N/A"," ",IF(VLOOKUP(MONTH(A167),ManualTable,5)=1,(IF(U167&lt;&gt;0,IF(Pricetype=1,(_xll.xSPRDOPT(L167,$E167,$CI167,0,($CD167+IF(Smile=TRUE,VLOOKUP(MAX(-5,$H167-L167),Volsmile,2),0)),$CG167,$CH167,($A167-DateToday)+15,1,1))*(8*$HE167),8*$HE167),0)),0))</f>
        <v xml:space="preserve"> </v>
      </c>
      <c r="AE167" s="254" t="str">
        <f>IF($A167="N/A"," ",IF(VLOOKUP(MONTH(A167),ManualTable,6)=1,(IF(V167&lt;&gt;0,IF(Pricetype=1,(_xll.xSPRDOPT(M167,$E167,$CI167,0,($CD167+IF(Smile=TRUE,VLOOKUP(MAX(-5,$H167-M167),Volsmile,2),0)),$CG167,$CH167,($A167-DateToday)+15,1,1))*(8*$HE167),8*$HE167),0)),0))</f>
        <v xml:space="preserve"> </v>
      </c>
      <c r="AF167" s="254" t="str">
        <f t="shared" si="395"/>
        <v xml:space="preserve"> </v>
      </c>
      <c r="AG167" s="254" t="str">
        <f>IF($A167="N/A"," ",IF(VLOOKUP(MONTH(A167),ManualTable,8)=1,(IF(X167&lt;&gt;0,IF(Pricetype=1,(_xll.xSPRDOPT(O167,$E167,$CI167,0,($CD167+IF(Smile=TRUE,VLOOKUP(MAX(-5,$H167-O167),Volsmile,2),0)),$CG167,$CH167,($A167-DateToday)+15,1,1))*(8*$HF167),8*$HF167),0)),0))</f>
        <v xml:space="preserve"> </v>
      </c>
      <c r="AH167" s="254" t="str">
        <f>IF($A167="N/A"," ",IF(VLOOKUP(MONTH(A167),ManualTable,9)=1,(IF(Y167&lt;&gt;0,IF(Pricetype=1,(_xll.xSPRDOPT(P167,$E167,$CI167,0,($CD167+IF(Smile=TRUE,VLOOKUP(MAX(-5,$H167-P167),Volsmile,2),0)),$CG167,$CH167,($A167-DateToday)+15,1,1))*(8*$HF167),8*$HF167),0)),0))</f>
        <v xml:space="preserve"> </v>
      </c>
      <c r="AI167" s="254" t="str">
        <f t="shared" si="396"/>
        <v xml:space="preserve"> </v>
      </c>
      <c r="AJ167" s="227" t="str">
        <f t="shared" si="464"/>
        <v xml:space="preserve"> </v>
      </c>
      <c r="AK167" s="228" t="str">
        <f t="shared" si="465"/>
        <v xml:space="preserve"> </v>
      </c>
      <c r="AL167" s="228" t="str">
        <f t="shared" si="465"/>
        <v xml:space="preserve"> </v>
      </c>
      <c r="AM167" s="228" t="str">
        <f t="shared" si="466"/>
        <v xml:space="preserve"> </v>
      </c>
      <c r="AN167" s="228" t="str">
        <f t="shared" si="467"/>
        <v xml:space="preserve"> </v>
      </c>
      <c r="AO167" s="228" t="str">
        <f t="shared" si="467"/>
        <v xml:space="preserve"> </v>
      </c>
      <c r="AP167" s="228" t="str">
        <f t="shared" si="468"/>
        <v xml:space="preserve"> </v>
      </c>
      <c r="AQ167" s="228" t="str">
        <f t="shared" si="469"/>
        <v xml:space="preserve"> </v>
      </c>
      <c r="AR167" s="229" t="str">
        <f t="shared" si="470"/>
        <v xml:space="preserve"> </v>
      </c>
      <c r="AS167" s="262" t="str">
        <f t="shared" si="433"/>
        <v xml:space="preserve"> </v>
      </c>
      <c r="AT167" s="263" t="str">
        <f t="shared" si="434"/>
        <v xml:space="preserve"> </v>
      </c>
      <c r="AU167" s="263" t="str">
        <f t="shared" si="434"/>
        <v xml:space="preserve"> </v>
      </c>
      <c r="AV167" s="263" t="str">
        <f t="shared" si="435"/>
        <v xml:space="preserve"> </v>
      </c>
      <c r="AW167" s="263" t="str">
        <f t="shared" si="436"/>
        <v xml:space="preserve"> </v>
      </c>
      <c r="AX167" s="263" t="str">
        <f t="shared" si="436"/>
        <v xml:space="preserve"> </v>
      </c>
      <c r="AY167" s="263" t="str">
        <f t="shared" si="437"/>
        <v xml:space="preserve"> </v>
      </c>
      <c r="AZ167" s="263" t="str">
        <f t="shared" si="438"/>
        <v xml:space="preserve"> </v>
      </c>
      <c r="BA167" s="263" t="str">
        <f t="shared" si="439"/>
        <v xml:space="preserve"> </v>
      </c>
      <c r="BB167" s="229"/>
      <c r="BC167" s="266" t="str">
        <f t="shared" si="457"/>
        <v xml:space="preserve"> </v>
      </c>
      <c r="BD167" s="269" t="str">
        <f t="shared" si="458"/>
        <v xml:space="preserve"> </v>
      </c>
      <c r="BE167" s="269" t="str">
        <f t="shared" si="458"/>
        <v xml:space="preserve"> </v>
      </c>
      <c r="BF167" s="269" t="str">
        <f t="shared" si="459"/>
        <v xml:space="preserve"> </v>
      </c>
      <c r="BG167" s="269" t="str">
        <f t="shared" si="460"/>
        <v xml:space="preserve"> </v>
      </c>
      <c r="BH167" s="269" t="str">
        <f t="shared" si="460"/>
        <v xml:space="preserve"> </v>
      </c>
      <c r="BI167" s="269" t="str">
        <f t="shared" si="461"/>
        <v xml:space="preserve"> </v>
      </c>
      <c r="BJ167" s="269" t="str">
        <f t="shared" si="462"/>
        <v xml:space="preserve"> </v>
      </c>
      <c r="BK167" s="269" t="str">
        <f t="shared" si="463"/>
        <v xml:space="preserve"> </v>
      </c>
      <c r="BL167" s="229"/>
      <c r="BM167" s="220" t="str">
        <f>IF($A167="N/A"," ",(IF(MONTH(A167)&gt;=4,IF(MONTH(A167)&lt;=10,Inputs!$F$13-Inputs!$G$13,Inputs!$F$14-Inputs!$G$14),Inputs!$F$14-Inputs!$G$14))*$CK167*Availability)</f>
        <v xml:space="preserve"> </v>
      </c>
      <c r="BN167" s="221" t="str">
        <f t="shared" si="397"/>
        <v xml:space="preserve"> </v>
      </c>
      <c r="BO167" s="221" t="str">
        <f t="shared" si="398"/>
        <v xml:space="preserve"> </v>
      </c>
      <c r="BP167" s="221" t="str">
        <f t="shared" si="399"/>
        <v xml:space="preserve"> </v>
      </c>
      <c r="BQ167" s="221" t="str">
        <f t="shared" si="400"/>
        <v xml:space="preserve"> </v>
      </c>
      <c r="BR167" s="221" t="str">
        <f t="shared" si="401"/>
        <v xml:space="preserve"> </v>
      </c>
      <c r="BS167" s="221" t="str">
        <f t="shared" si="402"/>
        <v xml:space="preserve"> </v>
      </c>
      <c r="BT167" s="221" t="str">
        <f t="shared" si="403"/>
        <v xml:space="preserve"> </v>
      </c>
      <c r="BU167" s="221" t="str">
        <f t="shared" si="404"/>
        <v xml:space="preserve"> </v>
      </c>
      <c r="BV167" s="221" t="str">
        <f t="shared" si="405"/>
        <v xml:space="preserve"> </v>
      </c>
      <c r="BW167" s="221" t="str">
        <f t="shared" si="406"/>
        <v xml:space="preserve"> </v>
      </c>
      <c r="BX167" s="421" t="str">
        <f t="shared" si="407"/>
        <v xml:space="preserve"> </v>
      </c>
      <c r="BY167" s="417" t="str">
        <f t="shared" si="408"/>
        <v xml:space="preserve"> </v>
      </c>
      <c r="BZ167" s="417" t="str">
        <f t="shared" si="409"/>
        <v xml:space="preserve"> </v>
      </c>
      <c r="CA167" s="422" t="str">
        <f t="shared" si="410"/>
        <v xml:space="preserve"> </v>
      </c>
      <c r="CB167" s="347" t="str">
        <f t="shared" si="354"/>
        <v xml:space="preserve"> </v>
      </c>
      <c r="CC167" s="347" t="str">
        <f t="shared" si="411"/>
        <v xml:space="preserve"> </v>
      </c>
      <c r="CD167" s="348" t="str">
        <f t="shared" si="355"/>
        <v xml:space="preserve"> </v>
      </c>
      <c r="CE167" s="347" t="str">
        <f t="shared" si="356"/>
        <v xml:space="preserve"> </v>
      </c>
      <c r="CF167" s="347" t="str">
        <f t="shared" si="357"/>
        <v xml:space="preserve"> </v>
      </c>
      <c r="CG167" s="348" t="str">
        <f t="shared" si="358"/>
        <v xml:space="preserve"> </v>
      </c>
      <c r="CH167" s="347" t="str">
        <f t="shared" si="412"/>
        <v xml:space="preserve"> </v>
      </c>
      <c r="CI167" s="349" t="str">
        <f>IF($A167="N/A"," ",F167+G167+(D167*('Pricing Inputs'!T200)))</f>
        <v xml:space="preserve"> </v>
      </c>
      <c r="CJ167" s="347" t="str">
        <f>IF($A167="N/A"," ",IF(PV=1,0,'Pricing Inputs'!U200))</f>
        <v xml:space="preserve"> </v>
      </c>
      <c r="CK167" s="350" t="str">
        <f t="shared" si="359"/>
        <v xml:space="preserve"> </v>
      </c>
      <c r="CL167" s="365" t="str">
        <f t="shared" si="360"/>
        <v xml:space="preserve"> </v>
      </c>
      <c r="CM167" s="380" t="str">
        <f t="shared" si="413"/>
        <v xml:space="preserve"> </v>
      </c>
      <c r="CN167" s="378" t="str">
        <f t="shared" si="361"/>
        <v xml:space="preserve"> </v>
      </c>
      <c r="CO167" s="378" t="str">
        <f t="shared" si="362"/>
        <v xml:space="preserve"> </v>
      </c>
      <c r="CP167" s="378" t="str">
        <f t="shared" si="363"/>
        <v xml:space="preserve"> </v>
      </c>
      <c r="CQ167" s="378" t="str">
        <f t="shared" si="364"/>
        <v xml:space="preserve"> </v>
      </c>
      <c r="CR167" s="378" t="str">
        <f t="shared" si="365"/>
        <v xml:space="preserve"> </v>
      </c>
      <c r="CS167" s="378" t="str">
        <f t="shared" si="366"/>
        <v xml:space="preserve"> </v>
      </c>
      <c r="CT167" s="378" t="str">
        <f t="shared" si="367"/>
        <v xml:space="preserve"> </v>
      </c>
      <c r="CU167" s="378" t="str">
        <f t="shared" si="368"/>
        <v xml:space="preserve"> </v>
      </c>
      <c r="CV167" s="378" t="str">
        <f t="shared" si="369"/>
        <v xml:space="preserve"> </v>
      </c>
      <c r="CW167" s="254" t="str">
        <f t="shared" si="370"/>
        <v xml:space="preserve"> </v>
      </c>
      <c r="CX167" s="254" t="str">
        <f t="shared" si="371"/>
        <v xml:space="preserve"> </v>
      </c>
      <c r="CY167" s="254" t="str">
        <f t="shared" si="372"/>
        <v xml:space="preserve"> </v>
      </c>
      <c r="CZ167" s="254" t="str">
        <f t="shared" si="373"/>
        <v xml:space="preserve"> </v>
      </c>
      <c r="DA167" s="254" t="str">
        <f t="shared" si="374"/>
        <v xml:space="preserve"> </v>
      </c>
      <c r="DB167" s="254" t="str">
        <f t="shared" si="375"/>
        <v xml:space="preserve"> </v>
      </c>
      <c r="DC167" s="254" t="str">
        <f t="shared" si="376"/>
        <v xml:space="preserve"> </v>
      </c>
      <c r="DD167" s="254" t="str">
        <f t="shared" si="377"/>
        <v xml:space="preserve"> </v>
      </c>
      <c r="DE167" s="254" t="str">
        <f t="shared" si="378"/>
        <v xml:space="preserve"> </v>
      </c>
      <c r="DF167" s="374" t="str">
        <f>IF($A167="N/A"," ",IF(CC=2,(IF(MONTH(A167)&gt;=4,IF(MONTH(A167)&lt;=10,Inputs!$G$13,Inputs!$G$14),Inputs!$G$14))*$CK167,0))</f>
        <v xml:space="preserve"> </v>
      </c>
      <c r="DG167" s="373" t="str">
        <f t="shared" si="379"/>
        <v xml:space="preserve"> </v>
      </c>
      <c r="DH167" s="373" t="str">
        <f t="shared" si="380"/>
        <v xml:space="preserve"> </v>
      </c>
      <c r="DI167" s="373" t="str">
        <f t="shared" si="381"/>
        <v xml:space="preserve"> </v>
      </c>
      <c r="DJ167" s="373" t="str">
        <f t="shared" si="382"/>
        <v xml:space="preserve"> </v>
      </c>
      <c r="DK167" s="373" t="str">
        <f t="shared" si="383"/>
        <v xml:space="preserve"> </v>
      </c>
      <c r="DL167" s="373" t="str">
        <f t="shared" si="384"/>
        <v xml:space="preserve"> </v>
      </c>
      <c r="DM167" s="373" t="str">
        <f t="shared" si="385"/>
        <v xml:space="preserve"> </v>
      </c>
      <c r="DN167" s="373" t="str">
        <f t="shared" si="386"/>
        <v xml:space="preserve"> </v>
      </c>
      <c r="DO167" s="373" t="str">
        <f t="shared" si="387"/>
        <v xml:space="preserve"> </v>
      </c>
      <c r="DP167" s="375" t="str">
        <f t="shared" si="388"/>
        <v xml:space="preserve"> </v>
      </c>
      <c r="DQ167" t="str">
        <f t="shared" si="414"/>
        <v xml:space="preserve"> </v>
      </c>
      <c r="HD167" t="str">
        <f t="shared" si="415"/>
        <v xml:space="preserve"> </v>
      </c>
      <c r="HE167" t="str">
        <f t="shared" si="416"/>
        <v xml:space="preserve"> </v>
      </c>
      <c r="HF167" t="str">
        <f t="shared" si="417"/>
        <v xml:space="preserve"> </v>
      </c>
    </row>
    <row r="168" spans="1:214">
      <c r="A168" s="415" t="str">
        <f>IF(A167="N/A","N/A",IF(EDATE(A167,1)&gt;Inputs!$K$3,"N/A",EDATE(A167,1)))</f>
        <v>N/A</v>
      </c>
      <c r="B168" s="410" t="str">
        <f t="shared" si="389"/>
        <v xml:space="preserve"> </v>
      </c>
      <c r="C168" s="411" t="str">
        <f t="shared" si="390"/>
        <v xml:space="preserve"> </v>
      </c>
      <c r="D168" s="412" t="str">
        <f t="shared" si="391"/>
        <v xml:space="preserve"> </v>
      </c>
      <c r="E168" s="413" t="str">
        <f>IF($A168="N/A"," ",(C168-'Pricing Inputs'!T201)*D168)</f>
        <v xml:space="preserve"> </v>
      </c>
      <c r="F168" s="414" t="str">
        <f t="shared" si="440"/>
        <v xml:space="preserve"> </v>
      </c>
      <c r="G168" s="414" t="str">
        <f t="shared" si="392"/>
        <v xml:space="preserve"> </v>
      </c>
      <c r="H168" s="416" t="str">
        <f t="shared" si="393"/>
        <v xml:space="preserve"> </v>
      </c>
      <c r="I168" s="213" t="str">
        <f t="shared" si="342"/>
        <v xml:space="preserve"> </v>
      </c>
      <c r="J168" s="213" t="str">
        <f t="shared" si="343"/>
        <v xml:space="preserve"> </v>
      </c>
      <c r="K168" s="213" t="str">
        <f t="shared" si="344"/>
        <v xml:space="preserve"> </v>
      </c>
      <c r="L168" s="213" t="str">
        <f t="shared" si="345"/>
        <v xml:space="preserve"> </v>
      </c>
      <c r="M168" s="213" t="str">
        <f t="shared" si="346"/>
        <v xml:space="preserve"> </v>
      </c>
      <c r="N168" s="213" t="str">
        <f t="shared" si="347"/>
        <v xml:space="preserve"> </v>
      </c>
      <c r="O168" s="213" t="str">
        <f t="shared" si="348"/>
        <v xml:space="preserve"> </v>
      </c>
      <c r="P168" s="213" t="str">
        <f t="shared" si="349"/>
        <v xml:space="preserve"> </v>
      </c>
      <c r="Q168" s="213" t="str">
        <f t="shared" si="350"/>
        <v xml:space="preserve"> </v>
      </c>
      <c r="R168" s="405" t="str">
        <f>IF($A168="N/A"," ",IF(Pricetype=2,MAX(I168-$H168,0),IF(Pricetype=1,(_xll.xSPRDOPT(I168,$E168,$CI168,0,($CD168+IF(Smile=TRUE,VLOOKUP(MAX(-5,$H168-I168),Volsmile,2),0)),$CG168,$CH168,($A168-DateToday)+15,1,0)),I168-$H168)))</f>
        <v xml:space="preserve"> </v>
      </c>
      <c r="S168" s="405" t="str">
        <f>IF($A168="N/A"," ",IF(Pricetype=2,MAX(J168-$H168,0),IF(Pricetype=1,(_xll.xSPRDOPT(J168,$E168,$CI168,0,($CD168+IF(Smile=TRUE,VLOOKUP(MAX(-5,$H168-J168),Volsmile,2),0)),$CG168,$CH168,($A168-DateToday)+15,1,0)),J168-$H168)))</f>
        <v xml:space="preserve"> </v>
      </c>
      <c r="T168" s="406" t="str">
        <f t="shared" si="351"/>
        <v xml:space="preserve"> </v>
      </c>
      <c r="U168" s="405" t="str">
        <f>IF($A168="N/A"," ",IF(Pricetype=2,MAX(L168-$H168,0),IF(L168&lt;&gt;0,IF(Pricetype=1,(_xll.xSPRDOPT(L168,$E168,$CI168,0,($CD168+IF(Smile=TRUE,VLOOKUP(MAX(-5,$H168-L168),Volsmile,2),0)),$CG168,$CH168,($A168-DateToday)+15,1,0)),L168-$H168),0)))</f>
        <v xml:space="preserve"> </v>
      </c>
      <c r="V168" s="405" t="str">
        <f>IF($A168="N/A"," ",IF(Pricetype=2,MAX(M168-$H168,0),IF(M168&lt;&gt;0,IF(Pricetype=1,(_xll.xSPRDOPT(M168,$E168,$CI168,0,($CD168+IF(Smile=TRUE,VLOOKUP(MAX(-5,$H168-M168),Volsmile,2),0)),$CG168,$CH168,($A168-DateToday)+15,1,0)),M168-$H168),0)))</f>
        <v xml:space="preserve"> </v>
      </c>
      <c r="W168" s="406" t="str">
        <f t="shared" si="352"/>
        <v xml:space="preserve"> </v>
      </c>
      <c r="X168" s="405" t="str">
        <f>IF($A168="N/A"," ",IF(Pricetype=2,MAX(O168-$H168,0),IF(O168&lt;&gt;0,IF(Pricetype=1,(_xll.xSPRDOPT(O168,$E168,$CI168,0,($CD168+IF(Smile=TRUE,VLOOKUP(MAX(-5,$H168-O168),Volsmile,2),0)),$CG168,$CH168,($A168-DateToday)+15,1,0)),O168-$H168),0)))</f>
        <v xml:space="preserve"> </v>
      </c>
      <c r="Y168" s="405" t="str">
        <f>IF($A168="N/A"," ",IF(Pricetype=2,MAX(P168-$H168,0),IF(P168&lt;&gt;0,IF(Pricetype=1,(_xll.xSPRDOPT(P168,$E168,$CI168,0,($CD168+IF(Smile=TRUE,VLOOKUP(MAX(-5,$H168-P168),Volsmile,2),0)),$CG168,$CH168,($A168-DateToday)+15,1,0)),P168-$H168),0)))</f>
        <v xml:space="preserve"> </v>
      </c>
      <c r="Z168" s="406" t="str">
        <f t="shared" si="353"/>
        <v xml:space="preserve"> </v>
      </c>
      <c r="AA168" s="254" t="str">
        <f>IF($A168="N/A"," ",IF(VLOOKUP(MONTH(A168),ManualTable,2)=1,(IF(0&lt;&gt;R168,IF(Pricetype=1,(_xll.xSPRDOPT(I168,$E168,$CI168,0,($CD168+IF(Smile=TRUE,VLOOKUP(MAX(-5,$H168-I168),Volsmile,2),0)),$CG168,$CH168,($A168-DateToday)+15,1,1))*(8*$HD168),8*$HD168),0)),0))</f>
        <v xml:space="preserve"> </v>
      </c>
      <c r="AB168" s="254" t="str">
        <f>IF($A168="N/A"," ",IF(VLOOKUP(MONTH(A168),ManualTable,3)=1,(IF(S168&lt;&gt;0,IF(Pricetype=1,(_xll.xSPRDOPT(J168,$E168,$CI168,0,($CD168+IF(Smile=TRUE,VLOOKUP(MAX(-5,$H168-J168),Volsmile,2),0)),$CG168,$CH168,($A168-DateToday)+15,1,1))*(8*$HD168),8*$HD168),0)),0))</f>
        <v xml:space="preserve"> </v>
      </c>
      <c r="AC168" s="254" t="str">
        <f t="shared" si="394"/>
        <v xml:space="preserve"> </v>
      </c>
      <c r="AD168" s="254" t="str">
        <f>IF($A168="N/A"," ",IF(VLOOKUP(MONTH(A168),ManualTable,5)=1,(IF(U168&lt;&gt;0,IF(Pricetype=1,(_xll.xSPRDOPT(L168,$E168,$CI168,0,($CD168+IF(Smile=TRUE,VLOOKUP(MAX(-5,$H168-L168),Volsmile,2),0)),$CG168,$CH168,($A168-DateToday)+15,1,1))*(8*$HE168),8*$HE168),0)),0))</f>
        <v xml:space="preserve"> </v>
      </c>
      <c r="AE168" s="254" t="str">
        <f>IF($A168="N/A"," ",IF(VLOOKUP(MONTH(A168),ManualTable,6)=1,(IF(V168&lt;&gt;0,IF(Pricetype=1,(_xll.xSPRDOPT(M168,$E168,$CI168,0,($CD168+IF(Smile=TRUE,VLOOKUP(MAX(-5,$H168-M168),Volsmile,2),0)),$CG168,$CH168,($A168-DateToday)+15,1,1))*(8*$HE168),8*$HE168),0)),0))</f>
        <v xml:space="preserve"> </v>
      </c>
      <c r="AF168" s="254" t="str">
        <f t="shared" si="395"/>
        <v xml:space="preserve"> </v>
      </c>
      <c r="AG168" s="254" t="str">
        <f>IF($A168="N/A"," ",IF(VLOOKUP(MONTH(A168),ManualTable,8)=1,(IF(X168&lt;&gt;0,IF(Pricetype=1,(_xll.xSPRDOPT(O168,$E168,$CI168,0,($CD168+IF(Smile=TRUE,VLOOKUP(MAX(-5,$H168-O168),Volsmile,2),0)),$CG168,$CH168,($A168-DateToday)+15,1,1))*(8*$HF168),8*$HF168),0)),0))</f>
        <v xml:space="preserve"> </v>
      </c>
      <c r="AH168" s="254" t="str">
        <f>IF($A168="N/A"," ",IF(VLOOKUP(MONTH(A168),ManualTable,9)=1,(IF(Y168&lt;&gt;0,IF(Pricetype=1,(_xll.xSPRDOPT(P168,$E168,$CI168,0,($CD168+IF(Smile=TRUE,VLOOKUP(MAX(-5,$H168-P168),Volsmile,2),0)),$CG168,$CH168,($A168-DateToday)+15,1,1))*(8*$HF168),8*$HF168),0)),0))</f>
        <v xml:space="preserve"> </v>
      </c>
      <c r="AI168" s="254" t="str">
        <f t="shared" si="396"/>
        <v xml:space="preserve"> </v>
      </c>
      <c r="AJ168" s="227" t="str">
        <f t="shared" si="464"/>
        <v xml:space="preserve"> </v>
      </c>
      <c r="AK168" s="228" t="str">
        <f t="shared" si="465"/>
        <v xml:space="preserve"> </v>
      </c>
      <c r="AL168" s="228" t="str">
        <f t="shared" si="465"/>
        <v xml:space="preserve"> </v>
      </c>
      <c r="AM168" s="228" t="str">
        <f t="shared" si="466"/>
        <v xml:space="preserve"> </v>
      </c>
      <c r="AN168" s="228" t="str">
        <f t="shared" si="467"/>
        <v xml:space="preserve"> </v>
      </c>
      <c r="AO168" s="228" t="str">
        <f t="shared" si="467"/>
        <v xml:space="preserve"> </v>
      </c>
      <c r="AP168" s="228" t="str">
        <f t="shared" si="468"/>
        <v xml:space="preserve"> </v>
      </c>
      <c r="AQ168" s="228" t="str">
        <f t="shared" si="469"/>
        <v xml:space="preserve"> </v>
      </c>
      <c r="AR168" s="229" t="str">
        <f t="shared" si="470"/>
        <v xml:space="preserve"> </v>
      </c>
      <c r="AS168" s="262" t="str">
        <f t="shared" si="433"/>
        <v xml:space="preserve"> </v>
      </c>
      <c r="AT168" s="263" t="str">
        <f t="shared" si="434"/>
        <v xml:space="preserve"> </v>
      </c>
      <c r="AU168" s="263" t="str">
        <f t="shared" si="434"/>
        <v xml:space="preserve"> </v>
      </c>
      <c r="AV168" s="263" t="str">
        <f t="shared" si="435"/>
        <v xml:space="preserve"> </v>
      </c>
      <c r="AW168" s="263" t="str">
        <f t="shared" si="436"/>
        <v xml:space="preserve"> </v>
      </c>
      <c r="AX168" s="263" t="str">
        <f t="shared" si="436"/>
        <v xml:space="preserve"> </v>
      </c>
      <c r="AY168" s="263" t="str">
        <f t="shared" si="437"/>
        <v xml:space="preserve"> </v>
      </c>
      <c r="AZ168" s="263" t="str">
        <f t="shared" si="438"/>
        <v xml:space="preserve"> </v>
      </c>
      <c r="BA168" s="263" t="str">
        <f t="shared" si="439"/>
        <v xml:space="preserve"> </v>
      </c>
      <c r="BB168" s="229"/>
      <c r="BC168" s="266" t="str">
        <f t="shared" si="457"/>
        <v xml:space="preserve"> </v>
      </c>
      <c r="BD168" s="269" t="str">
        <f t="shared" si="458"/>
        <v xml:space="preserve"> </v>
      </c>
      <c r="BE168" s="269" t="str">
        <f t="shared" si="458"/>
        <v xml:space="preserve"> </v>
      </c>
      <c r="BF168" s="269" t="str">
        <f t="shared" si="459"/>
        <v xml:space="preserve"> </v>
      </c>
      <c r="BG168" s="269" t="str">
        <f t="shared" si="460"/>
        <v xml:space="preserve"> </v>
      </c>
      <c r="BH168" s="269" t="str">
        <f t="shared" si="460"/>
        <v xml:space="preserve"> </v>
      </c>
      <c r="BI168" s="269" t="str">
        <f t="shared" si="461"/>
        <v xml:space="preserve"> </v>
      </c>
      <c r="BJ168" s="269" t="str">
        <f t="shared" si="462"/>
        <v xml:space="preserve"> </v>
      </c>
      <c r="BK168" s="269" t="str">
        <f t="shared" si="463"/>
        <v xml:space="preserve"> </v>
      </c>
      <c r="BL168" s="229"/>
      <c r="BM168" s="220" t="str">
        <f>IF($A168="N/A"," ",(IF(MONTH(A168)&gt;=4,IF(MONTH(A168)&lt;=10,Inputs!$F$13-Inputs!$G$13,Inputs!$F$14-Inputs!$G$14),Inputs!$F$14-Inputs!$G$14))*$CK168*Availability)</f>
        <v xml:space="preserve"> </v>
      </c>
      <c r="BN168" s="221" t="str">
        <f t="shared" si="397"/>
        <v xml:space="preserve"> </v>
      </c>
      <c r="BO168" s="221" t="str">
        <f t="shared" si="398"/>
        <v xml:space="preserve"> </v>
      </c>
      <c r="BP168" s="221" t="str">
        <f t="shared" si="399"/>
        <v xml:space="preserve"> </v>
      </c>
      <c r="BQ168" s="221" t="str">
        <f t="shared" si="400"/>
        <v xml:space="preserve"> </v>
      </c>
      <c r="BR168" s="221" t="str">
        <f t="shared" si="401"/>
        <v xml:space="preserve"> </v>
      </c>
      <c r="BS168" s="221" t="str">
        <f t="shared" si="402"/>
        <v xml:space="preserve"> </v>
      </c>
      <c r="BT168" s="221" t="str">
        <f t="shared" si="403"/>
        <v xml:space="preserve"> </v>
      </c>
      <c r="BU168" s="221" t="str">
        <f t="shared" si="404"/>
        <v xml:space="preserve"> </v>
      </c>
      <c r="BV168" s="221" t="str">
        <f t="shared" si="405"/>
        <v xml:space="preserve"> </v>
      </c>
      <c r="BW168" s="221" t="str">
        <f t="shared" si="406"/>
        <v xml:space="preserve"> </v>
      </c>
      <c r="BX168" s="421" t="str">
        <f t="shared" si="407"/>
        <v xml:space="preserve"> </v>
      </c>
      <c r="BY168" s="417" t="str">
        <f t="shared" si="408"/>
        <v xml:space="preserve"> </v>
      </c>
      <c r="BZ168" s="417" t="str">
        <f t="shared" si="409"/>
        <v xml:space="preserve"> </v>
      </c>
      <c r="CA168" s="422" t="str">
        <f t="shared" si="410"/>
        <v xml:space="preserve"> </v>
      </c>
      <c r="CB168" s="347" t="str">
        <f t="shared" si="354"/>
        <v xml:space="preserve"> </v>
      </c>
      <c r="CC168" s="347" t="str">
        <f t="shared" si="411"/>
        <v xml:space="preserve"> </v>
      </c>
      <c r="CD168" s="348" t="str">
        <f t="shared" si="355"/>
        <v xml:space="preserve"> </v>
      </c>
      <c r="CE168" s="347" t="str">
        <f t="shared" si="356"/>
        <v xml:space="preserve"> </v>
      </c>
      <c r="CF168" s="347" t="str">
        <f t="shared" si="357"/>
        <v xml:space="preserve"> </v>
      </c>
      <c r="CG168" s="348" t="str">
        <f t="shared" si="358"/>
        <v xml:space="preserve"> </v>
      </c>
      <c r="CH168" s="347" t="str">
        <f t="shared" si="412"/>
        <v xml:space="preserve"> </v>
      </c>
      <c r="CI168" s="349" t="str">
        <f>IF($A168="N/A"," ",F168+G168+(D168*('Pricing Inputs'!T201)))</f>
        <v xml:space="preserve"> </v>
      </c>
      <c r="CJ168" s="347" t="str">
        <f>IF($A168="N/A"," ",IF(PV=1,0,'Pricing Inputs'!U201))</f>
        <v xml:space="preserve"> </v>
      </c>
      <c r="CK168" s="350" t="str">
        <f t="shared" si="359"/>
        <v xml:space="preserve"> </v>
      </c>
      <c r="CL168" s="365" t="str">
        <f t="shared" si="360"/>
        <v xml:space="preserve"> </v>
      </c>
      <c r="CM168" s="380" t="str">
        <f t="shared" si="413"/>
        <v xml:space="preserve"> </v>
      </c>
      <c r="CN168" s="378" t="str">
        <f t="shared" si="361"/>
        <v xml:space="preserve"> </v>
      </c>
      <c r="CO168" s="378" t="str">
        <f t="shared" si="362"/>
        <v xml:space="preserve"> </v>
      </c>
      <c r="CP168" s="378" t="str">
        <f t="shared" si="363"/>
        <v xml:space="preserve"> </v>
      </c>
      <c r="CQ168" s="378" t="str">
        <f t="shared" si="364"/>
        <v xml:space="preserve"> </v>
      </c>
      <c r="CR168" s="378" t="str">
        <f t="shared" si="365"/>
        <v xml:space="preserve"> </v>
      </c>
      <c r="CS168" s="378" t="str">
        <f t="shared" si="366"/>
        <v xml:space="preserve"> </v>
      </c>
      <c r="CT168" s="378" t="str">
        <f t="shared" si="367"/>
        <v xml:space="preserve"> </v>
      </c>
      <c r="CU168" s="378" t="str">
        <f t="shared" si="368"/>
        <v xml:space="preserve"> </v>
      </c>
      <c r="CV168" s="378" t="str">
        <f t="shared" si="369"/>
        <v xml:space="preserve"> </v>
      </c>
      <c r="CW168" s="254" t="str">
        <f t="shared" si="370"/>
        <v xml:space="preserve"> </v>
      </c>
      <c r="CX168" s="254" t="str">
        <f t="shared" si="371"/>
        <v xml:space="preserve"> </v>
      </c>
      <c r="CY168" s="254" t="str">
        <f t="shared" si="372"/>
        <v xml:space="preserve"> </v>
      </c>
      <c r="CZ168" s="254" t="str">
        <f t="shared" si="373"/>
        <v xml:space="preserve"> </v>
      </c>
      <c r="DA168" s="254" t="str">
        <f t="shared" si="374"/>
        <v xml:space="preserve"> </v>
      </c>
      <c r="DB168" s="254" t="str">
        <f t="shared" si="375"/>
        <v xml:space="preserve"> </v>
      </c>
      <c r="DC168" s="254" t="str">
        <f t="shared" si="376"/>
        <v xml:space="preserve"> </v>
      </c>
      <c r="DD168" s="254" t="str">
        <f t="shared" si="377"/>
        <v xml:space="preserve"> </v>
      </c>
      <c r="DE168" s="254" t="str">
        <f t="shared" si="378"/>
        <v xml:space="preserve"> </v>
      </c>
      <c r="DF168" s="374" t="str">
        <f>IF($A168="N/A"," ",IF(CC=2,(IF(MONTH(A168)&gt;=4,IF(MONTH(A168)&lt;=10,Inputs!$G$13,Inputs!$G$14),Inputs!$G$14))*$CK168,0))</f>
        <v xml:space="preserve"> </v>
      </c>
      <c r="DG168" s="373" t="str">
        <f t="shared" si="379"/>
        <v xml:space="preserve"> </v>
      </c>
      <c r="DH168" s="373" t="str">
        <f t="shared" si="380"/>
        <v xml:space="preserve"> </v>
      </c>
      <c r="DI168" s="373" t="str">
        <f t="shared" si="381"/>
        <v xml:space="preserve"> </v>
      </c>
      <c r="DJ168" s="373" t="str">
        <f t="shared" si="382"/>
        <v xml:space="preserve"> </v>
      </c>
      <c r="DK168" s="373" t="str">
        <f t="shared" si="383"/>
        <v xml:space="preserve"> </v>
      </c>
      <c r="DL168" s="373" t="str">
        <f t="shared" si="384"/>
        <v xml:space="preserve"> </v>
      </c>
      <c r="DM168" s="373" t="str">
        <f t="shared" si="385"/>
        <v xml:space="preserve"> </v>
      </c>
      <c r="DN168" s="373" t="str">
        <f t="shared" si="386"/>
        <v xml:space="preserve"> </v>
      </c>
      <c r="DO168" s="373" t="str">
        <f t="shared" si="387"/>
        <v xml:space="preserve"> </v>
      </c>
      <c r="DP168" s="375" t="str">
        <f t="shared" si="388"/>
        <v xml:space="preserve"> </v>
      </c>
      <c r="DQ168" t="str">
        <f t="shared" si="414"/>
        <v xml:space="preserve"> </v>
      </c>
      <c r="HD168" t="str">
        <f t="shared" si="415"/>
        <v xml:space="preserve"> </v>
      </c>
      <c r="HE168" t="str">
        <f t="shared" si="416"/>
        <v xml:space="preserve"> </v>
      </c>
      <c r="HF168" t="str">
        <f t="shared" si="417"/>
        <v xml:space="preserve"> </v>
      </c>
    </row>
    <row r="169" spans="1:214">
      <c r="A169" s="415" t="str">
        <f>IF(A168="N/A","N/A",IF(EDATE(A168,1)&gt;Inputs!$K$3,"N/A",EDATE(A168,1)))</f>
        <v>N/A</v>
      </c>
      <c r="B169" s="410" t="str">
        <f t="shared" si="389"/>
        <v xml:space="preserve"> </v>
      </c>
      <c r="C169" s="411" t="str">
        <f t="shared" si="390"/>
        <v xml:space="preserve"> </v>
      </c>
      <c r="D169" s="412" t="str">
        <f t="shared" si="391"/>
        <v xml:space="preserve"> </v>
      </c>
      <c r="E169" s="413" t="str">
        <f>IF($A169="N/A"," ",(C169-'Pricing Inputs'!T202)*D169)</f>
        <v xml:space="preserve"> </v>
      </c>
      <c r="F169" s="414" t="str">
        <f t="shared" si="440"/>
        <v xml:space="preserve"> </v>
      </c>
      <c r="G169" s="414" t="str">
        <f t="shared" si="392"/>
        <v xml:space="preserve"> </v>
      </c>
      <c r="H169" s="416" t="str">
        <f t="shared" si="393"/>
        <v xml:space="preserve"> </v>
      </c>
      <c r="I169" s="213" t="str">
        <f t="shared" si="342"/>
        <v xml:space="preserve"> </v>
      </c>
      <c r="J169" s="213" t="str">
        <f t="shared" si="343"/>
        <v xml:space="preserve"> </v>
      </c>
      <c r="K169" s="213" t="str">
        <f t="shared" si="344"/>
        <v xml:space="preserve"> </v>
      </c>
      <c r="L169" s="213" t="str">
        <f t="shared" si="345"/>
        <v xml:space="preserve"> </v>
      </c>
      <c r="M169" s="213" t="str">
        <f t="shared" si="346"/>
        <v xml:space="preserve"> </v>
      </c>
      <c r="N169" s="213" t="str">
        <f t="shared" si="347"/>
        <v xml:space="preserve"> </v>
      </c>
      <c r="O169" s="213" t="str">
        <f t="shared" si="348"/>
        <v xml:space="preserve"> </v>
      </c>
      <c r="P169" s="213" t="str">
        <f t="shared" si="349"/>
        <v xml:space="preserve"> </v>
      </c>
      <c r="Q169" s="213" t="str">
        <f t="shared" si="350"/>
        <v xml:space="preserve"> </v>
      </c>
      <c r="R169" s="405" t="str">
        <f>IF($A169="N/A"," ",IF(Pricetype=2,MAX(I169-$H169,0),IF(Pricetype=1,(_xll.xSPRDOPT(I169,$E169,$CI169,0,($CD169+IF(Smile=TRUE,VLOOKUP(MAX(-5,$H169-I169),Volsmile,2),0)),$CG169,$CH169,($A169-DateToday)+15,1,0)),I169-$H169)))</f>
        <v xml:space="preserve"> </v>
      </c>
      <c r="S169" s="405" t="str">
        <f>IF($A169="N/A"," ",IF(Pricetype=2,MAX(J169-$H169,0),IF(Pricetype=1,(_xll.xSPRDOPT(J169,$E169,$CI169,0,($CD169+IF(Smile=TRUE,VLOOKUP(MAX(-5,$H169-J169),Volsmile,2),0)),$CG169,$CH169,($A169-DateToday)+15,1,0)),J169-$H169)))</f>
        <v xml:space="preserve"> </v>
      </c>
      <c r="T169" s="406" t="str">
        <f t="shared" si="351"/>
        <v xml:space="preserve"> </v>
      </c>
      <c r="U169" s="405" t="str">
        <f>IF($A169="N/A"," ",IF(Pricetype=2,MAX(L169-$H169,0),IF(L169&lt;&gt;0,IF(Pricetype=1,(_xll.xSPRDOPT(L169,$E169,$CI169,0,($CD169+IF(Smile=TRUE,VLOOKUP(MAX(-5,$H169-L169),Volsmile,2),0)),$CG169,$CH169,($A169-DateToday)+15,1,0)),L169-$H169),0)))</f>
        <v xml:space="preserve"> </v>
      </c>
      <c r="V169" s="405" t="str">
        <f>IF($A169="N/A"," ",IF(Pricetype=2,MAX(M169-$H169,0),IF(M169&lt;&gt;0,IF(Pricetype=1,(_xll.xSPRDOPT(M169,$E169,$CI169,0,($CD169+IF(Smile=TRUE,VLOOKUP(MAX(-5,$H169-M169),Volsmile,2),0)),$CG169,$CH169,($A169-DateToday)+15,1,0)),M169-$H169),0)))</f>
        <v xml:space="preserve"> </v>
      </c>
      <c r="W169" s="406" t="str">
        <f t="shared" si="352"/>
        <v xml:space="preserve"> </v>
      </c>
      <c r="X169" s="405" t="str">
        <f>IF($A169="N/A"," ",IF(Pricetype=2,MAX(O169-$H169,0),IF(O169&lt;&gt;0,IF(Pricetype=1,(_xll.xSPRDOPT(O169,$E169,$CI169,0,($CD169+IF(Smile=TRUE,VLOOKUP(MAX(-5,$H169-O169),Volsmile,2),0)),$CG169,$CH169,($A169-DateToday)+15,1,0)),O169-$H169),0)))</f>
        <v xml:space="preserve"> </v>
      </c>
      <c r="Y169" s="405" t="str">
        <f>IF($A169="N/A"," ",IF(Pricetype=2,MAX(P169-$H169,0),IF(P169&lt;&gt;0,IF(Pricetype=1,(_xll.xSPRDOPT(P169,$E169,$CI169,0,($CD169+IF(Smile=TRUE,VLOOKUP(MAX(-5,$H169-P169),Volsmile,2),0)),$CG169,$CH169,($A169-DateToday)+15,1,0)),P169-$H169),0)))</f>
        <v xml:space="preserve"> </v>
      </c>
      <c r="Z169" s="406" t="str">
        <f t="shared" si="353"/>
        <v xml:space="preserve"> </v>
      </c>
      <c r="AA169" s="254" t="str">
        <f>IF($A169="N/A"," ",IF(VLOOKUP(MONTH(A169),ManualTable,2)=1,(IF(0&lt;&gt;R169,IF(Pricetype=1,(_xll.xSPRDOPT(I169,$E169,$CI169,0,($CD169+IF(Smile=TRUE,VLOOKUP(MAX(-5,$H169-I169),Volsmile,2),0)),$CG169,$CH169,($A169-DateToday)+15,1,1))*(8*$HD169),8*$HD169),0)),0))</f>
        <v xml:space="preserve"> </v>
      </c>
      <c r="AB169" s="254" t="str">
        <f>IF($A169="N/A"," ",IF(VLOOKUP(MONTH(A169),ManualTable,3)=1,(IF(S169&lt;&gt;0,IF(Pricetype=1,(_xll.xSPRDOPT(J169,$E169,$CI169,0,($CD169+IF(Smile=TRUE,VLOOKUP(MAX(-5,$H169-J169),Volsmile,2),0)),$CG169,$CH169,($A169-DateToday)+15,1,1))*(8*$HD169),8*$HD169),0)),0))</f>
        <v xml:space="preserve"> </v>
      </c>
      <c r="AC169" s="254" t="str">
        <f t="shared" si="394"/>
        <v xml:space="preserve"> </v>
      </c>
      <c r="AD169" s="254" t="str">
        <f>IF($A169="N/A"," ",IF(VLOOKUP(MONTH(A169),ManualTable,5)=1,(IF(U169&lt;&gt;0,IF(Pricetype=1,(_xll.xSPRDOPT(L169,$E169,$CI169,0,($CD169+IF(Smile=TRUE,VLOOKUP(MAX(-5,$H169-L169),Volsmile,2),0)),$CG169,$CH169,($A169-DateToday)+15,1,1))*(8*$HE169),8*$HE169),0)),0))</f>
        <v xml:space="preserve"> </v>
      </c>
      <c r="AE169" s="254" t="str">
        <f>IF($A169="N/A"," ",IF(VLOOKUP(MONTH(A169),ManualTable,6)=1,(IF(V169&lt;&gt;0,IF(Pricetype=1,(_xll.xSPRDOPT(M169,$E169,$CI169,0,($CD169+IF(Smile=TRUE,VLOOKUP(MAX(-5,$H169-M169),Volsmile,2),0)),$CG169,$CH169,($A169-DateToday)+15,1,1))*(8*$HE169),8*$HE169),0)),0))</f>
        <v xml:space="preserve"> </v>
      </c>
      <c r="AF169" s="254" t="str">
        <f t="shared" si="395"/>
        <v xml:space="preserve"> </v>
      </c>
      <c r="AG169" s="254" t="str">
        <f>IF($A169="N/A"," ",IF(VLOOKUP(MONTH(A169),ManualTable,8)=1,(IF(X169&lt;&gt;0,IF(Pricetype=1,(_xll.xSPRDOPT(O169,$E169,$CI169,0,($CD169+IF(Smile=TRUE,VLOOKUP(MAX(-5,$H169-O169),Volsmile,2),0)),$CG169,$CH169,($A169-DateToday)+15,1,1))*(8*$HF169),8*$HF169),0)),0))</f>
        <v xml:space="preserve"> </v>
      </c>
      <c r="AH169" s="254" t="str">
        <f>IF($A169="N/A"," ",IF(VLOOKUP(MONTH(A169),ManualTable,9)=1,(IF(Y169&lt;&gt;0,IF(Pricetype=1,(_xll.xSPRDOPT(P169,$E169,$CI169,0,($CD169+IF(Smile=TRUE,VLOOKUP(MAX(-5,$H169-P169),Volsmile,2),0)),$CG169,$CH169,($A169-DateToday)+15,1,1))*(8*$HF169),8*$HF169),0)),0))</f>
        <v xml:space="preserve"> </v>
      </c>
      <c r="AI169" s="254" t="str">
        <f t="shared" si="396"/>
        <v xml:space="preserve"> </v>
      </c>
      <c r="AJ169" s="227" t="str">
        <f t="shared" si="464"/>
        <v xml:space="preserve"> </v>
      </c>
      <c r="AK169" s="228" t="str">
        <f t="shared" si="465"/>
        <v xml:space="preserve"> </v>
      </c>
      <c r="AL169" s="228" t="str">
        <f t="shared" si="465"/>
        <v xml:space="preserve"> </v>
      </c>
      <c r="AM169" s="228" t="str">
        <f t="shared" si="466"/>
        <v xml:space="preserve"> </v>
      </c>
      <c r="AN169" s="228" t="str">
        <f t="shared" si="467"/>
        <v xml:space="preserve"> </v>
      </c>
      <c r="AO169" s="228" t="str">
        <f t="shared" si="467"/>
        <v xml:space="preserve"> </v>
      </c>
      <c r="AP169" s="228" t="str">
        <f t="shared" si="468"/>
        <v xml:space="preserve"> </v>
      </c>
      <c r="AQ169" s="228" t="str">
        <f t="shared" si="469"/>
        <v xml:space="preserve"> </v>
      </c>
      <c r="AR169" s="229" t="str">
        <f t="shared" si="470"/>
        <v xml:space="preserve"> </v>
      </c>
      <c r="AS169" s="262" t="str">
        <f t="shared" si="433"/>
        <v xml:space="preserve"> </v>
      </c>
      <c r="AT169" s="263" t="str">
        <f t="shared" si="434"/>
        <v xml:space="preserve"> </v>
      </c>
      <c r="AU169" s="263" t="str">
        <f t="shared" si="434"/>
        <v xml:space="preserve"> </v>
      </c>
      <c r="AV169" s="263" t="str">
        <f t="shared" si="435"/>
        <v xml:space="preserve"> </v>
      </c>
      <c r="AW169" s="263" t="str">
        <f t="shared" si="436"/>
        <v xml:space="preserve"> </v>
      </c>
      <c r="AX169" s="263" t="str">
        <f t="shared" si="436"/>
        <v xml:space="preserve"> </v>
      </c>
      <c r="AY169" s="263" t="str">
        <f t="shared" si="437"/>
        <v xml:space="preserve"> </v>
      </c>
      <c r="AZ169" s="263" t="str">
        <f t="shared" si="438"/>
        <v xml:space="preserve"> </v>
      </c>
      <c r="BA169" s="263" t="str">
        <f t="shared" si="439"/>
        <v xml:space="preserve"> </v>
      </c>
      <c r="BB169" s="234" t="s">
        <v>1271</v>
      </c>
      <c r="BC169" s="266" t="str">
        <f t="shared" si="457"/>
        <v xml:space="preserve"> </v>
      </c>
      <c r="BD169" s="269" t="str">
        <f t="shared" si="458"/>
        <v xml:space="preserve"> </v>
      </c>
      <c r="BE169" s="269" t="str">
        <f t="shared" si="458"/>
        <v xml:space="preserve"> </v>
      </c>
      <c r="BF169" s="269" t="str">
        <f t="shared" si="459"/>
        <v xml:space="preserve"> </v>
      </c>
      <c r="BG169" s="269" t="str">
        <f t="shared" si="460"/>
        <v xml:space="preserve"> </v>
      </c>
      <c r="BH169" s="269" t="str">
        <f t="shared" si="460"/>
        <v xml:space="preserve"> </v>
      </c>
      <c r="BI169" s="269" t="str">
        <f t="shared" si="461"/>
        <v xml:space="preserve"> </v>
      </c>
      <c r="BJ169" s="269" t="str">
        <f t="shared" si="462"/>
        <v xml:space="preserve"> </v>
      </c>
      <c r="BK169" s="269" t="str">
        <f t="shared" si="463"/>
        <v xml:space="preserve"> </v>
      </c>
      <c r="BL169" s="233" t="s">
        <v>1283</v>
      </c>
      <c r="BM169" s="220" t="str">
        <f>IF($A169="N/A"," ",(IF(MONTH(A169)&gt;=4,IF(MONTH(A169)&lt;=10,Inputs!$F$13-Inputs!$G$13,Inputs!$F$14-Inputs!$G$14),Inputs!$F$14-Inputs!$G$14))*$CK169*Availability)</f>
        <v xml:space="preserve"> </v>
      </c>
      <c r="BN169" s="221" t="str">
        <f t="shared" si="397"/>
        <v xml:space="preserve"> </v>
      </c>
      <c r="BO169" s="221" t="str">
        <f t="shared" si="398"/>
        <v xml:space="preserve"> </v>
      </c>
      <c r="BP169" s="221" t="str">
        <f t="shared" si="399"/>
        <v xml:space="preserve"> </v>
      </c>
      <c r="BQ169" s="221" t="str">
        <f t="shared" si="400"/>
        <v xml:space="preserve"> </v>
      </c>
      <c r="BR169" s="221" t="str">
        <f t="shared" si="401"/>
        <v xml:space="preserve"> </v>
      </c>
      <c r="BS169" s="221" t="str">
        <f t="shared" si="402"/>
        <v xml:space="preserve"> </v>
      </c>
      <c r="BT169" s="221" t="str">
        <f t="shared" si="403"/>
        <v xml:space="preserve"> </v>
      </c>
      <c r="BU169" s="221" t="str">
        <f t="shared" si="404"/>
        <v xml:space="preserve"> </v>
      </c>
      <c r="BV169" s="221" t="str">
        <f t="shared" si="405"/>
        <v xml:space="preserve"> </v>
      </c>
      <c r="BW169" s="221" t="str">
        <f t="shared" si="406"/>
        <v xml:space="preserve"> </v>
      </c>
      <c r="BX169" s="421" t="str">
        <f t="shared" si="407"/>
        <v xml:space="preserve"> </v>
      </c>
      <c r="BY169" s="417" t="str">
        <f t="shared" si="408"/>
        <v xml:space="preserve"> </v>
      </c>
      <c r="BZ169" s="417" t="str">
        <f t="shared" si="409"/>
        <v xml:space="preserve"> </v>
      </c>
      <c r="CA169" s="422" t="str">
        <f t="shared" si="410"/>
        <v xml:space="preserve"> </v>
      </c>
      <c r="CB169" s="347" t="str">
        <f t="shared" si="354"/>
        <v xml:space="preserve"> </v>
      </c>
      <c r="CC169" s="347" t="str">
        <f t="shared" si="411"/>
        <v xml:space="preserve"> </v>
      </c>
      <c r="CD169" s="348" t="str">
        <f t="shared" si="355"/>
        <v xml:space="preserve"> </v>
      </c>
      <c r="CE169" s="347" t="str">
        <f t="shared" si="356"/>
        <v xml:space="preserve"> </v>
      </c>
      <c r="CF169" s="347" t="str">
        <f t="shared" si="357"/>
        <v xml:space="preserve"> </v>
      </c>
      <c r="CG169" s="348" t="str">
        <f t="shared" si="358"/>
        <v xml:space="preserve"> </v>
      </c>
      <c r="CH169" s="347" t="str">
        <f t="shared" si="412"/>
        <v xml:space="preserve"> </v>
      </c>
      <c r="CI169" s="349" t="str">
        <f>IF($A169="N/A"," ",F169+G169+(D169*('Pricing Inputs'!T202)))</f>
        <v xml:space="preserve"> </v>
      </c>
      <c r="CJ169" s="347" t="str">
        <f>IF($A169="N/A"," ",IF(PV=1,0,'Pricing Inputs'!U202))</f>
        <v xml:space="preserve"> </v>
      </c>
      <c r="CK169" s="350" t="str">
        <f t="shared" si="359"/>
        <v xml:space="preserve"> </v>
      </c>
      <c r="CL169" s="365" t="str">
        <f t="shared" si="360"/>
        <v xml:space="preserve"> </v>
      </c>
      <c r="CM169" s="380" t="str">
        <f t="shared" si="413"/>
        <v xml:space="preserve"> </v>
      </c>
      <c r="CN169" s="378" t="str">
        <f t="shared" si="361"/>
        <v xml:space="preserve"> </v>
      </c>
      <c r="CO169" s="378" t="str">
        <f t="shared" si="362"/>
        <v xml:space="preserve"> </v>
      </c>
      <c r="CP169" s="378" t="str">
        <f t="shared" si="363"/>
        <v xml:space="preserve"> </v>
      </c>
      <c r="CQ169" s="378" t="str">
        <f t="shared" si="364"/>
        <v xml:space="preserve"> </v>
      </c>
      <c r="CR169" s="378" t="str">
        <f t="shared" si="365"/>
        <v xml:space="preserve"> </v>
      </c>
      <c r="CS169" s="378" t="str">
        <f t="shared" si="366"/>
        <v xml:space="preserve"> </v>
      </c>
      <c r="CT169" s="378" t="str">
        <f t="shared" si="367"/>
        <v xml:space="preserve"> </v>
      </c>
      <c r="CU169" s="378" t="str">
        <f t="shared" si="368"/>
        <v xml:space="preserve"> </v>
      </c>
      <c r="CV169" s="378" t="str">
        <f t="shared" si="369"/>
        <v xml:space="preserve"> </v>
      </c>
      <c r="CW169" s="254" t="str">
        <f t="shared" si="370"/>
        <v xml:space="preserve"> </v>
      </c>
      <c r="CX169" s="254" t="str">
        <f t="shared" si="371"/>
        <v xml:space="preserve"> </v>
      </c>
      <c r="CY169" s="254" t="str">
        <f t="shared" si="372"/>
        <v xml:space="preserve"> </v>
      </c>
      <c r="CZ169" s="254" t="str">
        <f t="shared" si="373"/>
        <v xml:space="preserve"> </v>
      </c>
      <c r="DA169" s="254" t="str">
        <f t="shared" si="374"/>
        <v xml:space="preserve"> </v>
      </c>
      <c r="DB169" s="254" t="str">
        <f t="shared" si="375"/>
        <v xml:space="preserve"> </v>
      </c>
      <c r="DC169" s="254" t="str">
        <f t="shared" si="376"/>
        <v xml:space="preserve"> </v>
      </c>
      <c r="DD169" s="254" t="str">
        <f t="shared" si="377"/>
        <v xml:space="preserve"> </v>
      </c>
      <c r="DE169" s="254" t="str">
        <f t="shared" si="378"/>
        <v xml:space="preserve"> </v>
      </c>
      <c r="DF169" s="374" t="str">
        <f>IF($A169="N/A"," ",IF(CC=2,(IF(MONTH(A169)&gt;=4,IF(MONTH(A169)&lt;=10,Inputs!$G$13,Inputs!$G$14),Inputs!$G$14))*$CK169,0))</f>
        <v xml:space="preserve"> </v>
      </c>
      <c r="DG169" s="373" t="str">
        <f t="shared" si="379"/>
        <v xml:space="preserve"> </v>
      </c>
      <c r="DH169" s="373" t="str">
        <f t="shared" si="380"/>
        <v xml:space="preserve"> </v>
      </c>
      <c r="DI169" s="373" t="str">
        <f t="shared" si="381"/>
        <v xml:space="preserve"> </v>
      </c>
      <c r="DJ169" s="373" t="str">
        <f t="shared" si="382"/>
        <v xml:space="preserve"> </v>
      </c>
      <c r="DK169" s="373" t="str">
        <f t="shared" si="383"/>
        <v xml:space="preserve"> </v>
      </c>
      <c r="DL169" s="373" t="str">
        <f t="shared" si="384"/>
        <v xml:space="preserve"> </v>
      </c>
      <c r="DM169" s="373" t="str">
        <f t="shared" si="385"/>
        <v xml:space="preserve"> </v>
      </c>
      <c r="DN169" s="373" t="str">
        <f t="shared" si="386"/>
        <v xml:space="preserve"> </v>
      </c>
      <c r="DO169" s="373" t="str">
        <f t="shared" si="387"/>
        <v xml:space="preserve"> </v>
      </c>
      <c r="DP169" s="375" t="str">
        <f t="shared" si="388"/>
        <v xml:space="preserve"> </v>
      </c>
      <c r="DQ169" t="str">
        <f t="shared" si="414"/>
        <v xml:space="preserve"> </v>
      </c>
      <c r="HD169" t="str">
        <f t="shared" si="415"/>
        <v xml:space="preserve"> </v>
      </c>
      <c r="HE169" t="str">
        <f t="shared" si="416"/>
        <v xml:space="preserve"> </v>
      </c>
      <c r="HF169" t="str">
        <f t="shared" si="417"/>
        <v xml:space="preserve"> </v>
      </c>
    </row>
    <row r="170" spans="1:214">
      <c r="A170" s="415" t="str">
        <f>IF(A169="N/A","N/A",IF(EDATE(A169,1)&gt;Inputs!$K$3,"N/A",EDATE(A169,1)))</f>
        <v>N/A</v>
      </c>
      <c r="B170" s="410" t="str">
        <f t="shared" si="389"/>
        <v xml:space="preserve"> </v>
      </c>
      <c r="C170" s="411" t="str">
        <f t="shared" si="390"/>
        <v xml:space="preserve"> </v>
      </c>
      <c r="D170" s="412" t="str">
        <f t="shared" si="391"/>
        <v xml:space="preserve"> </v>
      </c>
      <c r="E170" s="413" t="str">
        <f>IF($A170="N/A"," ",(C170-'Pricing Inputs'!T203)*D170)</f>
        <v xml:space="preserve"> </v>
      </c>
      <c r="F170" s="414" t="str">
        <f t="shared" si="440"/>
        <v xml:space="preserve"> </v>
      </c>
      <c r="G170" s="414" t="str">
        <f t="shared" si="392"/>
        <v xml:space="preserve"> </v>
      </c>
      <c r="H170" s="416" t="str">
        <f t="shared" si="393"/>
        <v xml:space="preserve"> </v>
      </c>
      <c r="I170" s="213" t="str">
        <f t="shared" si="342"/>
        <v xml:space="preserve"> </v>
      </c>
      <c r="J170" s="213" t="str">
        <f t="shared" si="343"/>
        <v xml:space="preserve"> </v>
      </c>
      <c r="K170" s="213" t="str">
        <f t="shared" si="344"/>
        <v xml:space="preserve"> </v>
      </c>
      <c r="L170" s="213" t="str">
        <f t="shared" si="345"/>
        <v xml:space="preserve"> </v>
      </c>
      <c r="M170" s="213" t="str">
        <f t="shared" si="346"/>
        <v xml:space="preserve"> </v>
      </c>
      <c r="N170" s="213" t="str">
        <f t="shared" si="347"/>
        <v xml:space="preserve"> </v>
      </c>
      <c r="O170" s="213" t="str">
        <f t="shared" si="348"/>
        <v xml:space="preserve"> </v>
      </c>
      <c r="P170" s="213" t="str">
        <f t="shared" si="349"/>
        <v xml:space="preserve"> </v>
      </c>
      <c r="Q170" s="213" t="str">
        <f t="shared" si="350"/>
        <v xml:space="preserve"> </v>
      </c>
      <c r="R170" s="405" t="str">
        <f>IF($A170="N/A"," ",IF(Pricetype=2,MAX(I170-$H170,0),IF(Pricetype=1,(_xll.xSPRDOPT(I170,$E170,$CI170,0,($CD170+IF(Smile=TRUE,VLOOKUP(MAX(-5,$H170-I170),Volsmile,2),0)),$CG170,$CH170,($A170-DateToday)+15,1,0)),I170-$H170)))</f>
        <v xml:space="preserve"> </v>
      </c>
      <c r="S170" s="405" t="str">
        <f>IF($A170="N/A"," ",IF(Pricetype=2,MAX(J170-$H170,0),IF(Pricetype=1,(_xll.xSPRDOPT(J170,$E170,$CI170,0,($CD170+IF(Smile=TRUE,VLOOKUP(MAX(-5,$H170-J170),Volsmile,2),0)),$CG170,$CH170,($A170-DateToday)+15,1,0)),J170-$H170)))</f>
        <v xml:space="preserve"> </v>
      </c>
      <c r="T170" s="406" t="str">
        <f t="shared" si="351"/>
        <v xml:space="preserve"> </v>
      </c>
      <c r="U170" s="405" t="str">
        <f>IF($A170="N/A"," ",IF(Pricetype=2,MAX(L170-$H170,0),IF(L170&lt;&gt;0,IF(Pricetype=1,(_xll.xSPRDOPT(L170,$E170,$CI170,0,($CD170+IF(Smile=TRUE,VLOOKUP(MAX(-5,$H170-L170),Volsmile,2),0)),$CG170,$CH170,($A170-DateToday)+15,1,0)),L170-$H170),0)))</f>
        <v xml:space="preserve"> </v>
      </c>
      <c r="V170" s="405" t="str">
        <f>IF($A170="N/A"," ",IF(Pricetype=2,MAX(M170-$H170,0),IF(M170&lt;&gt;0,IF(Pricetype=1,(_xll.xSPRDOPT(M170,$E170,$CI170,0,($CD170+IF(Smile=TRUE,VLOOKUP(MAX(-5,$H170-M170),Volsmile,2),0)),$CG170,$CH170,($A170-DateToday)+15,1,0)),M170-$H170),0)))</f>
        <v xml:space="preserve"> </v>
      </c>
      <c r="W170" s="406" t="str">
        <f t="shared" si="352"/>
        <v xml:space="preserve"> </v>
      </c>
      <c r="X170" s="405" t="str">
        <f>IF($A170="N/A"," ",IF(Pricetype=2,MAX(O170-$H170,0),IF(O170&lt;&gt;0,IF(Pricetype=1,(_xll.xSPRDOPT(O170,$E170,$CI170,0,($CD170+IF(Smile=TRUE,VLOOKUP(MAX(-5,$H170-O170),Volsmile,2),0)),$CG170,$CH170,($A170-DateToday)+15,1,0)),O170-$H170),0)))</f>
        <v xml:space="preserve"> </v>
      </c>
      <c r="Y170" s="405" t="str">
        <f>IF($A170="N/A"," ",IF(Pricetype=2,MAX(P170-$H170,0),IF(P170&lt;&gt;0,IF(Pricetype=1,(_xll.xSPRDOPT(P170,$E170,$CI170,0,($CD170+IF(Smile=TRUE,VLOOKUP(MAX(-5,$H170-P170),Volsmile,2),0)),$CG170,$CH170,($A170-DateToday)+15,1,0)),P170-$H170),0)))</f>
        <v xml:space="preserve"> </v>
      </c>
      <c r="Z170" s="406" t="str">
        <f t="shared" si="353"/>
        <v xml:space="preserve"> </v>
      </c>
      <c r="AA170" s="254" t="str">
        <f>IF($A170="N/A"," ",IF(VLOOKUP(MONTH(A170),ManualTable,2)=1,(IF(0&lt;&gt;R170,IF(Pricetype=1,(_xll.xSPRDOPT(I170,$E170,$CI170,0,($CD170+IF(Smile=TRUE,VLOOKUP(MAX(-5,$H170-I170),Volsmile,2),0)),$CG170,$CH170,($A170-DateToday)+15,1,1))*(8*$HD170),8*$HD170),0)),0))</f>
        <v xml:space="preserve"> </v>
      </c>
      <c r="AB170" s="254" t="str">
        <f>IF($A170="N/A"," ",IF(VLOOKUP(MONTH(A170),ManualTable,3)=1,(IF(S170&lt;&gt;0,IF(Pricetype=1,(_xll.xSPRDOPT(J170,$E170,$CI170,0,($CD170+IF(Smile=TRUE,VLOOKUP(MAX(-5,$H170-J170),Volsmile,2),0)),$CG170,$CH170,($A170-DateToday)+15,1,1))*(8*$HD170),8*$HD170),0)),0))</f>
        <v xml:space="preserve"> </v>
      </c>
      <c r="AC170" s="254" t="str">
        <f t="shared" si="394"/>
        <v xml:space="preserve"> </v>
      </c>
      <c r="AD170" s="254" t="str">
        <f>IF($A170="N/A"," ",IF(VLOOKUP(MONTH(A170),ManualTable,5)=1,(IF(U170&lt;&gt;0,IF(Pricetype=1,(_xll.xSPRDOPT(L170,$E170,$CI170,0,($CD170+IF(Smile=TRUE,VLOOKUP(MAX(-5,$H170-L170),Volsmile,2),0)),$CG170,$CH170,($A170-DateToday)+15,1,1))*(8*$HE170),8*$HE170),0)),0))</f>
        <v xml:space="preserve"> </v>
      </c>
      <c r="AE170" s="254" t="str">
        <f>IF($A170="N/A"," ",IF(VLOOKUP(MONTH(A170),ManualTable,6)=1,(IF(V170&lt;&gt;0,IF(Pricetype=1,(_xll.xSPRDOPT(M170,$E170,$CI170,0,($CD170+IF(Smile=TRUE,VLOOKUP(MAX(-5,$H170-M170),Volsmile,2),0)),$CG170,$CH170,($A170-DateToday)+15,1,1))*(8*$HE170),8*$HE170),0)),0))</f>
        <v xml:space="preserve"> </v>
      </c>
      <c r="AF170" s="254" t="str">
        <f t="shared" si="395"/>
        <v xml:space="preserve"> </v>
      </c>
      <c r="AG170" s="254" t="str">
        <f>IF($A170="N/A"," ",IF(VLOOKUP(MONTH(A170),ManualTable,8)=1,(IF(X170&lt;&gt;0,IF(Pricetype=1,(_xll.xSPRDOPT(O170,$E170,$CI170,0,($CD170+IF(Smile=TRUE,VLOOKUP(MAX(-5,$H170-O170),Volsmile,2),0)),$CG170,$CH170,($A170-DateToday)+15,1,1))*(8*$HF170),8*$HF170),0)),0))</f>
        <v xml:space="preserve"> </v>
      </c>
      <c r="AH170" s="254" t="str">
        <f>IF($A170="N/A"," ",IF(VLOOKUP(MONTH(A170),ManualTable,9)=1,(IF(Y170&lt;&gt;0,IF(Pricetype=1,(_xll.xSPRDOPT(P170,$E170,$CI170,0,($CD170+IF(Smile=TRUE,VLOOKUP(MAX(-5,$H170-P170),Volsmile,2),0)),$CG170,$CH170,($A170-DateToday)+15,1,1))*(8*$HF170),8*$HF170),0)),0))</f>
        <v xml:space="preserve"> </v>
      </c>
      <c r="AI170" s="254" t="str">
        <f t="shared" si="396"/>
        <v xml:space="preserve"> </v>
      </c>
      <c r="AJ170" s="227" t="str">
        <f t="shared" si="464"/>
        <v xml:space="preserve"> </v>
      </c>
      <c r="AK170" s="228" t="str">
        <f t="shared" si="465"/>
        <v xml:space="preserve"> </v>
      </c>
      <c r="AL170" s="228" t="str">
        <f t="shared" si="465"/>
        <v xml:space="preserve"> </v>
      </c>
      <c r="AM170" s="228" t="str">
        <f t="shared" si="466"/>
        <v xml:space="preserve"> </v>
      </c>
      <c r="AN170" s="228" t="str">
        <f t="shared" si="467"/>
        <v xml:space="preserve"> </v>
      </c>
      <c r="AO170" s="228" t="str">
        <f t="shared" si="467"/>
        <v xml:space="preserve"> </v>
      </c>
      <c r="AP170" s="228" t="str">
        <f t="shared" si="468"/>
        <v xml:space="preserve"> </v>
      </c>
      <c r="AQ170" s="228" t="str">
        <f t="shared" si="469"/>
        <v xml:space="preserve"> </v>
      </c>
      <c r="AR170" s="229" t="str">
        <f t="shared" si="470"/>
        <v xml:space="preserve"> </v>
      </c>
      <c r="AS170" s="262" t="str">
        <f t="shared" si="433"/>
        <v xml:space="preserve"> </v>
      </c>
      <c r="AT170" s="263" t="str">
        <f t="shared" si="434"/>
        <v xml:space="preserve"> </v>
      </c>
      <c r="AU170" s="263" t="str">
        <f t="shared" si="434"/>
        <v xml:space="preserve"> </v>
      </c>
      <c r="AV170" s="263" t="str">
        <f t="shared" si="435"/>
        <v xml:space="preserve"> </v>
      </c>
      <c r="AW170" s="263" t="str">
        <f t="shared" si="436"/>
        <v xml:space="preserve"> </v>
      </c>
      <c r="AX170" s="263" t="str">
        <f t="shared" si="436"/>
        <v xml:space="preserve"> </v>
      </c>
      <c r="AY170" s="263" t="str">
        <f t="shared" si="437"/>
        <v xml:space="preserve"> </v>
      </c>
      <c r="AZ170" s="263" t="str">
        <f t="shared" si="438"/>
        <v xml:space="preserve"> </v>
      </c>
      <c r="BA170" s="263" t="str">
        <f t="shared" si="439"/>
        <v xml:space="preserve"> </v>
      </c>
      <c r="BB170" s="229">
        <f>SUM(AS160:BA171)</f>
        <v>0</v>
      </c>
      <c r="BC170" s="266" t="str">
        <f t="shared" si="457"/>
        <v xml:space="preserve"> </v>
      </c>
      <c r="BD170" s="269" t="str">
        <f t="shared" si="458"/>
        <v xml:space="preserve"> </v>
      </c>
      <c r="BE170" s="269" t="str">
        <f t="shared" si="458"/>
        <v xml:space="preserve"> </v>
      </c>
      <c r="BF170" s="269" t="str">
        <f t="shared" si="459"/>
        <v xml:space="preserve"> </v>
      </c>
      <c r="BG170" s="269" t="str">
        <f t="shared" si="460"/>
        <v xml:space="preserve"> </v>
      </c>
      <c r="BH170" s="269" t="str">
        <f t="shared" si="460"/>
        <v xml:space="preserve"> </v>
      </c>
      <c r="BI170" s="269" t="str">
        <f t="shared" si="461"/>
        <v xml:space="preserve"> </v>
      </c>
      <c r="BJ170" s="269" t="str">
        <f t="shared" si="462"/>
        <v xml:space="preserve"> </v>
      </c>
      <c r="BK170" s="269" t="str">
        <f t="shared" si="463"/>
        <v xml:space="preserve"> </v>
      </c>
      <c r="BL170" s="229">
        <f>SUM(BC160:BK171)</f>
        <v>0</v>
      </c>
      <c r="BM170" s="220" t="str">
        <f>IF($A170="N/A"," ",(IF(MONTH(A170)&gt;=4,IF(MONTH(A170)&lt;=10,Inputs!$F$13-Inputs!$G$13,Inputs!$F$14-Inputs!$G$14),Inputs!$F$14-Inputs!$G$14))*$CK170*Availability)</f>
        <v xml:space="preserve"> </v>
      </c>
      <c r="BN170" s="221" t="str">
        <f t="shared" si="397"/>
        <v xml:space="preserve"> </v>
      </c>
      <c r="BO170" s="221" t="str">
        <f t="shared" si="398"/>
        <v xml:space="preserve"> </v>
      </c>
      <c r="BP170" s="221" t="str">
        <f t="shared" si="399"/>
        <v xml:space="preserve"> </v>
      </c>
      <c r="BQ170" s="221" t="str">
        <f t="shared" si="400"/>
        <v xml:space="preserve"> </v>
      </c>
      <c r="BR170" s="221" t="str">
        <f t="shared" si="401"/>
        <v xml:space="preserve"> </v>
      </c>
      <c r="BS170" s="221" t="str">
        <f t="shared" si="402"/>
        <v xml:space="preserve"> </v>
      </c>
      <c r="BT170" s="221" t="str">
        <f t="shared" si="403"/>
        <v xml:space="preserve"> </v>
      </c>
      <c r="BU170" s="221" t="str">
        <f t="shared" si="404"/>
        <v xml:space="preserve"> </v>
      </c>
      <c r="BV170" s="221" t="str">
        <f t="shared" si="405"/>
        <v xml:space="preserve"> </v>
      </c>
      <c r="BW170" s="221" t="str">
        <f t="shared" si="406"/>
        <v xml:space="preserve"> </v>
      </c>
      <c r="BX170" s="421" t="str">
        <f t="shared" si="407"/>
        <v xml:space="preserve"> </v>
      </c>
      <c r="BY170" s="417" t="str">
        <f t="shared" si="408"/>
        <v xml:space="preserve"> </v>
      </c>
      <c r="BZ170" s="417" t="str">
        <f t="shared" si="409"/>
        <v xml:space="preserve"> </v>
      </c>
      <c r="CA170" s="422" t="str">
        <f t="shared" si="410"/>
        <v xml:space="preserve"> </v>
      </c>
      <c r="CB170" s="347" t="str">
        <f t="shared" si="354"/>
        <v xml:space="preserve"> </v>
      </c>
      <c r="CC170" s="347" t="str">
        <f t="shared" si="411"/>
        <v xml:space="preserve"> </v>
      </c>
      <c r="CD170" s="348" t="str">
        <f t="shared" si="355"/>
        <v xml:space="preserve"> </v>
      </c>
      <c r="CE170" s="347" t="str">
        <f t="shared" si="356"/>
        <v xml:space="preserve"> </v>
      </c>
      <c r="CF170" s="347" t="str">
        <f t="shared" si="357"/>
        <v xml:space="preserve"> </v>
      </c>
      <c r="CG170" s="348" t="str">
        <f t="shared" si="358"/>
        <v xml:space="preserve"> </v>
      </c>
      <c r="CH170" s="347" t="str">
        <f t="shared" si="412"/>
        <v xml:space="preserve"> </v>
      </c>
      <c r="CI170" s="349" t="str">
        <f>IF($A170="N/A"," ",F170+G170+(D170*('Pricing Inputs'!T203)))</f>
        <v xml:space="preserve"> </v>
      </c>
      <c r="CJ170" s="347" t="str">
        <f>IF($A170="N/A"," ",IF(PV=1,0,'Pricing Inputs'!U203))</f>
        <v xml:space="preserve"> </v>
      </c>
      <c r="CK170" s="350" t="str">
        <f t="shared" si="359"/>
        <v xml:space="preserve"> </v>
      </c>
      <c r="CL170" s="365" t="str">
        <f t="shared" si="360"/>
        <v xml:space="preserve"> </v>
      </c>
      <c r="CM170" s="380" t="str">
        <f t="shared" si="413"/>
        <v xml:space="preserve"> </v>
      </c>
      <c r="CN170" s="378" t="str">
        <f t="shared" si="361"/>
        <v xml:space="preserve"> </v>
      </c>
      <c r="CO170" s="378" t="str">
        <f t="shared" si="362"/>
        <v xml:space="preserve"> </v>
      </c>
      <c r="CP170" s="378" t="str">
        <f t="shared" si="363"/>
        <v xml:space="preserve"> </v>
      </c>
      <c r="CQ170" s="378" t="str">
        <f t="shared" si="364"/>
        <v xml:space="preserve"> </v>
      </c>
      <c r="CR170" s="378" t="str">
        <f t="shared" si="365"/>
        <v xml:space="preserve"> </v>
      </c>
      <c r="CS170" s="378" t="str">
        <f t="shared" si="366"/>
        <v xml:space="preserve"> </v>
      </c>
      <c r="CT170" s="378" t="str">
        <f t="shared" si="367"/>
        <v xml:space="preserve"> </v>
      </c>
      <c r="CU170" s="378" t="str">
        <f t="shared" si="368"/>
        <v xml:space="preserve"> </v>
      </c>
      <c r="CV170" s="378" t="str">
        <f t="shared" si="369"/>
        <v xml:space="preserve"> </v>
      </c>
      <c r="CW170" s="254" t="str">
        <f t="shared" si="370"/>
        <v xml:space="preserve"> </v>
      </c>
      <c r="CX170" s="254" t="str">
        <f t="shared" si="371"/>
        <v xml:space="preserve"> </v>
      </c>
      <c r="CY170" s="254" t="str">
        <f t="shared" si="372"/>
        <v xml:space="preserve"> </v>
      </c>
      <c r="CZ170" s="254" t="str">
        <f t="shared" si="373"/>
        <v xml:space="preserve"> </v>
      </c>
      <c r="DA170" s="254" t="str">
        <f t="shared" si="374"/>
        <v xml:space="preserve"> </v>
      </c>
      <c r="DB170" s="254" t="str">
        <f t="shared" si="375"/>
        <v xml:space="preserve"> </v>
      </c>
      <c r="DC170" s="254" t="str">
        <f t="shared" si="376"/>
        <v xml:space="preserve"> </v>
      </c>
      <c r="DD170" s="254" t="str">
        <f t="shared" si="377"/>
        <v xml:space="preserve"> </v>
      </c>
      <c r="DE170" s="254" t="str">
        <f t="shared" si="378"/>
        <v xml:space="preserve"> </v>
      </c>
      <c r="DF170" s="374" t="str">
        <f>IF($A170="N/A"," ",IF(CC=2,(IF(MONTH(A170)&gt;=4,IF(MONTH(A170)&lt;=10,Inputs!$G$13,Inputs!$G$14),Inputs!$G$14))*$CK170,0))</f>
        <v xml:space="preserve"> </v>
      </c>
      <c r="DG170" s="373" t="str">
        <f t="shared" si="379"/>
        <v xml:space="preserve"> </v>
      </c>
      <c r="DH170" s="373" t="str">
        <f t="shared" si="380"/>
        <v xml:space="preserve"> </v>
      </c>
      <c r="DI170" s="373" t="str">
        <f t="shared" si="381"/>
        <v xml:space="preserve"> </v>
      </c>
      <c r="DJ170" s="373" t="str">
        <f t="shared" si="382"/>
        <v xml:space="preserve"> </v>
      </c>
      <c r="DK170" s="373" t="str">
        <f t="shared" si="383"/>
        <v xml:space="preserve"> </v>
      </c>
      <c r="DL170" s="373" t="str">
        <f t="shared" si="384"/>
        <v xml:space="preserve"> </v>
      </c>
      <c r="DM170" s="373" t="str">
        <f t="shared" si="385"/>
        <v xml:space="preserve"> </v>
      </c>
      <c r="DN170" s="373" t="str">
        <f t="shared" si="386"/>
        <v xml:space="preserve"> </v>
      </c>
      <c r="DO170" s="373" t="str">
        <f t="shared" si="387"/>
        <v xml:space="preserve"> </v>
      </c>
      <c r="DP170" s="375" t="str">
        <f t="shared" si="388"/>
        <v xml:space="preserve"> </v>
      </c>
      <c r="DQ170" t="str">
        <f t="shared" si="414"/>
        <v xml:space="preserve"> </v>
      </c>
      <c r="HD170" t="str">
        <f t="shared" si="415"/>
        <v xml:space="preserve"> </v>
      </c>
      <c r="HE170" t="str">
        <f t="shared" si="416"/>
        <v xml:space="preserve"> </v>
      </c>
      <c r="HF170" t="str">
        <f t="shared" si="417"/>
        <v xml:space="preserve"> </v>
      </c>
    </row>
    <row r="171" spans="1:214">
      <c r="A171" s="415" t="str">
        <f>IF(A170="N/A","N/A",IF(EDATE(A170,1)&gt;Inputs!$K$3,"N/A",EDATE(A170,1)))</f>
        <v>N/A</v>
      </c>
      <c r="B171" s="410" t="str">
        <f t="shared" si="389"/>
        <v xml:space="preserve"> </v>
      </c>
      <c r="C171" s="411" t="str">
        <f t="shared" si="390"/>
        <v xml:space="preserve"> </v>
      </c>
      <c r="D171" s="412" t="str">
        <f t="shared" si="391"/>
        <v xml:space="preserve"> </v>
      </c>
      <c r="E171" s="413" t="str">
        <f>IF($A171="N/A"," ",(C171-'Pricing Inputs'!T204)*D171)</f>
        <v xml:space="preserve"> </v>
      </c>
      <c r="F171" s="414" t="str">
        <f t="shared" si="440"/>
        <v xml:space="preserve"> </v>
      </c>
      <c r="G171" s="414" t="str">
        <f t="shared" si="392"/>
        <v xml:space="preserve"> </v>
      </c>
      <c r="H171" s="416" t="str">
        <f t="shared" si="393"/>
        <v xml:space="preserve"> </v>
      </c>
      <c r="I171" s="213" t="str">
        <f t="shared" si="342"/>
        <v xml:space="preserve"> </v>
      </c>
      <c r="J171" s="213" t="str">
        <f t="shared" si="343"/>
        <v xml:space="preserve"> </v>
      </c>
      <c r="K171" s="213" t="str">
        <f t="shared" si="344"/>
        <v xml:space="preserve"> </v>
      </c>
      <c r="L171" s="213" t="str">
        <f t="shared" si="345"/>
        <v xml:space="preserve"> </v>
      </c>
      <c r="M171" s="213" t="str">
        <f t="shared" si="346"/>
        <v xml:space="preserve"> </v>
      </c>
      <c r="N171" s="213" t="str">
        <f t="shared" si="347"/>
        <v xml:space="preserve"> </v>
      </c>
      <c r="O171" s="213" t="str">
        <f t="shared" si="348"/>
        <v xml:space="preserve"> </v>
      </c>
      <c r="P171" s="213" t="str">
        <f t="shared" si="349"/>
        <v xml:space="preserve"> </v>
      </c>
      <c r="Q171" s="213" t="str">
        <f t="shared" si="350"/>
        <v xml:space="preserve"> </v>
      </c>
      <c r="R171" s="405" t="str">
        <f>IF($A171="N/A"," ",IF(Pricetype=2,MAX(I171-$H171,0),IF(Pricetype=1,(_xll.xSPRDOPT(I171,$E171,$CI171,0,($CD171+IF(Smile=TRUE,VLOOKUP(MAX(-5,$H171-I171),Volsmile,2),0)),$CG171,$CH171,($A171-DateToday)+15,1,0)),I171-$H171)))</f>
        <v xml:space="preserve"> </v>
      </c>
      <c r="S171" s="405" t="str">
        <f>IF($A171="N/A"," ",IF(Pricetype=2,MAX(J171-$H171,0),IF(Pricetype=1,(_xll.xSPRDOPT(J171,$E171,$CI171,0,($CD171+IF(Smile=TRUE,VLOOKUP(MAX(-5,$H171-J171),Volsmile,2),0)),$CG171,$CH171,($A171-DateToday)+15,1,0)),J171-$H171)))</f>
        <v xml:space="preserve"> </v>
      </c>
      <c r="T171" s="406" t="str">
        <f t="shared" si="351"/>
        <v xml:space="preserve"> </v>
      </c>
      <c r="U171" s="405" t="str">
        <f>IF($A171="N/A"," ",IF(Pricetype=2,MAX(L171-$H171,0),IF(L171&lt;&gt;0,IF(Pricetype=1,(_xll.xSPRDOPT(L171,$E171,$CI171,0,($CD171+IF(Smile=TRUE,VLOOKUP(MAX(-5,$H171-L171),Volsmile,2),0)),$CG171,$CH171,($A171-DateToday)+15,1,0)),L171-$H171),0)))</f>
        <v xml:space="preserve"> </v>
      </c>
      <c r="V171" s="405" t="str">
        <f>IF($A171="N/A"," ",IF(Pricetype=2,MAX(M171-$H171,0),IF(M171&lt;&gt;0,IF(Pricetype=1,(_xll.xSPRDOPT(M171,$E171,$CI171,0,($CD171+IF(Smile=TRUE,VLOOKUP(MAX(-5,$H171-M171),Volsmile,2),0)),$CG171,$CH171,($A171-DateToday)+15,1,0)),M171-$H171),0)))</f>
        <v xml:space="preserve"> </v>
      </c>
      <c r="W171" s="406" t="str">
        <f t="shared" si="352"/>
        <v xml:space="preserve"> </v>
      </c>
      <c r="X171" s="405" t="str">
        <f>IF($A171="N/A"," ",IF(Pricetype=2,MAX(O171-$H171,0),IF(O171&lt;&gt;0,IF(Pricetype=1,(_xll.xSPRDOPT(O171,$E171,$CI171,0,($CD171+IF(Smile=TRUE,VLOOKUP(MAX(-5,$H171-O171),Volsmile,2),0)),$CG171,$CH171,($A171-DateToday)+15,1,0)),O171-$H171),0)))</f>
        <v xml:space="preserve"> </v>
      </c>
      <c r="Y171" s="405" t="str">
        <f>IF($A171="N/A"," ",IF(Pricetype=2,MAX(P171-$H171,0),IF(P171&lt;&gt;0,IF(Pricetype=1,(_xll.xSPRDOPT(P171,$E171,$CI171,0,($CD171+IF(Smile=TRUE,VLOOKUP(MAX(-5,$H171-P171),Volsmile,2),0)),$CG171,$CH171,($A171-DateToday)+15,1,0)),P171-$H171),0)))</f>
        <v xml:space="preserve"> </v>
      </c>
      <c r="Z171" s="406" t="str">
        <f t="shared" si="353"/>
        <v xml:space="preserve"> </v>
      </c>
      <c r="AA171" s="254" t="str">
        <f>IF($A171="N/A"," ",IF(VLOOKUP(MONTH(A171),ManualTable,2)=1,(IF(0&lt;&gt;R171,IF(Pricetype=1,(_xll.xSPRDOPT(I171,$E171,$CI171,0,($CD171+IF(Smile=TRUE,VLOOKUP(MAX(-5,$H171-I171),Volsmile,2),0)),$CG171,$CH171,($A171-DateToday)+15,1,1))*(8*$HD171),8*$HD171),0)),0))</f>
        <v xml:space="preserve"> </v>
      </c>
      <c r="AB171" s="254" t="str">
        <f>IF($A171="N/A"," ",IF(VLOOKUP(MONTH(A171),ManualTable,3)=1,(IF(S171&lt;&gt;0,IF(Pricetype=1,(_xll.xSPRDOPT(J171,$E171,$CI171,0,($CD171+IF(Smile=TRUE,VLOOKUP(MAX(-5,$H171-J171),Volsmile,2),0)),$CG171,$CH171,($A171-DateToday)+15,1,1))*(8*$HD171),8*$HD171),0)),0))</f>
        <v xml:space="preserve"> </v>
      </c>
      <c r="AC171" s="254" t="str">
        <f t="shared" si="394"/>
        <v xml:space="preserve"> </v>
      </c>
      <c r="AD171" s="254" t="str">
        <f>IF($A171="N/A"," ",IF(VLOOKUP(MONTH(A171),ManualTable,5)=1,(IF(U171&lt;&gt;0,IF(Pricetype=1,(_xll.xSPRDOPT(L171,$E171,$CI171,0,($CD171+IF(Smile=TRUE,VLOOKUP(MAX(-5,$H171-L171),Volsmile,2),0)),$CG171,$CH171,($A171-DateToday)+15,1,1))*(8*$HE171),8*$HE171),0)),0))</f>
        <v xml:space="preserve"> </v>
      </c>
      <c r="AE171" s="254" t="str">
        <f>IF($A171="N/A"," ",IF(VLOOKUP(MONTH(A171),ManualTable,6)=1,(IF(V171&lt;&gt;0,IF(Pricetype=1,(_xll.xSPRDOPT(M171,$E171,$CI171,0,($CD171+IF(Smile=TRUE,VLOOKUP(MAX(-5,$H171-M171),Volsmile,2),0)),$CG171,$CH171,($A171-DateToday)+15,1,1))*(8*$HE171),8*$HE171),0)),0))</f>
        <v xml:space="preserve"> </v>
      </c>
      <c r="AF171" s="254" t="str">
        <f t="shared" si="395"/>
        <v xml:space="preserve"> </v>
      </c>
      <c r="AG171" s="254" t="str">
        <f>IF($A171="N/A"," ",IF(VLOOKUP(MONTH(A171),ManualTable,8)=1,(IF(X171&lt;&gt;0,IF(Pricetype=1,(_xll.xSPRDOPT(O171,$E171,$CI171,0,($CD171+IF(Smile=TRUE,VLOOKUP(MAX(-5,$H171-O171),Volsmile,2),0)),$CG171,$CH171,($A171-DateToday)+15,1,1))*(8*$HF171),8*$HF171),0)),0))</f>
        <v xml:space="preserve"> </v>
      </c>
      <c r="AH171" s="254" t="str">
        <f>IF($A171="N/A"," ",IF(VLOOKUP(MONTH(A171),ManualTable,9)=1,(IF(Y171&lt;&gt;0,IF(Pricetype=1,(_xll.xSPRDOPT(P171,$E171,$CI171,0,($CD171+IF(Smile=TRUE,VLOOKUP(MAX(-5,$H171-P171),Volsmile,2),0)),$CG171,$CH171,($A171-DateToday)+15,1,1))*(8*$HF171),8*$HF171),0)),0))</f>
        <v xml:space="preserve"> </v>
      </c>
      <c r="AI171" s="254" t="str">
        <f t="shared" si="396"/>
        <v xml:space="preserve"> </v>
      </c>
      <c r="AJ171" s="230" t="str">
        <f t="shared" si="464"/>
        <v xml:space="preserve"> </v>
      </c>
      <c r="AK171" s="231" t="str">
        <f t="shared" si="465"/>
        <v xml:space="preserve"> </v>
      </c>
      <c r="AL171" s="231" t="str">
        <f t="shared" si="465"/>
        <v xml:space="preserve"> </v>
      </c>
      <c r="AM171" s="231" t="str">
        <f t="shared" si="466"/>
        <v xml:space="preserve"> </v>
      </c>
      <c r="AN171" s="231" t="str">
        <f t="shared" si="467"/>
        <v xml:space="preserve"> </v>
      </c>
      <c r="AO171" s="231" t="str">
        <f t="shared" si="467"/>
        <v xml:space="preserve"> </v>
      </c>
      <c r="AP171" s="231" t="str">
        <f t="shared" si="468"/>
        <v xml:space="preserve"> </v>
      </c>
      <c r="AQ171" s="231" t="str">
        <f t="shared" si="469"/>
        <v xml:space="preserve"> </v>
      </c>
      <c r="AR171" s="232" t="str">
        <f t="shared" si="470"/>
        <v xml:space="preserve"> </v>
      </c>
      <c r="AS171" s="264" t="str">
        <f t="shared" si="433"/>
        <v xml:space="preserve"> </v>
      </c>
      <c r="AT171" s="265" t="str">
        <f t="shared" si="434"/>
        <v xml:space="preserve"> </v>
      </c>
      <c r="AU171" s="265" t="str">
        <f t="shared" si="434"/>
        <v xml:space="preserve"> </v>
      </c>
      <c r="AV171" s="265" t="str">
        <f t="shared" si="435"/>
        <v xml:space="preserve"> </v>
      </c>
      <c r="AW171" s="265" t="str">
        <f t="shared" si="436"/>
        <v xml:space="preserve"> </v>
      </c>
      <c r="AX171" s="265" t="str">
        <f t="shared" si="436"/>
        <v xml:space="preserve"> </v>
      </c>
      <c r="AY171" s="265" t="str">
        <f t="shared" si="437"/>
        <v xml:space="preserve"> </v>
      </c>
      <c r="AZ171" s="265" t="str">
        <f t="shared" si="438"/>
        <v xml:space="preserve"> </v>
      </c>
      <c r="BA171" s="265" t="str">
        <f t="shared" si="439"/>
        <v xml:space="preserve"> </v>
      </c>
      <c r="BB171" s="232">
        <f>IF(($AZ$2-BB170)&gt;=0,$AZ$2-BB170,0)</f>
        <v>980</v>
      </c>
      <c r="BC171" s="270" t="str">
        <f t="shared" si="457"/>
        <v xml:space="preserve"> </v>
      </c>
      <c r="BD171" s="271" t="str">
        <f t="shared" si="458"/>
        <v xml:space="preserve"> </v>
      </c>
      <c r="BE171" s="269" t="str">
        <f t="shared" si="458"/>
        <v xml:space="preserve"> </v>
      </c>
      <c r="BF171" s="271" t="str">
        <f t="shared" si="459"/>
        <v xml:space="preserve"> </v>
      </c>
      <c r="BG171" s="271" t="str">
        <f t="shared" si="460"/>
        <v xml:space="preserve"> </v>
      </c>
      <c r="BH171" s="269" t="str">
        <f t="shared" si="460"/>
        <v xml:space="preserve"> </v>
      </c>
      <c r="BI171" s="271" t="str">
        <f t="shared" si="461"/>
        <v xml:space="preserve"> </v>
      </c>
      <c r="BJ171" s="271" t="str">
        <f t="shared" si="462"/>
        <v xml:space="preserve"> </v>
      </c>
      <c r="BK171" s="271" t="str">
        <f t="shared" si="463"/>
        <v xml:space="preserve"> </v>
      </c>
      <c r="BL171" s="235">
        <f>BB170+BL170</f>
        <v>0</v>
      </c>
      <c r="BM171" s="220" t="str">
        <f>IF($A171="N/A"," ",(IF(MONTH(A171)&gt;=4,IF(MONTH(A171)&lt;=10,Inputs!$F$13-Inputs!$G$13,Inputs!$F$14-Inputs!$G$14),Inputs!$F$14-Inputs!$G$14))*$CK171*Availability)</f>
        <v xml:space="preserve"> </v>
      </c>
      <c r="BN171" s="221" t="str">
        <f t="shared" si="397"/>
        <v xml:space="preserve"> </v>
      </c>
      <c r="BO171" s="221" t="str">
        <f t="shared" si="398"/>
        <v xml:space="preserve"> </v>
      </c>
      <c r="BP171" s="221" t="str">
        <f t="shared" si="399"/>
        <v xml:space="preserve"> </v>
      </c>
      <c r="BQ171" s="221" t="str">
        <f t="shared" si="400"/>
        <v xml:space="preserve"> </v>
      </c>
      <c r="BR171" s="221" t="str">
        <f t="shared" si="401"/>
        <v xml:space="preserve"> </v>
      </c>
      <c r="BS171" s="221" t="str">
        <f t="shared" si="402"/>
        <v xml:space="preserve"> </v>
      </c>
      <c r="BT171" s="221" t="str">
        <f t="shared" si="403"/>
        <v xml:space="preserve"> </v>
      </c>
      <c r="BU171" s="221" t="str">
        <f t="shared" si="404"/>
        <v xml:space="preserve"> </v>
      </c>
      <c r="BV171" s="221" t="str">
        <f t="shared" si="405"/>
        <v xml:space="preserve"> </v>
      </c>
      <c r="BW171" s="221" t="str">
        <f t="shared" si="406"/>
        <v xml:space="preserve"> </v>
      </c>
      <c r="BX171" s="421" t="str">
        <f t="shared" si="407"/>
        <v xml:space="preserve"> </v>
      </c>
      <c r="BY171" s="417" t="str">
        <f t="shared" si="408"/>
        <v xml:space="preserve"> </v>
      </c>
      <c r="BZ171" s="417" t="str">
        <f t="shared" si="409"/>
        <v xml:space="preserve"> </v>
      </c>
      <c r="CA171" s="422" t="str">
        <f t="shared" si="410"/>
        <v xml:space="preserve"> </v>
      </c>
      <c r="CB171" s="347" t="str">
        <f t="shared" si="354"/>
        <v xml:space="preserve"> </v>
      </c>
      <c r="CC171" s="347" t="str">
        <f t="shared" si="411"/>
        <v xml:space="preserve"> </v>
      </c>
      <c r="CD171" s="348" t="str">
        <f t="shared" si="355"/>
        <v xml:space="preserve"> </v>
      </c>
      <c r="CE171" s="347" t="str">
        <f t="shared" si="356"/>
        <v xml:space="preserve"> </v>
      </c>
      <c r="CF171" s="347" t="str">
        <f t="shared" si="357"/>
        <v xml:space="preserve"> </v>
      </c>
      <c r="CG171" s="348" t="str">
        <f t="shared" si="358"/>
        <v xml:space="preserve"> </v>
      </c>
      <c r="CH171" s="347" t="str">
        <f t="shared" si="412"/>
        <v xml:space="preserve"> </v>
      </c>
      <c r="CI171" s="349" t="str">
        <f>IF($A171="N/A"," ",F171+G171+(D171*('Pricing Inputs'!T204)))</f>
        <v xml:space="preserve"> </v>
      </c>
      <c r="CJ171" s="347" t="str">
        <f>IF($A171="N/A"," ",IF(PV=1,0,'Pricing Inputs'!U204))</f>
        <v xml:space="preserve"> </v>
      </c>
      <c r="CK171" s="350" t="str">
        <f t="shared" si="359"/>
        <v xml:space="preserve"> </v>
      </c>
      <c r="CL171" s="365" t="str">
        <f t="shared" si="360"/>
        <v xml:space="preserve"> </v>
      </c>
      <c r="CM171" s="380" t="str">
        <f t="shared" si="413"/>
        <v xml:space="preserve"> </v>
      </c>
      <c r="CN171" s="378" t="str">
        <f t="shared" si="361"/>
        <v xml:space="preserve"> </v>
      </c>
      <c r="CO171" s="378" t="str">
        <f t="shared" si="362"/>
        <v xml:space="preserve"> </v>
      </c>
      <c r="CP171" s="378" t="str">
        <f t="shared" si="363"/>
        <v xml:space="preserve"> </v>
      </c>
      <c r="CQ171" s="378" t="str">
        <f t="shared" si="364"/>
        <v xml:space="preserve"> </v>
      </c>
      <c r="CR171" s="378" t="str">
        <f t="shared" si="365"/>
        <v xml:space="preserve"> </v>
      </c>
      <c r="CS171" s="378" t="str">
        <f t="shared" si="366"/>
        <v xml:space="preserve"> </v>
      </c>
      <c r="CT171" s="378" t="str">
        <f t="shared" si="367"/>
        <v xml:space="preserve"> </v>
      </c>
      <c r="CU171" s="378" t="str">
        <f t="shared" si="368"/>
        <v xml:space="preserve"> </v>
      </c>
      <c r="CV171" s="378" t="str">
        <f t="shared" si="369"/>
        <v xml:space="preserve"> </v>
      </c>
      <c r="CW171" s="254" t="str">
        <f t="shared" si="370"/>
        <v xml:space="preserve"> </v>
      </c>
      <c r="CX171" s="254" t="str">
        <f t="shared" si="371"/>
        <v xml:space="preserve"> </v>
      </c>
      <c r="CY171" s="254" t="str">
        <f t="shared" si="372"/>
        <v xml:space="preserve"> </v>
      </c>
      <c r="CZ171" s="254" t="str">
        <f t="shared" si="373"/>
        <v xml:space="preserve"> </v>
      </c>
      <c r="DA171" s="254" t="str">
        <f t="shared" si="374"/>
        <v xml:space="preserve"> </v>
      </c>
      <c r="DB171" s="254" t="str">
        <f t="shared" si="375"/>
        <v xml:space="preserve"> </v>
      </c>
      <c r="DC171" s="254" t="str">
        <f t="shared" si="376"/>
        <v xml:space="preserve"> </v>
      </c>
      <c r="DD171" s="254" t="str">
        <f t="shared" si="377"/>
        <v xml:space="preserve"> </v>
      </c>
      <c r="DE171" s="254" t="str">
        <f t="shared" si="378"/>
        <v xml:space="preserve"> </v>
      </c>
      <c r="DF171" s="374" t="str">
        <f>IF($A171="N/A"," ",IF(CC=2,(IF(MONTH(A171)&gt;=4,IF(MONTH(A171)&lt;=10,Inputs!$G$13,Inputs!$G$14),Inputs!$G$14))*$CK171,0))</f>
        <v xml:space="preserve"> </v>
      </c>
      <c r="DG171" s="373" t="str">
        <f t="shared" si="379"/>
        <v xml:space="preserve"> </v>
      </c>
      <c r="DH171" s="373" t="str">
        <f t="shared" si="380"/>
        <v xml:space="preserve"> </v>
      </c>
      <c r="DI171" s="373" t="str">
        <f t="shared" si="381"/>
        <v xml:space="preserve"> </v>
      </c>
      <c r="DJ171" s="373" t="str">
        <f t="shared" si="382"/>
        <v xml:space="preserve"> </v>
      </c>
      <c r="DK171" s="373" t="str">
        <f t="shared" si="383"/>
        <v xml:space="preserve"> </v>
      </c>
      <c r="DL171" s="373" t="str">
        <f t="shared" si="384"/>
        <v xml:space="preserve"> </v>
      </c>
      <c r="DM171" s="373" t="str">
        <f t="shared" si="385"/>
        <v xml:space="preserve"> </v>
      </c>
      <c r="DN171" s="373" t="str">
        <f t="shared" si="386"/>
        <v xml:space="preserve"> </v>
      </c>
      <c r="DO171" s="373" t="str">
        <f t="shared" si="387"/>
        <v xml:space="preserve"> </v>
      </c>
      <c r="DP171" s="375" t="str">
        <f t="shared" si="388"/>
        <v xml:space="preserve"> </v>
      </c>
      <c r="DQ171" t="str">
        <f t="shared" si="414"/>
        <v xml:space="preserve"> </v>
      </c>
      <c r="HD171" t="str">
        <f t="shared" si="415"/>
        <v xml:space="preserve"> </v>
      </c>
      <c r="HE171" t="str">
        <f t="shared" si="416"/>
        <v xml:space="preserve"> </v>
      </c>
      <c r="HF171" t="str">
        <f t="shared" si="417"/>
        <v xml:space="preserve"> </v>
      </c>
    </row>
    <row r="172" spans="1:214">
      <c r="A172" s="415" t="str">
        <f>IF(A171="N/A","N/A",IF(EDATE(A171,1)&gt;Inputs!$K$3,"N/A",EDATE(A171,1)))</f>
        <v>N/A</v>
      </c>
      <c r="B172" s="410" t="str">
        <f t="shared" si="389"/>
        <v xml:space="preserve"> </v>
      </c>
      <c r="C172" s="411" t="str">
        <f t="shared" si="390"/>
        <v xml:space="preserve"> </v>
      </c>
      <c r="D172" s="412" t="str">
        <f t="shared" si="391"/>
        <v xml:space="preserve"> </v>
      </c>
      <c r="E172" s="413" t="str">
        <f>IF($A172="N/A"," ",(C172-'Pricing Inputs'!T205)*D172)</f>
        <v xml:space="preserve"> </v>
      </c>
      <c r="F172" s="414" t="str">
        <f t="shared" si="440"/>
        <v xml:space="preserve"> </v>
      </c>
      <c r="G172" s="414" t="str">
        <f t="shared" si="392"/>
        <v xml:space="preserve"> </v>
      </c>
      <c r="H172" s="416" t="str">
        <f t="shared" si="393"/>
        <v xml:space="preserve"> </v>
      </c>
      <c r="I172" s="213" t="str">
        <f t="shared" si="342"/>
        <v xml:space="preserve"> </v>
      </c>
      <c r="J172" s="213" t="str">
        <f t="shared" si="343"/>
        <v xml:space="preserve"> </v>
      </c>
      <c r="K172" s="213" t="str">
        <f t="shared" si="344"/>
        <v xml:space="preserve"> </v>
      </c>
      <c r="L172" s="213" t="str">
        <f t="shared" si="345"/>
        <v xml:space="preserve"> </v>
      </c>
      <c r="M172" s="213" t="str">
        <f t="shared" si="346"/>
        <v xml:space="preserve"> </v>
      </c>
      <c r="N172" s="213" t="str">
        <f t="shared" si="347"/>
        <v xml:space="preserve"> </v>
      </c>
      <c r="O172" s="213" t="str">
        <f t="shared" si="348"/>
        <v xml:space="preserve"> </v>
      </c>
      <c r="P172" s="213" t="str">
        <f t="shared" si="349"/>
        <v xml:space="preserve"> </v>
      </c>
      <c r="Q172" s="213" t="str">
        <f t="shared" si="350"/>
        <v xml:space="preserve"> </v>
      </c>
      <c r="R172" s="405" t="str">
        <f>IF($A172="N/A"," ",IF(Pricetype=2,MAX(I172-$H172,0),IF(Pricetype=1,(_xll.xSPRDOPT(I172,$E172,$CI172,0,($CD172+IF(Smile=TRUE,VLOOKUP(MAX(-5,$H172-I172),Volsmile,2),0)),$CG172,$CH172,($A172-DateToday)+15,1,0)),I172-$H172)))</f>
        <v xml:space="preserve"> </v>
      </c>
      <c r="S172" s="405" t="str">
        <f>IF($A172="N/A"," ",IF(Pricetype=2,MAX(J172-$H172,0),IF(Pricetype=1,(_xll.xSPRDOPT(J172,$E172,$CI172,0,($CD172+IF(Smile=TRUE,VLOOKUP(MAX(-5,$H172-J172),Volsmile,2),0)),$CG172,$CH172,($A172-DateToday)+15,1,0)),J172-$H172)))</f>
        <v xml:space="preserve"> </v>
      </c>
      <c r="T172" s="406" t="str">
        <f t="shared" si="351"/>
        <v xml:space="preserve"> </v>
      </c>
      <c r="U172" s="405" t="str">
        <f>IF($A172="N/A"," ",IF(Pricetype=2,MAX(L172-$H172,0),IF(L172&lt;&gt;0,IF(Pricetype=1,(_xll.xSPRDOPT(L172,$E172,$CI172,0,($CD172+IF(Smile=TRUE,VLOOKUP(MAX(-5,$H172-L172),Volsmile,2),0)),$CG172,$CH172,($A172-DateToday)+15,1,0)),L172-$H172),0)))</f>
        <v xml:space="preserve"> </v>
      </c>
      <c r="V172" s="405" t="str">
        <f>IF($A172="N/A"," ",IF(Pricetype=2,MAX(M172-$H172,0),IF(M172&lt;&gt;0,IF(Pricetype=1,(_xll.xSPRDOPT(M172,$E172,$CI172,0,($CD172+IF(Smile=TRUE,VLOOKUP(MAX(-5,$H172-M172),Volsmile,2),0)),$CG172,$CH172,($A172-DateToday)+15,1,0)),M172-$H172),0)))</f>
        <v xml:space="preserve"> </v>
      </c>
      <c r="W172" s="406" t="str">
        <f t="shared" si="352"/>
        <v xml:space="preserve"> </v>
      </c>
      <c r="X172" s="405" t="str">
        <f>IF($A172="N/A"," ",IF(Pricetype=2,MAX(O172-$H172,0),IF(O172&lt;&gt;0,IF(Pricetype=1,(_xll.xSPRDOPT(O172,$E172,$CI172,0,($CD172+IF(Smile=TRUE,VLOOKUP(MAX(-5,$H172-O172),Volsmile,2),0)),$CG172,$CH172,($A172-DateToday)+15,1,0)),O172-$H172),0)))</f>
        <v xml:space="preserve"> </v>
      </c>
      <c r="Y172" s="405" t="str">
        <f>IF($A172="N/A"," ",IF(Pricetype=2,MAX(P172-$H172,0),IF(P172&lt;&gt;0,IF(Pricetype=1,(_xll.xSPRDOPT(P172,$E172,$CI172,0,($CD172+IF(Smile=TRUE,VLOOKUP(MAX(-5,$H172-P172),Volsmile,2),0)),$CG172,$CH172,($A172-DateToday)+15,1,0)),P172-$H172),0)))</f>
        <v xml:space="preserve"> </v>
      </c>
      <c r="Z172" s="406" t="str">
        <f t="shared" si="353"/>
        <v xml:space="preserve"> </v>
      </c>
      <c r="AA172" s="254" t="str">
        <f>IF($A172="N/A"," ",IF(VLOOKUP(MONTH(A172),ManualTable,2)=1,(IF(0&lt;&gt;R172,IF(Pricetype=1,(_xll.xSPRDOPT(I172,$E172,$CI172,0,($CD172+IF(Smile=TRUE,VLOOKUP(MAX(-5,$H172-I172),Volsmile,2),0)),$CG172,$CH172,($A172-DateToday)+15,1,1))*(8*$HD172),8*$HD172),0)),0))</f>
        <v xml:space="preserve"> </v>
      </c>
      <c r="AB172" s="254" t="str">
        <f>IF($A172="N/A"," ",IF(VLOOKUP(MONTH(A172),ManualTable,3)=1,(IF(S172&lt;&gt;0,IF(Pricetype=1,(_xll.xSPRDOPT(J172,$E172,$CI172,0,($CD172+IF(Smile=TRUE,VLOOKUP(MAX(-5,$H172-J172),Volsmile,2),0)),$CG172,$CH172,($A172-DateToday)+15,1,1))*(8*$HD172),8*$HD172),0)),0))</f>
        <v xml:space="preserve"> </v>
      </c>
      <c r="AC172" s="254" t="str">
        <f t="shared" si="394"/>
        <v xml:space="preserve"> </v>
      </c>
      <c r="AD172" s="254" t="str">
        <f>IF($A172="N/A"," ",IF(VLOOKUP(MONTH(A172),ManualTable,5)=1,(IF(U172&lt;&gt;0,IF(Pricetype=1,(_xll.xSPRDOPT(L172,$E172,$CI172,0,($CD172+IF(Smile=TRUE,VLOOKUP(MAX(-5,$H172-L172),Volsmile,2),0)),$CG172,$CH172,($A172-DateToday)+15,1,1))*(8*$HE172),8*$HE172),0)),0))</f>
        <v xml:space="preserve"> </v>
      </c>
      <c r="AE172" s="254" t="str">
        <f>IF($A172="N/A"," ",IF(VLOOKUP(MONTH(A172),ManualTable,6)=1,(IF(V172&lt;&gt;0,IF(Pricetype=1,(_xll.xSPRDOPT(M172,$E172,$CI172,0,($CD172+IF(Smile=TRUE,VLOOKUP(MAX(-5,$H172-M172),Volsmile,2),0)),$CG172,$CH172,($A172-DateToday)+15,1,1))*(8*$HE172),8*$HE172),0)),0))</f>
        <v xml:space="preserve"> </v>
      </c>
      <c r="AF172" s="254" t="str">
        <f t="shared" si="395"/>
        <v xml:space="preserve"> </v>
      </c>
      <c r="AG172" s="254" t="str">
        <f>IF($A172="N/A"," ",IF(VLOOKUP(MONTH(A172),ManualTable,8)=1,(IF(X172&lt;&gt;0,IF(Pricetype=1,(_xll.xSPRDOPT(O172,$E172,$CI172,0,($CD172+IF(Smile=TRUE,VLOOKUP(MAX(-5,$H172-O172),Volsmile,2),0)),$CG172,$CH172,($A172-DateToday)+15,1,1))*(8*$HF172),8*$HF172),0)),0))</f>
        <v xml:space="preserve"> </v>
      </c>
      <c r="AH172" s="254" t="str">
        <f>IF($A172="N/A"," ",IF(VLOOKUP(MONTH(A172),ManualTable,9)=1,(IF(Y172&lt;&gt;0,IF(Pricetype=1,(_xll.xSPRDOPT(P172,$E172,$CI172,0,($CD172+IF(Smile=TRUE,VLOOKUP(MAX(-5,$H172-P172),Volsmile,2),0)),$CG172,$CH172,($A172-DateToday)+15,1,1))*(8*$HF172),8*$HF172),0)),0))</f>
        <v xml:space="preserve"> </v>
      </c>
      <c r="AI172" s="254" t="str">
        <f t="shared" si="396"/>
        <v xml:space="preserve"> </v>
      </c>
      <c r="AJ172" s="224" t="str">
        <f t="shared" ref="AJ172:AR172" si="471">IF($A172="N/A"," ",RANK(R172,$R$172:$Z$183))</f>
        <v xml:space="preserve"> </v>
      </c>
      <c r="AK172" s="225" t="str">
        <f t="shared" si="471"/>
        <v xml:space="preserve"> </v>
      </c>
      <c r="AL172" s="225" t="str">
        <f t="shared" si="471"/>
        <v xml:space="preserve"> </v>
      </c>
      <c r="AM172" s="225" t="str">
        <f t="shared" si="471"/>
        <v xml:space="preserve"> </v>
      </c>
      <c r="AN172" s="225" t="str">
        <f t="shared" si="471"/>
        <v xml:space="preserve"> </v>
      </c>
      <c r="AO172" s="225" t="str">
        <f t="shared" si="471"/>
        <v xml:space="preserve"> </v>
      </c>
      <c r="AP172" s="225" t="str">
        <f t="shared" si="471"/>
        <v xml:space="preserve"> </v>
      </c>
      <c r="AQ172" s="225" t="str">
        <f t="shared" si="471"/>
        <v xml:space="preserve"> </v>
      </c>
      <c r="AR172" s="226" t="str">
        <f t="shared" si="471"/>
        <v xml:space="preserve"> </v>
      </c>
      <c r="AS172" s="260" t="str">
        <f t="shared" si="433"/>
        <v xml:space="preserve"> </v>
      </c>
      <c r="AT172" s="261" t="str">
        <f t="shared" si="434"/>
        <v xml:space="preserve"> </v>
      </c>
      <c r="AU172" s="263" t="str">
        <f t="shared" si="434"/>
        <v xml:space="preserve"> </v>
      </c>
      <c r="AV172" s="263" t="str">
        <f t="shared" si="435"/>
        <v xml:space="preserve"> </v>
      </c>
      <c r="AW172" s="263" t="str">
        <f t="shared" si="436"/>
        <v xml:space="preserve"> </v>
      </c>
      <c r="AX172" s="263" t="str">
        <f t="shared" si="436"/>
        <v xml:space="preserve"> </v>
      </c>
      <c r="AY172" s="261" t="str">
        <f t="shared" si="437"/>
        <v xml:space="preserve"> </v>
      </c>
      <c r="AZ172" s="261" t="str">
        <f t="shared" si="438"/>
        <v xml:space="preserve"> </v>
      </c>
      <c r="BA172" s="261" t="str">
        <f t="shared" si="439"/>
        <v xml:space="preserve"> </v>
      </c>
      <c r="BB172" s="226"/>
      <c r="BC172" s="272" t="str">
        <f t="shared" ref="BC172:BC183" si="472">IF($A172="N/A"," ",IF(AND(AJ172=$AR$2+1,AS172=0),MIN($BB$183,AA172),0))</f>
        <v xml:space="preserve"> </v>
      </c>
      <c r="BD172" s="267" t="str">
        <f t="shared" ref="BD172:BE183" si="473">IF($A172="N/A"," ",IF(AND(AK172=$AR$2+1,AT172=0),MIN($BB$183,AB172),0))</f>
        <v xml:space="preserve"> </v>
      </c>
      <c r="BE172" s="267" t="str">
        <f t="shared" si="473"/>
        <v xml:space="preserve"> </v>
      </c>
      <c r="BF172" s="267" t="str">
        <f t="shared" ref="BF172:BF183" si="474">IF($A172="N/A"," ",IF(AND(AM172=$AR$2+1,AV172=0),MIN($BB$183,AD172),0))</f>
        <v xml:space="preserve"> </v>
      </c>
      <c r="BG172" s="267" t="str">
        <f t="shared" ref="BG172:BH183" si="475">IF($A172="N/A"," ",IF(AND(AN172=$AR$2+1,AW172=0),MIN($BB$183,AE172),0))</f>
        <v xml:space="preserve"> </v>
      </c>
      <c r="BH172" s="267" t="str">
        <f t="shared" si="475"/>
        <v xml:space="preserve"> </v>
      </c>
      <c r="BI172" s="267" t="str">
        <f t="shared" ref="BI172:BI183" si="476">IF($A172="N/A"," ",IF(AND(AP172=$AR$2+1,AY172=0),MIN($BB$183,AG172),0))</f>
        <v xml:space="preserve"> </v>
      </c>
      <c r="BJ172" s="267" t="str">
        <f t="shared" ref="BJ172:BJ183" si="477">IF($A172="N/A"," ",IF(AND(AQ172=$AR$2+1,AZ172=0),MIN($BB$183,AH172),0))</f>
        <v xml:space="preserve"> </v>
      </c>
      <c r="BK172" s="267" t="str">
        <f t="shared" ref="BK172:BK183" si="478">IF($A172="N/A"," ",IF(AND(AR172=$AR$2+1,BA172=0),MIN($BB$183,AI172),0))</f>
        <v xml:space="preserve"> </v>
      </c>
      <c r="BL172" s="226"/>
      <c r="BM172" s="220" t="str">
        <f>IF($A172="N/A"," ",(IF(MONTH(A172)&gt;=4,IF(MONTH(A172)&lt;=10,Inputs!$F$13-Inputs!$G$13,Inputs!$F$14-Inputs!$G$14),Inputs!$F$14-Inputs!$G$14))*$CK172*Availability)</f>
        <v xml:space="preserve"> </v>
      </c>
      <c r="BN172" s="221" t="str">
        <f t="shared" si="397"/>
        <v xml:space="preserve"> </v>
      </c>
      <c r="BO172" s="221" t="str">
        <f t="shared" si="398"/>
        <v xml:space="preserve"> </v>
      </c>
      <c r="BP172" s="221" t="str">
        <f t="shared" si="399"/>
        <v xml:space="preserve"> </v>
      </c>
      <c r="BQ172" s="221" t="str">
        <f t="shared" si="400"/>
        <v xml:space="preserve"> </v>
      </c>
      <c r="BR172" s="221" t="str">
        <f t="shared" si="401"/>
        <v xml:space="preserve"> </v>
      </c>
      <c r="BS172" s="221" t="str">
        <f t="shared" si="402"/>
        <v xml:space="preserve"> </v>
      </c>
      <c r="BT172" s="221" t="str">
        <f t="shared" si="403"/>
        <v xml:space="preserve"> </v>
      </c>
      <c r="BU172" s="221" t="str">
        <f t="shared" si="404"/>
        <v xml:space="preserve"> </v>
      </c>
      <c r="BV172" s="221" t="str">
        <f t="shared" si="405"/>
        <v xml:space="preserve"> </v>
      </c>
      <c r="BW172" s="221" t="str">
        <f t="shared" si="406"/>
        <v xml:space="preserve"> </v>
      </c>
      <c r="BX172" s="421" t="str">
        <f t="shared" si="407"/>
        <v xml:space="preserve"> </v>
      </c>
      <c r="BY172" s="417" t="str">
        <f t="shared" si="408"/>
        <v xml:space="preserve"> </v>
      </c>
      <c r="BZ172" s="417" t="str">
        <f t="shared" si="409"/>
        <v xml:space="preserve"> </v>
      </c>
      <c r="CA172" s="422" t="str">
        <f t="shared" si="410"/>
        <v xml:space="preserve"> </v>
      </c>
      <c r="CB172" s="347" t="str">
        <f t="shared" si="354"/>
        <v xml:space="preserve"> </v>
      </c>
      <c r="CC172" s="347" t="str">
        <f t="shared" si="411"/>
        <v xml:space="preserve"> </v>
      </c>
      <c r="CD172" s="348" t="str">
        <f t="shared" si="355"/>
        <v xml:space="preserve"> </v>
      </c>
      <c r="CE172" s="347" t="str">
        <f t="shared" si="356"/>
        <v xml:space="preserve"> </v>
      </c>
      <c r="CF172" s="347" t="str">
        <f t="shared" si="357"/>
        <v xml:space="preserve"> </v>
      </c>
      <c r="CG172" s="348" t="str">
        <f t="shared" si="358"/>
        <v xml:space="preserve"> </v>
      </c>
      <c r="CH172" s="347" t="str">
        <f t="shared" si="412"/>
        <v xml:space="preserve"> </v>
      </c>
      <c r="CI172" s="349" t="str">
        <f>IF($A172="N/A"," ",F172+G172+(D172*('Pricing Inputs'!T205)))</f>
        <v xml:space="preserve"> </v>
      </c>
      <c r="CJ172" s="347" t="str">
        <f>IF($A172="N/A"," ",IF(PV=1,0,'Pricing Inputs'!U205))</f>
        <v xml:space="preserve"> </v>
      </c>
      <c r="CK172" s="350" t="str">
        <f t="shared" si="359"/>
        <v xml:space="preserve"> </v>
      </c>
      <c r="CL172" s="365" t="str">
        <f t="shared" si="360"/>
        <v xml:space="preserve"> </v>
      </c>
      <c r="CM172" s="380" t="str">
        <f t="shared" si="413"/>
        <v xml:space="preserve"> </v>
      </c>
      <c r="CN172" s="378" t="str">
        <f t="shared" si="361"/>
        <v xml:space="preserve"> </v>
      </c>
      <c r="CO172" s="378" t="str">
        <f t="shared" si="362"/>
        <v xml:space="preserve"> </v>
      </c>
      <c r="CP172" s="378" t="str">
        <f t="shared" si="363"/>
        <v xml:space="preserve"> </v>
      </c>
      <c r="CQ172" s="378" t="str">
        <f t="shared" si="364"/>
        <v xml:space="preserve"> </v>
      </c>
      <c r="CR172" s="378" t="str">
        <f t="shared" si="365"/>
        <v xml:space="preserve"> </v>
      </c>
      <c r="CS172" s="378" t="str">
        <f t="shared" si="366"/>
        <v xml:space="preserve"> </v>
      </c>
      <c r="CT172" s="378" t="str">
        <f t="shared" si="367"/>
        <v xml:space="preserve"> </v>
      </c>
      <c r="CU172" s="378" t="str">
        <f t="shared" si="368"/>
        <v xml:space="preserve"> </v>
      </c>
      <c r="CV172" s="378" t="str">
        <f t="shared" si="369"/>
        <v xml:space="preserve"> </v>
      </c>
      <c r="CW172" s="254" t="str">
        <f t="shared" si="370"/>
        <v xml:space="preserve"> </v>
      </c>
      <c r="CX172" s="254" t="str">
        <f t="shared" si="371"/>
        <v xml:space="preserve"> </v>
      </c>
      <c r="CY172" s="254" t="str">
        <f t="shared" si="372"/>
        <v xml:space="preserve"> </v>
      </c>
      <c r="CZ172" s="254" t="str">
        <f t="shared" si="373"/>
        <v xml:space="preserve"> </v>
      </c>
      <c r="DA172" s="254" t="str">
        <f t="shared" si="374"/>
        <v xml:space="preserve"> </v>
      </c>
      <c r="DB172" s="254" t="str">
        <f t="shared" si="375"/>
        <v xml:space="preserve"> </v>
      </c>
      <c r="DC172" s="254" t="str">
        <f t="shared" si="376"/>
        <v xml:space="preserve"> </v>
      </c>
      <c r="DD172" s="254" t="str">
        <f t="shared" si="377"/>
        <v xml:space="preserve"> </v>
      </c>
      <c r="DE172" s="254" t="str">
        <f t="shared" si="378"/>
        <v xml:space="preserve"> </v>
      </c>
      <c r="DF172" s="374" t="str">
        <f>IF($A172="N/A"," ",IF(CC=2,(IF(MONTH(A172)&gt;=4,IF(MONTH(A172)&lt;=10,Inputs!$G$13,Inputs!$G$14),Inputs!$G$14))*$CK172,0))</f>
        <v xml:space="preserve"> </v>
      </c>
      <c r="DG172" s="373" t="str">
        <f t="shared" si="379"/>
        <v xml:space="preserve"> </v>
      </c>
      <c r="DH172" s="373" t="str">
        <f t="shared" si="380"/>
        <v xml:space="preserve"> </v>
      </c>
      <c r="DI172" s="373" t="str">
        <f t="shared" si="381"/>
        <v xml:space="preserve"> </v>
      </c>
      <c r="DJ172" s="373" t="str">
        <f t="shared" si="382"/>
        <v xml:space="preserve"> </v>
      </c>
      <c r="DK172" s="373" t="str">
        <f t="shared" si="383"/>
        <v xml:space="preserve"> </v>
      </c>
      <c r="DL172" s="373" t="str">
        <f t="shared" si="384"/>
        <v xml:space="preserve"> </v>
      </c>
      <c r="DM172" s="373" t="str">
        <f t="shared" si="385"/>
        <v xml:space="preserve"> </v>
      </c>
      <c r="DN172" s="373" t="str">
        <f t="shared" si="386"/>
        <v xml:space="preserve"> </v>
      </c>
      <c r="DO172" s="373" t="str">
        <f t="shared" si="387"/>
        <v xml:space="preserve"> </v>
      </c>
      <c r="DP172" s="375" t="str">
        <f t="shared" si="388"/>
        <v xml:space="preserve"> </v>
      </c>
      <c r="DQ172" t="str">
        <f t="shared" si="414"/>
        <v xml:space="preserve"> </v>
      </c>
      <c r="HD172" t="str">
        <f t="shared" si="415"/>
        <v xml:space="preserve"> </v>
      </c>
      <c r="HE172" t="str">
        <f t="shared" si="416"/>
        <v xml:space="preserve"> </v>
      </c>
      <c r="HF172" t="str">
        <f t="shared" si="417"/>
        <v xml:space="preserve"> </v>
      </c>
    </row>
    <row r="173" spans="1:214">
      <c r="A173" s="415" t="str">
        <f>IF(A172="N/A","N/A",IF(EDATE(A172,1)&gt;Inputs!$K$3,"N/A",EDATE(A172,1)))</f>
        <v>N/A</v>
      </c>
      <c r="B173" s="410" t="str">
        <f t="shared" si="389"/>
        <v xml:space="preserve"> </v>
      </c>
      <c r="C173" s="411" t="str">
        <f t="shared" si="390"/>
        <v xml:space="preserve"> </v>
      </c>
      <c r="D173" s="412" t="str">
        <f t="shared" si="391"/>
        <v xml:space="preserve"> </v>
      </c>
      <c r="E173" s="413" t="str">
        <f>IF($A173="N/A"," ",(C173-'Pricing Inputs'!T206)*D173)</f>
        <v xml:space="preserve"> </v>
      </c>
      <c r="F173" s="414" t="str">
        <f t="shared" si="440"/>
        <v xml:space="preserve"> </v>
      </c>
      <c r="G173" s="414" t="str">
        <f t="shared" si="392"/>
        <v xml:space="preserve"> </v>
      </c>
      <c r="H173" s="416" t="str">
        <f t="shared" si="393"/>
        <v xml:space="preserve"> </v>
      </c>
      <c r="I173" s="213" t="str">
        <f t="shared" si="342"/>
        <v xml:space="preserve"> </v>
      </c>
      <c r="J173" s="213" t="str">
        <f t="shared" si="343"/>
        <v xml:space="preserve"> </v>
      </c>
      <c r="K173" s="213" t="str">
        <f t="shared" si="344"/>
        <v xml:space="preserve"> </v>
      </c>
      <c r="L173" s="213" t="str">
        <f t="shared" si="345"/>
        <v xml:space="preserve"> </v>
      </c>
      <c r="M173" s="213" t="str">
        <f t="shared" si="346"/>
        <v xml:space="preserve"> </v>
      </c>
      <c r="N173" s="213" t="str">
        <f t="shared" si="347"/>
        <v xml:space="preserve"> </v>
      </c>
      <c r="O173" s="213" t="str">
        <f t="shared" si="348"/>
        <v xml:space="preserve"> </v>
      </c>
      <c r="P173" s="213" t="str">
        <f t="shared" si="349"/>
        <v xml:space="preserve"> </v>
      </c>
      <c r="Q173" s="213" t="str">
        <f t="shared" si="350"/>
        <v xml:space="preserve"> </v>
      </c>
      <c r="R173" s="405" t="str">
        <f>IF($A173="N/A"," ",IF(Pricetype=2,MAX(I173-$H173,0),IF(Pricetype=1,(_xll.xSPRDOPT(I173,$E173,$CI173,0,($CD173+IF(Smile=TRUE,VLOOKUP(MAX(-5,$H173-I173),Volsmile,2),0)),$CG173,$CH173,($A173-DateToday)+15,1,0)),I173-$H173)))</f>
        <v xml:space="preserve"> </v>
      </c>
      <c r="S173" s="405" t="str">
        <f>IF($A173="N/A"," ",IF(Pricetype=2,MAX(J173-$H173,0),IF(Pricetype=1,(_xll.xSPRDOPT(J173,$E173,$CI173,0,($CD173+IF(Smile=TRUE,VLOOKUP(MAX(-5,$H173-J173),Volsmile,2),0)),$CG173,$CH173,($A173-DateToday)+15,1,0)),J173-$H173)))</f>
        <v xml:space="preserve"> </v>
      </c>
      <c r="T173" s="406" t="str">
        <f t="shared" si="351"/>
        <v xml:space="preserve"> </v>
      </c>
      <c r="U173" s="405" t="str">
        <f>IF($A173="N/A"," ",IF(Pricetype=2,MAX(L173-$H173,0),IF(L173&lt;&gt;0,IF(Pricetype=1,(_xll.xSPRDOPT(L173,$E173,$CI173,0,($CD173+IF(Smile=TRUE,VLOOKUP(MAX(-5,$H173-L173),Volsmile,2),0)),$CG173,$CH173,($A173-DateToday)+15,1,0)),L173-$H173),0)))</f>
        <v xml:space="preserve"> </v>
      </c>
      <c r="V173" s="405" t="str">
        <f>IF($A173="N/A"," ",IF(Pricetype=2,MAX(M173-$H173,0),IF(M173&lt;&gt;0,IF(Pricetype=1,(_xll.xSPRDOPT(M173,$E173,$CI173,0,($CD173+IF(Smile=TRUE,VLOOKUP(MAX(-5,$H173-M173),Volsmile,2),0)),$CG173,$CH173,($A173-DateToday)+15,1,0)),M173-$H173),0)))</f>
        <v xml:space="preserve"> </v>
      </c>
      <c r="W173" s="406" t="str">
        <f t="shared" si="352"/>
        <v xml:space="preserve"> </v>
      </c>
      <c r="X173" s="405" t="str">
        <f>IF($A173="N/A"," ",IF(Pricetype=2,MAX(O173-$H173,0),IF(O173&lt;&gt;0,IF(Pricetype=1,(_xll.xSPRDOPT(O173,$E173,$CI173,0,($CD173+IF(Smile=TRUE,VLOOKUP(MAX(-5,$H173-O173),Volsmile,2),0)),$CG173,$CH173,($A173-DateToday)+15,1,0)),O173-$H173),0)))</f>
        <v xml:space="preserve"> </v>
      </c>
      <c r="Y173" s="405" t="str">
        <f>IF($A173="N/A"," ",IF(Pricetype=2,MAX(P173-$H173,0),IF(P173&lt;&gt;0,IF(Pricetype=1,(_xll.xSPRDOPT(P173,$E173,$CI173,0,($CD173+IF(Smile=TRUE,VLOOKUP(MAX(-5,$H173-P173),Volsmile,2),0)),$CG173,$CH173,($A173-DateToday)+15,1,0)),P173-$H173),0)))</f>
        <v xml:space="preserve"> </v>
      </c>
      <c r="Z173" s="406" t="str">
        <f t="shared" si="353"/>
        <v xml:space="preserve"> </v>
      </c>
      <c r="AA173" s="254" t="str">
        <f>IF($A173="N/A"," ",IF(VLOOKUP(MONTH(A173),ManualTable,2)=1,(IF(0&lt;&gt;R173,IF(Pricetype=1,(_xll.xSPRDOPT(I173,$E173,$CI173,0,($CD173+IF(Smile=TRUE,VLOOKUP(MAX(-5,$H173-I173),Volsmile,2),0)),$CG173,$CH173,($A173-DateToday)+15,1,1))*(8*$HD173),8*$HD173),0)),0))</f>
        <v xml:space="preserve"> </v>
      </c>
      <c r="AB173" s="254" t="str">
        <f>IF($A173="N/A"," ",IF(VLOOKUP(MONTH(A173),ManualTable,3)=1,(IF(S173&lt;&gt;0,IF(Pricetype=1,(_xll.xSPRDOPT(J173,$E173,$CI173,0,($CD173+IF(Smile=TRUE,VLOOKUP(MAX(-5,$H173-J173),Volsmile,2),0)),$CG173,$CH173,($A173-DateToday)+15,1,1))*(8*$HD173),8*$HD173),0)),0))</f>
        <v xml:space="preserve"> </v>
      </c>
      <c r="AC173" s="254" t="str">
        <f t="shared" si="394"/>
        <v xml:space="preserve"> </v>
      </c>
      <c r="AD173" s="254" t="str">
        <f>IF($A173="N/A"," ",IF(VLOOKUP(MONTH(A173),ManualTable,5)=1,(IF(U173&lt;&gt;0,IF(Pricetype=1,(_xll.xSPRDOPT(L173,$E173,$CI173,0,($CD173+IF(Smile=TRUE,VLOOKUP(MAX(-5,$H173-L173),Volsmile,2),0)),$CG173,$CH173,($A173-DateToday)+15,1,1))*(8*$HE173),8*$HE173),0)),0))</f>
        <v xml:space="preserve"> </v>
      </c>
      <c r="AE173" s="254" t="str">
        <f>IF($A173="N/A"," ",IF(VLOOKUP(MONTH(A173),ManualTable,6)=1,(IF(V173&lt;&gt;0,IF(Pricetype=1,(_xll.xSPRDOPT(M173,$E173,$CI173,0,($CD173+IF(Smile=TRUE,VLOOKUP(MAX(-5,$H173-M173),Volsmile,2),0)),$CG173,$CH173,($A173-DateToday)+15,1,1))*(8*$HE173),8*$HE173),0)),0))</f>
        <v xml:space="preserve"> </v>
      </c>
      <c r="AF173" s="254" t="str">
        <f t="shared" si="395"/>
        <v xml:space="preserve"> </v>
      </c>
      <c r="AG173" s="254" t="str">
        <f>IF($A173="N/A"," ",IF(VLOOKUP(MONTH(A173),ManualTable,8)=1,(IF(X173&lt;&gt;0,IF(Pricetype=1,(_xll.xSPRDOPT(O173,$E173,$CI173,0,($CD173+IF(Smile=TRUE,VLOOKUP(MAX(-5,$H173-O173),Volsmile,2),0)),$CG173,$CH173,($A173-DateToday)+15,1,1))*(8*$HF173),8*$HF173),0)),0))</f>
        <v xml:space="preserve"> </v>
      </c>
      <c r="AH173" s="254" t="str">
        <f>IF($A173="N/A"," ",IF(VLOOKUP(MONTH(A173),ManualTable,9)=1,(IF(Y173&lt;&gt;0,IF(Pricetype=1,(_xll.xSPRDOPT(P173,$E173,$CI173,0,($CD173+IF(Smile=TRUE,VLOOKUP(MAX(-5,$H173-P173),Volsmile,2),0)),$CG173,$CH173,($A173-DateToday)+15,1,1))*(8*$HF173),8*$HF173),0)),0))</f>
        <v xml:space="preserve"> </v>
      </c>
      <c r="AI173" s="254" t="str">
        <f t="shared" si="396"/>
        <v xml:space="preserve"> </v>
      </c>
      <c r="AJ173" s="227" t="str">
        <f t="shared" ref="AJ173:AJ183" si="479">IF($A173="N/A"," ",RANK(R173,$R$172:$Z$183))</f>
        <v xml:space="preserve"> </v>
      </c>
      <c r="AK173" s="228" t="str">
        <f t="shared" ref="AK173:AL183" si="480">IF($A173="N/A"," ",RANK(S173,$R$172:$Z$183))</f>
        <v xml:space="preserve"> </v>
      </c>
      <c r="AL173" s="228" t="str">
        <f t="shared" si="480"/>
        <v xml:space="preserve"> </v>
      </c>
      <c r="AM173" s="228" t="str">
        <f t="shared" ref="AM173:AM183" si="481">IF($A173="N/A"," ",RANK(U173,$R$172:$Z$183))</f>
        <v xml:space="preserve"> </v>
      </c>
      <c r="AN173" s="228" t="str">
        <f t="shared" ref="AN173:AO183" si="482">IF($A173="N/A"," ",RANK(V173,$R$172:$Z$183))</f>
        <v xml:space="preserve"> </v>
      </c>
      <c r="AO173" s="228" t="str">
        <f t="shared" si="482"/>
        <v xml:space="preserve"> </v>
      </c>
      <c r="AP173" s="228" t="str">
        <f t="shared" ref="AP173:AP183" si="483">IF($A173="N/A"," ",RANK(X173,$R$172:$Z$183))</f>
        <v xml:space="preserve"> </v>
      </c>
      <c r="AQ173" s="228" t="str">
        <f t="shared" ref="AQ173:AQ183" si="484">IF($A173="N/A"," ",RANK(Y173,$R$172:$Z$183))</f>
        <v xml:space="preserve"> </v>
      </c>
      <c r="AR173" s="229" t="str">
        <f t="shared" ref="AR173:AR183" si="485">IF($A173="N/A"," ",RANK(Z173,$R$172:$Z$183))</f>
        <v xml:space="preserve"> </v>
      </c>
      <c r="AS173" s="262" t="str">
        <f t="shared" si="433"/>
        <v xml:space="preserve"> </v>
      </c>
      <c r="AT173" s="263" t="str">
        <f t="shared" si="434"/>
        <v xml:space="preserve"> </v>
      </c>
      <c r="AU173" s="263" t="str">
        <f t="shared" si="434"/>
        <v xml:space="preserve"> </v>
      </c>
      <c r="AV173" s="263" t="str">
        <f t="shared" si="435"/>
        <v xml:space="preserve"> </v>
      </c>
      <c r="AW173" s="263" t="str">
        <f t="shared" si="436"/>
        <v xml:space="preserve"> </v>
      </c>
      <c r="AX173" s="263" t="str">
        <f t="shared" si="436"/>
        <v xml:space="preserve"> </v>
      </c>
      <c r="AY173" s="263" t="str">
        <f t="shared" si="437"/>
        <v xml:space="preserve"> </v>
      </c>
      <c r="AZ173" s="263" t="str">
        <f t="shared" si="438"/>
        <v xml:space="preserve"> </v>
      </c>
      <c r="BA173" s="263" t="str">
        <f t="shared" si="439"/>
        <v xml:space="preserve"> </v>
      </c>
      <c r="BB173" s="229"/>
      <c r="BC173" s="266" t="str">
        <f t="shared" si="472"/>
        <v xml:space="preserve"> </v>
      </c>
      <c r="BD173" s="269" t="str">
        <f t="shared" si="473"/>
        <v xml:space="preserve"> </v>
      </c>
      <c r="BE173" s="269" t="str">
        <f t="shared" si="473"/>
        <v xml:space="preserve"> </v>
      </c>
      <c r="BF173" s="269" t="str">
        <f t="shared" si="474"/>
        <v xml:space="preserve"> </v>
      </c>
      <c r="BG173" s="269" t="str">
        <f t="shared" si="475"/>
        <v xml:space="preserve"> </v>
      </c>
      <c r="BH173" s="269" t="str">
        <f t="shared" si="475"/>
        <v xml:space="preserve"> </v>
      </c>
      <c r="BI173" s="269" t="str">
        <f t="shared" si="476"/>
        <v xml:space="preserve"> </v>
      </c>
      <c r="BJ173" s="269" t="str">
        <f t="shared" si="477"/>
        <v xml:space="preserve"> </v>
      </c>
      <c r="BK173" s="269" t="str">
        <f t="shared" si="478"/>
        <v xml:space="preserve"> </v>
      </c>
      <c r="BL173" s="229"/>
      <c r="BM173" s="220" t="str">
        <f>IF($A173="N/A"," ",(IF(MONTH(A173)&gt;=4,IF(MONTH(A173)&lt;=10,Inputs!$F$13-Inputs!$G$13,Inputs!$F$14-Inputs!$G$14),Inputs!$F$14-Inputs!$G$14))*$CK173*Availability)</f>
        <v xml:space="preserve"> </v>
      </c>
      <c r="BN173" s="221" t="str">
        <f t="shared" si="397"/>
        <v xml:space="preserve"> </v>
      </c>
      <c r="BO173" s="221" t="str">
        <f t="shared" si="398"/>
        <v xml:space="preserve"> </v>
      </c>
      <c r="BP173" s="221" t="str">
        <f t="shared" si="399"/>
        <v xml:space="preserve"> </v>
      </c>
      <c r="BQ173" s="221" t="str">
        <f t="shared" si="400"/>
        <v xml:space="preserve"> </v>
      </c>
      <c r="BR173" s="221" t="str">
        <f t="shared" si="401"/>
        <v xml:space="preserve"> </v>
      </c>
      <c r="BS173" s="221" t="str">
        <f t="shared" si="402"/>
        <v xml:space="preserve"> </v>
      </c>
      <c r="BT173" s="221" t="str">
        <f t="shared" si="403"/>
        <v xml:space="preserve"> </v>
      </c>
      <c r="BU173" s="221" t="str">
        <f t="shared" si="404"/>
        <v xml:space="preserve"> </v>
      </c>
      <c r="BV173" s="221" t="str">
        <f t="shared" si="405"/>
        <v xml:space="preserve"> </v>
      </c>
      <c r="BW173" s="221" t="str">
        <f t="shared" si="406"/>
        <v xml:space="preserve"> </v>
      </c>
      <c r="BX173" s="421" t="str">
        <f t="shared" si="407"/>
        <v xml:space="preserve"> </v>
      </c>
      <c r="BY173" s="417" t="str">
        <f t="shared" si="408"/>
        <v xml:space="preserve"> </v>
      </c>
      <c r="BZ173" s="417" t="str">
        <f t="shared" si="409"/>
        <v xml:space="preserve"> </v>
      </c>
      <c r="CA173" s="422" t="str">
        <f t="shared" si="410"/>
        <v xml:space="preserve"> </v>
      </c>
      <c r="CB173" s="347" t="str">
        <f t="shared" si="354"/>
        <v xml:space="preserve"> </v>
      </c>
      <c r="CC173" s="347" t="str">
        <f t="shared" si="411"/>
        <v xml:space="preserve"> </v>
      </c>
      <c r="CD173" s="348" t="str">
        <f t="shared" si="355"/>
        <v xml:space="preserve"> </v>
      </c>
      <c r="CE173" s="347" t="str">
        <f t="shared" si="356"/>
        <v xml:space="preserve"> </v>
      </c>
      <c r="CF173" s="347" t="str">
        <f t="shared" si="357"/>
        <v xml:space="preserve"> </v>
      </c>
      <c r="CG173" s="348" t="str">
        <f t="shared" si="358"/>
        <v xml:space="preserve"> </v>
      </c>
      <c r="CH173" s="347" t="str">
        <f t="shared" si="412"/>
        <v xml:space="preserve"> </v>
      </c>
      <c r="CI173" s="349" t="str">
        <f>IF($A173="N/A"," ",F173+G173+(D173*('Pricing Inputs'!T206)))</f>
        <v xml:space="preserve"> </v>
      </c>
      <c r="CJ173" s="347" t="str">
        <f>IF($A173="N/A"," ",IF(PV=1,0,'Pricing Inputs'!U206))</f>
        <v xml:space="preserve"> </v>
      </c>
      <c r="CK173" s="350" t="str">
        <f t="shared" si="359"/>
        <v xml:space="preserve"> </v>
      </c>
      <c r="CL173" s="365" t="str">
        <f t="shared" si="360"/>
        <v xml:space="preserve"> </v>
      </c>
      <c r="CM173" s="380" t="str">
        <f t="shared" si="413"/>
        <v xml:space="preserve"> </v>
      </c>
      <c r="CN173" s="378" t="str">
        <f t="shared" si="361"/>
        <v xml:space="preserve"> </v>
      </c>
      <c r="CO173" s="378" t="str">
        <f t="shared" si="362"/>
        <v xml:space="preserve"> </v>
      </c>
      <c r="CP173" s="378" t="str">
        <f t="shared" si="363"/>
        <v xml:space="preserve"> </v>
      </c>
      <c r="CQ173" s="378" t="str">
        <f t="shared" si="364"/>
        <v xml:space="preserve"> </v>
      </c>
      <c r="CR173" s="378" t="str">
        <f t="shared" si="365"/>
        <v xml:space="preserve"> </v>
      </c>
      <c r="CS173" s="378" t="str">
        <f t="shared" si="366"/>
        <v xml:space="preserve"> </v>
      </c>
      <c r="CT173" s="378" t="str">
        <f t="shared" si="367"/>
        <v xml:space="preserve"> </v>
      </c>
      <c r="CU173" s="378" t="str">
        <f t="shared" si="368"/>
        <v xml:space="preserve"> </v>
      </c>
      <c r="CV173" s="378" t="str">
        <f t="shared" si="369"/>
        <v xml:space="preserve"> </v>
      </c>
      <c r="CW173" s="254" t="str">
        <f t="shared" si="370"/>
        <v xml:space="preserve"> </v>
      </c>
      <c r="CX173" s="254" t="str">
        <f t="shared" si="371"/>
        <v xml:space="preserve"> </v>
      </c>
      <c r="CY173" s="254" t="str">
        <f t="shared" si="372"/>
        <v xml:space="preserve"> </v>
      </c>
      <c r="CZ173" s="254" t="str">
        <f t="shared" si="373"/>
        <v xml:space="preserve"> </v>
      </c>
      <c r="DA173" s="254" t="str">
        <f t="shared" si="374"/>
        <v xml:space="preserve"> </v>
      </c>
      <c r="DB173" s="254" t="str">
        <f t="shared" si="375"/>
        <v xml:space="preserve"> </v>
      </c>
      <c r="DC173" s="254" t="str">
        <f t="shared" si="376"/>
        <v xml:space="preserve"> </v>
      </c>
      <c r="DD173" s="254" t="str">
        <f t="shared" si="377"/>
        <v xml:space="preserve"> </v>
      </c>
      <c r="DE173" s="254" t="str">
        <f t="shared" si="378"/>
        <v xml:space="preserve"> </v>
      </c>
      <c r="DF173" s="374" t="str">
        <f>IF($A173="N/A"," ",IF(CC=2,(IF(MONTH(A173)&gt;=4,IF(MONTH(A173)&lt;=10,Inputs!$G$13,Inputs!$G$14),Inputs!$G$14))*$CK173,0))</f>
        <v xml:space="preserve"> </v>
      </c>
      <c r="DG173" s="373" t="str">
        <f t="shared" si="379"/>
        <v xml:space="preserve"> </v>
      </c>
      <c r="DH173" s="373" t="str">
        <f t="shared" si="380"/>
        <v xml:space="preserve"> </v>
      </c>
      <c r="DI173" s="373" t="str">
        <f t="shared" si="381"/>
        <v xml:space="preserve"> </v>
      </c>
      <c r="DJ173" s="373" t="str">
        <f t="shared" si="382"/>
        <v xml:space="preserve"> </v>
      </c>
      <c r="DK173" s="373" t="str">
        <f t="shared" si="383"/>
        <v xml:space="preserve"> </v>
      </c>
      <c r="DL173" s="373" t="str">
        <f t="shared" si="384"/>
        <v xml:space="preserve"> </v>
      </c>
      <c r="DM173" s="373" t="str">
        <f t="shared" si="385"/>
        <v xml:space="preserve"> </v>
      </c>
      <c r="DN173" s="373" t="str">
        <f t="shared" si="386"/>
        <v xml:space="preserve"> </v>
      </c>
      <c r="DO173" s="373" t="str">
        <f t="shared" si="387"/>
        <v xml:space="preserve"> </v>
      </c>
      <c r="DP173" s="375" t="str">
        <f t="shared" si="388"/>
        <v xml:space="preserve"> </v>
      </c>
      <c r="DQ173" t="str">
        <f t="shared" si="414"/>
        <v xml:space="preserve"> </v>
      </c>
      <c r="HD173" t="str">
        <f t="shared" si="415"/>
        <v xml:space="preserve"> </v>
      </c>
      <c r="HE173" t="str">
        <f t="shared" si="416"/>
        <v xml:space="preserve"> </v>
      </c>
      <c r="HF173" t="str">
        <f t="shared" si="417"/>
        <v xml:space="preserve"> </v>
      </c>
    </row>
    <row r="174" spans="1:214">
      <c r="A174" s="415" t="str">
        <f>IF(A173="N/A","N/A",IF(EDATE(A173,1)&gt;Inputs!$K$3,"N/A",EDATE(A173,1)))</f>
        <v>N/A</v>
      </c>
      <c r="B174" s="410" t="str">
        <f t="shared" si="389"/>
        <v xml:space="preserve"> </v>
      </c>
      <c r="C174" s="411" t="str">
        <f t="shared" si="390"/>
        <v xml:space="preserve"> </v>
      </c>
      <c r="D174" s="412" t="str">
        <f t="shared" si="391"/>
        <v xml:space="preserve"> </v>
      </c>
      <c r="E174" s="413" t="str">
        <f>IF($A174="N/A"," ",(C174-'Pricing Inputs'!T207)*D174)</f>
        <v xml:space="preserve"> </v>
      </c>
      <c r="F174" s="414" t="str">
        <f t="shared" si="440"/>
        <v xml:space="preserve"> </v>
      </c>
      <c r="G174" s="414" t="str">
        <f t="shared" si="392"/>
        <v xml:space="preserve"> </v>
      </c>
      <c r="H174" s="416" t="str">
        <f t="shared" si="393"/>
        <v xml:space="preserve"> </v>
      </c>
      <c r="I174" s="213" t="str">
        <f t="shared" si="342"/>
        <v xml:space="preserve"> </v>
      </c>
      <c r="J174" s="213" t="str">
        <f t="shared" si="343"/>
        <v xml:space="preserve"> </v>
      </c>
      <c r="K174" s="213" t="str">
        <f t="shared" si="344"/>
        <v xml:space="preserve"> </v>
      </c>
      <c r="L174" s="213" t="str">
        <f t="shared" si="345"/>
        <v xml:space="preserve"> </v>
      </c>
      <c r="M174" s="213" t="str">
        <f t="shared" si="346"/>
        <v xml:space="preserve"> </v>
      </c>
      <c r="N174" s="213" t="str">
        <f t="shared" si="347"/>
        <v xml:space="preserve"> </v>
      </c>
      <c r="O174" s="213" t="str">
        <f t="shared" si="348"/>
        <v xml:space="preserve"> </v>
      </c>
      <c r="P174" s="213" t="str">
        <f t="shared" si="349"/>
        <v xml:space="preserve"> </v>
      </c>
      <c r="Q174" s="213" t="str">
        <f t="shared" si="350"/>
        <v xml:space="preserve"> </v>
      </c>
      <c r="R174" s="405" t="str">
        <f>IF($A174="N/A"," ",IF(Pricetype=2,MAX(I174-$H174,0),IF(Pricetype=1,(_xll.xSPRDOPT(I174,$E174,$CI174,0,($CD174+IF(Smile=TRUE,VLOOKUP(MAX(-5,$H174-I174),Volsmile,2),0)),$CG174,$CH174,($A174-DateToday)+15,1,0)),I174-$H174)))</f>
        <v xml:space="preserve"> </v>
      </c>
      <c r="S174" s="405" t="str">
        <f>IF($A174="N/A"," ",IF(Pricetype=2,MAX(J174-$H174,0),IF(Pricetype=1,(_xll.xSPRDOPT(J174,$E174,$CI174,0,($CD174+IF(Smile=TRUE,VLOOKUP(MAX(-5,$H174-J174),Volsmile,2),0)),$CG174,$CH174,($A174-DateToday)+15,1,0)),J174-$H174)))</f>
        <v xml:space="preserve"> </v>
      </c>
      <c r="T174" s="406" t="str">
        <f t="shared" si="351"/>
        <v xml:space="preserve"> </v>
      </c>
      <c r="U174" s="405" t="str">
        <f>IF($A174="N/A"," ",IF(Pricetype=2,MAX(L174-$H174,0),IF(L174&lt;&gt;0,IF(Pricetype=1,(_xll.xSPRDOPT(L174,$E174,$CI174,0,($CD174+IF(Smile=TRUE,VLOOKUP(MAX(-5,$H174-L174),Volsmile,2),0)),$CG174,$CH174,($A174-DateToday)+15,1,0)),L174-$H174),0)))</f>
        <v xml:space="preserve"> </v>
      </c>
      <c r="V174" s="405" t="str">
        <f>IF($A174="N/A"," ",IF(Pricetype=2,MAX(M174-$H174,0),IF(M174&lt;&gt;0,IF(Pricetype=1,(_xll.xSPRDOPT(M174,$E174,$CI174,0,($CD174+IF(Smile=TRUE,VLOOKUP(MAX(-5,$H174-M174),Volsmile,2),0)),$CG174,$CH174,($A174-DateToday)+15,1,0)),M174-$H174),0)))</f>
        <v xml:space="preserve"> </v>
      </c>
      <c r="W174" s="406" t="str">
        <f t="shared" si="352"/>
        <v xml:space="preserve"> </v>
      </c>
      <c r="X174" s="405" t="str">
        <f>IF($A174="N/A"," ",IF(Pricetype=2,MAX(O174-$H174,0),IF(O174&lt;&gt;0,IF(Pricetype=1,(_xll.xSPRDOPT(O174,$E174,$CI174,0,($CD174+IF(Smile=TRUE,VLOOKUP(MAX(-5,$H174-O174),Volsmile,2),0)),$CG174,$CH174,($A174-DateToday)+15,1,0)),O174-$H174),0)))</f>
        <v xml:space="preserve"> </v>
      </c>
      <c r="Y174" s="405" t="str">
        <f>IF($A174="N/A"," ",IF(Pricetype=2,MAX(P174-$H174,0),IF(P174&lt;&gt;0,IF(Pricetype=1,(_xll.xSPRDOPT(P174,$E174,$CI174,0,($CD174+IF(Smile=TRUE,VLOOKUP(MAX(-5,$H174-P174),Volsmile,2),0)),$CG174,$CH174,($A174-DateToday)+15,1,0)),P174-$H174),0)))</f>
        <v xml:space="preserve"> </v>
      </c>
      <c r="Z174" s="406" t="str">
        <f t="shared" si="353"/>
        <v xml:space="preserve"> </v>
      </c>
      <c r="AA174" s="254" t="str">
        <f>IF($A174="N/A"," ",IF(VLOOKUP(MONTH(A174),ManualTable,2)=1,(IF(0&lt;&gt;R174,IF(Pricetype=1,(_xll.xSPRDOPT(I174,$E174,$CI174,0,($CD174+IF(Smile=TRUE,VLOOKUP(MAX(-5,$H174-I174),Volsmile,2),0)),$CG174,$CH174,($A174-DateToday)+15,1,1))*(8*$HD174),8*$HD174),0)),0))</f>
        <v xml:space="preserve"> </v>
      </c>
      <c r="AB174" s="254" t="str">
        <f>IF($A174="N/A"," ",IF(VLOOKUP(MONTH(A174),ManualTable,3)=1,(IF(S174&lt;&gt;0,IF(Pricetype=1,(_xll.xSPRDOPT(J174,$E174,$CI174,0,($CD174+IF(Smile=TRUE,VLOOKUP(MAX(-5,$H174-J174),Volsmile,2),0)),$CG174,$CH174,($A174-DateToday)+15,1,1))*(8*$HD174),8*$HD174),0)),0))</f>
        <v xml:space="preserve"> </v>
      </c>
      <c r="AC174" s="254" t="str">
        <f t="shared" si="394"/>
        <v xml:space="preserve"> </v>
      </c>
      <c r="AD174" s="254" t="str">
        <f>IF($A174="N/A"," ",IF(VLOOKUP(MONTH(A174),ManualTable,5)=1,(IF(U174&lt;&gt;0,IF(Pricetype=1,(_xll.xSPRDOPT(L174,$E174,$CI174,0,($CD174+IF(Smile=TRUE,VLOOKUP(MAX(-5,$H174-L174),Volsmile,2),0)),$CG174,$CH174,($A174-DateToday)+15,1,1))*(8*$HE174),8*$HE174),0)),0))</f>
        <v xml:space="preserve"> </v>
      </c>
      <c r="AE174" s="254" t="str">
        <f>IF($A174="N/A"," ",IF(VLOOKUP(MONTH(A174),ManualTable,6)=1,(IF(V174&lt;&gt;0,IF(Pricetype=1,(_xll.xSPRDOPT(M174,$E174,$CI174,0,($CD174+IF(Smile=TRUE,VLOOKUP(MAX(-5,$H174-M174),Volsmile,2),0)),$CG174,$CH174,($A174-DateToday)+15,1,1))*(8*$HE174),8*$HE174),0)),0))</f>
        <v xml:space="preserve"> </v>
      </c>
      <c r="AF174" s="254" t="str">
        <f t="shared" si="395"/>
        <v xml:space="preserve"> </v>
      </c>
      <c r="AG174" s="254" t="str">
        <f>IF($A174="N/A"," ",IF(VLOOKUP(MONTH(A174),ManualTable,8)=1,(IF(X174&lt;&gt;0,IF(Pricetype=1,(_xll.xSPRDOPT(O174,$E174,$CI174,0,($CD174+IF(Smile=TRUE,VLOOKUP(MAX(-5,$H174-O174),Volsmile,2),0)),$CG174,$CH174,($A174-DateToday)+15,1,1))*(8*$HF174),8*$HF174),0)),0))</f>
        <v xml:space="preserve"> </v>
      </c>
      <c r="AH174" s="254" t="str">
        <f>IF($A174="N/A"," ",IF(VLOOKUP(MONTH(A174),ManualTable,9)=1,(IF(Y174&lt;&gt;0,IF(Pricetype=1,(_xll.xSPRDOPT(P174,$E174,$CI174,0,($CD174+IF(Smile=TRUE,VLOOKUP(MAX(-5,$H174-P174),Volsmile,2),0)),$CG174,$CH174,($A174-DateToday)+15,1,1))*(8*$HF174),8*$HF174),0)),0))</f>
        <v xml:space="preserve"> </v>
      </c>
      <c r="AI174" s="254" t="str">
        <f t="shared" si="396"/>
        <v xml:space="preserve"> </v>
      </c>
      <c r="AJ174" s="227" t="str">
        <f t="shared" si="479"/>
        <v xml:space="preserve"> </v>
      </c>
      <c r="AK174" s="228" t="str">
        <f t="shared" si="480"/>
        <v xml:space="preserve"> </v>
      </c>
      <c r="AL174" s="228" t="str">
        <f t="shared" si="480"/>
        <v xml:space="preserve"> </v>
      </c>
      <c r="AM174" s="228" t="str">
        <f t="shared" si="481"/>
        <v xml:space="preserve"> </v>
      </c>
      <c r="AN174" s="228" t="str">
        <f t="shared" si="482"/>
        <v xml:space="preserve"> </v>
      </c>
      <c r="AO174" s="228" t="str">
        <f t="shared" si="482"/>
        <v xml:space="preserve"> </v>
      </c>
      <c r="AP174" s="228" t="str">
        <f t="shared" si="483"/>
        <v xml:space="preserve"> </v>
      </c>
      <c r="AQ174" s="228" t="str">
        <f t="shared" si="484"/>
        <v xml:space="preserve"> </v>
      </c>
      <c r="AR174" s="229" t="str">
        <f t="shared" si="485"/>
        <v xml:space="preserve"> </v>
      </c>
      <c r="AS174" s="262" t="str">
        <f t="shared" si="433"/>
        <v xml:space="preserve"> </v>
      </c>
      <c r="AT174" s="263" t="str">
        <f t="shared" si="434"/>
        <v xml:space="preserve"> </v>
      </c>
      <c r="AU174" s="263" t="str">
        <f t="shared" si="434"/>
        <v xml:space="preserve"> </v>
      </c>
      <c r="AV174" s="263" t="str">
        <f t="shared" si="435"/>
        <v xml:space="preserve"> </v>
      </c>
      <c r="AW174" s="263" t="str">
        <f t="shared" si="436"/>
        <v xml:space="preserve"> </v>
      </c>
      <c r="AX174" s="263" t="str">
        <f t="shared" si="436"/>
        <v xml:space="preserve"> </v>
      </c>
      <c r="AY174" s="263" t="str">
        <f t="shared" si="437"/>
        <v xml:space="preserve"> </v>
      </c>
      <c r="AZ174" s="263" t="str">
        <f t="shared" si="438"/>
        <v xml:space="preserve"> </v>
      </c>
      <c r="BA174" s="263" t="str">
        <f t="shared" si="439"/>
        <v xml:space="preserve"> </v>
      </c>
      <c r="BB174" s="229"/>
      <c r="BC174" s="266" t="str">
        <f t="shared" si="472"/>
        <v xml:space="preserve"> </v>
      </c>
      <c r="BD174" s="269" t="str">
        <f t="shared" si="473"/>
        <v xml:space="preserve"> </v>
      </c>
      <c r="BE174" s="269" t="str">
        <f t="shared" si="473"/>
        <v xml:space="preserve"> </v>
      </c>
      <c r="BF174" s="269" t="str">
        <f t="shared" si="474"/>
        <v xml:space="preserve"> </v>
      </c>
      <c r="BG174" s="269" t="str">
        <f t="shared" si="475"/>
        <v xml:space="preserve"> </v>
      </c>
      <c r="BH174" s="269" t="str">
        <f t="shared" si="475"/>
        <v xml:space="preserve"> </v>
      </c>
      <c r="BI174" s="269" t="str">
        <f t="shared" si="476"/>
        <v xml:space="preserve"> </v>
      </c>
      <c r="BJ174" s="269" t="str">
        <f t="shared" si="477"/>
        <v xml:space="preserve"> </v>
      </c>
      <c r="BK174" s="269" t="str">
        <f t="shared" si="478"/>
        <v xml:space="preserve"> </v>
      </c>
      <c r="BL174" s="229"/>
      <c r="BM174" s="220" t="str">
        <f>IF($A174="N/A"," ",(IF(MONTH(A174)&gt;=4,IF(MONTH(A174)&lt;=10,Inputs!$F$13-Inputs!$G$13,Inputs!$F$14-Inputs!$G$14),Inputs!$F$14-Inputs!$G$14))*$CK174*Availability)</f>
        <v xml:space="preserve"> </v>
      </c>
      <c r="BN174" s="221" t="str">
        <f t="shared" si="397"/>
        <v xml:space="preserve"> </v>
      </c>
      <c r="BO174" s="221" t="str">
        <f t="shared" si="398"/>
        <v xml:space="preserve"> </v>
      </c>
      <c r="BP174" s="221" t="str">
        <f t="shared" si="399"/>
        <v xml:space="preserve"> </v>
      </c>
      <c r="BQ174" s="221" t="str">
        <f t="shared" si="400"/>
        <v xml:space="preserve"> </v>
      </c>
      <c r="BR174" s="221" t="str">
        <f t="shared" si="401"/>
        <v xml:space="preserve"> </v>
      </c>
      <c r="BS174" s="221" t="str">
        <f t="shared" si="402"/>
        <v xml:space="preserve"> </v>
      </c>
      <c r="BT174" s="221" t="str">
        <f t="shared" si="403"/>
        <v xml:space="preserve"> </v>
      </c>
      <c r="BU174" s="221" t="str">
        <f t="shared" si="404"/>
        <v xml:space="preserve"> </v>
      </c>
      <c r="BV174" s="221" t="str">
        <f t="shared" si="405"/>
        <v xml:space="preserve"> </v>
      </c>
      <c r="BW174" s="221" t="str">
        <f t="shared" si="406"/>
        <v xml:space="preserve"> </v>
      </c>
      <c r="BX174" s="421" t="str">
        <f t="shared" si="407"/>
        <v xml:space="preserve"> </v>
      </c>
      <c r="BY174" s="417" t="str">
        <f t="shared" si="408"/>
        <v xml:space="preserve"> </v>
      </c>
      <c r="BZ174" s="417" t="str">
        <f t="shared" si="409"/>
        <v xml:space="preserve"> </v>
      </c>
      <c r="CA174" s="422" t="str">
        <f t="shared" si="410"/>
        <v xml:space="preserve"> </v>
      </c>
      <c r="CB174" s="347" t="str">
        <f t="shared" si="354"/>
        <v xml:space="preserve"> </v>
      </c>
      <c r="CC174" s="347" t="str">
        <f t="shared" si="411"/>
        <v xml:space="preserve"> </v>
      </c>
      <c r="CD174" s="348" t="str">
        <f t="shared" si="355"/>
        <v xml:space="preserve"> </v>
      </c>
      <c r="CE174" s="347" t="str">
        <f t="shared" si="356"/>
        <v xml:space="preserve"> </v>
      </c>
      <c r="CF174" s="347" t="str">
        <f t="shared" si="357"/>
        <v xml:space="preserve"> </v>
      </c>
      <c r="CG174" s="348" t="str">
        <f t="shared" si="358"/>
        <v xml:space="preserve"> </v>
      </c>
      <c r="CH174" s="347" t="str">
        <f t="shared" si="412"/>
        <v xml:space="preserve"> </v>
      </c>
      <c r="CI174" s="349" t="str">
        <f>IF($A174="N/A"," ",F174+G174+(D174*('Pricing Inputs'!T207)))</f>
        <v xml:space="preserve"> </v>
      </c>
      <c r="CJ174" s="347" t="str">
        <f>IF($A174="N/A"," ",IF(PV=1,0,'Pricing Inputs'!U207))</f>
        <v xml:space="preserve"> </v>
      </c>
      <c r="CK174" s="350" t="str">
        <f t="shared" si="359"/>
        <v xml:space="preserve"> </v>
      </c>
      <c r="CL174" s="365" t="str">
        <f t="shared" si="360"/>
        <v xml:space="preserve"> </v>
      </c>
      <c r="CM174" s="380" t="str">
        <f t="shared" si="413"/>
        <v xml:space="preserve"> </v>
      </c>
      <c r="CN174" s="378" t="str">
        <f t="shared" si="361"/>
        <v xml:space="preserve"> </v>
      </c>
      <c r="CO174" s="378" t="str">
        <f t="shared" si="362"/>
        <v xml:space="preserve"> </v>
      </c>
      <c r="CP174" s="378" t="str">
        <f t="shared" si="363"/>
        <v xml:space="preserve"> </v>
      </c>
      <c r="CQ174" s="378" t="str">
        <f t="shared" si="364"/>
        <v xml:space="preserve"> </v>
      </c>
      <c r="CR174" s="378" t="str">
        <f t="shared" si="365"/>
        <v xml:space="preserve"> </v>
      </c>
      <c r="CS174" s="378" t="str">
        <f t="shared" si="366"/>
        <v xml:space="preserve"> </v>
      </c>
      <c r="CT174" s="378" t="str">
        <f t="shared" si="367"/>
        <v xml:space="preserve"> </v>
      </c>
      <c r="CU174" s="378" t="str">
        <f t="shared" si="368"/>
        <v xml:space="preserve"> </v>
      </c>
      <c r="CV174" s="378" t="str">
        <f t="shared" si="369"/>
        <v xml:space="preserve"> </v>
      </c>
      <c r="CW174" s="254" t="str">
        <f t="shared" si="370"/>
        <v xml:space="preserve"> </v>
      </c>
      <c r="CX174" s="254" t="str">
        <f t="shared" si="371"/>
        <v xml:space="preserve"> </v>
      </c>
      <c r="CY174" s="254" t="str">
        <f t="shared" si="372"/>
        <v xml:space="preserve"> </v>
      </c>
      <c r="CZ174" s="254" t="str">
        <f t="shared" si="373"/>
        <v xml:space="preserve"> </v>
      </c>
      <c r="DA174" s="254" t="str">
        <f t="shared" si="374"/>
        <v xml:space="preserve"> </v>
      </c>
      <c r="DB174" s="254" t="str">
        <f t="shared" si="375"/>
        <v xml:space="preserve"> </v>
      </c>
      <c r="DC174" s="254" t="str">
        <f t="shared" si="376"/>
        <v xml:space="preserve"> </v>
      </c>
      <c r="DD174" s="254" t="str">
        <f t="shared" si="377"/>
        <v xml:space="preserve"> </v>
      </c>
      <c r="DE174" s="254" t="str">
        <f t="shared" si="378"/>
        <v xml:space="preserve"> </v>
      </c>
      <c r="DF174" s="374" t="str">
        <f>IF($A174="N/A"," ",IF(CC=2,(IF(MONTH(A174)&gt;=4,IF(MONTH(A174)&lt;=10,Inputs!$G$13,Inputs!$G$14),Inputs!$G$14))*$CK174,0))</f>
        <v xml:space="preserve"> </v>
      </c>
      <c r="DG174" s="373" t="str">
        <f t="shared" si="379"/>
        <v xml:space="preserve"> </v>
      </c>
      <c r="DH174" s="373" t="str">
        <f t="shared" si="380"/>
        <v xml:space="preserve"> </v>
      </c>
      <c r="DI174" s="373" t="str">
        <f t="shared" si="381"/>
        <v xml:space="preserve"> </v>
      </c>
      <c r="DJ174" s="373" t="str">
        <f t="shared" si="382"/>
        <v xml:space="preserve"> </v>
      </c>
      <c r="DK174" s="373" t="str">
        <f t="shared" si="383"/>
        <v xml:space="preserve"> </v>
      </c>
      <c r="DL174" s="373" t="str">
        <f t="shared" si="384"/>
        <v xml:space="preserve"> </v>
      </c>
      <c r="DM174" s="373" t="str">
        <f t="shared" si="385"/>
        <v xml:space="preserve"> </v>
      </c>
      <c r="DN174" s="373" t="str">
        <f t="shared" si="386"/>
        <v xml:space="preserve"> </v>
      </c>
      <c r="DO174" s="373" t="str">
        <f t="shared" si="387"/>
        <v xml:space="preserve"> </v>
      </c>
      <c r="DP174" s="375" t="str">
        <f t="shared" si="388"/>
        <v xml:space="preserve"> </v>
      </c>
      <c r="DQ174" t="str">
        <f t="shared" si="414"/>
        <v xml:space="preserve"> </v>
      </c>
      <c r="HD174" t="str">
        <f t="shared" si="415"/>
        <v xml:space="preserve"> </v>
      </c>
      <c r="HE174" t="str">
        <f t="shared" si="416"/>
        <v xml:space="preserve"> </v>
      </c>
      <c r="HF174" t="str">
        <f t="shared" si="417"/>
        <v xml:space="preserve"> </v>
      </c>
    </row>
    <row r="175" spans="1:214">
      <c r="A175" s="415" t="str">
        <f>IF(A174="N/A","N/A",IF(EDATE(A174,1)&gt;Inputs!$K$3,"N/A",EDATE(A174,1)))</f>
        <v>N/A</v>
      </c>
      <c r="B175" s="410" t="str">
        <f t="shared" si="389"/>
        <v xml:space="preserve"> </v>
      </c>
      <c r="C175" s="411" t="str">
        <f t="shared" si="390"/>
        <v xml:space="preserve"> </v>
      </c>
      <c r="D175" s="412" t="str">
        <f t="shared" si="391"/>
        <v xml:space="preserve"> </v>
      </c>
      <c r="E175" s="413" t="str">
        <f>IF($A175="N/A"," ",(C175-'Pricing Inputs'!T208)*D175)</f>
        <v xml:space="preserve"> </v>
      </c>
      <c r="F175" s="414" t="str">
        <f t="shared" si="440"/>
        <v xml:space="preserve"> </v>
      </c>
      <c r="G175" s="414" t="str">
        <f t="shared" si="392"/>
        <v xml:space="preserve"> </v>
      </c>
      <c r="H175" s="416" t="str">
        <f t="shared" si="393"/>
        <v xml:space="preserve"> </v>
      </c>
      <c r="I175" s="213" t="str">
        <f t="shared" si="342"/>
        <v xml:space="preserve"> </v>
      </c>
      <c r="J175" s="213" t="str">
        <f t="shared" si="343"/>
        <v xml:space="preserve"> </v>
      </c>
      <c r="K175" s="213" t="str">
        <f t="shared" si="344"/>
        <v xml:space="preserve"> </v>
      </c>
      <c r="L175" s="213" t="str">
        <f t="shared" si="345"/>
        <v xml:space="preserve"> </v>
      </c>
      <c r="M175" s="213" t="str">
        <f t="shared" si="346"/>
        <v xml:space="preserve"> </v>
      </c>
      <c r="N175" s="213" t="str">
        <f t="shared" si="347"/>
        <v xml:space="preserve"> </v>
      </c>
      <c r="O175" s="213" t="str">
        <f t="shared" si="348"/>
        <v xml:space="preserve"> </v>
      </c>
      <c r="P175" s="213" t="str">
        <f t="shared" si="349"/>
        <v xml:space="preserve"> </v>
      </c>
      <c r="Q175" s="213" t="str">
        <f t="shared" si="350"/>
        <v xml:space="preserve"> </v>
      </c>
      <c r="R175" s="405" t="str">
        <f>IF($A175="N/A"," ",IF(Pricetype=2,MAX(I175-$H175,0),IF(Pricetype=1,(_xll.xSPRDOPT(I175,$E175,$CI175,0,($CD175+IF(Smile=TRUE,VLOOKUP(MAX(-5,$H175-I175),Volsmile,2),0)),$CG175,$CH175,($A175-DateToday)+15,1,0)),I175-$H175)))</f>
        <v xml:space="preserve"> </v>
      </c>
      <c r="S175" s="405" t="str">
        <f>IF($A175="N/A"," ",IF(Pricetype=2,MAX(J175-$H175,0),IF(Pricetype=1,(_xll.xSPRDOPT(J175,$E175,$CI175,0,($CD175+IF(Smile=TRUE,VLOOKUP(MAX(-5,$H175-J175),Volsmile,2),0)),$CG175,$CH175,($A175-DateToday)+15,1,0)),J175-$H175)))</f>
        <v xml:space="preserve"> </v>
      </c>
      <c r="T175" s="406" t="str">
        <f t="shared" si="351"/>
        <v xml:space="preserve"> </v>
      </c>
      <c r="U175" s="405" t="str">
        <f>IF($A175="N/A"," ",IF(Pricetype=2,MAX(L175-$H175,0),IF(L175&lt;&gt;0,IF(Pricetype=1,(_xll.xSPRDOPT(L175,$E175,$CI175,0,($CD175+IF(Smile=TRUE,VLOOKUP(MAX(-5,$H175-L175),Volsmile,2),0)),$CG175,$CH175,($A175-DateToday)+15,1,0)),L175-$H175),0)))</f>
        <v xml:space="preserve"> </v>
      </c>
      <c r="V175" s="405" t="str">
        <f>IF($A175="N/A"," ",IF(Pricetype=2,MAX(M175-$H175,0),IF(M175&lt;&gt;0,IF(Pricetype=1,(_xll.xSPRDOPT(M175,$E175,$CI175,0,($CD175+IF(Smile=TRUE,VLOOKUP(MAX(-5,$H175-M175),Volsmile,2),0)),$CG175,$CH175,($A175-DateToday)+15,1,0)),M175-$H175),0)))</f>
        <v xml:space="preserve"> </v>
      </c>
      <c r="W175" s="406" t="str">
        <f t="shared" si="352"/>
        <v xml:space="preserve"> </v>
      </c>
      <c r="X175" s="405" t="str">
        <f>IF($A175="N/A"," ",IF(Pricetype=2,MAX(O175-$H175,0),IF(O175&lt;&gt;0,IF(Pricetype=1,(_xll.xSPRDOPT(O175,$E175,$CI175,0,($CD175+IF(Smile=TRUE,VLOOKUP(MAX(-5,$H175-O175),Volsmile,2),0)),$CG175,$CH175,($A175-DateToday)+15,1,0)),O175-$H175),0)))</f>
        <v xml:space="preserve"> </v>
      </c>
      <c r="Y175" s="405" t="str">
        <f>IF($A175="N/A"," ",IF(Pricetype=2,MAX(P175-$H175,0),IF(P175&lt;&gt;0,IF(Pricetype=1,(_xll.xSPRDOPT(P175,$E175,$CI175,0,($CD175+IF(Smile=TRUE,VLOOKUP(MAX(-5,$H175-P175),Volsmile,2),0)),$CG175,$CH175,($A175-DateToday)+15,1,0)),P175-$H175),0)))</f>
        <v xml:space="preserve"> </v>
      </c>
      <c r="Z175" s="406" t="str">
        <f t="shared" si="353"/>
        <v xml:space="preserve"> </v>
      </c>
      <c r="AA175" s="254" t="str">
        <f>IF($A175="N/A"," ",IF(VLOOKUP(MONTH(A175),ManualTable,2)=1,(IF(0&lt;&gt;R175,IF(Pricetype=1,(_xll.xSPRDOPT(I175,$E175,$CI175,0,($CD175+IF(Smile=TRUE,VLOOKUP(MAX(-5,$H175-I175),Volsmile,2),0)),$CG175,$CH175,($A175-DateToday)+15,1,1))*(8*$HD175),8*$HD175),0)),0))</f>
        <v xml:space="preserve"> </v>
      </c>
      <c r="AB175" s="254" t="str">
        <f>IF($A175="N/A"," ",IF(VLOOKUP(MONTH(A175),ManualTable,3)=1,(IF(S175&lt;&gt;0,IF(Pricetype=1,(_xll.xSPRDOPT(J175,$E175,$CI175,0,($CD175+IF(Smile=TRUE,VLOOKUP(MAX(-5,$H175-J175),Volsmile,2),0)),$CG175,$CH175,($A175-DateToday)+15,1,1))*(8*$HD175),8*$HD175),0)),0))</f>
        <v xml:space="preserve"> </v>
      </c>
      <c r="AC175" s="254" t="str">
        <f t="shared" si="394"/>
        <v xml:space="preserve"> </v>
      </c>
      <c r="AD175" s="254" t="str">
        <f>IF($A175="N/A"," ",IF(VLOOKUP(MONTH(A175),ManualTable,5)=1,(IF(U175&lt;&gt;0,IF(Pricetype=1,(_xll.xSPRDOPT(L175,$E175,$CI175,0,($CD175+IF(Smile=TRUE,VLOOKUP(MAX(-5,$H175-L175),Volsmile,2),0)),$CG175,$CH175,($A175-DateToday)+15,1,1))*(8*$HE175),8*$HE175),0)),0))</f>
        <v xml:space="preserve"> </v>
      </c>
      <c r="AE175" s="254" t="str">
        <f>IF($A175="N/A"," ",IF(VLOOKUP(MONTH(A175),ManualTable,6)=1,(IF(V175&lt;&gt;0,IF(Pricetype=1,(_xll.xSPRDOPT(M175,$E175,$CI175,0,($CD175+IF(Smile=TRUE,VLOOKUP(MAX(-5,$H175-M175),Volsmile,2),0)),$CG175,$CH175,($A175-DateToday)+15,1,1))*(8*$HE175),8*$HE175),0)),0))</f>
        <v xml:space="preserve"> </v>
      </c>
      <c r="AF175" s="254" t="str">
        <f t="shared" si="395"/>
        <v xml:space="preserve"> </v>
      </c>
      <c r="AG175" s="254" t="str">
        <f>IF($A175="N/A"," ",IF(VLOOKUP(MONTH(A175),ManualTable,8)=1,(IF(X175&lt;&gt;0,IF(Pricetype=1,(_xll.xSPRDOPT(O175,$E175,$CI175,0,($CD175+IF(Smile=TRUE,VLOOKUP(MAX(-5,$H175-O175),Volsmile,2),0)),$CG175,$CH175,($A175-DateToday)+15,1,1))*(8*$HF175),8*$HF175),0)),0))</f>
        <v xml:space="preserve"> </v>
      </c>
      <c r="AH175" s="254" t="str">
        <f>IF($A175="N/A"," ",IF(VLOOKUP(MONTH(A175),ManualTable,9)=1,(IF(Y175&lt;&gt;0,IF(Pricetype=1,(_xll.xSPRDOPT(P175,$E175,$CI175,0,($CD175+IF(Smile=TRUE,VLOOKUP(MAX(-5,$H175-P175),Volsmile,2),0)),$CG175,$CH175,($A175-DateToday)+15,1,1))*(8*$HF175),8*$HF175),0)),0))</f>
        <v xml:space="preserve"> </v>
      </c>
      <c r="AI175" s="254" t="str">
        <f t="shared" si="396"/>
        <v xml:space="preserve"> </v>
      </c>
      <c r="AJ175" s="227" t="str">
        <f t="shared" si="479"/>
        <v xml:space="preserve"> </v>
      </c>
      <c r="AK175" s="228" t="str">
        <f t="shared" si="480"/>
        <v xml:space="preserve"> </v>
      </c>
      <c r="AL175" s="228" t="str">
        <f t="shared" si="480"/>
        <v xml:space="preserve"> </v>
      </c>
      <c r="AM175" s="228" t="str">
        <f t="shared" si="481"/>
        <v xml:space="preserve"> </v>
      </c>
      <c r="AN175" s="228" t="str">
        <f t="shared" si="482"/>
        <v xml:space="preserve"> </v>
      </c>
      <c r="AO175" s="228" t="str">
        <f t="shared" si="482"/>
        <v xml:space="preserve"> </v>
      </c>
      <c r="AP175" s="228" t="str">
        <f t="shared" si="483"/>
        <v xml:space="preserve"> </v>
      </c>
      <c r="AQ175" s="228" t="str">
        <f t="shared" si="484"/>
        <v xml:space="preserve"> </v>
      </c>
      <c r="AR175" s="229" t="str">
        <f t="shared" si="485"/>
        <v xml:space="preserve"> </v>
      </c>
      <c r="AS175" s="262" t="str">
        <f t="shared" si="433"/>
        <v xml:space="preserve"> </v>
      </c>
      <c r="AT175" s="263" t="str">
        <f t="shared" si="434"/>
        <v xml:space="preserve"> </v>
      </c>
      <c r="AU175" s="263" t="str">
        <f t="shared" si="434"/>
        <v xml:space="preserve"> </v>
      </c>
      <c r="AV175" s="263" t="str">
        <f t="shared" si="435"/>
        <v xml:space="preserve"> </v>
      </c>
      <c r="AW175" s="263" t="str">
        <f t="shared" si="436"/>
        <v xml:space="preserve"> </v>
      </c>
      <c r="AX175" s="263" t="str">
        <f t="shared" si="436"/>
        <v xml:space="preserve"> </v>
      </c>
      <c r="AY175" s="263" t="str">
        <f t="shared" si="437"/>
        <v xml:space="preserve"> </v>
      </c>
      <c r="AZ175" s="263" t="str">
        <f t="shared" si="438"/>
        <v xml:space="preserve"> </v>
      </c>
      <c r="BA175" s="263" t="str">
        <f t="shared" si="439"/>
        <v xml:space="preserve"> </v>
      </c>
      <c r="BB175" s="229"/>
      <c r="BC175" s="266" t="str">
        <f t="shared" si="472"/>
        <v xml:space="preserve"> </v>
      </c>
      <c r="BD175" s="269" t="str">
        <f t="shared" si="473"/>
        <v xml:space="preserve"> </v>
      </c>
      <c r="BE175" s="269" t="str">
        <f t="shared" si="473"/>
        <v xml:space="preserve"> </v>
      </c>
      <c r="BF175" s="269" t="str">
        <f t="shared" si="474"/>
        <v xml:space="preserve"> </v>
      </c>
      <c r="BG175" s="269" t="str">
        <f t="shared" si="475"/>
        <v xml:space="preserve"> </v>
      </c>
      <c r="BH175" s="269" t="str">
        <f t="shared" si="475"/>
        <v xml:space="preserve"> </v>
      </c>
      <c r="BI175" s="269" t="str">
        <f t="shared" si="476"/>
        <v xml:space="preserve"> </v>
      </c>
      <c r="BJ175" s="269" t="str">
        <f t="shared" si="477"/>
        <v xml:space="preserve"> </v>
      </c>
      <c r="BK175" s="269" t="str">
        <f t="shared" si="478"/>
        <v xml:space="preserve"> </v>
      </c>
      <c r="BL175" s="229"/>
      <c r="BM175" s="220" t="str">
        <f>IF($A175="N/A"," ",(IF(MONTH(A175)&gt;=4,IF(MONTH(A175)&lt;=10,Inputs!$F$13-Inputs!$G$13,Inputs!$F$14-Inputs!$G$14),Inputs!$F$14-Inputs!$G$14))*$CK175*Availability)</f>
        <v xml:space="preserve"> </v>
      </c>
      <c r="BN175" s="221" t="str">
        <f t="shared" si="397"/>
        <v xml:space="preserve"> </v>
      </c>
      <c r="BO175" s="221" t="str">
        <f t="shared" si="398"/>
        <v xml:space="preserve"> </v>
      </c>
      <c r="BP175" s="221" t="str">
        <f t="shared" si="399"/>
        <v xml:space="preserve"> </v>
      </c>
      <c r="BQ175" s="221" t="str">
        <f t="shared" si="400"/>
        <v xml:space="preserve"> </v>
      </c>
      <c r="BR175" s="221" t="str">
        <f t="shared" si="401"/>
        <v xml:space="preserve"> </v>
      </c>
      <c r="BS175" s="221" t="str">
        <f t="shared" si="402"/>
        <v xml:space="preserve"> </v>
      </c>
      <c r="BT175" s="221" t="str">
        <f t="shared" si="403"/>
        <v xml:space="preserve"> </v>
      </c>
      <c r="BU175" s="221" t="str">
        <f t="shared" si="404"/>
        <v xml:space="preserve"> </v>
      </c>
      <c r="BV175" s="221" t="str">
        <f t="shared" si="405"/>
        <v xml:space="preserve"> </v>
      </c>
      <c r="BW175" s="221" t="str">
        <f t="shared" si="406"/>
        <v xml:space="preserve"> </v>
      </c>
      <c r="BX175" s="421" t="str">
        <f t="shared" si="407"/>
        <v xml:space="preserve"> </v>
      </c>
      <c r="BY175" s="417" t="str">
        <f t="shared" si="408"/>
        <v xml:space="preserve"> </v>
      </c>
      <c r="BZ175" s="417" t="str">
        <f t="shared" si="409"/>
        <v xml:space="preserve"> </v>
      </c>
      <c r="CA175" s="422" t="str">
        <f t="shared" si="410"/>
        <v xml:space="preserve"> </v>
      </c>
      <c r="CB175" s="347" t="str">
        <f t="shared" si="354"/>
        <v xml:space="preserve"> </v>
      </c>
      <c r="CC175" s="347" t="str">
        <f t="shared" si="411"/>
        <v xml:space="preserve"> </v>
      </c>
      <c r="CD175" s="348" t="str">
        <f t="shared" si="355"/>
        <v xml:space="preserve"> </v>
      </c>
      <c r="CE175" s="347" t="str">
        <f t="shared" si="356"/>
        <v xml:space="preserve"> </v>
      </c>
      <c r="CF175" s="347" t="str">
        <f t="shared" si="357"/>
        <v xml:space="preserve"> </v>
      </c>
      <c r="CG175" s="348" t="str">
        <f t="shared" si="358"/>
        <v xml:space="preserve"> </v>
      </c>
      <c r="CH175" s="347" t="str">
        <f t="shared" si="412"/>
        <v xml:space="preserve"> </v>
      </c>
      <c r="CI175" s="349" t="str">
        <f>IF($A175="N/A"," ",F175+G175+(D175*('Pricing Inputs'!T208)))</f>
        <v xml:space="preserve"> </v>
      </c>
      <c r="CJ175" s="347" t="str">
        <f>IF($A175="N/A"," ",IF(PV=1,0,'Pricing Inputs'!U208))</f>
        <v xml:space="preserve"> </v>
      </c>
      <c r="CK175" s="350" t="str">
        <f t="shared" si="359"/>
        <v xml:space="preserve"> </v>
      </c>
      <c r="CL175" s="365" t="str">
        <f t="shared" si="360"/>
        <v xml:space="preserve"> </v>
      </c>
      <c r="CM175" s="380" t="str">
        <f t="shared" si="413"/>
        <v xml:space="preserve"> </v>
      </c>
      <c r="CN175" s="378" t="str">
        <f t="shared" si="361"/>
        <v xml:space="preserve"> </v>
      </c>
      <c r="CO175" s="378" t="str">
        <f t="shared" si="362"/>
        <v xml:space="preserve"> </v>
      </c>
      <c r="CP175" s="378" t="str">
        <f t="shared" si="363"/>
        <v xml:space="preserve"> </v>
      </c>
      <c r="CQ175" s="378" t="str">
        <f t="shared" si="364"/>
        <v xml:space="preserve"> </v>
      </c>
      <c r="CR175" s="378" t="str">
        <f t="shared" si="365"/>
        <v xml:space="preserve"> </v>
      </c>
      <c r="CS175" s="378" t="str">
        <f t="shared" si="366"/>
        <v xml:space="preserve"> </v>
      </c>
      <c r="CT175" s="378" t="str">
        <f t="shared" si="367"/>
        <v xml:space="preserve"> </v>
      </c>
      <c r="CU175" s="378" t="str">
        <f t="shared" si="368"/>
        <v xml:space="preserve"> </v>
      </c>
      <c r="CV175" s="378" t="str">
        <f t="shared" si="369"/>
        <v xml:space="preserve"> </v>
      </c>
      <c r="CW175" s="254" t="str">
        <f t="shared" si="370"/>
        <v xml:space="preserve"> </v>
      </c>
      <c r="CX175" s="254" t="str">
        <f t="shared" si="371"/>
        <v xml:space="preserve"> </v>
      </c>
      <c r="CY175" s="254" t="str">
        <f t="shared" si="372"/>
        <v xml:space="preserve"> </v>
      </c>
      <c r="CZ175" s="254" t="str">
        <f t="shared" si="373"/>
        <v xml:space="preserve"> </v>
      </c>
      <c r="DA175" s="254" t="str">
        <f t="shared" si="374"/>
        <v xml:space="preserve"> </v>
      </c>
      <c r="DB175" s="254" t="str">
        <f t="shared" si="375"/>
        <v xml:space="preserve"> </v>
      </c>
      <c r="DC175" s="254" t="str">
        <f t="shared" si="376"/>
        <v xml:space="preserve"> </v>
      </c>
      <c r="DD175" s="254" t="str">
        <f t="shared" si="377"/>
        <v xml:space="preserve"> </v>
      </c>
      <c r="DE175" s="254" t="str">
        <f t="shared" si="378"/>
        <v xml:space="preserve"> </v>
      </c>
      <c r="DF175" s="374" t="str">
        <f>IF($A175="N/A"," ",IF(CC=2,(IF(MONTH(A175)&gt;=4,IF(MONTH(A175)&lt;=10,Inputs!$G$13,Inputs!$G$14),Inputs!$G$14))*$CK175,0))</f>
        <v xml:space="preserve"> </v>
      </c>
      <c r="DG175" s="373" t="str">
        <f t="shared" si="379"/>
        <v xml:space="preserve"> </v>
      </c>
      <c r="DH175" s="373" t="str">
        <f t="shared" si="380"/>
        <v xml:space="preserve"> </v>
      </c>
      <c r="DI175" s="373" t="str">
        <f t="shared" si="381"/>
        <v xml:space="preserve"> </v>
      </c>
      <c r="DJ175" s="373" t="str">
        <f t="shared" si="382"/>
        <v xml:space="preserve"> </v>
      </c>
      <c r="DK175" s="373" t="str">
        <f t="shared" si="383"/>
        <v xml:space="preserve"> </v>
      </c>
      <c r="DL175" s="373" t="str">
        <f t="shared" si="384"/>
        <v xml:space="preserve"> </v>
      </c>
      <c r="DM175" s="373" t="str">
        <f t="shared" si="385"/>
        <v xml:space="preserve"> </v>
      </c>
      <c r="DN175" s="373" t="str">
        <f t="shared" si="386"/>
        <v xml:space="preserve"> </v>
      </c>
      <c r="DO175" s="373" t="str">
        <f t="shared" si="387"/>
        <v xml:space="preserve"> </v>
      </c>
      <c r="DP175" s="375" t="str">
        <f t="shared" si="388"/>
        <v xml:space="preserve"> </v>
      </c>
      <c r="DQ175" t="str">
        <f t="shared" si="414"/>
        <v xml:space="preserve"> </v>
      </c>
      <c r="HD175" t="str">
        <f t="shared" si="415"/>
        <v xml:space="preserve"> </v>
      </c>
      <c r="HE175" t="str">
        <f t="shared" si="416"/>
        <v xml:space="preserve"> </v>
      </c>
      <c r="HF175" t="str">
        <f t="shared" si="417"/>
        <v xml:space="preserve"> </v>
      </c>
    </row>
    <row r="176" spans="1:214">
      <c r="A176" s="415" t="str">
        <f>IF(A175="N/A","N/A",IF(EDATE(A175,1)&gt;Inputs!$K$3,"N/A",EDATE(A175,1)))</f>
        <v>N/A</v>
      </c>
      <c r="B176" s="410" t="str">
        <f t="shared" si="389"/>
        <v xml:space="preserve"> </v>
      </c>
      <c r="C176" s="411" t="str">
        <f t="shared" si="390"/>
        <v xml:space="preserve"> </v>
      </c>
      <c r="D176" s="412" t="str">
        <f t="shared" si="391"/>
        <v xml:space="preserve"> </v>
      </c>
      <c r="E176" s="413" t="str">
        <f>IF($A176="N/A"," ",(C176-'Pricing Inputs'!T209)*D176)</f>
        <v xml:space="preserve"> </v>
      </c>
      <c r="F176" s="414" t="str">
        <f t="shared" si="440"/>
        <v xml:space="preserve"> </v>
      </c>
      <c r="G176" s="414" t="str">
        <f t="shared" si="392"/>
        <v xml:space="preserve"> </v>
      </c>
      <c r="H176" s="416" t="str">
        <f t="shared" si="393"/>
        <v xml:space="preserve"> </v>
      </c>
      <c r="I176" s="213" t="str">
        <f t="shared" si="342"/>
        <v xml:space="preserve"> </v>
      </c>
      <c r="J176" s="213" t="str">
        <f t="shared" si="343"/>
        <v xml:space="preserve"> </v>
      </c>
      <c r="K176" s="213" t="str">
        <f t="shared" si="344"/>
        <v xml:space="preserve"> </v>
      </c>
      <c r="L176" s="213" t="str">
        <f t="shared" si="345"/>
        <v xml:space="preserve"> </v>
      </c>
      <c r="M176" s="213" t="str">
        <f t="shared" si="346"/>
        <v xml:space="preserve"> </v>
      </c>
      <c r="N176" s="213" t="str">
        <f t="shared" si="347"/>
        <v xml:space="preserve"> </v>
      </c>
      <c r="O176" s="213" t="str">
        <f t="shared" si="348"/>
        <v xml:space="preserve"> </v>
      </c>
      <c r="P176" s="213" t="str">
        <f t="shared" si="349"/>
        <v xml:space="preserve"> </v>
      </c>
      <c r="Q176" s="213" t="str">
        <f t="shared" si="350"/>
        <v xml:space="preserve"> </v>
      </c>
      <c r="R176" s="405" t="str">
        <f>IF($A176="N/A"," ",IF(Pricetype=2,MAX(I176-$H176,0),IF(Pricetype=1,(_xll.xSPRDOPT(I176,$E176,$CI176,0,($CD176+IF(Smile=TRUE,VLOOKUP(MAX(-5,$H176-I176),Volsmile,2),0)),$CG176,$CH176,($A176-DateToday)+15,1,0)),I176-$H176)))</f>
        <v xml:space="preserve"> </v>
      </c>
      <c r="S176" s="405" t="str">
        <f>IF($A176="N/A"," ",IF(Pricetype=2,MAX(J176-$H176,0),IF(Pricetype=1,(_xll.xSPRDOPT(J176,$E176,$CI176,0,($CD176+IF(Smile=TRUE,VLOOKUP(MAX(-5,$H176-J176),Volsmile,2),0)),$CG176,$CH176,($A176-DateToday)+15,1,0)),J176-$H176)))</f>
        <v xml:space="preserve"> </v>
      </c>
      <c r="T176" s="406" t="str">
        <f t="shared" si="351"/>
        <v xml:space="preserve"> </v>
      </c>
      <c r="U176" s="405" t="str">
        <f>IF($A176="N/A"," ",IF(Pricetype=2,MAX(L176-$H176,0),IF(L176&lt;&gt;0,IF(Pricetype=1,(_xll.xSPRDOPT(L176,$E176,$CI176,0,($CD176+IF(Smile=TRUE,VLOOKUP(MAX(-5,$H176-L176),Volsmile,2),0)),$CG176,$CH176,($A176-DateToday)+15,1,0)),L176-$H176),0)))</f>
        <v xml:space="preserve"> </v>
      </c>
      <c r="V176" s="405" t="str">
        <f>IF($A176="N/A"," ",IF(Pricetype=2,MAX(M176-$H176,0),IF(M176&lt;&gt;0,IF(Pricetype=1,(_xll.xSPRDOPT(M176,$E176,$CI176,0,($CD176+IF(Smile=TRUE,VLOOKUP(MAX(-5,$H176-M176),Volsmile,2),0)),$CG176,$CH176,($A176-DateToday)+15,1,0)),M176-$H176),0)))</f>
        <v xml:space="preserve"> </v>
      </c>
      <c r="W176" s="406" t="str">
        <f t="shared" si="352"/>
        <v xml:space="preserve"> </v>
      </c>
      <c r="X176" s="405" t="str">
        <f>IF($A176="N/A"," ",IF(Pricetype=2,MAX(O176-$H176,0),IF(O176&lt;&gt;0,IF(Pricetype=1,(_xll.xSPRDOPT(O176,$E176,$CI176,0,($CD176+IF(Smile=TRUE,VLOOKUP(MAX(-5,$H176-O176),Volsmile,2),0)),$CG176,$CH176,($A176-DateToday)+15,1,0)),O176-$H176),0)))</f>
        <v xml:space="preserve"> </v>
      </c>
      <c r="Y176" s="405" t="str">
        <f>IF($A176="N/A"," ",IF(Pricetype=2,MAX(P176-$H176,0),IF(P176&lt;&gt;0,IF(Pricetype=1,(_xll.xSPRDOPT(P176,$E176,$CI176,0,($CD176+IF(Smile=TRUE,VLOOKUP(MAX(-5,$H176-P176),Volsmile,2),0)),$CG176,$CH176,($A176-DateToday)+15,1,0)),P176-$H176),0)))</f>
        <v xml:space="preserve"> </v>
      </c>
      <c r="Z176" s="406" t="str">
        <f t="shared" si="353"/>
        <v xml:space="preserve"> </v>
      </c>
      <c r="AA176" s="254" t="str">
        <f>IF($A176="N/A"," ",IF(VLOOKUP(MONTH(A176),ManualTable,2)=1,(IF(0&lt;&gt;R176,IF(Pricetype=1,(_xll.xSPRDOPT(I176,$E176,$CI176,0,($CD176+IF(Smile=TRUE,VLOOKUP(MAX(-5,$H176-I176),Volsmile,2),0)),$CG176,$CH176,($A176-DateToday)+15,1,1))*(8*$HD176),8*$HD176),0)),0))</f>
        <v xml:space="preserve"> </v>
      </c>
      <c r="AB176" s="254" t="str">
        <f>IF($A176="N/A"," ",IF(VLOOKUP(MONTH(A176),ManualTable,3)=1,(IF(S176&lt;&gt;0,IF(Pricetype=1,(_xll.xSPRDOPT(J176,$E176,$CI176,0,($CD176+IF(Smile=TRUE,VLOOKUP(MAX(-5,$H176-J176),Volsmile,2),0)),$CG176,$CH176,($A176-DateToday)+15,1,1))*(8*$HD176),8*$HD176),0)),0))</f>
        <v xml:space="preserve"> </v>
      </c>
      <c r="AC176" s="254" t="str">
        <f t="shared" si="394"/>
        <v xml:space="preserve"> </v>
      </c>
      <c r="AD176" s="254" t="str">
        <f>IF($A176="N/A"," ",IF(VLOOKUP(MONTH(A176),ManualTable,5)=1,(IF(U176&lt;&gt;0,IF(Pricetype=1,(_xll.xSPRDOPT(L176,$E176,$CI176,0,($CD176+IF(Smile=TRUE,VLOOKUP(MAX(-5,$H176-L176),Volsmile,2),0)),$CG176,$CH176,($A176-DateToday)+15,1,1))*(8*$HE176),8*$HE176),0)),0))</f>
        <v xml:space="preserve"> </v>
      </c>
      <c r="AE176" s="254" t="str">
        <f>IF($A176="N/A"," ",IF(VLOOKUP(MONTH(A176),ManualTable,6)=1,(IF(V176&lt;&gt;0,IF(Pricetype=1,(_xll.xSPRDOPT(M176,$E176,$CI176,0,($CD176+IF(Smile=TRUE,VLOOKUP(MAX(-5,$H176-M176),Volsmile,2),0)),$CG176,$CH176,($A176-DateToday)+15,1,1))*(8*$HE176),8*$HE176),0)),0))</f>
        <v xml:space="preserve"> </v>
      </c>
      <c r="AF176" s="254" t="str">
        <f t="shared" si="395"/>
        <v xml:space="preserve"> </v>
      </c>
      <c r="AG176" s="254" t="str">
        <f>IF($A176="N/A"," ",IF(VLOOKUP(MONTH(A176),ManualTable,8)=1,(IF(X176&lt;&gt;0,IF(Pricetype=1,(_xll.xSPRDOPT(O176,$E176,$CI176,0,($CD176+IF(Smile=TRUE,VLOOKUP(MAX(-5,$H176-O176),Volsmile,2),0)),$CG176,$CH176,($A176-DateToday)+15,1,1))*(8*$HF176),8*$HF176),0)),0))</f>
        <v xml:space="preserve"> </v>
      </c>
      <c r="AH176" s="254" t="str">
        <f>IF($A176="N/A"," ",IF(VLOOKUP(MONTH(A176),ManualTable,9)=1,(IF(Y176&lt;&gt;0,IF(Pricetype=1,(_xll.xSPRDOPT(P176,$E176,$CI176,0,($CD176+IF(Smile=TRUE,VLOOKUP(MAX(-5,$H176-P176),Volsmile,2),0)),$CG176,$CH176,($A176-DateToday)+15,1,1))*(8*$HF176),8*$HF176),0)),0))</f>
        <v xml:space="preserve"> </v>
      </c>
      <c r="AI176" s="254" t="str">
        <f t="shared" si="396"/>
        <v xml:space="preserve"> </v>
      </c>
      <c r="AJ176" s="227" t="str">
        <f t="shared" si="479"/>
        <v xml:space="preserve"> </v>
      </c>
      <c r="AK176" s="228" t="str">
        <f t="shared" si="480"/>
        <v xml:space="preserve"> </v>
      </c>
      <c r="AL176" s="228" t="str">
        <f t="shared" si="480"/>
        <v xml:space="preserve"> </v>
      </c>
      <c r="AM176" s="228" t="str">
        <f t="shared" si="481"/>
        <v xml:space="preserve"> </v>
      </c>
      <c r="AN176" s="228" t="str">
        <f t="shared" si="482"/>
        <v xml:space="preserve"> </v>
      </c>
      <c r="AO176" s="228" t="str">
        <f t="shared" si="482"/>
        <v xml:space="preserve"> </v>
      </c>
      <c r="AP176" s="228" t="str">
        <f t="shared" si="483"/>
        <v xml:space="preserve"> </v>
      </c>
      <c r="AQ176" s="228" t="str">
        <f t="shared" si="484"/>
        <v xml:space="preserve"> </v>
      </c>
      <c r="AR176" s="229" t="str">
        <f t="shared" si="485"/>
        <v xml:space="preserve"> </v>
      </c>
      <c r="AS176" s="262" t="str">
        <f t="shared" si="433"/>
        <v xml:space="preserve"> </v>
      </c>
      <c r="AT176" s="263" t="str">
        <f t="shared" si="434"/>
        <v xml:space="preserve"> </v>
      </c>
      <c r="AU176" s="263" t="str">
        <f t="shared" si="434"/>
        <v xml:space="preserve"> </v>
      </c>
      <c r="AV176" s="263" t="str">
        <f t="shared" si="435"/>
        <v xml:space="preserve"> </v>
      </c>
      <c r="AW176" s="263" t="str">
        <f t="shared" si="436"/>
        <v xml:space="preserve"> </v>
      </c>
      <c r="AX176" s="263" t="str">
        <f t="shared" si="436"/>
        <v xml:space="preserve"> </v>
      </c>
      <c r="AY176" s="263" t="str">
        <f t="shared" si="437"/>
        <v xml:space="preserve"> </v>
      </c>
      <c r="AZ176" s="263" t="str">
        <f t="shared" si="438"/>
        <v xml:space="preserve"> </v>
      </c>
      <c r="BA176" s="263" t="str">
        <f t="shared" si="439"/>
        <v xml:space="preserve"> </v>
      </c>
      <c r="BB176" s="229"/>
      <c r="BC176" s="266" t="str">
        <f t="shared" si="472"/>
        <v xml:space="preserve"> </v>
      </c>
      <c r="BD176" s="269" t="str">
        <f t="shared" si="473"/>
        <v xml:space="preserve"> </v>
      </c>
      <c r="BE176" s="269" t="str">
        <f t="shared" si="473"/>
        <v xml:space="preserve"> </v>
      </c>
      <c r="BF176" s="269" t="str">
        <f t="shared" si="474"/>
        <v xml:space="preserve"> </v>
      </c>
      <c r="BG176" s="269" t="str">
        <f t="shared" si="475"/>
        <v xml:space="preserve"> </v>
      </c>
      <c r="BH176" s="269" t="str">
        <f t="shared" si="475"/>
        <v xml:space="preserve"> </v>
      </c>
      <c r="BI176" s="269" t="str">
        <f t="shared" si="476"/>
        <v xml:space="preserve"> </v>
      </c>
      <c r="BJ176" s="269" t="str">
        <f t="shared" si="477"/>
        <v xml:space="preserve"> </v>
      </c>
      <c r="BK176" s="269" t="str">
        <f t="shared" si="478"/>
        <v xml:space="preserve"> </v>
      </c>
      <c r="BL176" s="229"/>
      <c r="BM176" s="220" t="str">
        <f>IF($A176="N/A"," ",(IF(MONTH(A176)&gt;=4,IF(MONTH(A176)&lt;=10,Inputs!$F$13-Inputs!$G$13,Inputs!$F$14-Inputs!$G$14),Inputs!$F$14-Inputs!$G$14))*$CK176*Availability)</f>
        <v xml:space="preserve"> </v>
      </c>
      <c r="BN176" s="221" t="str">
        <f t="shared" si="397"/>
        <v xml:space="preserve"> </v>
      </c>
      <c r="BO176" s="221" t="str">
        <f t="shared" si="398"/>
        <v xml:space="preserve"> </v>
      </c>
      <c r="BP176" s="221" t="str">
        <f t="shared" si="399"/>
        <v xml:space="preserve"> </v>
      </c>
      <c r="BQ176" s="221" t="str">
        <f t="shared" si="400"/>
        <v xml:space="preserve"> </v>
      </c>
      <c r="BR176" s="221" t="str">
        <f t="shared" si="401"/>
        <v xml:space="preserve"> </v>
      </c>
      <c r="BS176" s="221" t="str">
        <f t="shared" si="402"/>
        <v xml:space="preserve"> </v>
      </c>
      <c r="BT176" s="221" t="str">
        <f t="shared" si="403"/>
        <v xml:space="preserve"> </v>
      </c>
      <c r="BU176" s="221" t="str">
        <f t="shared" si="404"/>
        <v xml:space="preserve"> </v>
      </c>
      <c r="BV176" s="221" t="str">
        <f t="shared" si="405"/>
        <v xml:space="preserve"> </v>
      </c>
      <c r="BW176" s="221" t="str">
        <f t="shared" si="406"/>
        <v xml:space="preserve"> </v>
      </c>
      <c r="BX176" s="421" t="str">
        <f t="shared" si="407"/>
        <v xml:space="preserve"> </v>
      </c>
      <c r="BY176" s="417" t="str">
        <f t="shared" si="408"/>
        <v xml:space="preserve"> </v>
      </c>
      <c r="BZ176" s="417" t="str">
        <f t="shared" si="409"/>
        <v xml:space="preserve"> </v>
      </c>
      <c r="CA176" s="422" t="str">
        <f t="shared" si="410"/>
        <v xml:space="preserve"> </v>
      </c>
      <c r="CB176" s="347" t="str">
        <f t="shared" si="354"/>
        <v xml:space="preserve"> </v>
      </c>
      <c r="CC176" s="347" t="str">
        <f t="shared" si="411"/>
        <v xml:space="preserve"> </v>
      </c>
      <c r="CD176" s="348" t="str">
        <f t="shared" si="355"/>
        <v xml:space="preserve"> </v>
      </c>
      <c r="CE176" s="347" t="str">
        <f t="shared" si="356"/>
        <v xml:space="preserve"> </v>
      </c>
      <c r="CF176" s="347" t="str">
        <f t="shared" si="357"/>
        <v xml:space="preserve"> </v>
      </c>
      <c r="CG176" s="348" t="str">
        <f t="shared" si="358"/>
        <v xml:space="preserve"> </v>
      </c>
      <c r="CH176" s="347" t="str">
        <f t="shared" si="412"/>
        <v xml:space="preserve"> </v>
      </c>
      <c r="CI176" s="349" t="str">
        <f>IF($A176="N/A"," ",F176+G176+(D176*('Pricing Inputs'!T209)))</f>
        <v xml:space="preserve"> </v>
      </c>
      <c r="CJ176" s="347" t="str">
        <f>IF($A176="N/A"," ",IF(PV=1,0,'Pricing Inputs'!U209))</f>
        <v xml:space="preserve"> </v>
      </c>
      <c r="CK176" s="350" t="str">
        <f t="shared" si="359"/>
        <v xml:space="preserve"> </v>
      </c>
      <c r="CL176" s="365" t="str">
        <f t="shared" si="360"/>
        <v xml:space="preserve"> </v>
      </c>
      <c r="CM176" s="380" t="str">
        <f t="shared" si="413"/>
        <v xml:space="preserve"> </v>
      </c>
      <c r="CN176" s="378" t="str">
        <f t="shared" si="361"/>
        <v xml:space="preserve"> </v>
      </c>
      <c r="CO176" s="378" t="str">
        <f t="shared" si="362"/>
        <v xml:space="preserve"> </v>
      </c>
      <c r="CP176" s="378" t="str">
        <f t="shared" si="363"/>
        <v xml:space="preserve"> </v>
      </c>
      <c r="CQ176" s="378" t="str">
        <f t="shared" si="364"/>
        <v xml:space="preserve"> </v>
      </c>
      <c r="CR176" s="378" t="str">
        <f t="shared" si="365"/>
        <v xml:space="preserve"> </v>
      </c>
      <c r="CS176" s="378" t="str">
        <f t="shared" si="366"/>
        <v xml:space="preserve"> </v>
      </c>
      <c r="CT176" s="378" t="str">
        <f t="shared" si="367"/>
        <v xml:space="preserve"> </v>
      </c>
      <c r="CU176" s="378" t="str">
        <f t="shared" si="368"/>
        <v xml:space="preserve"> </v>
      </c>
      <c r="CV176" s="378" t="str">
        <f t="shared" si="369"/>
        <v xml:space="preserve"> </v>
      </c>
      <c r="CW176" s="254" t="str">
        <f t="shared" si="370"/>
        <v xml:space="preserve"> </v>
      </c>
      <c r="CX176" s="254" t="str">
        <f t="shared" si="371"/>
        <v xml:space="preserve"> </v>
      </c>
      <c r="CY176" s="254" t="str">
        <f t="shared" si="372"/>
        <v xml:space="preserve"> </v>
      </c>
      <c r="CZ176" s="254" t="str">
        <f t="shared" si="373"/>
        <v xml:space="preserve"> </v>
      </c>
      <c r="DA176" s="254" t="str">
        <f t="shared" si="374"/>
        <v xml:space="preserve"> </v>
      </c>
      <c r="DB176" s="254" t="str">
        <f t="shared" si="375"/>
        <v xml:space="preserve"> </v>
      </c>
      <c r="DC176" s="254" t="str">
        <f t="shared" si="376"/>
        <v xml:space="preserve"> </v>
      </c>
      <c r="DD176" s="254" t="str">
        <f t="shared" si="377"/>
        <v xml:space="preserve"> </v>
      </c>
      <c r="DE176" s="254" t="str">
        <f t="shared" si="378"/>
        <v xml:space="preserve"> </v>
      </c>
      <c r="DF176" s="374" t="str">
        <f>IF($A176="N/A"," ",IF(CC=2,(IF(MONTH(A176)&gt;=4,IF(MONTH(A176)&lt;=10,Inputs!$G$13,Inputs!$G$14),Inputs!$G$14))*$CK176,0))</f>
        <v xml:space="preserve"> </v>
      </c>
      <c r="DG176" s="373" t="str">
        <f t="shared" si="379"/>
        <v xml:space="preserve"> </v>
      </c>
      <c r="DH176" s="373" t="str">
        <f t="shared" si="380"/>
        <v xml:space="preserve"> </v>
      </c>
      <c r="DI176" s="373" t="str">
        <f t="shared" si="381"/>
        <v xml:space="preserve"> </v>
      </c>
      <c r="DJ176" s="373" t="str">
        <f t="shared" si="382"/>
        <v xml:space="preserve"> </v>
      </c>
      <c r="DK176" s="373" t="str">
        <f t="shared" si="383"/>
        <v xml:space="preserve"> </v>
      </c>
      <c r="DL176" s="373" t="str">
        <f t="shared" si="384"/>
        <v xml:space="preserve"> </v>
      </c>
      <c r="DM176" s="373" t="str">
        <f t="shared" si="385"/>
        <v xml:space="preserve"> </v>
      </c>
      <c r="DN176" s="373" t="str">
        <f t="shared" si="386"/>
        <v xml:space="preserve"> </v>
      </c>
      <c r="DO176" s="373" t="str">
        <f t="shared" si="387"/>
        <v xml:space="preserve"> </v>
      </c>
      <c r="DP176" s="375" t="str">
        <f t="shared" si="388"/>
        <v xml:space="preserve"> </v>
      </c>
      <c r="DQ176" t="str">
        <f t="shared" si="414"/>
        <v xml:space="preserve"> </v>
      </c>
      <c r="HD176" t="str">
        <f t="shared" si="415"/>
        <v xml:space="preserve"> </v>
      </c>
      <c r="HE176" t="str">
        <f t="shared" si="416"/>
        <v xml:space="preserve"> </v>
      </c>
      <c r="HF176" t="str">
        <f t="shared" si="417"/>
        <v xml:space="preserve"> </v>
      </c>
    </row>
    <row r="177" spans="1:214">
      <c r="A177" s="415" t="str">
        <f>IF(A176="N/A","N/A",IF(EDATE(A176,1)&gt;Inputs!$K$3,"N/A",EDATE(A176,1)))</f>
        <v>N/A</v>
      </c>
      <c r="B177" s="410" t="str">
        <f t="shared" si="389"/>
        <v xml:space="preserve"> </v>
      </c>
      <c r="C177" s="411" t="str">
        <f t="shared" si="390"/>
        <v xml:space="preserve"> </v>
      </c>
      <c r="D177" s="412" t="str">
        <f t="shared" si="391"/>
        <v xml:space="preserve"> </v>
      </c>
      <c r="E177" s="413" t="str">
        <f>IF($A177="N/A"," ",(C177-'Pricing Inputs'!T210)*D177)</f>
        <v xml:space="preserve"> </v>
      </c>
      <c r="F177" s="414" t="str">
        <f t="shared" si="440"/>
        <v xml:space="preserve"> </v>
      </c>
      <c r="G177" s="414" t="str">
        <f t="shared" si="392"/>
        <v xml:space="preserve"> </v>
      </c>
      <c r="H177" s="416" t="str">
        <f t="shared" si="393"/>
        <v xml:space="preserve"> </v>
      </c>
      <c r="I177" s="213" t="str">
        <f t="shared" si="342"/>
        <v xml:space="preserve"> </v>
      </c>
      <c r="J177" s="213" t="str">
        <f t="shared" si="343"/>
        <v xml:space="preserve"> </v>
      </c>
      <c r="K177" s="213" t="str">
        <f t="shared" si="344"/>
        <v xml:space="preserve"> </v>
      </c>
      <c r="L177" s="213" t="str">
        <f t="shared" si="345"/>
        <v xml:space="preserve"> </v>
      </c>
      <c r="M177" s="213" t="str">
        <f t="shared" si="346"/>
        <v xml:space="preserve"> </v>
      </c>
      <c r="N177" s="213" t="str">
        <f t="shared" si="347"/>
        <v xml:space="preserve"> </v>
      </c>
      <c r="O177" s="213" t="str">
        <f t="shared" si="348"/>
        <v xml:space="preserve"> </v>
      </c>
      <c r="P177" s="213" t="str">
        <f t="shared" si="349"/>
        <v xml:space="preserve"> </v>
      </c>
      <c r="Q177" s="213" t="str">
        <f t="shared" si="350"/>
        <v xml:space="preserve"> </v>
      </c>
      <c r="R177" s="405" t="str">
        <f>IF($A177="N/A"," ",IF(Pricetype=2,MAX(I177-$H177,0),IF(Pricetype=1,(_xll.xSPRDOPT(I177,$E177,$CI177,0,($CD177+IF(Smile=TRUE,VLOOKUP(MAX(-5,$H177-I177),Volsmile,2),0)),$CG177,$CH177,($A177-DateToday)+15,1,0)),I177-$H177)))</f>
        <v xml:space="preserve"> </v>
      </c>
      <c r="S177" s="405" t="str">
        <f>IF($A177="N/A"," ",IF(Pricetype=2,MAX(J177-$H177,0),IF(Pricetype=1,(_xll.xSPRDOPT(J177,$E177,$CI177,0,($CD177+IF(Smile=TRUE,VLOOKUP(MAX(-5,$H177-J177),Volsmile,2),0)),$CG177,$CH177,($A177-DateToday)+15,1,0)),J177-$H177)))</f>
        <v xml:space="preserve"> </v>
      </c>
      <c r="T177" s="406" t="str">
        <f t="shared" si="351"/>
        <v xml:space="preserve"> </v>
      </c>
      <c r="U177" s="405" t="str">
        <f>IF($A177="N/A"," ",IF(Pricetype=2,MAX(L177-$H177,0),IF(L177&lt;&gt;0,IF(Pricetype=1,(_xll.xSPRDOPT(L177,$E177,$CI177,0,($CD177+IF(Smile=TRUE,VLOOKUP(MAX(-5,$H177-L177),Volsmile,2),0)),$CG177,$CH177,($A177-DateToday)+15,1,0)),L177-$H177),0)))</f>
        <v xml:space="preserve"> </v>
      </c>
      <c r="V177" s="405" t="str">
        <f>IF($A177="N/A"," ",IF(Pricetype=2,MAX(M177-$H177,0),IF(M177&lt;&gt;0,IF(Pricetype=1,(_xll.xSPRDOPT(M177,$E177,$CI177,0,($CD177+IF(Smile=TRUE,VLOOKUP(MAX(-5,$H177-M177),Volsmile,2),0)),$CG177,$CH177,($A177-DateToday)+15,1,0)),M177-$H177),0)))</f>
        <v xml:space="preserve"> </v>
      </c>
      <c r="W177" s="406" t="str">
        <f t="shared" si="352"/>
        <v xml:space="preserve"> </v>
      </c>
      <c r="X177" s="405" t="str">
        <f>IF($A177="N/A"," ",IF(Pricetype=2,MAX(O177-$H177,0),IF(O177&lt;&gt;0,IF(Pricetype=1,(_xll.xSPRDOPT(O177,$E177,$CI177,0,($CD177+IF(Smile=TRUE,VLOOKUP(MAX(-5,$H177-O177),Volsmile,2),0)),$CG177,$CH177,($A177-DateToday)+15,1,0)),O177-$H177),0)))</f>
        <v xml:space="preserve"> </v>
      </c>
      <c r="Y177" s="405" t="str">
        <f>IF($A177="N/A"," ",IF(Pricetype=2,MAX(P177-$H177,0),IF(P177&lt;&gt;0,IF(Pricetype=1,(_xll.xSPRDOPT(P177,$E177,$CI177,0,($CD177+IF(Smile=TRUE,VLOOKUP(MAX(-5,$H177-P177),Volsmile,2),0)),$CG177,$CH177,($A177-DateToday)+15,1,0)),P177-$H177),0)))</f>
        <v xml:space="preserve"> </v>
      </c>
      <c r="Z177" s="406" t="str">
        <f t="shared" si="353"/>
        <v xml:space="preserve"> </v>
      </c>
      <c r="AA177" s="254" t="str">
        <f>IF($A177="N/A"," ",IF(VLOOKUP(MONTH(A177),ManualTable,2)=1,(IF(0&lt;&gt;R177,IF(Pricetype=1,(_xll.xSPRDOPT(I177,$E177,$CI177,0,($CD177+IF(Smile=TRUE,VLOOKUP(MAX(-5,$H177-I177),Volsmile,2),0)),$CG177,$CH177,($A177-DateToday)+15,1,1))*(8*$HD177),8*$HD177),0)),0))</f>
        <v xml:space="preserve"> </v>
      </c>
      <c r="AB177" s="254" t="str">
        <f>IF($A177="N/A"," ",IF(VLOOKUP(MONTH(A177),ManualTable,3)=1,(IF(S177&lt;&gt;0,IF(Pricetype=1,(_xll.xSPRDOPT(J177,$E177,$CI177,0,($CD177+IF(Smile=TRUE,VLOOKUP(MAX(-5,$H177-J177),Volsmile,2),0)),$CG177,$CH177,($A177-DateToday)+15,1,1))*(8*$HD177),8*$HD177),0)),0))</f>
        <v xml:space="preserve"> </v>
      </c>
      <c r="AC177" s="254" t="str">
        <f t="shared" si="394"/>
        <v xml:space="preserve"> </v>
      </c>
      <c r="AD177" s="254" t="str">
        <f>IF($A177="N/A"," ",IF(VLOOKUP(MONTH(A177),ManualTable,5)=1,(IF(U177&lt;&gt;0,IF(Pricetype=1,(_xll.xSPRDOPT(L177,$E177,$CI177,0,($CD177+IF(Smile=TRUE,VLOOKUP(MAX(-5,$H177-L177),Volsmile,2),0)),$CG177,$CH177,($A177-DateToday)+15,1,1))*(8*$HE177),8*$HE177),0)),0))</f>
        <v xml:space="preserve"> </v>
      </c>
      <c r="AE177" s="254" t="str">
        <f>IF($A177="N/A"," ",IF(VLOOKUP(MONTH(A177),ManualTable,6)=1,(IF(V177&lt;&gt;0,IF(Pricetype=1,(_xll.xSPRDOPT(M177,$E177,$CI177,0,($CD177+IF(Smile=TRUE,VLOOKUP(MAX(-5,$H177-M177),Volsmile,2),0)),$CG177,$CH177,($A177-DateToday)+15,1,1))*(8*$HE177),8*$HE177),0)),0))</f>
        <v xml:space="preserve"> </v>
      </c>
      <c r="AF177" s="254" t="str">
        <f t="shared" si="395"/>
        <v xml:space="preserve"> </v>
      </c>
      <c r="AG177" s="254" t="str">
        <f>IF($A177="N/A"," ",IF(VLOOKUP(MONTH(A177),ManualTable,8)=1,(IF(X177&lt;&gt;0,IF(Pricetype=1,(_xll.xSPRDOPT(O177,$E177,$CI177,0,($CD177+IF(Smile=TRUE,VLOOKUP(MAX(-5,$H177-O177),Volsmile,2),0)),$CG177,$CH177,($A177-DateToday)+15,1,1))*(8*$HF177),8*$HF177),0)),0))</f>
        <v xml:space="preserve"> </v>
      </c>
      <c r="AH177" s="254" t="str">
        <f>IF($A177="N/A"," ",IF(VLOOKUP(MONTH(A177),ManualTable,9)=1,(IF(Y177&lt;&gt;0,IF(Pricetype=1,(_xll.xSPRDOPT(P177,$E177,$CI177,0,($CD177+IF(Smile=TRUE,VLOOKUP(MAX(-5,$H177-P177),Volsmile,2),0)),$CG177,$CH177,($A177-DateToday)+15,1,1))*(8*$HF177),8*$HF177),0)),0))</f>
        <v xml:space="preserve"> </v>
      </c>
      <c r="AI177" s="254" t="str">
        <f t="shared" si="396"/>
        <v xml:space="preserve"> </v>
      </c>
      <c r="AJ177" s="227" t="str">
        <f t="shared" si="479"/>
        <v xml:space="preserve"> </v>
      </c>
      <c r="AK177" s="228" t="str">
        <f t="shared" si="480"/>
        <v xml:space="preserve"> </v>
      </c>
      <c r="AL177" s="228" t="str">
        <f t="shared" si="480"/>
        <v xml:space="preserve"> </v>
      </c>
      <c r="AM177" s="228" t="str">
        <f t="shared" si="481"/>
        <v xml:space="preserve"> </v>
      </c>
      <c r="AN177" s="228" t="str">
        <f t="shared" si="482"/>
        <v xml:space="preserve"> </v>
      </c>
      <c r="AO177" s="228" t="str">
        <f t="shared" si="482"/>
        <v xml:space="preserve"> </v>
      </c>
      <c r="AP177" s="228" t="str">
        <f t="shared" si="483"/>
        <v xml:space="preserve"> </v>
      </c>
      <c r="AQ177" s="228" t="str">
        <f t="shared" si="484"/>
        <v xml:space="preserve"> </v>
      </c>
      <c r="AR177" s="229" t="str">
        <f t="shared" si="485"/>
        <v xml:space="preserve"> </v>
      </c>
      <c r="AS177" s="262" t="str">
        <f t="shared" si="433"/>
        <v xml:space="preserve"> </v>
      </c>
      <c r="AT177" s="263" t="str">
        <f t="shared" si="434"/>
        <v xml:space="preserve"> </v>
      </c>
      <c r="AU177" s="263" t="str">
        <f t="shared" si="434"/>
        <v xml:space="preserve"> </v>
      </c>
      <c r="AV177" s="263" t="str">
        <f t="shared" si="435"/>
        <v xml:space="preserve"> </v>
      </c>
      <c r="AW177" s="263" t="str">
        <f t="shared" si="436"/>
        <v xml:space="preserve"> </v>
      </c>
      <c r="AX177" s="263" t="str">
        <f t="shared" si="436"/>
        <v xml:space="preserve"> </v>
      </c>
      <c r="AY177" s="263" t="str">
        <f t="shared" si="437"/>
        <v xml:space="preserve"> </v>
      </c>
      <c r="AZ177" s="263" t="str">
        <f t="shared" si="438"/>
        <v xml:space="preserve"> </v>
      </c>
      <c r="BA177" s="263" t="str">
        <f t="shared" si="439"/>
        <v xml:space="preserve"> </v>
      </c>
      <c r="BB177" s="229"/>
      <c r="BC177" s="266" t="str">
        <f t="shared" si="472"/>
        <v xml:space="preserve"> </v>
      </c>
      <c r="BD177" s="269" t="str">
        <f t="shared" si="473"/>
        <v xml:space="preserve"> </v>
      </c>
      <c r="BE177" s="269" t="str">
        <f t="shared" si="473"/>
        <v xml:space="preserve"> </v>
      </c>
      <c r="BF177" s="269" t="str">
        <f t="shared" si="474"/>
        <v xml:space="preserve"> </v>
      </c>
      <c r="BG177" s="269" t="str">
        <f t="shared" si="475"/>
        <v xml:space="preserve"> </v>
      </c>
      <c r="BH177" s="269" t="str">
        <f t="shared" si="475"/>
        <v xml:space="preserve"> </v>
      </c>
      <c r="BI177" s="269" t="str">
        <f t="shared" si="476"/>
        <v xml:space="preserve"> </v>
      </c>
      <c r="BJ177" s="269" t="str">
        <f t="shared" si="477"/>
        <v xml:space="preserve"> </v>
      </c>
      <c r="BK177" s="269" t="str">
        <f t="shared" si="478"/>
        <v xml:space="preserve"> </v>
      </c>
      <c r="BL177" s="229"/>
      <c r="BM177" s="220" t="str">
        <f>IF($A177="N/A"," ",(IF(MONTH(A177)&gt;=4,IF(MONTH(A177)&lt;=10,Inputs!$F$13-Inputs!$G$13,Inputs!$F$14-Inputs!$G$14),Inputs!$F$14-Inputs!$G$14))*$CK177*Availability)</f>
        <v xml:space="preserve"> </v>
      </c>
      <c r="BN177" s="221" t="str">
        <f t="shared" si="397"/>
        <v xml:space="preserve"> </v>
      </c>
      <c r="BO177" s="221" t="str">
        <f t="shared" si="398"/>
        <v xml:space="preserve"> </v>
      </c>
      <c r="BP177" s="221" t="str">
        <f t="shared" si="399"/>
        <v xml:space="preserve"> </v>
      </c>
      <c r="BQ177" s="221" t="str">
        <f t="shared" si="400"/>
        <v xml:space="preserve"> </v>
      </c>
      <c r="BR177" s="221" t="str">
        <f t="shared" si="401"/>
        <v xml:space="preserve"> </v>
      </c>
      <c r="BS177" s="221" t="str">
        <f t="shared" si="402"/>
        <v xml:space="preserve"> </v>
      </c>
      <c r="BT177" s="221" t="str">
        <f t="shared" si="403"/>
        <v xml:space="preserve"> </v>
      </c>
      <c r="BU177" s="221" t="str">
        <f t="shared" si="404"/>
        <v xml:space="preserve"> </v>
      </c>
      <c r="BV177" s="221" t="str">
        <f t="shared" si="405"/>
        <v xml:space="preserve"> </v>
      </c>
      <c r="BW177" s="221" t="str">
        <f t="shared" si="406"/>
        <v xml:space="preserve"> </v>
      </c>
      <c r="BX177" s="421" t="str">
        <f t="shared" si="407"/>
        <v xml:space="preserve"> </v>
      </c>
      <c r="BY177" s="417" t="str">
        <f t="shared" si="408"/>
        <v xml:space="preserve"> </v>
      </c>
      <c r="BZ177" s="417" t="str">
        <f t="shared" si="409"/>
        <v xml:space="preserve"> </v>
      </c>
      <c r="CA177" s="422" t="str">
        <f t="shared" si="410"/>
        <v xml:space="preserve"> </v>
      </c>
      <c r="CB177" s="347" t="str">
        <f t="shared" si="354"/>
        <v xml:space="preserve"> </v>
      </c>
      <c r="CC177" s="347" t="str">
        <f t="shared" si="411"/>
        <v xml:space="preserve"> </v>
      </c>
      <c r="CD177" s="348" t="str">
        <f t="shared" si="355"/>
        <v xml:space="preserve"> </v>
      </c>
      <c r="CE177" s="347" t="str">
        <f t="shared" si="356"/>
        <v xml:space="preserve"> </v>
      </c>
      <c r="CF177" s="347" t="str">
        <f t="shared" si="357"/>
        <v xml:space="preserve"> </v>
      </c>
      <c r="CG177" s="348" t="str">
        <f t="shared" si="358"/>
        <v xml:space="preserve"> </v>
      </c>
      <c r="CH177" s="347" t="str">
        <f t="shared" si="412"/>
        <v xml:space="preserve"> </v>
      </c>
      <c r="CI177" s="349" t="str">
        <f>IF($A177="N/A"," ",F177+G177+(D177*('Pricing Inputs'!T210)))</f>
        <v xml:space="preserve"> </v>
      </c>
      <c r="CJ177" s="347" t="str">
        <f>IF($A177="N/A"," ",IF(PV=1,0,'Pricing Inputs'!U210))</f>
        <v xml:space="preserve"> </v>
      </c>
      <c r="CK177" s="350" t="str">
        <f t="shared" si="359"/>
        <v xml:space="preserve"> </v>
      </c>
      <c r="CL177" s="365" t="str">
        <f t="shared" si="360"/>
        <v xml:space="preserve"> </v>
      </c>
      <c r="CM177" s="380" t="str">
        <f t="shared" si="413"/>
        <v xml:space="preserve"> </v>
      </c>
      <c r="CN177" s="378" t="str">
        <f t="shared" si="361"/>
        <v xml:space="preserve"> </v>
      </c>
      <c r="CO177" s="378" t="str">
        <f t="shared" si="362"/>
        <v xml:space="preserve"> </v>
      </c>
      <c r="CP177" s="378" t="str">
        <f t="shared" si="363"/>
        <v xml:space="preserve"> </v>
      </c>
      <c r="CQ177" s="378" t="str">
        <f t="shared" si="364"/>
        <v xml:space="preserve"> </v>
      </c>
      <c r="CR177" s="378" t="str">
        <f t="shared" si="365"/>
        <v xml:space="preserve"> </v>
      </c>
      <c r="CS177" s="378" t="str">
        <f t="shared" si="366"/>
        <v xml:space="preserve"> </v>
      </c>
      <c r="CT177" s="378" t="str">
        <f t="shared" si="367"/>
        <v xml:space="preserve"> </v>
      </c>
      <c r="CU177" s="378" t="str">
        <f t="shared" si="368"/>
        <v xml:space="preserve"> </v>
      </c>
      <c r="CV177" s="378" t="str">
        <f t="shared" si="369"/>
        <v xml:space="preserve"> </v>
      </c>
      <c r="CW177" s="254" t="str">
        <f t="shared" si="370"/>
        <v xml:space="preserve"> </v>
      </c>
      <c r="CX177" s="254" t="str">
        <f t="shared" si="371"/>
        <v xml:space="preserve"> </v>
      </c>
      <c r="CY177" s="254" t="str">
        <f t="shared" si="372"/>
        <v xml:space="preserve"> </v>
      </c>
      <c r="CZ177" s="254" t="str">
        <f t="shared" si="373"/>
        <v xml:space="preserve"> </v>
      </c>
      <c r="DA177" s="254" t="str">
        <f t="shared" si="374"/>
        <v xml:space="preserve"> </v>
      </c>
      <c r="DB177" s="254" t="str">
        <f t="shared" si="375"/>
        <v xml:space="preserve"> </v>
      </c>
      <c r="DC177" s="254" t="str">
        <f t="shared" si="376"/>
        <v xml:space="preserve"> </v>
      </c>
      <c r="DD177" s="254" t="str">
        <f t="shared" si="377"/>
        <v xml:space="preserve"> </v>
      </c>
      <c r="DE177" s="254" t="str">
        <f t="shared" si="378"/>
        <v xml:space="preserve"> </v>
      </c>
      <c r="DF177" s="374" t="str">
        <f>IF($A177="N/A"," ",IF(CC=2,(IF(MONTH(A177)&gt;=4,IF(MONTH(A177)&lt;=10,Inputs!$G$13,Inputs!$G$14),Inputs!$G$14))*$CK177,0))</f>
        <v xml:space="preserve"> </v>
      </c>
      <c r="DG177" s="373" t="str">
        <f t="shared" si="379"/>
        <v xml:space="preserve"> </v>
      </c>
      <c r="DH177" s="373" t="str">
        <f t="shared" si="380"/>
        <v xml:space="preserve"> </v>
      </c>
      <c r="DI177" s="373" t="str">
        <f t="shared" si="381"/>
        <v xml:space="preserve"> </v>
      </c>
      <c r="DJ177" s="373" t="str">
        <f t="shared" si="382"/>
        <v xml:space="preserve"> </v>
      </c>
      <c r="DK177" s="373" t="str">
        <f t="shared" si="383"/>
        <v xml:space="preserve"> </v>
      </c>
      <c r="DL177" s="373" t="str">
        <f t="shared" si="384"/>
        <v xml:space="preserve"> </v>
      </c>
      <c r="DM177" s="373" t="str">
        <f t="shared" si="385"/>
        <v xml:space="preserve"> </v>
      </c>
      <c r="DN177" s="373" t="str">
        <f t="shared" si="386"/>
        <v xml:space="preserve"> </v>
      </c>
      <c r="DO177" s="373" t="str">
        <f t="shared" si="387"/>
        <v xml:space="preserve"> </v>
      </c>
      <c r="DP177" s="375" t="str">
        <f t="shared" si="388"/>
        <v xml:space="preserve"> </v>
      </c>
      <c r="DQ177" t="str">
        <f t="shared" si="414"/>
        <v xml:space="preserve"> </v>
      </c>
      <c r="HD177" t="str">
        <f t="shared" si="415"/>
        <v xml:space="preserve"> </v>
      </c>
      <c r="HE177" t="str">
        <f t="shared" si="416"/>
        <v xml:space="preserve"> </v>
      </c>
      <c r="HF177" t="str">
        <f t="shared" si="417"/>
        <v xml:space="preserve"> </v>
      </c>
    </row>
    <row r="178" spans="1:214">
      <c r="A178" s="415" t="str">
        <f>IF(A177="N/A","N/A",IF(EDATE(A177,1)&gt;Inputs!$K$3,"N/A",EDATE(A177,1)))</f>
        <v>N/A</v>
      </c>
      <c r="B178" s="410" t="str">
        <f t="shared" si="389"/>
        <v xml:space="preserve"> </v>
      </c>
      <c r="C178" s="411" t="str">
        <f t="shared" si="390"/>
        <v xml:space="preserve"> </v>
      </c>
      <c r="D178" s="412" t="str">
        <f t="shared" si="391"/>
        <v xml:space="preserve"> </v>
      </c>
      <c r="E178" s="413" t="str">
        <f>IF($A178="N/A"," ",(C178-'Pricing Inputs'!T211)*D178)</f>
        <v xml:space="preserve"> </v>
      </c>
      <c r="F178" s="414" t="str">
        <f t="shared" si="440"/>
        <v xml:space="preserve"> </v>
      </c>
      <c r="G178" s="414" t="str">
        <f t="shared" si="392"/>
        <v xml:space="preserve"> </v>
      </c>
      <c r="H178" s="416" t="str">
        <f t="shared" si="393"/>
        <v xml:space="preserve"> </v>
      </c>
      <c r="I178" s="213" t="str">
        <f t="shared" si="342"/>
        <v xml:space="preserve"> </v>
      </c>
      <c r="J178" s="213" t="str">
        <f t="shared" si="343"/>
        <v xml:space="preserve"> </v>
      </c>
      <c r="K178" s="213" t="str">
        <f t="shared" si="344"/>
        <v xml:space="preserve"> </v>
      </c>
      <c r="L178" s="213" t="str">
        <f t="shared" si="345"/>
        <v xml:space="preserve"> </v>
      </c>
      <c r="M178" s="213" t="str">
        <f t="shared" si="346"/>
        <v xml:space="preserve"> </v>
      </c>
      <c r="N178" s="213" t="str">
        <f t="shared" si="347"/>
        <v xml:space="preserve"> </v>
      </c>
      <c r="O178" s="213" t="str">
        <f t="shared" si="348"/>
        <v xml:space="preserve"> </v>
      </c>
      <c r="P178" s="213" t="str">
        <f t="shared" si="349"/>
        <v xml:space="preserve"> </v>
      </c>
      <c r="Q178" s="213" t="str">
        <f t="shared" si="350"/>
        <v xml:space="preserve"> </v>
      </c>
      <c r="R178" s="405" t="str">
        <f>IF($A178="N/A"," ",IF(Pricetype=2,MAX(I178-$H178,0),IF(Pricetype=1,(_xll.xSPRDOPT(I178,$E178,$CI178,0,($CD178+IF(Smile=TRUE,VLOOKUP(MAX(-5,$H178-I178),Volsmile,2),0)),$CG178,$CH178,($A178-DateToday)+15,1,0)),I178-$H178)))</f>
        <v xml:space="preserve"> </v>
      </c>
      <c r="S178" s="405" t="str">
        <f>IF($A178="N/A"," ",IF(Pricetype=2,MAX(J178-$H178,0),IF(Pricetype=1,(_xll.xSPRDOPT(J178,$E178,$CI178,0,($CD178+IF(Smile=TRUE,VLOOKUP(MAX(-5,$H178-J178),Volsmile,2),0)),$CG178,$CH178,($A178-DateToday)+15,1,0)),J178-$H178)))</f>
        <v xml:space="preserve"> </v>
      </c>
      <c r="T178" s="406" t="str">
        <f t="shared" si="351"/>
        <v xml:space="preserve"> </v>
      </c>
      <c r="U178" s="405" t="str">
        <f>IF($A178="N/A"," ",IF(Pricetype=2,MAX(L178-$H178,0),IF(L178&lt;&gt;0,IF(Pricetype=1,(_xll.xSPRDOPT(L178,$E178,$CI178,0,($CD178+IF(Smile=TRUE,VLOOKUP(MAX(-5,$H178-L178),Volsmile,2),0)),$CG178,$CH178,($A178-DateToday)+15,1,0)),L178-$H178),0)))</f>
        <v xml:space="preserve"> </v>
      </c>
      <c r="V178" s="405" t="str">
        <f>IF($A178="N/A"," ",IF(Pricetype=2,MAX(M178-$H178,0),IF(M178&lt;&gt;0,IF(Pricetype=1,(_xll.xSPRDOPT(M178,$E178,$CI178,0,($CD178+IF(Smile=TRUE,VLOOKUP(MAX(-5,$H178-M178),Volsmile,2),0)),$CG178,$CH178,($A178-DateToday)+15,1,0)),M178-$H178),0)))</f>
        <v xml:space="preserve"> </v>
      </c>
      <c r="W178" s="406" t="str">
        <f t="shared" si="352"/>
        <v xml:space="preserve"> </v>
      </c>
      <c r="X178" s="405" t="str">
        <f>IF($A178="N/A"," ",IF(Pricetype=2,MAX(O178-$H178,0),IF(O178&lt;&gt;0,IF(Pricetype=1,(_xll.xSPRDOPT(O178,$E178,$CI178,0,($CD178+IF(Smile=TRUE,VLOOKUP(MAX(-5,$H178-O178),Volsmile,2),0)),$CG178,$CH178,($A178-DateToday)+15,1,0)),O178-$H178),0)))</f>
        <v xml:space="preserve"> </v>
      </c>
      <c r="Y178" s="405" t="str">
        <f>IF($A178="N/A"," ",IF(Pricetype=2,MAX(P178-$H178,0),IF(P178&lt;&gt;0,IF(Pricetype=1,(_xll.xSPRDOPT(P178,$E178,$CI178,0,($CD178+IF(Smile=TRUE,VLOOKUP(MAX(-5,$H178-P178),Volsmile,2),0)),$CG178,$CH178,($A178-DateToday)+15,1,0)),P178-$H178),0)))</f>
        <v xml:space="preserve"> </v>
      </c>
      <c r="Z178" s="406" t="str">
        <f t="shared" si="353"/>
        <v xml:space="preserve"> </v>
      </c>
      <c r="AA178" s="254" t="str">
        <f>IF($A178="N/A"," ",IF(VLOOKUP(MONTH(A178),ManualTable,2)=1,(IF(0&lt;&gt;R178,IF(Pricetype=1,(_xll.xSPRDOPT(I178,$E178,$CI178,0,($CD178+IF(Smile=TRUE,VLOOKUP(MAX(-5,$H178-I178),Volsmile,2),0)),$CG178,$CH178,($A178-DateToday)+15,1,1))*(8*$HD178),8*$HD178),0)),0))</f>
        <v xml:space="preserve"> </v>
      </c>
      <c r="AB178" s="254" t="str">
        <f>IF($A178="N/A"," ",IF(VLOOKUP(MONTH(A178),ManualTable,3)=1,(IF(S178&lt;&gt;0,IF(Pricetype=1,(_xll.xSPRDOPT(J178,$E178,$CI178,0,($CD178+IF(Smile=TRUE,VLOOKUP(MAX(-5,$H178-J178),Volsmile,2),0)),$CG178,$CH178,($A178-DateToday)+15,1,1))*(8*$HD178),8*$HD178),0)),0))</f>
        <v xml:space="preserve"> </v>
      </c>
      <c r="AC178" s="254" t="str">
        <f t="shared" si="394"/>
        <v xml:space="preserve"> </v>
      </c>
      <c r="AD178" s="254" t="str">
        <f>IF($A178="N/A"," ",IF(VLOOKUP(MONTH(A178),ManualTable,5)=1,(IF(U178&lt;&gt;0,IF(Pricetype=1,(_xll.xSPRDOPT(L178,$E178,$CI178,0,($CD178+IF(Smile=TRUE,VLOOKUP(MAX(-5,$H178-L178),Volsmile,2),0)),$CG178,$CH178,($A178-DateToday)+15,1,1))*(8*$HE178),8*$HE178),0)),0))</f>
        <v xml:space="preserve"> </v>
      </c>
      <c r="AE178" s="254" t="str">
        <f>IF($A178="N/A"," ",IF(VLOOKUP(MONTH(A178),ManualTable,6)=1,(IF(V178&lt;&gt;0,IF(Pricetype=1,(_xll.xSPRDOPT(M178,$E178,$CI178,0,($CD178+IF(Smile=TRUE,VLOOKUP(MAX(-5,$H178-M178),Volsmile,2),0)),$CG178,$CH178,($A178-DateToday)+15,1,1))*(8*$HE178),8*$HE178),0)),0))</f>
        <v xml:space="preserve"> </v>
      </c>
      <c r="AF178" s="254" t="str">
        <f t="shared" si="395"/>
        <v xml:space="preserve"> </v>
      </c>
      <c r="AG178" s="254" t="str">
        <f>IF($A178="N/A"," ",IF(VLOOKUP(MONTH(A178),ManualTable,8)=1,(IF(X178&lt;&gt;0,IF(Pricetype=1,(_xll.xSPRDOPT(O178,$E178,$CI178,0,($CD178+IF(Smile=TRUE,VLOOKUP(MAX(-5,$H178-O178),Volsmile,2),0)),$CG178,$CH178,($A178-DateToday)+15,1,1))*(8*$HF178),8*$HF178),0)),0))</f>
        <v xml:space="preserve"> </v>
      </c>
      <c r="AH178" s="254" t="str">
        <f>IF($A178="N/A"," ",IF(VLOOKUP(MONTH(A178),ManualTable,9)=1,(IF(Y178&lt;&gt;0,IF(Pricetype=1,(_xll.xSPRDOPT(P178,$E178,$CI178,0,($CD178+IF(Smile=TRUE,VLOOKUP(MAX(-5,$H178-P178),Volsmile,2),0)),$CG178,$CH178,($A178-DateToday)+15,1,1))*(8*$HF178),8*$HF178),0)),0))</f>
        <v xml:space="preserve"> </v>
      </c>
      <c r="AI178" s="254" t="str">
        <f t="shared" si="396"/>
        <v xml:space="preserve"> </v>
      </c>
      <c r="AJ178" s="227" t="str">
        <f t="shared" si="479"/>
        <v xml:space="preserve"> </v>
      </c>
      <c r="AK178" s="228" t="str">
        <f t="shared" si="480"/>
        <v xml:space="preserve"> </v>
      </c>
      <c r="AL178" s="228" t="str">
        <f t="shared" si="480"/>
        <v xml:space="preserve"> </v>
      </c>
      <c r="AM178" s="228" t="str">
        <f t="shared" si="481"/>
        <v xml:space="preserve"> </v>
      </c>
      <c r="AN178" s="228" t="str">
        <f t="shared" si="482"/>
        <v xml:space="preserve"> </v>
      </c>
      <c r="AO178" s="228" t="str">
        <f t="shared" si="482"/>
        <v xml:space="preserve"> </v>
      </c>
      <c r="AP178" s="228" t="str">
        <f t="shared" si="483"/>
        <v xml:space="preserve"> </v>
      </c>
      <c r="AQ178" s="228" t="str">
        <f t="shared" si="484"/>
        <v xml:space="preserve"> </v>
      </c>
      <c r="AR178" s="229" t="str">
        <f t="shared" si="485"/>
        <v xml:space="preserve"> </v>
      </c>
      <c r="AS178" s="262" t="str">
        <f t="shared" si="433"/>
        <v xml:space="preserve"> </v>
      </c>
      <c r="AT178" s="263" t="str">
        <f t="shared" si="434"/>
        <v xml:space="preserve"> </v>
      </c>
      <c r="AU178" s="263" t="str">
        <f t="shared" si="434"/>
        <v xml:space="preserve"> </v>
      </c>
      <c r="AV178" s="263" t="str">
        <f t="shared" si="435"/>
        <v xml:space="preserve"> </v>
      </c>
      <c r="AW178" s="263" t="str">
        <f t="shared" si="436"/>
        <v xml:space="preserve"> </v>
      </c>
      <c r="AX178" s="263" t="str">
        <f t="shared" si="436"/>
        <v xml:space="preserve"> </v>
      </c>
      <c r="AY178" s="263" t="str">
        <f t="shared" si="437"/>
        <v xml:space="preserve"> </v>
      </c>
      <c r="AZ178" s="263" t="str">
        <f t="shared" si="438"/>
        <v xml:space="preserve"> </v>
      </c>
      <c r="BA178" s="263" t="str">
        <f t="shared" si="439"/>
        <v xml:space="preserve"> </v>
      </c>
      <c r="BB178" s="229"/>
      <c r="BC178" s="266" t="str">
        <f t="shared" si="472"/>
        <v xml:space="preserve"> </v>
      </c>
      <c r="BD178" s="269" t="str">
        <f t="shared" si="473"/>
        <v xml:space="preserve"> </v>
      </c>
      <c r="BE178" s="269" t="str">
        <f t="shared" si="473"/>
        <v xml:space="preserve"> </v>
      </c>
      <c r="BF178" s="269" t="str">
        <f t="shared" si="474"/>
        <v xml:space="preserve"> </v>
      </c>
      <c r="BG178" s="269" t="str">
        <f t="shared" si="475"/>
        <v xml:space="preserve"> </v>
      </c>
      <c r="BH178" s="269" t="str">
        <f t="shared" si="475"/>
        <v xml:space="preserve"> </v>
      </c>
      <c r="BI178" s="269" t="str">
        <f t="shared" si="476"/>
        <v xml:space="preserve"> </v>
      </c>
      <c r="BJ178" s="269" t="str">
        <f t="shared" si="477"/>
        <v xml:space="preserve"> </v>
      </c>
      <c r="BK178" s="269" t="str">
        <f t="shared" si="478"/>
        <v xml:space="preserve"> </v>
      </c>
      <c r="BL178" s="229"/>
      <c r="BM178" s="220" t="str">
        <f>IF($A178="N/A"," ",(IF(MONTH(A178)&gt;=4,IF(MONTH(A178)&lt;=10,Inputs!$F$13-Inputs!$G$13,Inputs!$F$14-Inputs!$G$14),Inputs!$F$14-Inputs!$G$14))*$CK178*Availability)</f>
        <v xml:space="preserve"> </v>
      </c>
      <c r="BN178" s="221" t="str">
        <f t="shared" si="397"/>
        <v xml:space="preserve"> </v>
      </c>
      <c r="BO178" s="221" t="str">
        <f t="shared" si="398"/>
        <v xml:space="preserve"> </v>
      </c>
      <c r="BP178" s="221" t="str">
        <f t="shared" si="399"/>
        <v xml:space="preserve"> </v>
      </c>
      <c r="BQ178" s="221" t="str">
        <f t="shared" si="400"/>
        <v xml:space="preserve"> </v>
      </c>
      <c r="BR178" s="221" t="str">
        <f t="shared" si="401"/>
        <v xml:space="preserve"> </v>
      </c>
      <c r="BS178" s="221" t="str">
        <f t="shared" si="402"/>
        <v xml:space="preserve"> </v>
      </c>
      <c r="BT178" s="221" t="str">
        <f t="shared" si="403"/>
        <v xml:space="preserve"> </v>
      </c>
      <c r="BU178" s="221" t="str">
        <f t="shared" si="404"/>
        <v xml:space="preserve"> </v>
      </c>
      <c r="BV178" s="221" t="str">
        <f t="shared" si="405"/>
        <v xml:space="preserve"> </v>
      </c>
      <c r="BW178" s="221" t="str">
        <f t="shared" si="406"/>
        <v xml:space="preserve"> </v>
      </c>
      <c r="BX178" s="421" t="str">
        <f t="shared" si="407"/>
        <v xml:space="preserve"> </v>
      </c>
      <c r="BY178" s="417" t="str">
        <f t="shared" si="408"/>
        <v xml:space="preserve"> </v>
      </c>
      <c r="BZ178" s="417" t="str">
        <f t="shared" si="409"/>
        <v xml:space="preserve"> </v>
      </c>
      <c r="CA178" s="422" t="str">
        <f t="shared" si="410"/>
        <v xml:space="preserve"> </v>
      </c>
      <c r="CB178" s="347" t="str">
        <f t="shared" si="354"/>
        <v xml:space="preserve"> </v>
      </c>
      <c r="CC178" s="347" t="str">
        <f t="shared" si="411"/>
        <v xml:space="preserve"> </v>
      </c>
      <c r="CD178" s="348" t="str">
        <f t="shared" si="355"/>
        <v xml:space="preserve"> </v>
      </c>
      <c r="CE178" s="347" t="str">
        <f t="shared" si="356"/>
        <v xml:space="preserve"> </v>
      </c>
      <c r="CF178" s="347" t="str">
        <f t="shared" si="357"/>
        <v xml:space="preserve"> </v>
      </c>
      <c r="CG178" s="348" t="str">
        <f t="shared" si="358"/>
        <v xml:space="preserve"> </v>
      </c>
      <c r="CH178" s="347" t="str">
        <f t="shared" si="412"/>
        <v xml:space="preserve"> </v>
      </c>
      <c r="CI178" s="349" t="str">
        <f>IF($A178="N/A"," ",F178+G178+(D178*('Pricing Inputs'!T211)))</f>
        <v xml:space="preserve"> </v>
      </c>
      <c r="CJ178" s="347" t="str">
        <f>IF($A178="N/A"," ",IF(PV=1,0,'Pricing Inputs'!U211))</f>
        <v xml:space="preserve"> </v>
      </c>
      <c r="CK178" s="350" t="str">
        <f t="shared" si="359"/>
        <v xml:space="preserve"> </v>
      </c>
      <c r="CL178" s="365" t="str">
        <f t="shared" si="360"/>
        <v xml:space="preserve"> </v>
      </c>
      <c r="CM178" s="380" t="str">
        <f t="shared" si="413"/>
        <v xml:space="preserve"> </v>
      </c>
      <c r="CN178" s="378" t="str">
        <f t="shared" si="361"/>
        <v xml:space="preserve"> </v>
      </c>
      <c r="CO178" s="378" t="str">
        <f t="shared" si="362"/>
        <v xml:space="preserve"> </v>
      </c>
      <c r="CP178" s="378" t="str">
        <f t="shared" si="363"/>
        <v xml:space="preserve"> </v>
      </c>
      <c r="CQ178" s="378" t="str">
        <f t="shared" si="364"/>
        <v xml:space="preserve"> </v>
      </c>
      <c r="CR178" s="378" t="str">
        <f t="shared" si="365"/>
        <v xml:space="preserve"> </v>
      </c>
      <c r="CS178" s="378" t="str">
        <f t="shared" si="366"/>
        <v xml:space="preserve"> </v>
      </c>
      <c r="CT178" s="378" t="str">
        <f t="shared" si="367"/>
        <v xml:space="preserve"> </v>
      </c>
      <c r="CU178" s="378" t="str">
        <f t="shared" si="368"/>
        <v xml:space="preserve"> </v>
      </c>
      <c r="CV178" s="378" t="str">
        <f t="shared" si="369"/>
        <v xml:space="preserve"> </v>
      </c>
      <c r="CW178" s="254" t="str">
        <f t="shared" si="370"/>
        <v xml:space="preserve"> </v>
      </c>
      <c r="CX178" s="254" t="str">
        <f t="shared" si="371"/>
        <v xml:space="preserve"> </v>
      </c>
      <c r="CY178" s="254" t="str">
        <f t="shared" si="372"/>
        <v xml:space="preserve"> </v>
      </c>
      <c r="CZ178" s="254" t="str">
        <f t="shared" si="373"/>
        <v xml:space="preserve"> </v>
      </c>
      <c r="DA178" s="254" t="str">
        <f t="shared" si="374"/>
        <v xml:space="preserve"> </v>
      </c>
      <c r="DB178" s="254" t="str">
        <f t="shared" si="375"/>
        <v xml:space="preserve"> </v>
      </c>
      <c r="DC178" s="254" t="str">
        <f t="shared" si="376"/>
        <v xml:space="preserve"> </v>
      </c>
      <c r="DD178" s="254" t="str">
        <f t="shared" si="377"/>
        <v xml:space="preserve"> </v>
      </c>
      <c r="DE178" s="254" t="str">
        <f t="shared" si="378"/>
        <v xml:space="preserve"> </v>
      </c>
      <c r="DF178" s="374" t="str">
        <f>IF($A178="N/A"," ",IF(CC=2,(IF(MONTH(A178)&gt;=4,IF(MONTH(A178)&lt;=10,Inputs!$G$13,Inputs!$G$14),Inputs!$G$14))*$CK178,0))</f>
        <v xml:space="preserve"> </v>
      </c>
      <c r="DG178" s="373" t="str">
        <f t="shared" si="379"/>
        <v xml:space="preserve"> </v>
      </c>
      <c r="DH178" s="373" t="str">
        <f t="shared" si="380"/>
        <v xml:space="preserve"> </v>
      </c>
      <c r="DI178" s="373" t="str">
        <f t="shared" si="381"/>
        <v xml:space="preserve"> </v>
      </c>
      <c r="DJ178" s="373" t="str">
        <f t="shared" si="382"/>
        <v xml:space="preserve"> </v>
      </c>
      <c r="DK178" s="373" t="str">
        <f t="shared" si="383"/>
        <v xml:space="preserve"> </v>
      </c>
      <c r="DL178" s="373" t="str">
        <f t="shared" si="384"/>
        <v xml:space="preserve"> </v>
      </c>
      <c r="DM178" s="373" t="str">
        <f t="shared" si="385"/>
        <v xml:space="preserve"> </v>
      </c>
      <c r="DN178" s="373" t="str">
        <f t="shared" si="386"/>
        <v xml:space="preserve"> </v>
      </c>
      <c r="DO178" s="373" t="str">
        <f t="shared" si="387"/>
        <v xml:space="preserve"> </v>
      </c>
      <c r="DP178" s="375" t="str">
        <f t="shared" si="388"/>
        <v xml:space="preserve"> </v>
      </c>
      <c r="DQ178" t="str">
        <f t="shared" si="414"/>
        <v xml:space="preserve"> </v>
      </c>
      <c r="HD178" t="str">
        <f t="shared" si="415"/>
        <v xml:space="preserve"> </v>
      </c>
      <c r="HE178" t="str">
        <f t="shared" si="416"/>
        <v xml:space="preserve"> </v>
      </c>
      <c r="HF178" t="str">
        <f t="shared" si="417"/>
        <v xml:space="preserve"> </v>
      </c>
    </row>
    <row r="179" spans="1:214">
      <c r="A179" s="415" t="str">
        <f>IF(A178="N/A","N/A",IF(EDATE(A178,1)&gt;Inputs!$K$3,"N/A",EDATE(A178,1)))</f>
        <v>N/A</v>
      </c>
      <c r="B179" s="410" t="str">
        <f t="shared" si="389"/>
        <v xml:space="preserve"> </v>
      </c>
      <c r="C179" s="411" t="str">
        <f t="shared" si="390"/>
        <v xml:space="preserve"> </v>
      </c>
      <c r="D179" s="412" t="str">
        <f t="shared" si="391"/>
        <v xml:space="preserve"> </v>
      </c>
      <c r="E179" s="413" t="str">
        <f>IF($A179="N/A"," ",(C179-'Pricing Inputs'!T212)*D179)</f>
        <v xml:space="preserve"> </v>
      </c>
      <c r="F179" s="414" t="str">
        <f t="shared" si="440"/>
        <v xml:space="preserve"> </v>
      </c>
      <c r="G179" s="414" t="str">
        <f t="shared" si="392"/>
        <v xml:space="preserve"> </v>
      </c>
      <c r="H179" s="416" t="str">
        <f t="shared" si="393"/>
        <v xml:space="preserve"> </v>
      </c>
      <c r="I179" s="213" t="str">
        <f t="shared" si="342"/>
        <v xml:space="preserve"> </v>
      </c>
      <c r="J179" s="213" t="str">
        <f t="shared" si="343"/>
        <v xml:space="preserve"> </v>
      </c>
      <c r="K179" s="213" t="str">
        <f t="shared" si="344"/>
        <v xml:space="preserve"> </v>
      </c>
      <c r="L179" s="213" t="str">
        <f t="shared" si="345"/>
        <v xml:space="preserve"> </v>
      </c>
      <c r="M179" s="213" t="str">
        <f t="shared" si="346"/>
        <v xml:space="preserve"> </v>
      </c>
      <c r="N179" s="213" t="str">
        <f t="shared" si="347"/>
        <v xml:space="preserve"> </v>
      </c>
      <c r="O179" s="213" t="str">
        <f t="shared" si="348"/>
        <v xml:space="preserve"> </v>
      </c>
      <c r="P179" s="213" t="str">
        <f t="shared" si="349"/>
        <v xml:space="preserve"> </v>
      </c>
      <c r="Q179" s="213" t="str">
        <f t="shared" si="350"/>
        <v xml:space="preserve"> </v>
      </c>
      <c r="R179" s="405" t="str">
        <f>IF($A179="N/A"," ",IF(Pricetype=2,MAX(I179-$H179,0),IF(Pricetype=1,(_xll.xSPRDOPT(I179,$E179,$CI179,0,($CD179+IF(Smile=TRUE,VLOOKUP(MAX(-5,$H179-I179),Volsmile,2),0)),$CG179,$CH179,($A179-DateToday)+15,1,0)),I179-$H179)))</f>
        <v xml:space="preserve"> </v>
      </c>
      <c r="S179" s="405" t="str">
        <f>IF($A179="N/A"," ",IF(Pricetype=2,MAX(J179-$H179,0),IF(Pricetype=1,(_xll.xSPRDOPT(J179,$E179,$CI179,0,($CD179+IF(Smile=TRUE,VLOOKUP(MAX(-5,$H179-J179),Volsmile,2),0)),$CG179,$CH179,($A179-DateToday)+15,1,0)),J179-$H179)))</f>
        <v xml:space="preserve"> </v>
      </c>
      <c r="T179" s="406" t="str">
        <f t="shared" si="351"/>
        <v xml:space="preserve"> </v>
      </c>
      <c r="U179" s="405" t="str">
        <f>IF($A179="N/A"," ",IF(Pricetype=2,MAX(L179-$H179,0),IF(L179&lt;&gt;0,IF(Pricetype=1,(_xll.xSPRDOPT(L179,$E179,$CI179,0,($CD179+IF(Smile=TRUE,VLOOKUP(MAX(-5,$H179-L179),Volsmile,2),0)),$CG179,$CH179,($A179-DateToday)+15,1,0)),L179-$H179),0)))</f>
        <v xml:space="preserve"> </v>
      </c>
      <c r="V179" s="405" t="str">
        <f>IF($A179="N/A"," ",IF(Pricetype=2,MAX(M179-$H179,0),IF(M179&lt;&gt;0,IF(Pricetype=1,(_xll.xSPRDOPT(M179,$E179,$CI179,0,($CD179+IF(Smile=TRUE,VLOOKUP(MAX(-5,$H179-M179),Volsmile,2),0)),$CG179,$CH179,($A179-DateToday)+15,1,0)),M179-$H179),0)))</f>
        <v xml:space="preserve"> </v>
      </c>
      <c r="W179" s="406" t="str">
        <f t="shared" si="352"/>
        <v xml:space="preserve"> </v>
      </c>
      <c r="X179" s="405" t="str">
        <f>IF($A179="N/A"," ",IF(Pricetype=2,MAX(O179-$H179,0),IF(O179&lt;&gt;0,IF(Pricetype=1,(_xll.xSPRDOPT(O179,$E179,$CI179,0,($CD179+IF(Smile=TRUE,VLOOKUP(MAX(-5,$H179-O179),Volsmile,2),0)),$CG179,$CH179,($A179-DateToday)+15,1,0)),O179-$H179),0)))</f>
        <v xml:space="preserve"> </v>
      </c>
      <c r="Y179" s="405" t="str">
        <f>IF($A179="N/A"," ",IF(Pricetype=2,MAX(P179-$H179,0),IF(P179&lt;&gt;0,IF(Pricetype=1,(_xll.xSPRDOPT(P179,$E179,$CI179,0,($CD179+IF(Smile=TRUE,VLOOKUP(MAX(-5,$H179-P179),Volsmile,2),0)),$CG179,$CH179,($A179-DateToday)+15,1,0)),P179-$H179),0)))</f>
        <v xml:space="preserve"> </v>
      </c>
      <c r="Z179" s="406" t="str">
        <f t="shared" si="353"/>
        <v xml:space="preserve"> </v>
      </c>
      <c r="AA179" s="254" t="str">
        <f>IF($A179="N/A"," ",IF(VLOOKUP(MONTH(A179),ManualTable,2)=1,(IF(0&lt;&gt;R179,IF(Pricetype=1,(_xll.xSPRDOPT(I179,$E179,$CI179,0,($CD179+IF(Smile=TRUE,VLOOKUP(MAX(-5,$H179-I179),Volsmile,2),0)),$CG179,$CH179,($A179-DateToday)+15,1,1))*(8*$HD179),8*$HD179),0)),0))</f>
        <v xml:space="preserve"> </v>
      </c>
      <c r="AB179" s="254" t="str">
        <f>IF($A179="N/A"," ",IF(VLOOKUP(MONTH(A179),ManualTable,3)=1,(IF(S179&lt;&gt;0,IF(Pricetype=1,(_xll.xSPRDOPT(J179,$E179,$CI179,0,($CD179+IF(Smile=TRUE,VLOOKUP(MAX(-5,$H179-J179),Volsmile,2),0)),$CG179,$CH179,($A179-DateToday)+15,1,1))*(8*$HD179),8*$HD179),0)),0))</f>
        <v xml:space="preserve"> </v>
      </c>
      <c r="AC179" s="254" t="str">
        <f t="shared" si="394"/>
        <v xml:space="preserve"> </v>
      </c>
      <c r="AD179" s="254" t="str">
        <f>IF($A179="N/A"," ",IF(VLOOKUP(MONTH(A179),ManualTable,5)=1,(IF(U179&lt;&gt;0,IF(Pricetype=1,(_xll.xSPRDOPT(L179,$E179,$CI179,0,($CD179+IF(Smile=TRUE,VLOOKUP(MAX(-5,$H179-L179),Volsmile,2),0)),$CG179,$CH179,($A179-DateToday)+15,1,1))*(8*$HE179),8*$HE179),0)),0))</f>
        <v xml:space="preserve"> </v>
      </c>
      <c r="AE179" s="254" t="str">
        <f>IF($A179="N/A"," ",IF(VLOOKUP(MONTH(A179),ManualTable,6)=1,(IF(V179&lt;&gt;0,IF(Pricetype=1,(_xll.xSPRDOPT(M179,$E179,$CI179,0,($CD179+IF(Smile=TRUE,VLOOKUP(MAX(-5,$H179-M179),Volsmile,2),0)),$CG179,$CH179,($A179-DateToday)+15,1,1))*(8*$HE179),8*$HE179),0)),0))</f>
        <v xml:space="preserve"> </v>
      </c>
      <c r="AF179" s="254" t="str">
        <f t="shared" si="395"/>
        <v xml:space="preserve"> </v>
      </c>
      <c r="AG179" s="254" t="str">
        <f>IF($A179="N/A"," ",IF(VLOOKUP(MONTH(A179),ManualTable,8)=1,(IF(X179&lt;&gt;0,IF(Pricetype=1,(_xll.xSPRDOPT(O179,$E179,$CI179,0,($CD179+IF(Smile=TRUE,VLOOKUP(MAX(-5,$H179-O179),Volsmile,2),0)),$CG179,$CH179,($A179-DateToday)+15,1,1))*(8*$HF179),8*$HF179),0)),0))</f>
        <v xml:space="preserve"> </v>
      </c>
      <c r="AH179" s="254" t="str">
        <f>IF($A179="N/A"," ",IF(VLOOKUP(MONTH(A179),ManualTable,9)=1,(IF(Y179&lt;&gt;0,IF(Pricetype=1,(_xll.xSPRDOPT(P179,$E179,$CI179,0,($CD179+IF(Smile=TRUE,VLOOKUP(MAX(-5,$H179-P179),Volsmile,2),0)),$CG179,$CH179,($A179-DateToday)+15,1,1))*(8*$HF179),8*$HF179),0)),0))</f>
        <v xml:space="preserve"> </v>
      </c>
      <c r="AI179" s="254" t="str">
        <f t="shared" si="396"/>
        <v xml:space="preserve"> </v>
      </c>
      <c r="AJ179" s="227" t="str">
        <f t="shared" si="479"/>
        <v xml:space="preserve"> </v>
      </c>
      <c r="AK179" s="228" t="str">
        <f t="shared" si="480"/>
        <v xml:space="preserve"> </v>
      </c>
      <c r="AL179" s="228" t="str">
        <f t="shared" si="480"/>
        <v xml:space="preserve"> </v>
      </c>
      <c r="AM179" s="228" t="str">
        <f t="shared" si="481"/>
        <v xml:space="preserve"> </v>
      </c>
      <c r="AN179" s="228" t="str">
        <f t="shared" si="482"/>
        <v xml:space="preserve"> </v>
      </c>
      <c r="AO179" s="228" t="str">
        <f t="shared" si="482"/>
        <v xml:space="preserve"> </v>
      </c>
      <c r="AP179" s="228" t="str">
        <f t="shared" si="483"/>
        <v xml:space="preserve"> </v>
      </c>
      <c r="AQ179" s="228" t="str">
        <f t="shared" si="484"/>
        <v xml:space="preserve"> </v>
      </c>
      <c r="AR179" s="229" t="str">
        <f t="shared" si="485"/>
        <v xml:space="preserve"> </v>
      </c>
      <c r="AS179" s="262" t="str">
        <f t="shared" si="433"/>
        <v xml:space="preserve"> </v>
      </c>
      <c r="AT179" s="263" t="str">
        <f t="shared" si="434"/>
        <v xml:space="preserve"> </v>
      </c>
      <c r="AU179" s="263" t="str">
        <f t="shared" si="434"/>
        <v xml:space="preserve"> </v>
      </c>
      <c r="AV179" s="263" t="str">
        <f t="shared" si="435"/>
        <v xml:space="preserve"> </v>
      </c>
      <c r="AW179" s="263" t="str">
        <f t="shared" si="436"/>
        <v xml:space="preserve"> </v>
      </c>
      <c r="AX179" s="263" t="str">
        <f t="shared" si="436"/>
        <v xml:space="preserve"> </v>
      </c>
      <c r="AY179" s="263" t="str">
        <f t="shared" si="437"/>
        <v xml:space="preserve"> </v>
      </c>
      <c r="AZ179" s="263" t="str">
        <f t="shared" si="438"/>
        <v xml:space="preserve"> </v>
      </c>
      <c r="BA179" s="263" t="str">
        <f t="shared" si="439"/>
        <v xml:space="preserve"> </v>
      </c>
      <c r="BB179" s="229"/>
      <c r="BC179" s="266" t="str">
        <f t="shared" si="472"/>
        <v xml:space="preserve"> </v>
      </c>
      <c r="BD179" s="269" t="str">
        <f t="shared" si="473"/>
        <v xml:space="preserve"> </v>
      </c>
      <c r="BE179" s="269" t="str">
        <f t="shared" si="473"/>
        <v xml:space="preserve"> </v>
      </c>
      <c r="BF179" s="269" t="str">
        <f t="shared" si="474"/>
        <v xml:space="preserve"> </v>
      </c>
      <c r="BG179" s="269" t="str">
        <f t="shared" si="475"/>
        <v xml:space="preserve"> </v>
      </c>
      <c r="BH179" s="269" t="str">
        <f t="shared" si="475"/>
        <v xml:space="preserve"> </v>
      </c>
      <c r="BI179" s="269" t="str">
        <f t="shared" si="476"/>
        <v xml:space="preserve"> </v>
      </c>
      <c r="BJ179" s="269" t="str">
        <f t="shared" si="477"/>
        <v xml:space="preserve"> </v>
      </c>
      <c r="BK179" s="269" t="str">
        <f t="shared" si="478"/>
        <v xml:space="preserve"> </v>
      </c>
      <c r="BL179" s="229"/>
      <c r="BM179" s="220" t="str">
        <f>IF($A179="N/A"," ",(IF(MONTH(A179)&gt;=4,IF(MONTH(A179)&lt;=10,Inputs!$F$13-Inputs!$G$13,Inputs!$F$14-Inputs!$G$14),Inputs!$F$14-Inputs!$G$14))*$CK179*Availability)</f>
        <v xml:space="preserve"> </v>
      </c>
      <c r="BN179" s="221" t="str">
        <f t="shared" si="397"/>
        <v xml:space="preserve"> </v>
      </c>
      <c r="BO179" s="221" t="str">
        <f t="shared" si="398"/>
        <v xml:space="preserve"> </v>
      </c>
      <c r="BP179" s="221" t="str">
        <f t="shared" si="399"/>
        <v xml:space="preserve"> </v>
      </c>
      <c r="BQ179" s="221" t="str">
        <f t="shared" si="400"/>
        <v xml:space="preserve"> </v>
      </c>
      <c r="BR179" s="221" t="str">
        <f t="shared" si="401"/>
        <v xml:space="preserve"> </v>
      </c>
      <c r="BS179" s="221" t="str">
        <f t="shared" si="402"/>
        <v xml:space="preserve"> </v>
      </c>
      <c r="BT179" s="221" t="str">
        <f t="shared" si="403"/>
        <v xml:space="preserve"> </v>
      </c>
      <c r="BU179" s="221" t="str">
        <f t="shared" si="404"/>
        <v xml:space="preserve"> </v>
      </c>
      <c r="BV179" s="221" t="str">
        <f t="shared" si="405"/>
        <v xml:space="preserve"> </v>
      </c>
      <c r="BW179" s="221" t="str">
        <f t="shared" si="406"/>
        <v xml:space="preserve"> </v>
      </c>
      <c r="BX179" s="421" t="str">
        <f t="shared" si="407"/>
        <v xml:space="preserve"> </v>
      </c>
      <c r="BY179" s="417" t="str">
        <f t="shared" si="408"/>
        <v xml:space="preserve"> </v>
      </c>
      <c r="BZ179" s="417" t="str">
        <f t="shared" si="409"/>
        <v xml:space="preserve"> </v>
      </c>
      <c r="CA179" s="422" t="str">
        <f t="shared" si="410"/>
        <v xml:space="preserve"> </v>
      </c>
      <c r="CB179" s="347" t="str">
        <f t="shared" si="354"/>
        <v xml:space="preserve"> </v>
      </c>
      <c r="CC179" s="347" t="str">
        <f t="shared" si="411"/>
        <v xml:space="preserve"> </v>
      </c>
      <c r="CD179" s="348" t="str">
        <f t="shared" si="355"/>
        <v xml:space="preserve"> </v>
      </c>
      <c r="CE179" s="347" t="str">
        <f t="shared" si="356"/>
        <v xml:space="preserve"> </v>
      </c>
      <c r="CF179" s="347" t="str">
        <f t="shared" si="357"/>
        <v xml:space="preserve"> </v>
      </c>
      <c r="CG179" s="348" t="str">
        <f t="shared" si="358"/>
        <v xml:space="preserve"> </v>
      </c>
      <c r="CH179" s="347" t="str">
        <f t="shared" si="412"/>
        <v xml:space="preserve"> </v>
      </c>
      <c r="CI179" s="349" t="str">
        <f>IF($A179="N/A"," ",F179+G179+(D179*('Pricing Inputs'!T212)))</f>
        <v xml:space="preserve"> </v>
      </c>
      <c r="CJ179" s="347" t="str">
        <f>IF($A179="N/A"," ",IF(PV=1,0,'Pricing Inputs'!U212))</f>
        <v xml:space="preserve"> </v>
      </c>
      <c r="CK179" s="350" t="str">
        <f t="shared" si="359"/>
        <v xml:space="preserve"> </v>
      </c>
      <c r="CL179" s="365" t="str">
        <f t="shared" si="360"/>
        <v xml:space="preserve"> </v>
      </c>
      <c r="CM179" s="380" t="str">
        <f t="shared" si="413"/>
        <v xml:space="preserve"> </v>
      </c>
      <c r="CN179" s="378" t="str">
        <f t="shared" si="361"/>
        <v xml:space="preserve"> </v>
      </c>
      <c r="CO179" s="378" t="str">
        <f t="shared" si="362"/>
        <v xml:space="preserve"> </v>
      </c>
      <c r="CP179" s="378" t="str">
        <f t="shared" si="363"/>
        <v xml:space="preserve"> </v>
      </c>
      <c r="CQ179" s="378" t="str">
        <f t="shared" si="364"/>
        <v xml:space="preserve"> </v>
      </c>
      <c r="CR179" s="378" t="str">
        <f t="shared" si="365"/>
        <v xml:space="preserve"> </v>
      </c>
      <c r="CS179" s="378" t="str">
        <f t="shared" si="366"/>
        <v xml:space="preserve"> </v>
      </c>
      <c r="CT179" s="378" t="str">
        <f t="shared" si="367"/>
        <v xml:space="preserve"> </v>
      </c>
      <c r="CU179" s="378" t="str">
        <f t="shared" si="368"/>
        <v xml:space="preserve"> </v>
      </c>
      <c r="CV179" s="378" t="str">
        <f t="shared" si="369"/>
        <v xml:space="preserve"> </v>
      </c>
      <c r="CW179" s="254" t="str">
        <f t="shared" si="370"/>
        <v xml:space="preserve"> </v>
      </c>
      <c r="CX179" s="254" t="str">
        <f t="shared" si="371"/>
        <v xml:space="preserve"> </v>
      </c>
      <c r="CY179" s="254" t="str">
        <f t="shared" si="372"/>
        <v xml:space="preserve"> </v>
      </c>
      <c r="CZ179" s="254" t="str">
        <f t="shared" si="373"/>
        <v xml:space="preserve"> </v>
      </c>
      <c r="DA179" s="254" t="str">
        <f t="shared" si="374"/>
        <v xml:space="preserve"> </v>
      </c>
      <c r="DB179" s="254" t="str">
        <f t="shared" si="375"/>
        <v xml:space="preserve"> </v>
      </c>
      <c r="DC179" s="254" t="str">
        <f t="shared" si="376"/>
        <v xml:space="preserve"> </v>
      </c>
      <c r="DD179" s="254" t="str">
        <f t="shared" si="377"/>
        <v xml:space="preserve"> </v>
      </c>
      <c r="DE179" s="254" t="str">
        <f t="shared" si="378"/>
        <v xml:space="preserve"> </v>
      </c>
      <c r="DF179" s="374" t="str">
        <f>IF($A179="N/A"," ",IF(CC=2,(IF(MONTH(A179)&gt;=4,IF(MONTH(A179)&lt;=10,Inputs!$G$13,Inputs!$G$14),Inputs!$G$14))*$CK179,0))</f>
        <v xml:space="preserve"> </v>
      </c>
      <c r="DG179" s="373" t="str">
        <f t="shared" si="379"/>
        <v xml:space="preserve"> </v>
      </c>
      <c r="DH179" s="373" t="str">
        <f t="shared" si="380"/>
        <v xml:space="preserve"> </v>
      </c>
      <c r="DI179" s="373" t="str">
        <f t="shared" si="381"/>
        <v xml:space="preserve"> </v>
      </c>
      <c r="DJ179" s="373" t="str">
        <f t="shared" si="382"/>
        <v xml:space="preserve"> </v>
      </c>
      <c r="DK179" s="373" t="str">
        <f t="shared" si="383"/>
        <v xml:space="preserve"> </v>
      </c>
      <c r="DL179" s="373" t="str">
        <f t="shared" si="384"/>
        <v xml:space="preserve"> </v>
      </c>
      <c r="DM179" s="373" t="str">
        <f t="shared" si="385"/>
        <v xml:space="preserve"> </v>
      </c>
      <c r="DN179" s="373" t="str">
        <f t="shared" si="386"/>
        <v xml:space="preserve"> </v>
      </c>
      <c r="DO179" s="373" t="str">
        <f t="shared" si="387"/>
        <v xml:space="preserve"> </v>
      </c>
      <c r="DP179" s="375" t="str">
        <f t="shared" si="388"/>
        <v xml:space="preserve"> </v>
      </c>
      <c r="DQ179" t="str">
        <f t="shared" si="414"/>
        <v xml:space="preserve"> </v>
      </c>
      <c r="HD179" t="str">
        <f t="shared" si="415"/>
        <v xml:space="preserve"> </v>
      </c>
      <c r="HE179" t="str">
        <f t="shared" si="416"/>
        <v xml:space="preserve"> </v>
      </c>
      <c r="HF179" t="str">
        <f t="shared" si="417"/>
        <v xml:space="preserve"> </v>
      </c>
    </row>
    <row r="180" spans="1:214">
      <c r="A180" s="415" t="str">
        <f>IF(A179="N/A","N/A",IF(EDATE(A179,1)&gt;Inputs!$K$3,"N/A",EDATE(A179,1)))</f>
        <v>N/A</v>
      </c>
      <c r="B180" s="410" t="str">
        <f t="shared" si="389"/>
        <v xml:space="preserve"> </v>
      </c>
      <c r="C180" s="411" t="str">
        <f t="shared" si="390"/>
        <v xml:space="preserve"> </v>
      </c>
      <c r="D180" s="412" t="str">
        <f t="shared" si="391"/>
        <v xml:space="preserve"> </v>
      </c>
      <c r="E180" s="413" t="str">
        <f>IF($A180="N/A"," ",(C180-'Pricing Inputs'!T213)*D180)</f>
        <v xml:space="preserve"> </v>
      </c>
      <c r="F180" s="414" t="str">
        <f t="shared" si="440"/>
        <v xml:space="preserve"> </v>
      </c>
      <c r="G180" s="414" t="str">
        <f t="shared" si="392"/>
        <v xml:space="preserve"> </v>
      </c>
      <c r="H180" s="416" t="str">
        <f t="shared" si="393"/>
        <v xml:space="preserve"> </v>
      </c>
      <c r="I180" s="213" t="str">
        <f t="shared" si="342"/>
        <v xml:space="preserve"> </v>
      </c>
      <c r="J180" s="213" t="str">
        <f t="shared" si="343"/>
        <v xml:space="preserve"> </v>
      </c>
      <c r="K180" s="213" t="str">
        <f t="shared" si="344"/>
        <v xml:space="preserve"> </v>
      </c>
      <c r="L180" s="213" t="str">
        <f t="shared" si="345"/>
        <v xml:space="preserve"> </v>
      </c>
      <c r="M180" s="213" t="str">
        <f t="shared" si="346"/>
        <v xml:space="preserve"> </v>
      </c>
      <c r="N180" s="213" t="str">
        <f t="shared" si="347"/>
        <v xml:space="preserve"> </v>
      </c>
      <c r="O180" s="213" t="str">
        <f t="shared" si="348"/>
        <v xml:space="preserve"> </v>
      </c>
      <c r="P180" s="213" t="str">
        <f t="shared" si="349"/>
        <v xml:space="preserve"> </v>
      </c>
      <c r="Q180" s="213" t="str">
        <f t="shared" si="350"/>
        <v xml:space="preserve"> </v>
      </c>
      <c r="R180" s="405" t="str">
        <f>IF($A180="N/A"," ",IF(Pricetype=2,MAX(I180-$H180,0),IF(Pricetype=1,(_xll.xSPRDOPT(I180,$E180,$CI180,0,($CD180+IF(Smile=TRUE,VLOOKUP(MAX(-5,$H180-I180),Volsmile,2),0)),$CG180,$CH180,($A180-DateToday)+15,1,0)),I180-$H180)))</f>
        <v xml:space="preserve"> </v>
      </c>
      <c r="S180" s="405" t="str">
        <f>IF($A180="N/A"," ",IF(Pricetype=2,MAX(J180-$H180,0),IF(Pricetype=1,(_xll.xSPRDOPT(J180,$E180,$CI180,0,($CD180+IF(Smile=TRUE,VLOOKUP(MAX(-5,$H180-J180),Volsmile,2),0)),$CG180,$CH180,($A180-DateToday)+15,1,0)),J180-$H180)))</f>
        <v xml:space="preserve"> </v>
      </c>
      <c r="T180" s="406" t="str">
        <f t="shared" si="351"/>
        <v xml:space="preserve"> </v>
      </c>
      <c r="U180" s="405" t="str">
        <f>IF($A180="N/A"," ",IF(Pricetype=2,MAX(L180-$H180,0),IF(L180&lt;&gt;0,IF(Pricetype=1,(_xll.xSPRDOPT(L180,$E180,$CI180,0,($CD180+IF(Smile=TRUE,VLOOKUP(MAX(-5,$H180-L180),Volsmile,2),0)),$CG180,$CH180,($A180-DateToday)+15,1,0)),L180-$H180),0)))</f>
        <v xml:space="preserve"> </v>
      </c>
      <c r="V180" s="405" t="str">
        <f>IF($A180="N/A"," ",IF(Pricetype=2,MAX(M180-$H180,0),IF(M180&lt;&gt;0,IF(Pricetype=1,(_xll.xSPRDOPT(M180,$E180,$CI180,0,($CD180+IF(Smile=TRUE,VLOOKUP(MAX(-5,$H180-M180),Volsmile,2),0)),$CG180,$CH180,($A180-DateToday)+15,1,0)),M180-$H180),0)))</f>
        <v xml:space="preserve"> </v>
      </c>
      <c r="W180" s="406" t="str">
        <f t="shared" si="352"/>
        <v xml:space="preserve"> </v>
      </c>
      <c r="X180" s="405" t="str">
        <f>IF($A180="N/A"," ",IF(Pricetype=2,MAX(O180-$H180,0),IF(O180&lt;&gt;0,IF(Pricetype=1,(_xll.xSPRDOPT(O180,$E180,$CI180,0,($CD180+IF(Smile=TRUE,VLOOKUP(MAX(-5,$H180-O180),Volsmile,2),0)),$CG180,$CH180,($A180-DateToday)+15,1,0)),O180-$H180),0)))</f>
        <v xml:space="preserve"> </v>
      </c>
      <c r="Y180" s="405" t="str">
        <f>IF($A180="N/A"," ",IF(Pricetype=2,MAX(P180-$H180,0),IF(P180&lt;&gt;0,IF(Pricetype=1,(_xll.xSPRDOPT(P180,$E180,$CI180,0,($CD180+IF(Smile=TRUE,VLOOKUP(MAX(-5,$H180-P180),Volsmile,2),0)),$CG180,$CH180,($A180-DateToday)+15,1,0)),P180-$H180),0)))</f>
        <v xml:space="preserve"> </v>
      </c>
      <c r="Z180" s="406" t="str">
        <f t="shared" si="353"/>
        <v xml:space="preserve"> </v>
      </c>
      <c r="AA180" s="254" t="str">
        <f>IF($A180="N/A"," ",IF(VLOOKUP(MONTH(A180),ManualTable,2)=1,(IF(0&lt;&gt;R180,IF(Pricetype=1,(_xll.xSPRDOPT(I180,$E180,$CI180,0,($CD180+IF(Smile=TRUE,VLOOKUP(MAX(-5,$H180-I180),Volsmile,2),0)),$CG180,$CH180,($A180-DateToday)+15,1,1))*(8*$HD180),8*$HD180),0)),0))</f>
        <v xml:space="preserve"> </v>
      </c>
      <c r="AB180" s="254" t="str">
        <f>IF($A180="N/A"," ",IF(VLOOKUP(MONTH(A180),ManualTable,3)=1,(IF(S180&lt;&gt;0,IF(Pricetype=1,(_xll.xSPRDOPT(J180,$E180,$CI180,0,($CD180+IF(Smile=TRUE,VLOOKUP(MAX(-5,$H180-J180),Volsmile,2),0)),$CG180,$CH180,($A180-DateToday)+15,1,1))*(8*$HD180),8*$HD180),0)),0))</f>
        <v xml:space="preserve"> </v>
      </c>
      <c r="AC180" s="254" t="str">
        <f t="shared" si="394"/>
        <v xml:space="preserve"> </v>
      </c>
      <c r="AD180" s="254" t="str">
        <f>IF($A180="N/A"," ",IF(VLOOKUP(MONTH(A180),ManualTable,5)=1,(IF(U180&lt;&gt;0,IF(Pricetype=1,(_xll.xSPRDOPT(L180,$E180,$CI180,0,($CD180+IF(Smile=TRUE,VLOOKUP(MAX(-5,$H180-L180),Volsmile,2),0)),$CG180,$CH180,($A180-DateToday)+15,1,1))*(8*$HE180),8*$HE180),0)),0))</f>
        <v xml:space="preserve"> </v>
      </c>
      <c r="AE180" s="254" t="str">
        <f>IF($A180="N/A"," ",IF(VLOOKUP(MONTH(A180),ManualTable,6)=1,(IF(V180&lt;&gt;0,IF(Pricetype=1,(_xll.xSPRDOPT(M180,$E180,$CI180,0,($CD180+IF(Smile=TRUE,VLOOKUP(MAX(-5,$H180-M180),Volsmile,2),0)),$CG180,$CH180,($A180-DateToday)+15,1,1))*(8*$HE180),8*$HE180),0)),0))</f>
        <v xml:space="preserve"> </v>
      </c>
      <c r="AF180" s="254" t="str">
        <f t="shared" si="395"/>
        <v xml:space="preserve"> </v>
      </c>
      <c r="AG180" s="254" t="str">
        <f>IF($A180="N/A"," ",IF(VLOOKUP(MONTH(A180),ManualTable,8)=1,(IF(X180&lt;&gt;0,IF(Pricetype=1,(_xll.xSPRDOPT(O180,$E180,$CI180,0,($CD180+IF(Smile=TRUE,VLOOKUP(MAX(-5,$H180-O180),Volsmile,2),0)),$CG180,$CH180,($A180-DateToday)+15,1,1))*(8*$HF180),8*$HF180),0)),0))</f>
        <v xml:space="preserve"> </v>
      </c>
      <c r="AH180" s="254" t="str">
        <f>IF($A180="N/A"," ",IF(VLOOKUP(MONTH(A180),ManualTable,9)=1,(IF(Y180&lt;&gt;0,IF(Pricetype=1,(_xll.xSPRDOPT(P180,$E180,$CI180,0,($CD180+IF(Smile=TRUE,VLOOKUP(MAX(-5,$H180-P180),Volsmile,2),0)),$CG180,$CH180,($A180-DateToday)+15,1,1))*(8*$HF180),8*$HF180),0)),0))</f>
        <v xml:space="preserve"> </v>
      </c>
      <c r="AI180" s="254" t="str">
        <f t="shared" si="396"/>
        <v xml:space="preserve"> </v>
      </c>
      <c r="AJ180" s="227" t="str">
        <f t="shared" si="479"/>
        <v xml:space="preserve"> </v>
      </c>
      <c r="AK180" s="228" t="str">
        <f t="shared" si="480"/>
        <v xml:space="preserve"> </v>
      </c>
      <c r="AL180" s="228" t="str">
        <f t="shared" si="480"/>
        <v xml:space="preserve"> </v>
      </c>
      <c r="AM180" s="228" t="str">
        <f t="shared" si="481"/>
        <v xml:space="preserve"> </v>
      </c>
      <c r="AN180" s="228" t="str">
        <f t="shared" si="482"/>
        <v xml:space="preserve"> </v>
      </c>
      <c r="AO180" s="228" t="str">
        <f t="shared" si="482"/>
        <v xml:space="preserve"> </v>
      </c>
      <c r="AP180" s="228" t="str">
        <f t="shared" si="483"/>
        <v xml:space="preserve"> </v>
      </c>
      <c r="AQ180" s="228" t="str">
        <f t="shared" si="484"/>
        <v xml:space="preserve"> </v>
      </c>
      <c r="AR180" s="229" t="str">
        <f t="shared" si="485"/>
        <v xml:space="preserve"> </v>
      </c>
      <c r="AS180" s="262" t="str">
        <f t="shared" si="433"/>
        <v xml:space="preserve"> </v>
      </c>
      <c r="AT180" s="263" t="str">
        <f t="shared" si="434"/>
        <v xml:space="preserve"> </v>
      </c>
      <c r="AU180" s="263" t="str">
        <f t="shared" si="434"/>
        <v xml:space="preserve"> </v>
      </c>
      <c r="AV180" s="263" t="str">
        <f t="shared" si="435"/>
        <v xml:space="preserve"> </v>
      </c>
      <c r="AW180" s="263" t="str">
        <f t="shared" si="436"/>
        <v xml:space="preserve"> </v>
      </c>
      <c r="AX180" s="263" t="str">
        <f t="shared" si="436"/>
        <v xml:space="preserve"> </v>
      </c>
      <c r="AY180" s="263" t="str">
        <f t="shared" si="437"/>
        <v xml:space="preserve"> </v>
      </c>
      <c r="AZ180" s="263" t="str">
        <f t="shared" si="438"/>
        <v xml:space="preserve"> </v>
      </c>
      <c r="BA180" s="263" t="str">
        <f t="shared" si="439"/>
        <v xml:space="preserve"> </v>
      </c>
      <c r="BB180" s="229"/>
      <c r="BC180" s="266" t="str">
        <f t="shared" si="472"/>
        <v xml:space="preserve"> </v>
      </c>
      <c r="BD180" s="269" t="str">
        <f t="shared" si="473"/>
        <v xml:space="preserve"> </v>
      </c>
      <c r="BE180" s="269" t="str">
        <f t="shared" si="473"/>
        <v xml:space="preserve"> </v>
      </c>
      <c r="BF180" s="269" t="str">
        <f t="shared" si="474"/>
        <v xml:space="preserve"> </v>
      </c>
      <c r="BG180" s="269" t="str">
        <f t="shared" si="475"/>
        <v xml:space="preserve"> </v>
      </c>
      <c r="BH180" s="269" t="str">
        <f t="shared" si="475"/>
        <v xml:space="preserve"> </v>
      </c>
      <c r="BI180" s="269" t="str">
        <f t="shared" si="476"/>
        <v xml:space="preserve"> </v>
      </c>
      <c r="BJ180" s="269" t="str">
        <f t="shared" si="477"/>
        <v xml:space="preserve"> </v>
      </c>
      <c r="BK180" s="269" t="str">
        <f t="shared" si="478"/>
        <v xml:space="preserve"> </v>
      </c>
      <c r="BL180" s="229"/>
      <c r="BM180" s="220" t="str">
        <f>IF($A180="N/A"," ",(IF(MONTH(A180)&gt;=4,IF(MONTH(A180)&lt;=10,Inputs!$F$13-Inputs!$G$13,Inputs!$F$14-Inputs!$G$14),Inputs!$F$14-Inputs!$G$14))*$CK180*Availability)</f>
        <v xml:space="preserve"> </v>
      </c>
      <c r="BN180" s="221" t="str">
        <f t="shared" si="397"/>
        <v xml:space="preserve"> </v>
      </c>
      <c r="BO180" s="221" t="str">
        <f t="shared" si="398"/>
        <v xml:space="preserve"> </v>
      </c>
      <c r="BP180" s="221" t="str">
        <f t="shared" si="399"/>
        <v xml:space="preserve"> </v>
      </c>
      <c r="BQ180" s="221" t="str">
        <f t="shared" si="400"/>
        <v xml:space="preserve"> </v>
      </c>
      <c r="BR180" s="221" t="str">
        <f t="shared" si="401"/>
        <v xml:space="preserve"> </v>
      </c>
      <c r="BS180" s="221" t="str">
        <f t="shared" si="402"/>
        <v xml:space="preserve"> </v>
      </c>
      <c r="BT180" s="221" t="str">
        <f t="shared" si="403"/>
        <v xml:space="preserve"> </v>
      </c>
      <c r="BU180" s="221" t="str">
        <f t="shared" si="404"/>
        <v xml:space="preserve"> </v>
      </c>
      <c r="BV180" s="221" t="str">
        <f t="shared" si="405"/>
        <v xml:space="preserve"> </v>
      </c>
      <c r="BW180" s="221" t="str">
        <f t="shared" si="406"/>
        <v xml:space="preserve"> </v>
      </c>
      <c r="BX180" s="421" t="str">
        <f t="shared" si="407"/>
        <v xml:space="preserve"> </v>
      </c>
      <c r="BY180" s="417" t="str">
        <f t="shared" si="408"/>
        <v xml:space="preserve"> </v>
      </c>
      <c r="BZ180" s="417" t="str">
        <f t="shared" si="409"/>
        <v xml:space="preserve"> </v>
      </c>
      <c r="CA180" s="422" t="str">
        <f t="shared" si="410"/>
        <v xml:space="preserve"> </v>
      </c>
      <c r="CB180" s="347" t="str">
        <f t="shared" si="354"/>
        <v xml:space="preserve"> </v>
      </c>
      <c r="CC180" s="347" t="str">
        <f t="shared" si="411"/>
        <v xml:space="preserve"> </v>
      </c>
      <c r="CD180" s="348" t="str">
        <f t="shared" si="355"/>
        <v xml:space="preserve"> </v>
      </c>
      <c r="CE180" s="347" t="str">
        <f t="shared" si="356"/>
        <v xml:space="preserve"> </v>
      </c>
      <c r="CF180" s="347" t="str">
        <f t="shared" si="357"/>
        <v xml:space="preserve"> </v>
      </c>
      <c r="CG180" s="348" t="str">
        <f t="shared" si="358"/>
        <v xml:space="preserve"> </v>
      </c>
      <c r="CH180" s="347" t="str">
        <f t="shared" si="412"/>
        <v xml:space="preserve"> </v>
      </c>
      <c r="CI180" s="349" t="str">
        <f>IF($A180="N/A"," ",F180+G180+(D180*('Pricing Inputs'!T213)))</f>
        <v xml:space="preserve"> </v>
      </c>
      <c r="CJ180" s="347" t="str">
        <f>IF($A180="N/A"," ",IF(PV=1,0,'Pricing Inputs'!U213))</f>
        <v xml:space="preserve"> </v>
      </c>
      <c r="CK180" s="350" t="str">
        <f t="shared" si="359"/>
        <v xml:space="preserve"> </v>
      </c>
      <c r="CL180" s="365" t="str">
        <f t="shared" si="360"/>
        <v xml:space="preserve"> </v>
      </c>
      <c r="CM180" s="380" t="str">
        <f t="shared" si="413"/>
        <v xml:space="preserve"> </v>
      </c>
      <c r="CN180" s="378" t="str">
        <f t="shared" si="361"/>
        <v xml:space="preserve"> </v>
      </c>
      <c r="CO180" s="378" t="str">
        <f t="shared" si="362"/>
        <v xml:space="preserve"> </v>
      </c>
      <c r="CP180" s="378" t="str">
        <f t="shared" si="363"/>
        <v xml:space="preserve"> </v>
      </c>
      <c r="CQ180" s="378" t="str">
        <f t="shared" si="364"/>
        <v xml:space="preserve"> </v>
      </c>
      <c r="CR180" s="378" t="str">
        <f t="shared" si="365"/>
        <v xml:space="preserve"> </v>
      </c>
      <c r="CS180" s="378" t="str">
        <f t="shared" si="366"/>
        <v xml:space="preserve"> </v>
      </c>
      <c r="CT180" s="378" t="str">
        <f t="shared" si="367"/>
        <v xml:space="preserve"> </v>
      </c>
      <c r="CU180" s="378" t="str">
        <f t="shared" si="368"/>
        <v xml:space="preserve"> </v>
      </c>
      <c r="CV180" s="378" t="str">
        <f t="shared" si="369"/>
        <v xml:space="preserve"> </v>
      </c>
      <c r="CW180" s="254" t="str">
        <f t="shared" si="370"/>
        <v xml:space="preserve"> </v>
      </c>
      <c r="CX180" s="254" t="str">
        <f t="shared" si="371"/>
        <v xml:space="preserve"> </v>
      </c>
      <c r="CY180" s="254" t="str">
        <f t="shared" si="372"/>
        <v xml:space="preserve"> </v>
      </c>
      <c r="CZ180" s="254" t="str">
        <f t="shared" si="373"/>
        <v xml:space="preserve"> </v>
      </c>
      <c r="DA180" s="254" t="str">
        <f t="shared" si="374"/>
        <v xml:space="preserve"> </v>
      </c>
      <c r="DB180" s="254" t="str">
        <f t="shared" si="375"/>
        <v xml:space="preserve"> </v>
      </c>
      <c r="DC180" s="254" t="str">
        <f t="shared" si="376"/>
        <v xml:space="preserve"> </v>
      </c>
      <c r="DD180" s="254" t="str">
        <f t="shared" si="377"/>
        <v xml:space="preserve"> </v>
      </c>
      <c r="DE180" s="254" t="str">
        <f t="shared" si="378"/>
        <v xml:space="preserve"> </v>
      </c>
      <c r="DF180" s="374" t="str">
        <f>IF($A180="N/A"," ",IF(CC=2,(IF(MONTH(A180)&gt;=4,IF(MONTH(A180)&lt;=10,Inputs!$G$13,Inputs!$G$14),Inputs!$G$14))*$CK180,0))</f>
        <v xml:space="preserve"> </v>
      </c>
      <c r="DG180" s="373" t="str">
        <f t="shared" si="379"/>
        <v xml:space="preserve"> </v>
      </c>
      <c r="DH180" s="373" t="str">
        <f t="shared" si="380"/>
        <v xml:space="preserve"> </v>
      </c>
      <c r="DI180" s="373" t="str">
        <f t="shared" si="381"/>
        <v xml:space="preserve"> </v>
      </c>
      <c r="DJ180" s="373" t="str">
        <f t="shared" si="382"/>
        <v xml:space="preserve"> </v>
      </c>
      <c r="DK180" s="373" t="str">
        <f t="shared" si="383"/>
        <v xml:space="preserve"> </v>
      </c>
      <c r="DL180" s="373" t="str">
        <f t="shared" si="384"/>
        <v xml:space="preserve"> </v>
      </c>
      <c r="DM180" s="373" t="str">
        <f t="shared" si="385"/>
        <v xml:space="preserve"> </v>
      </c>
      <c r="DN180" s="373" t="str">
        <f t="shared" si="386"/>
        <v xml:space="preserve"> </v>
      </c>
      <c r="DO180" s="373" t="str">
        <f t="shared" si="387"/>
        <v xml:space="preserve"> </v>
      </c>
      <c r="DP180" s="375" t="str">
        <f t="shared" si="388"/>
        <v xml:space="preserve"> </v>
      </c>
      <c r="DQ180" t="str">
        <f t="shared" si="414"/>
        <v xml:space="preserve"> </v>
      </c>
      <c r="HD180" t="str">
        <f t="shared" si="415"/>
        <v xml:space="preserve"> </v>
      </c>
      <c r="HE180" t="str">
        <f t="shared" si="416"/>
        <v xml:space="preserve"> </v>
      </c>
      <c r="HF180" t="str">
        <f t="shared" si="417"/>
        <v xml:space="preserve"> </v>
      </c>
    </row>
    <row r="181" spans="1:214">
      <c r="A181" s="415" t="str">
        <f>IF(A180="N/A","N/A",IF(EDATE(A180,1)&gt;Inputs!$K$3,"N/A",EDATE(A180,1)))</f>
        <v>N/A</v>
      </c>
      <c r="B181" s="410" t="str">
        <f t="shared" si="389"/>
        <v xml:space="preserve"> </v>
      </c>
      <c r="C181" s="411" t="str">
        <f t="shared" si="390"/>
        <v xml:space="preserve"> </v>
      </c>
      <c r="D181" s="412" t="str">
        <f t="shared" si="391"/>
        <v xml:space="preserve"> </v>
      </c>
      <c r="E181" s="413" t="str">
        <f>IF($A181="N/A"," ",(C181-'Pricing Inputs'!T214)*D181)</f>
        <v xml:space="preserve"> </v>
      </c>
      <c r="F181" s="414" t="str">
        <f t="shared" si="440"/>
        <v xml:space="preserve"> </v>
      </c>
      <c r="G181" s="414" t="str">
        <f t="shared" si="392"/>
        <v xml:space="preserve"> </v>
      </c>
      <c r="H181" s="416" t="str">
        <f t="shared" si="393"/>
        <v xml:space="preserve"> </v>
      </c>
      <c r="I181" s="213" t="str">
        <f t="shared" si="342"/>
        <v xml:space="preserve"> </v>
      </c>
      <c r="J181" s="213" t="str">
        <f t="shared" si="343"/>
        <v xml:space="preserve"> </v>
      </c>
      <c r="K181" s="213" t="str">
        <f t="shared" si="344"/>
        <v xml:space="preserve"> </v>
      </c>
      <c r="L181" s="213" t="str">
        <f t="shared" si="345"/>
        <v xml:space="preserve"> </v>
      </c>
      <c r="M181" s="213" t="str">
        <f t="shared" si="346"/>
        <v xml:space="preserve"> </v>
      </c>
      <c r="N181" s="213" t="str">
        <f t="shared" si="347"/>
        <v xml:space="preserve"> </v>
      </c>
      <c r="O181" s="213" t="str">
        <f t="shared" si="348"/>
        <v xml:space="preserve"> </v>
      </c>
      <c r="P181" s="213" t="str">
        <f t="shared" si="349"/>
        <v xml:space="preserve"> </v>
      </c>
      <c r="Q181" s="213" t="str">
        <f t="shared" si="350"/>
        <v xml:space="preserve"> </v>
      </c>
      <c r="R181" s="405" t="str">
        <f>IF($A181="N/A"," ",IF(Pricetype=2,MAX(I181-$H181,0),IF(Pricetype=1,(_xll.xSPRDOPT(I181,$E181,$CI181,0,($CD181+IF(Smile=TRUE,VLOOKUP(MAX(-5,$H181-I181),Volsmile,2),0)),$CG181,$CH181,($A181-DateToday)+15,1,0)),I181-$H181)))</f>
        <v xml:space="preserve"> </v>
      </c>
      <c r="S181" s="405" t="str">
        <f>IF($A181="N/A"," ",IF(Pricetype=2,MAX(J181-$H181,0),IF(Pricetype=1,(_xll.xSPRDOPT(J181,$E181,$CI181,0,($CD181+IF(Smile=TRUE,VLOOKUP(MAX(-5,$H181-J181),Volsmile,2),0)),$CG181,$CH181,($A181-DateToday)+15,1,0)),J181-$H181)))</f>
        <v xml:space="preserve"> </v>
      </c>
      <c r="T181" s="406" t="str">
        <f t="shared" si="351"/>
        <v xml:space="preserve"> </v>
      </c>
      <c r="U181" s="405" t="str">
        <f>IF($A181="N/A"," ",IF(Pricetype=2,MAX(L181-$H181,0),IF(L181&lt;&gt;0,IF(Pricetype=1,(_xll.xSPRDOPT(L181,$E181,$CI181,0,($CD181+IF(Smile=TRUE,VLOOKUP(MAX(-5,$H181-L181),Volsmile,2),0)),$CG181,$CH181,($A181-DateToday)+15,1,0)),L181-$H181),0)))</f>
        <v xml:space="preserve"> </v>
      </c>
      <c r="V181" s="405" t="str">
        <f>IF($A181="N/A"," ",IF(Pricetype=2,MAX(M181-$H181,0),IF(M181&lt;&gt;0,IF(Pricetype=1,(_xll.xSPRDOPT(M181,$E181,$CI181,0,($CD181+IF(Smile=TRUE,VLOOKUP(MAX(-5,$H181-M181),Volsmile,2),0)),$CG181,$CH181,($A181-DateToday)+15,1,0)),M181-$H181),0)))</f>
        <v xml:space="preserve"> </v>
      </c>
      <c r="W181" s="406" t="str">
        <f t="shared" si="352"/>
        <v xml:space="preserve"> </v>
      </c>
      <c r="X181" s="405" t="str">
        <f>IF($A181="N/A"," ",IF(Pricetype=2,MAX(O181-$H181,0),IF(O181&lt;&gt;0,IF(Pricetype=1,(_xll.xSPRDOPT(O181,$E181,$CI181,0,($CD181+IF(Smile=TRUE,VLOOKUP(MAX(-5,$H181-O181),Volsmile,2),0)),$CG181,$CH181,($A181-DateToday)+15,1,0)),O181-$H181),0)))</f>
        <v xml:space="preserve"> </v>
      </c>
      <c r="Y181" s="405" t="str">
        <f>IF($A181="N/A"," ",IF(Pricetype=2,MAX(P181-$H181,0),IF(P181&lt;&gt;0,IF(Pricetype=1,(_xll.xSPRDOPT(P181,$E181,$CI181,0,($CD181+IF(Smile=TRUE,VLOOKUP(MAX(-5,$H181-P181),Volsmile,2),0)),$CG181,$CH181,($A181-DateToday)+15,1,0)),P181-$H181),0)))</f>
        <v xml:space="preserve"> </v>
      </c>
      <c r="Z181" s="406" t="str">
        <f t="shared" si="353"/>
        <v xml:space="preserve"> </v>
      </c>
      <c r="AA181" s="254" t="str">
        <f>IF($A181="N/A"," ",IF(VLOOKUP(MONTH(A181),ManualTable,2)=1,(IF(0&lt;&gt;R181,IF(Pricetype=1,(_xll.xSPRDOPT(I181,$E181,$CI181,0,($CD181+IF(Smile=TRUE,VLOOKUP(MAX(-5,$H181-I181),Volsmile,2),0)),$CG181,$CH181,($A181-DateToday)+15,1,1))*(8*$HD181),8*$HD181),0)),0))</f>
        <v xml:space="preserve"> </v>
      </c>
      <c r="AB181" s="254" t="str">
        <f>IF($A181="N/A"," ",IF(VLOOKUP(MONTH(A181),ManualTable,3)=1,(IF(S181&lt;&gt;0,IF(Pricetype=1,(_xll.xSPRDOPT(J181,$E181,$CI181,0,($CD181+IF(Smile=TRUE,VLOOKUP(MAX(-5,$H181-J181),Volsmile,2),0)),$CG181,$CH181,($A181-DateToday)+15,1,1))*(8*$HD181),8*$HD181),0)),0))</f>
        <v xml:space="preserve"> </v>
      </c>
      <c r="AC181" s="254" t="str">
        <f t="shared" si="394"/>
        <v xml:space="preserve"> </v>
      </c>
      <c r="AD181" s="254" t="str">
        <f>IF($A181="N/A"," ",IF(VLOOKUP(MONTH(A181),ManualTable,5)=1,(IF(U181&lt;&gt;0,IF(Pricetype=1,(_xll.xSPRDOPT(L181,$E181,$CI181,0,($CD181+IF(Smile=TRUE,VLOOKUP(MAX(-5,$H181-L181),Volsmile,2),0)),$CG181,$CH181,($A181-DateToday)+15,1,1))*(8*$HE181),8*$HE181),0)),0))</f>
        <v xml:space="preserve"> </v>
      </c>
      <c r="AE181" s="254" t="str">
        <f>IF($A181="N/A"," ",IF(VLOOKUP(MONTH(A181),ManualTable,6)=1,(IF(V181&lt;&gt;0,IF(Pricetype=1,(_xll.xSPRDOPT(M181,$E181,$CI181,0,($CD181+IF(Smile=TRUE,VLOOKUP(MAX(-5,$H181-M181),Volsmile,2),0)),$CG181,$CH181,($A181-DateToday)+15,1,1))*(8*$HE181),8*$HE181),0)),0))</f>
        <v xml:space="preserve"> </v>
      </c>
      <c r="AF181" s="254" t="str">
        <f t="shared" si="395"/>
        <v xml:space="preserve"> </v>
      </c>
      <c r="AG181" s="254" t="str">
        <f>IF($A181="N/A"," ",IF(VLOOKUP(MONTH(A181),ManualTable,8)=1,(IF(X181&lt;&gt;0,IF(Pricetype=1,(_xll.xSPRDOPT(O181,$E181,$CI181,0,($CD181+IF(Smile=TRUE,VLOOKUP(MAX(-5,$H181-O181),Volsmile,2),0)),$CG181,$CH181,($A181-DateToday)+15,1,1))*(8*$HF181),8*$HF181),0)),0))</f>
        <v xml:space="preserve"> </v>
      </c>
      <c r="AH181" s="254" t="str">
        <f>IF($A181="N/A"," ",IF(VLOOKUP(MONTH(A181),ManualTable,9)=1,(IF(Y181&lt;&gt;0,IF(Pricetype=1,(_xll.xSPRDOPT(P181,$E181,$CI181,0,($CD181+IF(Smile=TRUE,VLOOKUP(MAX(-5,$H181-P181),Volsmile,2),0)),$CG181,$CH181,($A181-DateToday)+15,1,1))*(8*$HF181),8*$HF181),0)),0))</f>
        <v xml:space="preserve"> </v>
      </c>
      <c r="AI181" s="254" t="str">
        <f t="shared" si="396"/>
        <v xml:space="preserve"> </v>
      </c>
      <c r="AJ181" s="227" t="str">
        <f t="shared" si="479"/>
        <v xml:space="preserve"> </v>
      </c>
      <c r="AK181" s="228" t="str">
        <f t="shared" si="480"/>
        <v xml:space="preserve"> </v>
      </c>
      <c r="AL181" s="228" t="str">
        <f t="shared" si="480"/>
        <v xml:space="preserve"> </v>
      </c>
      <c r="AM181" s="228" t="str">
        <f t="shared" si="481"/>
        <v xml:space="preserve"> </v>
      </c>
      <c r="AN181" s="228" t="str">
        <f t="shared" si="482"/>
        <v xml:space="preserve"> </v>
      </c>
      <c r="AO181" s="228" t="str">
        <f t="shared" si="482"/>
        <v xml:space="preserve"> </v>
      </c>
      <c r="AP181" s="228" t="str">
        <f t="shared" si="483"/>
        <v xml:space="preserve"> </v>
      </c>
      <c r="AQ181" s="228" t="str">
        <f t="shared" si="484"/>
        <v xml:space="preserve"> </v>
      </c>
      <c r="AR181" s="229" t="str">
        <f t="shared" si="485"/>
        <v xml:space="preserve"> </v>
      </c>
      <c r="AS181" s="262" t="str">
        <f t="shared" si="433"/>
        <v xml:space="preserve"> </v>
      </c>
      <c r="AT181" s="263" t="str">
        <f t="shared" si="434"/>
        <v xml:space="preserve"> </v>
      </c>
      <c r="AU181" s="263" t="str">
        <f t="shared" si="434"/>
        <v xml:space="preserve"> </v>
      </c>
      <c r="AV181" s="263" t="str">
        <f t="shared" si="435"/>
        <v xml:space="preserve"> </v>
      </c>
      <c r="AW181" s="263" t="str">
        <f t="shared" si="436"/>
        <v xml:space="preserve"> </v>
      </c>
      <c r="AX181" s="263" t="str">
        <f t="shared" si="436"/>
        <v xml:space="preserve"> </v>
      </c>
      <c r="AY181" s="263" t="str">
        <f t="shared" si="437"/>
        <v xml:space="preserve"> </v>
      </c>
      <c r="AZ181" s="263" t="str">
        <f t="shared" si="438"/>
        <v xml:space="preserve"> </v>
      </c>
      <c r="BA181" s="263" t="str">
        <f t="shared" si="439"/>
        <v xml:space="preserve"> </v>
      </c>
      <c r="BB181" s="234" t="s">
        <v>1271</v>
      </c>
      <c r="BC181" s="266" t="str">
        <f t="shared" si="472"/>
        <v xml:space="preserve"> </v>
      </c>
      <c r="BD181" s="269" t="str">
        <f t="shared" si="473"/>
        <v xml:space="preserve"> </v>
      </c>
      <c r="BE181" s="269" t="str">
        <f t="shared" si="473"/>
        <v xml:space="preserve"> </v>
      </c>
      <c r="BF181" s="269" t="str">
        <f t="shared" si="474"/>
        <v xml:space="preserve"> </v>
      </c>
      <c r="BG181" s="269" t="str">
        <f t="shared" si="475"/>
        <v xml:space="preserve"> </v>
      </c>
      <c r="BH181" s="269" t="str">
        <f t="shared" si="475"/>
        <v xml:space="preserve"> </v>
      </c>
      <c r="BI181" s="269" t="str">
        <f t="shared" si="476"/>
        <v xml:space="preserve"> </v>
      </c>
      <c r="BJ181" s="269" t="str">
        <f t="shared" si="477"/>
        <v xml:space="preserve"> </v>
      </c>
      <c r="BK181" s="269" t="str">
        <f t="shared" si="478"/>
        <v xml:space="preserve"> </v>
      </c>
      <c r="BL181" s="233" t="s">
        <v>1283</v>
      </c>
      <c r="BM181" s="220" t="str">
        <f>IF($A181="N/A"," ",(IF(MONTH(A181)&gt;=4,IF(MONTH(A181)&lt;=10,Inputs!$F$13-Inputs!$G$13,Inputs!$F$14-Inputs!$G$14),Inputs!$F$14-Inputs!$G$14))*$CK181*Availability)</f>
        <v xml:space="preserve"> </v>
      </c>
      <c r="BN181" s="221" t="str">
        <f t="shared" si="397"/>
        <v xml:space="preserve"> </v>
      </c>
      <c r="BO181" s="221" t="str">
        <f t="shared" si="398"/>
        <v xml:space="preserve"> </v>
      </c>
      <c r="BP181" s="221" t="str">
        <f t="shared" si="399"/>
        <v xml:space="preserve"> </v>
      </c>
      <c r="BQ181" s="221" t="str">
        <f t="shared" si="400"/>
        <v xml:space="preserve"> </v>
      </c>
      <c r="BR181" s="221" t="str">
        <f t="shared" si="401"/>
        <v xml:space="preserve"> </v>
      </c>
      <c r="BS181" s="221" t="str">
        <f t="shared" si="402"/>
        <v xml:space="preserve"> </v>
      </c>
      <c r="BT181" s="221" t="str">
        <f t="shared" si="403"/>
        <v xml:space="preserve"> </v>
      </c>
      <c r="BU181" s="221" t="str">
        <f t="shared" si="404"/>
        <v xml:space="preserve"> </v>
      </c>
      <c r="BV181" s="221" t="str">
        <f t="shared" si="405"/>
        <v xml:space="preserve"> </v>
      </c>
      <c r="BW181" s="221" t="str">
        <f t="shared" si="406"/>
        <v xml:space="preserve"> </v>
      </c>
      <c r="BX181" s="421" t="str">
        <f t="shared" si="407"/>
        <v xml:space="preserve"> </v>
      </c>
      <c r="BY181" s="417" t="str">
        <f t="shared" si="408"/>
        <v xml:space="preserve"> </v>
      </c>
      <c r="BZ181" s="417" t="str">
        <f t="shared" si="409"/>
        <v xml:space="preserve"> </v>
      </c>
      <c r="CA181" s="422" t="str">
        <f t="shared" si="410"/>
        <v xml:space="preserve"> </v>
      </c>
      <c r="CB181" s="347" t="str">
        <f t="shared" si="354"/>
        <v xml:space="preserve"> </v>
      </c>
      <c r="CC181" s="347" t="str">
        <f t="shared" si="411"/>
        <v xml:space="preserve"> </v>
      </c>
      <c r="CD181" s="348" t="str">
        <f t="shared" si="355"/>
        <v xml:space="preserve"> </v>
      </c>
      <c r="CE181" s="347" t="str">
        <f t="shared" si="356"/>
        <v xml:space="preserve"> </v>
      </c>
      <c r="CF181" s="347" t="str">
        <f t="shared" si="357"/>
        <v xml:space="preserve"> </v>
      </c>
      <c r="CG181" s="348" t="str">
        <f t="shared" si="358"/>
        <v xml:space="preserve"> </v>
      </c>
      <c r="CH181" s="347" t="str">
        <f t="shared" si="412"/>
        <v xml:space="preserve"> </v>
      </c>
      <c r="CI181" s="349" t="str">
        <f>IF($A181="N/A"," ",F181+G181+(D181*('Pricing Inputs'!T214)))</f>
        <v xml:space="preserve"> </v>
      </c>
      <c r="CJ181" s="347" t="str">
        <f>IF($A181="N/A"," ",IF(PV=1,0,'Pricing Inputs'!U214))</f>
        <v xml:space="preserve"> </v>
      </c>
      <c r="CK181" s="350" t="str">
        <f t="shared" si="359"/>
        <v xml:space="preserve"> </v>
      </c>
      <c r="CL181" s="365" t="str">
        <f t="shared" si="360"/>
        <v xml:space="preserve"> </v>
      </c>
      <c r="CM181" s="380" t="str">
        <f t="shared" si="413"/>
        <v xml:space="preserve"> </v>
      </c>
      <c r="CN181" s="378" t="str">
        <f t="shared" si="361"/>
        <v xml:space="preserve"> </v>
      </c>
      <c r="CO181" s="378" t="str">
        <f t="shared" si="362"/>
        <v xml:space="preserve"> </v>
      </c>
      <c r="CP181" s="378" t="str">
        <f t="shared" si="363"/>
        <v xml:space="preserve"> </v>
      </c>
      <c r="CQ181" s="378" t="str">
        <f t="shared" si="364"/>
        <v xml:space="preserve"> </v>
      </c>
      <c r="CR181" s="378" t="str">
        <f t="shared" si="365"/>
        <v xml:space="preserve"> </v>
      </c>
      <c r="CS181" s="378" t="str">
        <f t="shared" si="366"/>
        <v xml:space="preserve"> </v>
      </c>
      <c r="CT181" s="378" t="str">
        <f t="shared" si="367"/>
        <v xml:space="preserve"> </v>
      </c>
      <c r="CU181" s="378" t="str">
        <f t="shared" si="368"/>
        <v xml:space="preserve"> </v>
      </c>
      <c r="CV181" s="378" t="str">
        <f t="shared" si="369"/>
        <v xml:space="preserve"> </v>
      </c>
      <c r="CW181" s="254" t="str">
        <f t="shared" si="370"/>
        <v xml:space="preserve"> </v>
      </c>
      <c r="CX181" s="254" t="str">
        <f t="shared" si="371"/>
        <v xml:space="preserve"> </v>
      </c>
      <c r="CY181" s="254" t="str">
        <f t="shared" si="372"/>
        <v xml:space="preserve"> </v>
      </c>
      <c r="CZ181" s="254" t="str">
        <f t="shared" si="373"/>
        <v xml:space="preserve"> </v>
      </c>
      <c r="DA181" s="254" t="str">
        <f t="shared" si="374"/>
        <v xml:space="preserve"> </v>
      </c>
      <c r="DB181" s="254" t="str">
        <f t="shared" si="375"/>
        <v xml:space="preserve"> </v>
      </c>
      <c r="DC181" s="254" t="str">
        <f t="shared" si="376"/>
        <v xml:space="preserve"> </v>
      </c>
      <c r="DD181" s="254" t="str">
        <f t="shared" si="377"/>
        <v xml:space="preserve"> </v>
      </c>
      <c r="DE181" s="254" t="str">
        <f t="shared" si="378"/>
        <v xml:space="preserve"> </v>
      </c>
      <c r="DF181" s="374" t="str">
        <f>IF($A181="N/A"," ",IF(CC=2,(IF(MONTH(A181)&gt;=4,IF(MONTH(A181)&lt;=10,Inputs!$G$13,Inputs!$G$14),Inputs!$G$14))*$CK181,0))</f>
        <v xml:space="preserve"> </v>
      </c>
      <c r="DG181" s="373" t="str">
        <f t="shared" si="379"/>
        <v xml:space="preserve"> </v>
      </c>
      <c r="DH181" s="373" t="str">
        <f t="shared" si="380"/>
        <v xml:space="preserve"> </v>
      </c>
      <c r="DI181" s="373" t="str">
        <f t="shared" si="381"/>
        <v xml:space="preserve"> </v>
      </c>
      <c r="DJ181" s="373" t="str">
        <f t="shared" si="382"/>
        <v xml:space="preserve"> </v>
      </c>
      <c r="DK181" s="373" t="str">
        <f t="shared" si="383"/>
        <v xml:space="preserve"> </v>
      </c>
      <c r="DL181" s="373" t="str">
        <f t="shared" si="384"/>
        <v xml:space="preserve"> </v>
      </c>
      <c r="DM181" s="373" t="str">
        <f t="shared" si="385"/>
        <v xml:space="preserve"> </v>
      </c>
      <c r="DN181" s="373" t="str">
        <f t="shared" si="386"/>
        <v xml:space="preserve"> </v>
      </c>
      <c r="DO181" s="373" t="str">
        <f t="shared" si="387"/>
        <v xml:space="preserve"> </v>
      </c>
      <c r="DP181" s="375" t="str">
        <f t="shared" si="388"/>
        <v xml:space="preserve"> </v>
      </c>
      <c r="DQ181" t="str">
        <f t="shared" si="414"/>
        <v xml:space="preserve"> </v>
      </c>
      <c r="HD181" t="str">
        <f t="shared" si="415"/>
        <v xml:space="preserve"> </v>
      </c>
      <c r="HE181" t="str">
        <f t="shared" si="416"/>
        <v xml:space="preserve"> </v>
      </c>
      <c r="HF181" t="str">
        <f t="shared" si="417"/>
        <v xml:space="preserve"> </v>
      </c>
    </row>
    <row r="182" spans="1:214">
      <c r="A182" s="415" t="str">
        <f>IF(A181="N/A","N/A",IF(EDATE(A181,1)&gt;Inputs!$K$3,"N/A",EDATE(A181,1)))</f>
        <v>N/A</v>
      </c>
      <c r="B182" s="410" t="str">
        <f t="shared" si="389"/>
        <v xml:space="preserve"> </v>
      </c>
      <c r="C182" s="411" t="str">
        <f t="shared" si="390"/>
        <v xml:space="preserve"> </v>
      </c>
      <c r="D182" s="412" t="str">
        <f t="shared" si="391"/>
        <v xml:space="preserve"> </v>
      </c>
      <c r="E182" s="413" t="str">
        <f>IF($A182="N/A"," ",(C182-'Pricing Inputs'!T215)*D182)</f>
        <v xml:space="preserve"> </v>
      </c>
      <c r="F182" s="414" t="str">
        <f t="shared" si="440"/>
        <v xml:space="preserve"> </v>
      </c>
      <c r="G182" s="414" t="str">
        <f t="shared" si="392"/>
        <v xml:space="preserve"> </v>
      </c>
      <c r="H182" s="416" t="str">
        <f t="shared" si="393"/>
        <v xml:space="preserve"> </v>
      </c>
      <c r="I182" s="213" t="str">
        <f t="shared" si="342"/>
        <v xml:space="preserve"> </v>
      </c>
      <c r="J182" s="213" t="str">
        <f t="shared" si="343"/>
        <v xml:space="preserve"> </v>
      </c>
      <c r="K182" s="213" t="str">
        <f t="shared" si="344"/>
        <v xml:space="preserve"> </v>
      </c>
      <c r="L182" s="213" t="str">
        <f t="shared" si="345"/>
        <v xml:space="preserve"> </v>
      </c>
      <c r="M182" s="213" t="str">
        <f t="shared" si="346"/>
        <v xml:space="preserve"> </v>
      </c>
      <c r="N182" s="213" t="str">
        <f t="shared" si="347"/>
        <v xml:space="preserve"> </v>
      </c>
      <c r="O182" s="213" t="str">
        <f t="shared" si="348"/>
        <v xml:space="preserve"> </v>
      </c>
      <c r="P182" s="213" t="str">
        <f t="shared" si="349"/>
        <v xml:space="preserve"> </v>
      </c>
      <c r="Q182" s="213" t="str">
        <f t="shared" si="350"/>
        <v xml:space="preserve"> </v>
      </c>
      <c r="R182" s="405" t="str">
        <f>IF($A182="N/A"," ",IF(Pricetype=2,MAX(I182-$H182,0),IF(Pricetype=1,(_xll.xSPRDOPT(I182,$E182,$CI182,0,($CD182+IF(Smile=TRUE,VLOOKUP(MAX(-5,$H182-I182),Volsmile,2),0)),$CG182,$CH182,($A182-DateToday)+15,1,0)),I182-$H182)))</f>
        <v xml:space="preserve"> </v>
      </c>
      <c r="S182" s="405" t="str">
        <f>IF($A182="N/A"," ",IF(Pricetype=2,MAX(J182-$H182,0),IF(Pricetype=1,(_xll.xSPRDOPT(J182,$E182,$CI182,0,($CD182+IF(Smile=TRUE,VLOOKUP(MAX(-5,$H182-J182),Volsmile,2),0)),$CG182,$CH182,($A182-DateToday)+15,1,0)),J182-$H182)))</f>
        <v xml:space="preserve"> </v>
      </c>
      <c r="T182" s="406" t="str">
        <f t="shared" si="351"/>
        <v xml:space="preserve"> </v>
      </c>
      <c r="U182" s="405" t="str">
        <f>IF($A182="N/A"," ",IF(Pricetype=2,MAX(L182-$H182,0),IF(L182&lt;&gt;0,IF(Pricetype=1,(_xll.xSPRDOPT(L182,$E182,$CI182,0,($CD182+IF(Smile=TRUE,VLOOKUP(MAX(-5,$H182-L182),Volsmile,2),0)),$CG182,$CH182,($A182-DateToday)+15,1,0)),L182-$H182),0)))</f>
        <v xml:space="preserve"> </v>
      </c>
      <c r="V182" s="405" t="str">
        <f>IF($A182="N/A"," ",IF(Pricetype=2,MAX(M182-$H182,0),IF(M182&lt;&gt;0,IF(Pricetype=1,(_xll.xSPRDOPT(M182,$E182,$CI182,0,($CD182+IF(Smile=TRUE,VLOOKUP(MAX(-5,$H182-M182),Volsmile,2),0)),$CG182,$CH182,($A182-DateToday)+15,1,0)),M182-$H182),0)))</f>
        <v xml:space="preserve"> </v>
      </c>
      <c r="W182" s="406" t="str">
        <f t="shared" si="352"/>
        <v xml:space="preserve"> </v>
      </c>
      <c r="X182" s="405" t="str">
        <f>IF($A182="N/A"," ",IF(Pricetype=2,MAX(O182-$H182,0),IF(O182&lt;&gt;0,IF(Pricetype=1,(_xll.xSPRDOPT(O182,$E182,$CI182,0,($CD182+IF(Smile=TRUE,VLOOKUP(MAX(-5,$H182-O182),Volsmile,2),0)),$CG182,$CH182,($A182-DateToday)+15,1,0)),O182-$H182),0)))</f>
        <v xml:space="preserve"> </v>
      </c>
      <c r="Y182" s="405" t="str">
        <f>IF($A182="N/A"," ",IF(Pricetype=2,MAX(P182-$H182,0),IF(P182&lt;&gt;0,IF(Pricetype=1,(_xll.xSPRDOPT(P182,$E182,$CI182,0,($CD182+IF(Smile=TRUE,VLOOKUP(MAX(-5,$H182-P182),Volsmile,2),0)),$CG182,$CH182,($A182-DateToday)+15,1,0)),P182-$H182),0)))</f>
        <v xml:space="preserve"> </v>
      </c>
      <c r="Z182" s="406" t="str">
        <f t="shared" si="353"/>
        <v xml:space="preserve"> </v>
      </c>
      <c r="AA182" s="254" t="str">
        <f>IF($A182="N/A"," ",IF(VLOOKUP(MONTH(A182),ManualTable,2)=1,(IF(0&lt;&gt;R182,IF(Pricetype=1,(_xll.xSPRDOPT(I182,$E182,$CI182,0,($CD182+IF(Smile=TRUE,VLOOKUP(MAX(-5,$H182-I182),Volsmile,2),0)),$CG182,$CH182,($A182-DateToday)+15,1,1))*(8*$HD182),8*$HD182),0)),0))</f>
        <v xml:space="preserve"> </v>
      </c>
      <c r="AB182" s="254" t="str">
        <f>IF($A182="N/A"," ",IF(VLOOKUP(MONTH(A182),ManualTable,3)=1,(IF(S182&lt;&gt;0,IF(Pricetype=1,(_xll.xSPRDOPT(J182,$E182,$CI182,0,($CD182+IF(Smile=TRUE,VLOOKUP(MAX(-5,$H182-J182),Volsmile,2),0)),$CG182,$CH182,($A182-DateToday)+15,1,1))*(8*$HD182),8*$HD182),0)),0))</f>
        <v xml:space="preserve"> </v>
      </c>
      <c r="AC182" s="254" t="str">
        <f t="shared" si="394"/>
        <v xml:space="preserve"> </v>
      </c>
      <c r="AD182" s="254" t="str">
        <f>IF($A182="N/A"," ",IF(VLOOKUP(MONTH(A182),ManualTable,5)=1,(IF(U182&lt;&gt;0,IF(Pricetype=1,(_xll.xSPRDOPT(L182,$E182,$CI182,0,($CD182+IF(Smile=TRUE,VLOOKUP(MAX(-5,$H182-L182),Volsmile,2),0)),$CG182,$CH182,($A182-DateToday)+15,1,1))*(8*$HE182),8*$HE182),0)),0))</f>
        <v xml:space="preserve"> </v>
      </c>
      <c r="AE182" s="254" t="str">
        <f>IF($A182="N/A"," ",IF(VLOOKUP(MONTH(A182),ManualTable,6)=1,(IF(V182&lt;&gt;0,IF(Pricetype=1,(_xll.xSPRDOPT(M182,$E182,$CI182,0,($CD182+IF(Smile=TRUE,VLOOKUP(MAX(-5,$H182-M182),Volsmile,2),0)),$CG182,$CH182,($A182-DateToday)+15,1,1))*(8*$HE182),8*$HE182),0)),0))</f>
        <v xml:space="preserve"> </v>
      </c>
      <c r="AF182" s="254" t="str">
        <f t="shared" si="395"/>
        <v xml:space="preserve"> </v>
      </c>
      <c r="AG182" s="254" t="str">
        <f>IF($A182="N/A"," ",IF(VLOOKUP(MONTH(A182),ManualTable,8)=1,(IF(X182&lt;&gt;0,IF(Pricetype=1,(_xll.xSPRDOPT(O182,$E182,$CI182,0,($CD182+IF(Smile=TRUE,VLOOKUP(MAX(-5,$H182-O182),Volsmile,2),0)),$CG182,$CH182,($A182-DateToday)+15,1,1))*(8*$HF182),8*$HF182),0)),0))</f>
        <v xml:space="preserve"> </v>
      </c>
      <c r="AH182" s="254" t="str">
        <f>IF($A182="N/A"," ",IF(VLOOKUP(MONTH(A182),ManualTable,9)=1,(IF(Y182&lt;&gt;0,IF(Pricetype=1,(_xll.xSPRDOPT(P182,$E182,$CI182,0,($CD182+IF(Smile=TRUE,VLOOKUP(MAX(-5,$H182-P182),Volsmile,2),0)),$CG182,$CH182,($A182-DateToday)+15,1,1))*(8*$HF182),8*$HF182),0)),0))</f>
        <v xml:space="preserve"> </v>
      </c>
      <c r="AI182" s="254" t="str">
        <f t="shared" si="396"/>
        <v xml:space="preserve"> </v>
      </c>
      <c r="AJ182" s="227" t="str">
        <f t="shared" si="479"/>
        <v xml:space="preserve"> </v>
      </c>
      <c r="AK182" s="228" t="str">
        <f t="shared" si="480"/>
        <v xml:space="preserve"> </v>
      </c>
      <c r="AL182" s="228" t="str">
        <f t="shared" si="480"/>
        <v xml:space="preserve"> </v>
      </c>
      <c r="AM182" s="228" t="str">
        <f t="shared" si="481"/>
        <v xml:space="preserve"> </v>
      </c>
      <c r="AN182" s="228" t="str">
        <f t="shared" si="482"/>
        <v xml:space="preserve"> </v>
      </c>
      <c r="AO182" s="228" t="str">
        <f t="shared" si="482"/>
        <v xml:space="preserve"> </v>
      </c>
      <c r="AP182" s="228" t="str">
        <f t="shared" si="483"/>
        <v xml:space="preserve"> </v>
      </c>
      <c r="AQ182" s="228" t="str">
        <f t="shared" si="484"/>
        <v xml:space="preserve"> </v>
      </c>
      <c r="AR182" s="229" t="str">
        <f t="shared" si="485"/>
        <v xml:space="preserve"> </v>
      </c>
      <c r="AS182" s="262" t="str">
        <f t="shared" si="433"/>
        <v xml:space="preserve"> </v>
      </c>
      <c r="AT182" s="263" t="str">
        <f t="shared" si="434"/>
        <v xml:space="preserve"> </v>
      </c>
      <c r="AU182" s="263" t="str">
        <f t="shared" si="434"/>
        <v xml:space="preserve"> </v>
      </c>
      <c r="AV182" s="263" t="str">
        <f t="shared" si="435"/>
        <v xml:space="preserve"> </v>
      </c>
      <c r="AW182" s="263" t="str">
        <f t="shared" si="436"/>
        <v xml:space="preserve"> </v>
      </c>
      <c r="AX182" s="263" t="str">
        <f t="shared" si="436"/>
        <v xml:space="preserve"> </v>
      </c>
      <c r="AY182" s="263" t="str">
        <f t="shared" si="437"/>
        <v xml:space="preserve"> </v>
      </c>
      <c r="AZ182" s="263" t="str">
        <f t="shared" si="438"/>
        <v xml:space="preserve"> </v>
      </c>
      <c r="BA182" s="263" t="str">
        <f t="shared" si="439"/>
        <v xml:space="preserve"> </v>
      </c>
      <c r="BB182" s="229">
        <f>SUM(AS172:BA183)</f>
        <v>0</v>
      </c>
      <c r="BC182" s="266" t="str">
        <f t="shared" si="472"/>
        <v xml:space="preserve"> </v>
      </c>
      <c r="BD182" s="269" t="str">
        <f t="shared" si="473"/>
        <v xml:space="preserve"> </v>
      </c>
      <c r="BE182" s="269" t="str">
        <f t="shared" si="473"/>
        <v xml:space="preserve"> </v>
      </c>
      <c r="BF182" s="269" t="str">
        <f t="shared" si="474"/>
        <v xml:space="preserve"> </v>
      </c>
      <c r="BG182" s="269" t="str">
        <f t="shared" si="475"/>
        <v xml:space="preserve"> </v>
      </c>
      <c r="BH182" s="269" t="str">
        <f t="shared" si="475"/>
        <v xml:space="preserve"> </v>
      </c>
      <c r="BI182" s="269" t="str">
        <f t="shared" si="476"/>
        <v xml:space="preserve"> </v>
      </c>
      <c r="BJ182" s="269" t="str">
        <f t="shared" si="477"/>
        <v xml:space="preserve"> </v>
      </c>
      <c r="BK182" s="269" t="str">
        <f t="shared" si="478"/>
        <v xml:space="preserve"> </v>
      </c>
      <c r="BL182" s="229">
        <f>SUM(BC172:BK183)</f>
        <v>0</v>
      </c>
      <c r="BM182" s="220" t="str">
        <f>IF($A182="N/A"," ",(IF(MONTH(A182)&gt;=4,IF(MONTH(A182)&lt;=10,Inputs!$F$13-Inputs!$G$13,Inputs!$F$14-Inputs!$G$14),Inputs!$F$14-Inputs!$G$14))*$CK182*Availability)</f>
        <v xml:space="preserve"> </v>
      </c>
      <c r="BN182" s="221" t="str">
        <f t="shared" si="397"/>
        <v xml:space="preserve"> </v>
      </c>
      <c r="BO182" s="221" t="str">
        <f t="shared" si="398"/>
        <v xml:space="preserve"> </v>
      </c>
      <c r="BP182" s="221" t="str">
        <f t="shared" si="399"/>
        <v xml:space="preserve"> </v>
      </c>
      <c r="BQ182" s="221" t="str">
        <f t="shared" si="400"/>
        <v xml:space="preserve"> </v>
      </c>
      <c r="BR182" s="221" t="str">
        <f t="shared" si="401"/>
        <v xml:space="preserve"> </v>
      </c>
      <c r="BS182" s="221" t="str">
        <f t="shared" si="402"/>
        <v xml:space="preserve"> </v>
      </c>
      <c r="BT182" s="221" t="str">
        <f t="shared" si="403"/>
        <v xml:space="preserve"> </v>
      </c>
      <c r="BU182" s="221" t="str">
        <f t="shared" si="404"/>
        <v xml:space="preserve"> </v>
      </c>
      <c r="BV182" s="221" t="str">
        <f t="shared" si="405"/>
        <v xml:space="preserve"> </v>
      </c>
      <c r="BW182" s="221" t="str">
        <f t="shared" si="406"/>
        <v xml:space="preserve"> </v>
      </c>
      <c r="BX182" s="421" t="str">
        <f t="shared" si="407"/>
        <v xml:space="preserve"> </v>
      </c>
      <c r="BY182" s="417" t="str">
        <f t="shared" si="408"/>
        <v xml:space="preserve"> </v>
      </c>
      <c r="BZ182" s="417" t="str">
        <f t="shared" si="409"/>
        <v xml:space="preserve"> </v>
      </c>
      <c r="CA182" s="422" t="str">
        <f t="shared" si="410"/>
        <v xml:space="preserve"> </v>
      </c>
      <c r="CB182" s="347" t="str">
        <f t="shared" si="354"/>
        <v xml:space="preserve"> </v>
      </c>
      <c r="CC182" s="347" t="str">
        <f t="shared" si="411"/>
        <v xml:space="preserve"> </v>
      </c>
      <c r="CD182" s="348" t="str">
        <f t="shared" si="355"/>
        <v xml:space="preserve"> </v>
      </c>
      <c r="CE182" s="347" t="str">
        <f t="shared" si="356"/>
        <v xml:space="preserve"> </v>
      </c>
      <c r="CF182" s="347" t="str">
        <f t="shared" si="357"/>
        <v xml:space="preserve"> </v>
      </c>
      <c r="CG182" s="348" t="str">
        <f t="shared" si="358"/>
        <v xml:space="preserve"> </v>
      </c>
      <c r="CH182" s="347" t="str">
        <f t="shared" si="412"/>
        <v xml:space="preserve"> </v>
      </c>
      <c r="CI182" s="349" t="str">
        <f>IF($A182="N/A"," ",F182+G182+(D182*('Pricing Inputs'!T215)))</f>
        <v xml:space="preserve"> </v>
      </c>
      <c r="CJ182" s="347" t="str">
        <f>IF($A182="N/A"," ",IF(PV=1,0,'Pricing Inputs'!U215))</f>
        <v xml:space="preserve"> </v>
      </c>
      <c r="CK182" s="350" t="str">
        <f t="shared" si="359"/>
        <v xml:space="preserve"> </v>
      </c>
      <c r="CL182" s="365" t="str">
        <f t="shared" si="360"/>
        <v xml:space="preserve"> </v>
      </c>
      <c r="CM182" s="380" t="str">
        <f t="shared" si="413"/>
        <v xml:space="preserve"> </v>
      </c>
      <c r="CN182" s="378" t="str">
        <f t="shared" si="361"/>
        <v xml:space="preserve"> </v>
      </c>
      <c r="CO182" s="378" t="str">
        <f t="shared" si="362"/>
        <v xml:space="preserve"> </v>
      </c>
      <c r="CP182" s="378" t="str">
        <f t="shared" si="363"/>
        <v xml:space="preserve"> </v>
      </c>
      <c r="CQ182" s="378" t="str">
        <f t="shared" si="364"/>
        <v xml:space="preserve"> </v>
      </c>
      <c r="CR182" s="378" t="str">
        <f t="shared" si="365"/>
        <v xml:space="preserve"> </v>
      </c>
      <c r="CS182" s="378" t="str">
        <f t="shared" si="366"/>
        <v xml:space="preserve"> </v>
      </c>
      <c r="CT182" s="378" t="str">
        <f t="shared" si="367"/>
        <v xml:space="preserve"> </v>
      </c>
      <c r="CU182" s="378" t="str">
        <f t="shared" si="368"/>
        <v xml:space="preserve"> </v>
      </c>
      <c r="CV182" s="378" t="str">
        <f t="shared" si="369"/>
        <v xml:space="preserve"> </v>
      </c>
      <c r="CW182" s="254" t="str">
        <f t="shared" si="370"/>
        <v xml:space="preserve"> </v>
      </c>
      <c r="CX182" s="254" t="str">
        <f t="shared" si="371"/>
        <v xml:space="preserve"> </v>
      </c>
      <c r="CY182" s="254" t="str">
        <f t="shared" si="372"/>
        <v xml:space="preserve"> </v>
      </c>
      <c r="CZ182" s="254" t="str">
        <f t="shared" si="373"/>
        <v xml:space="preserve"> </v>
      </c>
      <c r="DA182" s="254" t="str">
        <f t="shared" si="374"/>
        <v xml:space="preserve"> </v>
      </c>
      <c r="DB182" s="254" t="str">
        <f t="shared" si="375"/>
        <v xml:space="preserve"> </v>
      </c>
      <c r="DC182" s="254" t="str">
        <f t="shared" si="376"/>
        <v xml:space="preserve"> </v>
      </c>
      <c r="DD182" s="254" t="str">
        <f t="shared" si="377"/>
        <v xml:space="preserve"> </v>
      </c>
      <c r="DE182" s="254" t="str">
        <f t="shared" si="378"/>
        <v xml:space="preserve"> </v>
      </c>
      <c r="DF182" s="374" t="str">
        <f>IF($A182="N/A"," ",IF(CC=2,(IF(MONTH(A182)&gt;=4,IF(MONTH(A182)&lt;=10,Inputs!$G$13,Inputs!$G$14),Inputs!$G$14))*$CK182,0))</f>
        <v xml:space="preserve"> </v>
      </c>
      <c r="DG182" s="373" t="str">
        <f t="shared" si="379"/>
        <v xml:space="preserve"> </v>
      </c>
      <c r="DH182" s="373" t="str">
        <f t="shared" si="380"/>
        <v xml:space="preserve"> </v>
      </c>
      <c r="DI182" s="373" t="str">
        <f t="shared" si="381"/>
        <v xml:space="preserve"> </v>
      </c>
      <c r="DJ182" s="373" t="str">
        <f t="shared" si="382"/>
        <v xml:space="preserve"> </v>
      </c>
      <c r="DK182" s="373" t="str">
        <f t="shared" si="383"/>
        <v xml:space="preserve"> </v>
      </c>
      <c r="DL182" s="373" t="str">
        <f t="shared" si="384"/>
        <v xml:space="preserve"> </v>
      </c>
      <c r="DM182" s="373" t="str">
        <f t="shared" si="385"/>
        <v xml:space="preserve"> </v>
      </c>
      <c r="DN182" s="373" t="str">
        <f t="shared" si="386"/>
        <v xml:space="preserve"> </v>
      </c>
      <c r="DO182" s="373" t="str">
        <f t="shared" si="387"/>
        <v xml:space="preserve"> </v>
      </c>
      <c r="DP182" s="375" t="str">
        <f t="shared" si="388"/>
        <v xml:space="preserve"> </v>
      </c>
      <c r="DQ182" t="str">
        <f t="shared" si="414"/>
        <v xml:space="preserve"> </v>
      </c>
      <c r="HD182" t="str">
        <f t="shared" si="415"/>
        <v xml:space="preserve"> </v>
      </c>
      <c r="HE182" t="str">
        <f t="shared" si="416"/>
        <v xml:space="preserve"> </v>
      </c>
      <c r="HF182" t="str">
        <f t="shared" si="417"/>
        <v xml:space="preserve"> </v>
      </c>
    </row>
    <row r="183" spans="1:214">
      <c r="A183" s="415" t="str">
        <f>IF(A182="N/A","N/A",IF(EDATE(A182,1)&gt;Inputs!$K$3,"N/A",EDATE(A182,1)))</f>
        <v>N/A</v>
      </c>
      <c r="B183" s="410" t="str">
        <f t="shared" si="389"/>
        <v xml:space="preserve"> </v>
      </c>
      <c r="C183" s="411" t="str">
        <f t="shared" si="390"/>
        <v xml:space="preserve"> </v>
      </c>
      <c r="D183" s="412" t="str">
        <f t="shared" si="391"/>
        <v xml:space="preserve"> </v>
      </c>
      <c r="E183" s="413" t="str">
        <f>IF($A183="N/A"," ",(C183-'Pricing Inputs'!T216)*D183)</f>
        <v xml:space="preserve"> </v>
      </c>
      <c r="F183" s="414" t="str">
        <f t="shared" si="440"/>
        <v xml:space="preserve"> </v>
      </c>
      <c r="G183" s="414" t="str">
        <f t="shared" si="392"/>
        <v xml:space="preserve"> </v>
      </c>
      <c r="H183" s="416" t="str">
        <f t="shared" si="393"/>
        <v xml:space="preserve"> </v>
      </c>
      <c r="I183" s="213" t="str">
        <f t="shared" si="342"/>
        <v xml:space="preserve"> </v>
      </c>
      <c r="J183" s="213" t="str">
        <f t="shared" si="343"/>
        <v xml:space="preserve"> </v>
      </c>
      <c r="K183" s="213" t="str">
        <f t="shared" si="344"/>
        <v xml:space="preserve"> </v>
      </c>
      <c r="L183" s="213" t="str">
        <f t="shared" si="345"/>
        <v xml:space="preserve"> </v>
      </c>
      <c r="M183" s="213" t="str">
        <f t="shared" si="346"/>
        <v xml:space="preserve"> </v>
      </c>
      <c r="N183" s="213" t="str">
        <f t="shared" si="347"/>
        <v xml:space="preserve"> </v>
      </c>
      <c r="O183" s="213" t="str">
        <f t="shared" si="348"/>
        <v xml:space="preserve"> </v>
      </c>
      <c r="P183" s="213" t="str">
        <f t="shared" si="349"/>
        <v xml:space="preserve"> </v>
      </c>
      <c r="Q183" s="213" t="str">
        <f t="shared" si="350"/>
        <v xml:space="preserve"> </v>
      </c>
      <c r="R183" s="405" t="str">
        <f>IF($A183="N/A"," ",IF(Pricetype=2,MAX(I183-$H183,0),IF(Pricetype=1,(_xll.xSPRDOPT(I183,$E183,$CI183,0,($CD183+IF(Smile=TRUE,VLOOKUP(MAX(-5,$H183-I183),Volsmile,2),0)),$CG183,$CH183,($A183-DateToday)+15,1,0)),I183-$H183)))</f>
        <v xml:space="preserve"> </v>
      </c>
      <c r="S183" s="405" t="str">
        <f>IF($A183="N/A"," ",IF(Pricetype=2,MAX(J183-$H183,0),IF(Pricetype=1,(_xll.xSPRDOPT(J183,$E183,$CI183,0,($CD183+IF(Smile=TRUE,VLOOKUP(MAX(-5,$H183-J183),Volsmile,2),0)),$CG183,$CH183,($A183-DateToday)+15,1,0)),J183-$H183)))</f>
        <v xml:space="preserve"> </v>
      </c>
      <c r="T183" s="406" t="str">
        <f t="shared" si="351"/>
        <v xml:space="preserve"> </v>
      </c>
      <c r="U183" s="405" t="str">
        <f>IF($A183="N/A"," ",IF(Pricetype=2,MAX(L183-$H183,0),IF(L183&lt;&gt;0,IF(Pricetype=1,(_xll.xSPRDOPT(L183,$E183,$CI183,0,($CD183+IF(Smile=TRUE,VLOOKUP(MAX(-5,$H183-L183),Volsmile,2),0)),$CG183,$CH183,($A183-DateToday)+15,1,0)),L183-$H183),0)))</f>
        <v xml:space="preserve"> </v>
      </c>
      <c r="V183" s="405" t="str">
        <f>IF($A183="N/A"," ",IF(Pricetype=2,MAX(M183-$H183,0),IF(M183&lt;&gt;0,IF(Pricetype=1,(_xll.xSPRDOPT(M183,$E183,$CI183,0,($CD183+IF(Smile=TRUE,VLOOKUP(MAX(-5,$H183-M183),Volsmile,2),0)),$CG183,$CH183,($A183-DateToday)+15,1,0)),M183-$H183),0)))</f>
        <v xml:space="preserve"> </v>
      </c>
      <c r="W183" s="406" t="str">
        <f t="shared" si="352"/>
        <v xml:space="preserve"> </v>
      </c>
      <c r="X183" s="405" t="str">
        <f>IF($A183="N/A"," ",IF(Pricetype=2,MAX(O183-$H183,0),IF(O183&lt;&gt;0,IF(Pricetype=1,(_xll.xSPRDOPT(O183,$E183,$CI183,0,($CD183+IF(Smile=TRUE,VLOOKUP(MAX(-5,$H183-O183),Volsmile,2),0)),$CG183,$CH183,($A183-DateToday)+15,1,0)),O183-$H183),0)))</f>
        <v xml:space="preserve"> </v>
      </c>
      <c r="Y183" s="405" t="str">
        <f>IF($A183="N/A"," ",IF(Pricetype=2,MAX(P183-$H183,0),IF(P183&lt;&gt;0,IF(Pricetype=1,(_xll.xSPRDOPT(P183,$E183,$CI183,0,($CD183+IF(Smile=TRUE,VLOOKUP(MAX(-5,$H183-P183),Volsmile,2),0)),$CG183,$CH183,($A183-DateToday)+15,1,0)),P183-$H183),0)))</f>
        <v xml:space="preserve"> </v>
      </c>
      <c r="Z183" s="406" t="str">
        <f t="shared" si="353"/>
        <v xml:space="preserve"> </v>
      </c>
      <c r="AA183" s="254" t="str">
        <f>IF($A183="N/A"," ",IF(VLOOKUP(MONTH(A183),ManualTable,2)=1,(IF(0&lt;&gt;R183,IF(Pricetype=1,(_xll.xSPRDOPT(I183,$E183,$CI183,0,($CD183+IF(Smile=TRUE,VLOOKUP(MAX(-5,$H183-I183),Volsmile,2),0)),$CG183,$CH183,($A183-DateToday)+15,1,1))*(8*$HD183),8*$HD183),0)),0))</f>
        <v xml:space="preserve"> </v>
      </c>
      <c r="AB183" s="254" t="str">
        <f>IF($A183="N/A"," ",IF(VLOOKUP(MONTH(A183),ManualTable,3)=1,(IF(S183&lt;&gt;0,IF(Pricetype=1,(_xll.xSPRDOPT(J183,$E183,$CI183,0,($CD183+IF(Smile=TRUE,VLOOKUP(MAX(-5,$H183-J183),Volsmile,2),0)),$CG183,$CH183,($A183-DateToday)+15,1,1))*(8*$HD183),8*$HD183),0)),0))</f>
        <v xml:space="preserve"> </v>
      </c>
      <c r="AC183" s="254" t="str">
        <f t="shared" si="394"/>
        <v xml:space="preserve"> </v>
      </c>
      <c r="AD183" s="254" t="str">
        <f>IF($A183="N/A"," ",IF(VLOOKUP(MONTH(A183),ManualTable,5)=1,(IF(U183&lt;&gt;0,IF(Pricetype=1,(_xll.xSPRDOPT(L183,$E183,$CI183,0,($CD183+IF(Smile=TRUE,VLOOKUP(MAX(-5,$H183-L183),Volsmile,2),0)),$CG183,$CH183,($A183-DateToday)+15,1,1))*(8*$HE183),8*$HE183),0)),0))</f>
        <v xml:space="preserve"> </v>
      </c>
      <c r="AE183" s="254" t="str">
        <f>IF($A183="N/A"," ",IF(VLOOKUP(MONTH(A183),ManualTable,6)=1,(IF(V183&lt;&gt;0,IF(Pricetype=1,(_xll.xSPRDOPT(M183,$E183,$CI183,0,($CD183+IF(Smile=TRUE,VLOOKUP(MAX(-5,$H183-M183),Volsmile,2),0)),$CG183,$CH183,($A183-DateToday)+15,1,1))*(8*$HE183),8*$HE183),0)),0))</f>
        <v xml:space="preserve"> </v>
      </c>
      <c r="AF183" s="254" t="str">
        <f t="shared" si="395"/>
        <v xml:space="preserve"> </v>
      </c>
      <c r="AG183" s="254" t="str">
        <f>IF($A183="N/A"," ",IF(VLOOKUP(MONTH(A183),ManualTable,8)=1,(IF(X183&lt;&gt;0,IF(Pricetype=1,(_xll.xSPRDOPT(O183,$E183,$CI183,0,($CD183+IF(Smile=TRUE,VLOOKUP(MAX(-5,$H183-O183),Volsmile,2),0)),$CG183,$CH183,($A183-DateToday)+15,1,1))*(8*$HF183),8*$HF183),0)),0))</f>
        <v xml:space="preserve"> </v>
      </c>
      <c r="AH183" s="254" t="str">
        <f>IF($A183="N/A"," ",IF(VLOOKUP(MONTH(A183),ManualTable,9)=1,(IF(Y183&lt;&gt;0,IF(Pricetype=1,(_xll.xSPRDOPT(P183,$E183,$CI183,0,($CD183+IF(Smile=TRUE,VLOOKUP(MAX(-5,$H183-P183),Volsmile,2),0)),$CG183,$CH183,($A183-DateToday)+15,1,1))*(8*$HF183),8*$HF183),0)),0))</f>
        <v xml:space="preserve"> </v>
      </c>
      <c r="AI183" s="254" t="str">
        <f t="shared" si="396"/>
        <v xml:space="preserve"> </v>
      </c>
      <c r="AJ183" s="230" t="str">
        <f t="shared" si="479"/>
        <v xml:space="preserve"> </v>
      </c>
      <c r="AK183" s="231" t="str">
        <f t="shared" si="480"/>
        <v xml:space="preserve"> </v>
      </c>
      <c r="AL183" s="231" t="str">
        <f t="shared" si="480"/>
        <v xml:space="preserve"> </v>
      </c>
      <c r="AM183" s="231" t="str">
        <f t="shared" si="481"/>
        <v xml:space="preserve"> </v>
      </c>
      <c r="AN183" s="231" t="str">
        <f t="shared" si="482"/>
        <v xml:space="preserve"> </v>
      </c>
      <c r="AO183" s="231" t="str">
        <f t="shared" si="482"/>
        <v xml:space="preserve"> </v>
      </c>
      <c r="AP183" s="231" t="str">
        <f t="shared" si="483"/>
        <v xml:space="preserve"> </v>
      </c>
      <c r="AQ183" s="231" t="str">
        <f t="shared" si="484"/>
        <v xml:space="preserve"> </v>
      </c>
      <c r="AR183" s="232" t="str">
        <f t="shared" si="485"/>
        <v xml:space="preserve"> </v>
      </c>
      <c r="AS183" s="264" t="str">
        <f t="shared" si="433"/>
        <v xml:space="preserve"> </v>
      </c>
      <c r="AT183" s="265" t="str">
        <f t="shared" si="434"/>
        <v xml:space="preserve"> </v>
      </c>
      <c r="AU183" s="265" t="str">
        <f t="shared" si="434"/>
        <v xml:space="preserve"> </v>
      </c>
      <c r="AV183" s="265" t="str">
        <f t="shared" si="435"/>
        <v xml:space="preserve"> </v>
      </c>
      <c r="AW183" s="265" t="str">
        <f t="shared" si="436"/>
        <v xml:space="preserve"> </v>
      </c>
      <c r="AX183" s="265" t="str">
        <f t="shared" si="436"/>
        <v xml:space="preserve"> </v>
      </c>
      <c r="AY183" s="265" t="str">
        <f t="shared" si="437"/>
        <v xml:space="preserve"> </v>
      </c>
      <c r="AZ183" s="265" t="str">
        <f t="shared" si="438"/>
        <v xml:space="preserve"> </v>
      </c>
      <c r="BA183" s="265" t="str">
        <f t="shared" si="439"/>
        <v xml:space="preserve"> </v>
      </c>
      <c r="BB183" s="232">
        <f>IF(($AZ$2-BB182)&gt;=0,$AZ$2-BB182,0)</f>
        <v>980</v>
      </c>
      <c r="BC183" s="270" t="str">
        <f t="shared" si="472"/>
        <v xml:space="preserve"> </v>
      </c>
      <c r="BD183" s="271" t="str">
        <f t="shared" si="473"/>
        <v xml:space="preserve"> </v>
      </c>
      <c r="BE183" s="269" t="str">
        <f t="shared" si="473"/>
        <v xml:space="preserve"> </v>
      </c>
      <c r="BF183" s="271" t="str">
        <f t="shared" si="474"/>
        <v xml:space="preserve"> </v>
      </c>
      <c r="BG183" s="271" t="str">
        <f t="shared" si="475"/>
        <v xml:space="preserve"> </v>
      </c>
      <c r="BH183" s="269" t="str">
        <f t="shared" si="475"/>
        <v xml:space="preserve"> </v>
      </c>
      <c r="BI183" s="271" t="str">
        <f t="shared" si="476"/>
        <v xml:space="preserve"> </v>
      </c>
      <c r="BJ183" s="271" t="str">
        <f t="shared" si="477"/>
        <v xml:space="preserve"> </v>
      </c>
      <c r="BK183" s="271" t="str">
        <f t="shared" si="478"/>
        <v xml:space="preserve"> </v>
      </c>
      <c r="BL183" s="235">
        <f>BB182+BL182</f>
        <v>0</v>
      </c>
      <c r="BM183" s="220" t="str">
        <f>IF($A183="N/A"," ",(IF(MONTH(A183)&gt;=4,IF(MONTH(A183)&lt;=10,Inputs!$F$13-Inputs!$G$13,Inputs!$F$14-Inputs!$G$14),Inputs!$F$14-Inputs!$G$14))*$CK183*Availability)</f>
        <v xml:space="preserve"> </v>
      </c>
      <c r="BN183" s="221" t="str">
        <f t="shared" si="397"/>
        <v xml:space="preserve"> </v>
      </c>
      <c r="BO183" s="221" t="str">
        <f t="shared" si="398"/>
        <v xml:space="preserve"> </v>
      </c>
      <c r="BP183" s="221" t="str">
        <f t="shared" si="399"/>
        <v xml:space="preserve"> </v>
      </c>
      <c r="BQ183" s="221" t="str">
        <f t="shared" si="400"/>
        <v xml:space="preserve"> </v>
      </c>
      <c r="BR183" s="221" t="str">
        <f t="shared" si="401"/>
        <v xml:space="preserve"> </v>
      </c>
      <c r="BS183" s="221" t="str">
        <f t="shared" si="402"/>
        <v xml:space="preserve"> </v>
      </c>
      <c r="BT183" s="221" t="str">
        <f t="shared" si="403"/>
        <v xml:space="preserve"> </v>
      </c>
      <c r="BU183" s="221" t="str">
        <f t="shared" si="404"/>
        <v xml:space="preserve"> </v>
      </c>
      <c r="BV183" s="221" t="str">
        <f t="shared" si="405"/>
        <v xml:space="preserve"> </v>
      </c>
      <c r="BW183" s="221" t="str">
        <f t="shared" si="406"/>
        <v xml:space="preserve"> </v>
      </c>
      <c r="BX183" s="421" t="str">
        <f t="shared" si="407"/>
        <v xml:space="preserve"> </v>
      </c>
      <c r="BY183" s="417" t="str">
        <f t="shared" si="408"/>
        <v xml:space="preserve"> </v>
      </c>
      <c r="BZ183" s="417" t="str">
        <f t="shared" si="409"/>
        <v xml:space="preserve"> </v>
      </c>
      <c r="CA183" s="422" t="str">
        <f t="shared" si="410"/>
        <v xml:space="preserve"> </v>
      </c>
      <c r="CB183" s="347" t="str">
        <f t="shared" si="354"/>
        <v xml:space="preserve"> </v>
      </c>
      <c r="CC183" s="347" t="str">
        <f t="shared" si="411"/>
        <v xml:space="preserve"> </v>
      </c>
      <c r="CD183" s="348" t="str">
        <f t="shared" si="355"/>
        <v xml:space="preserve"> </v>
      </c>
      <c r="CE183" s="347" t="str">
        <f t="shared" si="356"/>
        <v xml:space="preserve"> </v>
      </c>
      <c r="CF183" s="347" t="str">
        <f t="shared" si="357"/>
        <v xml:space="preserve"> </v>
      </c>
      <c r="CG183" s="348" t="str">
        <f t="shared" si="358"/>
        <v xml:space="preserve"> </v>
      </c>
      <c r="CH183" s="347" t="str">
        <f t="shared" si="412"/>
        <v xml:space="preserve"> </v>
      </c>
      <c r="CI183" s="349" t="str">
        <f>IF($A183="N/A"," ",F183+G183+(D183*('Pricing Inputs'!T216)))</f>
        <v xml:space="preserve"> </v>
      </c>
      <c r="CJ183" s="347" t="str">
        <f>IF($A183="N/A"," ",IF(PV=1,0,'Pricing Inputs'!U216))</f>
        <v xml:space="preserve"> </v>
      </c>
      <c r="CK183" s="350" t="str">
        <f t="shared" si="359"/>
        <v xml:space="preserve"> </v>
      </c>
      <c r="CL183" s="365" t="str">
        <f t="shared" si="360"/>
        <v xml:space="preserve"> </v>
      </c>
      <c r="CM183" s="380" t="str">
        <f t="shared" si="413"/>
        <v xml:space="preserve"> </v>
      </c>
      <c r="CN183" s="378" t="str">
        <f t="shared" si="361"/>
        <v xml:space="preserve"> </v>
      </c>
      <c r="CO183" s="378" t="str">
        <f t="shared" si="362"/>
        <v xml:space="preserve"> </v>
      </c>
      <c r="CP183" s="378" t="str">
        <f t="shared" si="363"/>
        <v xml:space="preserve"> </v>
      </c>
      <c r="CQ183" s="378" t="str">
        <f t="shared" si="364"/>
        <v xml:space="preserve"> </v>
      </c>
      <c r="CR183" s="378" t="str">
        <f t="shared" si="365"/>
        <v xml:space="preserve"> </v>
      </c>
      <c r="CS183" s="378" t="str">
        <f t="shared" si="366"/>
        <v xml:space="preserve"> </v>
      </c>
      <c r="CT183" s="378" t="str">
        <f t="shared" si="367"/>
        <v xml:space="preserve"> </v>
      </c>
      <c r="CU183" s="378" t="str">
        <f t="shared" si="368"/>
        <v xml:space="preserve"> </v>
      </c>
      <c r="CV183" s="378" t="str">
        <f t="shared" si="369"/>
        <v xml:space="preserve"> </v>
      </c>
      <c r="CW183" s="254" t="str">
        <f t="shared" si="370"/>
        <v xml:space="preserve"> </v>
      </c>
      <c r="CX183" s="254" t="str">
        <f t="shared" si="371"/>
        <v xml:space="preserve"> </v>
      </c>
      <c r="CY183" s="254" t="str">
        <f t="shared" si="372"/>
        <v xml:space="preserve"> </v>
      </c>
      <c r="CZ183" s="254" t="str">
        <f t="shared" si="373"/>
        <v xml:space="preserve"> </v>
      </c>
      <c r="DA183" s="254" t="str">
        <f t="shared" si="374"/>
        <v xml:space="preserve"> </v>
      </c>
      <c r="DB183" s="254" t="str">
        <f t="shared" si="375"/>
        <v xml:space="preserve"> </v>
      </c>
      <c r="DC183" s="254" t="str">
        <f t="shared" si="376"/>
        <v xml:space="preserve"> </v>
      </c>
      <c r="DD183" s="254" t="str">
        <f t="shared" si="377"/>
        <v xml:space="preserve"> </v>
      </c>
      <c r="DE183" s="254" t="str">
        <f t="shared" si="378"/>
        <v xml:space="preserve"> </v>
      </c>
      <c r="DF183" s="374" t="str">
        <f>IF($A183="N/A"," ",IF(CC=2,(IF(MONTH(A183)&gt;=4,IF(MONTH(A183)&lt;=10,Inputs!$G$13,Inputs!$G$14),Inputs!$G$14))*$CK183,0))</f>
        <v xml:space="preserve"> </v>
      </c>
      <c r="DG183" s="373" t="str">
        <f t="shared" si="379"/>
        <v xml:space="preserve"> </v>
      </c>
      <c r="DH183" s="373" t="str">
        <f t="shared" si="380"/>
        <v xml:space="preserve"> </v>
      </c>
      <c r="DI183" s="373" t="str">
        <f t="shared" si="381"/>
        <v xml:space="preserve"> </v>
      </c>
      <c r="DJ183" s="373" t="str">
        <f t="shared" si="382"/>
        <v xml:space="preserve"> </v>
      </c>
      <c r="DK183" s="373" t="str">
        <f t="shared" si="383"/>
        <v xml:space="preserve"> </v>
      </c>
      <c r="DL183" s="373" t="str">
        <f t="shared" si="384"/>
        <v xml:space="preserve"> </v>
      </c>
      <c r="DM183" s="373" t="str">
        <f t="shared" si="385"/>
        <v xml:space="preserve"> </v>
      </c>
      <c r="DN183" s="373" t="str">
        <f t="shared" si="386"/>
        <v xml:space="preserve"> </v>
      </c>
      <c r="DO183" s="373" t="str">
        <f t="shared" si="387"/>
        <v xml:space="preserve"> </v>
      </c>
      <c r="DP183" s="375" t="str">
        <f t="shared" si="388"/>
        <v xml:space="preserve"> </v>
      </c>
      <c r="DQ183" t="str">
        <f t="shared" si="414"/>
        <v xml:space="preserve"> </v>
      </c>
      <c r="HD183" t="str">
        <f t="shared" si="415"/>
        <v xml:space="preserve"> </v>
      </c>
      <c r="HE183" t="str">
        <f t="shared" si="416"/>
        <v xml:space="preserve"> </v>
      </c>
      <c r="HF183" t="str">
        <f t="shared" si="417"/>
        <v xml:space="preserve"> </v>
      </c>
    </row>
    <row r="184" spans="1:214">
      <c r="A184" s="415" t="str">
        <f>IF(A183="N/A","N/A",IF(EDATE(A183,1)&gt;Inputs!$K$3,"N/A",EDATE(A183,1)))</f>
        <v>N/A</v>
      </c>
      <c r="B184" s="410" t="str">
        <f t="shared" si="389"/>
        <v xml:space="preserve"> </v>
      </c>
      <c r="C184" s="411" t="str">
        <f t="shared" si="390"/>
        <v xml:space="preserve"> </v>
      </c>
      <c r="D184" s="412" t="str">
        <f t="shared" si="391"/>
        <v xml:space="preserve"> </v>
      </c>
      <c r="E184" s="413" t="str">
        <f>IF($A184="N/A"," ",(C184-'Pricing Inputs'!T217)*D184)</f>
        <v xml:space="preserve"> </v>
      </c>
      <c r="F184" s="414" t="str">
        <f t="shared" si="440"/>
        <v xml:space="preserve"> </v>
      </c>
      <c r="G184" s="414" t="str">
        <f t="shared" si="392"/>
        <v xml:space="preserve"> </v>
      </c>
      <c r="H184" s="416" t="str">
        <f t="shared" si="393"/>
        <v xml:space="preserve"> </v>
      </c>
      <c r="I184" s="213" t="str">
        <f t="shared" si="342"/>
        <v xml:space="preserve"> </v>
      </c>
      <c r="J184" s="213" t="str">
        <f t="shared" si="343"/>
        <v xml:space="preserve"> </v>
      </c>
      <c r="K184" s="213" t="str">
        <f t="shared" si="344"/>
        <v xml:space="preserve"> </v>
      </c>
      <c r="L184" s="213" t="str">
        <f t="shared" si="345"/>
        <v xml:space="preserve"> </v>
      </c>
      <c r="M184" s="213" t="str">
        <f t="shared" si="346"/>
        <v xml:space="preserve"> </v>
      </c>
      <c r="N184" s="213" t="str">
        <f t="shared" si="347"/>
        <v xml:space="preserve"> </v>
      </c>
      <c r="O184" s="213" t="str">
        <f t="shared" si="348"/>
        <v xml:space="preserve"> </v>
      </c>
      <c r="P184" s="213" t="str">
        <f t="shared" si="349"/>
        <v xml:space="preserve"> </v>
      </c>
      <c r="Q184" s="213" t="str">
        <f t="shared" si="350"/>
        <v xml:space="preserve"> </v>
      </c>
      <c r="R184" s="405" t="str">
        <f>IF($A184="N/A"," ",IF(Pricetype=2,MAX(I184-$H184,0),IF(Pricetype=1,(_xll.xSPRDOPT(I184,$E184,$CI184,0,($CD184+IF(Smile=TRUE,VLOOKUP(MAX(-5,$H184-I184),Volsmile,2),0)),$CG184,$CH184,($A184-DateToday)+15,1,0)),I184-$H184)))</f>
        <v xml:space="preserve"> </v>
      </c>
      <c r="S184" s="405" t="str">
        <f>IF($A184="N/A"," ",IF(Pricetype=2,MAX(J184-$H184,0),IF(Pricetype=1,(_xll.xSPRDOPT(J184,$E184,$CI184,0,($CD184+IF(Smile=TRUE,VLOOKUP(MAX(-5,$H184-J184),Volsmile,2),0)),$CG184,$CH184,($A184-DateToday)+15,1,0)),J184-$H184)))</f>
        <v xml:space="preserve"> </v>
      </c>
      <c r="T184" s="406" t="str">
        <f t="shared" si="351"/>
        <v xml:space="preserve"> </v>
      </c>
      <c r="U184" s="405" t="str">
        <f>IF($A184="N/A"," ",IF(Pricetype=2,MAX(L184-$H184,0),IF(L184&lt;&gt;0,IF(Pricetype=1,(_xll.xSPRDOPT(L184,$E184,$CI184,0,($CD184+IF(Smile=TRUE,VLOOKUP(MAX(-5,$H184-L184),Volsmile,2),0)),$CG184,$CH184,($A184-DateToday)+15,1,0)),L184-$H184),0)))</f>
        <v xml:space="preserve"> </v>
      </c>
      <c r="V184" s="405" t="str">
        <f>IF($A184="N/A"," ",IF(Pricetype=2,MAX(M184-$H184,0),IF(M184&lt;&gt;0,IF(Pricetype=1,(_xll.xSPRDOPT(M184,$E184,$CI184,0,($CD184+IF(Smile=TRUE,VLOOKUP(MAX(-5,$H184-M184),Volsmile,2),0)),$CG184,$CH184,($A184-DateToday)+15,1,0)),M184-$H184),0)))</f>
        <v xml:space="preserve"> </v>
      </c>
      <c r="W184" s="406" t="str">
        <f t="shared" si="352"/>
        <v xml:space="preserve"> </v>
      </c>
      <c r="X184" s="405" t="str">
        <f>IF($A184="N/A"," ",IF(Pricetype=2,MAX(O184-$H184,0),IF(O184&lt;&gt;0,IF(Pricetype=1,(_xll.xSPRDOPT(O184,$E184,$CI184,0,($CD184+IF(Smile=TRUE,VLOOKUP(MAX(-5,$H184-O184),Volsmile,2),0)),$CG184,$CH184,($A184-DateToday)+15,1,0)),O184-$H184),0)))</f>
        <v xml:space="preserve"> </v>
      </c>
      <c r="Y184" s="405" t="str">
        <f>IF($A184="N/A"," ",IF(Pricetype=2,MAX(P184-$H184,0),IF(P184&lt;&gt;0,IF(Pricetype=1,(_xll.xSPRDOPT(P184,$E184,$CI184,0,($CD184+IF(Smile=TRUE,VLOOKUP(MAX(-5,$H184-P184),Volsmile,2),0)),$CG184,$CH184,($A184-DateToday)+15,1,0)),P184-$H184),0)))</f>
        <v xml:space="preserve"> </v>
      </c>
      <c r="Z184" s="406" t="str">
        <f t="shared" si="353"/>
        <v xml:space="preserve"> </v>
      </c>
      <c r="AA184" s="254" t="str">
        <f>IF($A184="N/A"," ",IF(VLOOKUP(MONTH(A184),ManualTable,2)=1,(IF(0&lt;&gt;R184,IF(Pricetype=1,(_xll.xSPRDOPT(I184,$E184,$CI184,0,($CD184+IF(Smile=TRUE,VLOOKUP(MAX(-5,$H184-I184),Volsmile,2),0)),$CG184,$CH184,($A184-DateToday)+15,1,1))*(8*$HD184),8*$HD184),0)),0))</f>
        <v xml:space="preserve"> </v>
      </c>
      <c r="AB184" s="254" t="str">
        <f>IF($A184="N/A"," ",IF(VLOOKUP(MONTH(A184),ManualTable,3)=1,(IF(S184&lt;&gt;0,IF(Pricetype=1,(_xll.xSPRDOPT(J184,$E184,$CI184,0,($CD184+IF(Smile=TRUE,VLOOKUP(MAX(-5,$H184-J184),Volsmile,2),0)),$CG184,$CH184,($A184-DateToday)+15,1,1))*(8*$HD184),8*$HD184),0)),0))</f>
        <v xml:space="preserve"> </v>
      </c>
      <c r="AC184" s="254" t="str">
        <f t="shared" si="394"/>
        <v xml:space="preserve"> </v>
      </c>
      <c r="AD184" s="254" t="str">
        <f>IF($A184="N/A"," ",IF(VLOOKUP(MONTH(A184),ManualTable,5)=1,(IF(U184&lt;&gt;0,IF(Pricetype=1,(_xll.xSPRDOPT(L184,$E184,$CI184,0,($CD184+IF(Smile=TRUE,VLOOKUP(MAX(-5,$H184-L184),Volsmile,2),0)),$CG184,$CH184,($A184-DateToday)+15,1,1))*(8*$HE184),8*$HE184),0)),0))</f>
        <v xml:space="preserve"> </v>
      </c>
      <c r="AE184" s="254" t="str">
        <f>IF($A184="N/A"," ",IF(VLOOKUP(MONTH(A184),ManualTable,6)=1,(IF(V184&lt;&gt;0,IF(Pricetype=1,(_xll.xSPRDOPT(M184,$E184,$CI184,0,($CD184+IF(Smile=TRUE,VLOOKUP(MAX(-5,$H184-M184),Volsmile,2),0)),$CG184,$CH184,($A184-DateToday)+15,1,1))*(8*$HE184),8*$HE184),0)),0))</f>
        <v xml:space="preserve"> </v>
      </c>
      <c r="AF184" s="254" t="str">
        <f t="shared" si="395"/>
        <v xml:space="preserve"> </v>
      </c>
      <c r="AG184" s="254" t="str">
        <f>IF($A184="N/A"," ",IF(VLOOKUP(MONTH(A184),ManualTable,8)=1,(IF(X184&lt;&gt;0,IF(Pricetype=1,(_xll.xSPRDOPT(O184,$E184,$CI184,0,($CD184+IF(Smile=TRUE,VLOOKUP(MAX(-5,$H184-O184),Volsmile,2),0)),$CG184,$CH184,($A184-DateToday)+15,1,1))*(8*$HF184),8*$HF184),0)),0))</f>
        <v xml:space="preserve"> </v>
      </c>
      <c r="AH184" s="254" t="str">
        <f>IF($A184="N/A"," ",IF(VLOOKUP(MONTH(A184),ManualTable,9)=1,(IF(Y184&lt;&gt;0,IF(Pricetype=1,(_xll.xSPRDOPT(P184,$E184,$CI184,0,($CD184+IF(Smile=TRUE,VLOOKUP(MAX(-5,$H184-P184),Volsmile,2),0)),$CG184,$CH184,($A184-DateToday)+15,1,1))*(8*$HF184),8*$HF184),0)),0))</f>
        <v xml:space="preserve"> </v>
      </c>
      <c r="AI184" s="254" t="str">
        <f t="shared" si="396"/>
        <v xml:space="preserve"> </v>
      </c>
      <c r="AJ184" s="224" t="str">
        <f t="shared" ref="AJ184:AR184" si="486">IF($A184="N/A"," ",RANK(R184,$R$184:$Z$195))</f>
        <v xml:space="preserve"> </v>
      </c>
      <c r="AK184" s="225" t="str">
        <f t="shared" si="486"/>
        <v xml:space="preserve"> </v>
      </c>
      <c r="AL184" s="225" t="str">
        <f t="shared" si="486"/>
        <v xml:space="preserve"> </v>
      </c>
      <c r="AM184" s="225" t="str">
        <f t="shared" si="486"/>
        <v xml:space="preserve"> </v>
      </c>
      <c r="AN184" s="225" t="str">
        <f t="shared" si="486"/>
        <v xml:space="preserve"> </v>
      </c>
      <c r="AO184" s="225" t="str">
        <f t="shared" si="486"/>
        <v xml:space="preserve"> </v>
      </c>
      <c r="AP184" s="225" t="str">
        <f t="shared" si="486"/>
        <v xml:space="preserve"> </v>
      </c>
      <c r="AQ184" s="225" t="str">
        <f t="shared" si="486"/>
        <v xml:space="preserve"> </v>
      </c>
      <c r="AR184" s="226" t="str">
        <f t="shared" si="486"/>
        <v xml:space="preserve"> </v>
      </c>
      <c r="AS184" s="260" t="str">
        <f t="shared" si="433"/>
        <v xml:space="preserve"> </v>
      </c>
      <c r="AT184" s="261" t="str">
        <f t="shared" si="434"/>
        <v xml:space="preserve"> </v>
      </c>
      <c r="AU184" s="263" t="str">
        <f t="shared" si="434"/>
        <v xml:space="preserve"> </v>
      </c>
      <c r="AV184" s="263" t="str">
        <f t="shared" si="435"/>
        <v xml:space="preserve"> </v>
      </c>
      <c r="AW184" s="263" t="str">
        <f t="shared" si="436"/>
        <v xml:space="preserve"> </v>
      </c>
      <c r="AX184" s="263" t="str">
        <f t="shared" si="436"/>
        <v xml:space="preserve"> </v>
      </c>
      <c r="AY184" s="261" t="str">
        <f t="shared" si="437"/>
        <v xml:space="preserve"> </v>
      </c>
      <c r="AZ184" s="261" t="str">
        <f t="shared" si="438"/>
        <v xml:space="preserve"> </v>
      </c>
      <c r="BA184" s="261" t="str">
        <f t="shared" si="439"/>
        <v xml:space="preserve"> </v>
      </c>
      <c r="BB184" s="226"/>
      <c r="BC184" s="272" t="str">
        <f t="shared" ref="BC184:BC195" si="487">IF($A184="N/A"," ",IF(AND(AJ184=$AR$2+1,AS184=0),MIN($BB$195,AA184),0))</f>
        <v xml:space="preserve"> </v>
      </c>
      <c r="BD184" s="267" t="str">
        <f t="shared" ref="BD184:BE195" si="488">IF($A184="N/A"," ",IF(AND(AK184=$AR$2+1,AT184=0),MIN($BB$195,AB184),0))</f>
        <v xml:space="preserve"> </v>
      </c>
      <c r="BE184" s="267" t="str">
        <f t="shared" si="488"/>
        <v xml:space="preserve"> </v>
      </c>
      <c r="BF184" s="267" t="str">
        <f t="shared" ref="BF184:BF195" si="489">IF($A184="N/A"," ",IF(AND(AM184=$AR$2+1,AV184=0),MIN($BB$195,AD184),0))</f>
        <v xml:space="preserve"> </v>
      </c>
      <c r="BG184" s="267" t="str">
        <f t="shared" ref="BG184:BH195" si="490">IF($A184="N/A"," ",IF(AND(AN184=$AR$2+1,AW184=0),MIN($BB$195,AE184),0))</f>
        <v xml:space="preserve"> </v>
      </c>
      <c r="BH184" s="267" t="str">
        <f t="shared" si="490"/>
        <v xml:space="preserve"> </v>
      </c>
      <c r="BI184" s="267" t="str">
        <f t="shared" ref="BI184:BI195" si="491">IF($A184="N/A"," ",IF(AND(AP184=$AR$2+1,AY184=0),MIN($BB$195,AG184),0))</f>
        <v xml:space="preserve"> </v>
      </c>
      <c r="BJ184" s="267" t="str">
        <f t="shared" ref="BJ184:BJ195" si="492">IF($A184="N/A"," ",IF(AND(AQ184=$AR$2+1,AZ184=0),MIN($BB$195,AH184),0))</f>
        <v xml:space="preserve"> </v>
      </c>
      <c r="BK184" s="267" t="str">
        <f t="shared" ref="BK184:BK195" si="493">IF($A184="N/A"," ",IF(AND(AR184=$AR$2+1,BA184=0),MIN($BB$195,AI184),0))</f>
        <v xml:space="preserve"> </v>
      </c>
      <c r="BL184" s="226"/>
      <c r="BM184" s="220" t="str">
        <f>IF($A184="N/A"," ",(IF(MONTH(A184)&gt;=4,IF(MONTH(A184)&lt;=10,Inputs!$F$13-Inputs!$G$13,Inputs!$F$14-Inputs!$G$14),Inputs!$F$14-Inputs!$G$14))*$CK184*Availability)</f>
        <v xml:space="preserve"> </v>
      </c>
      <c r="BN184" s="221" t="str">
        <f t="shared" si="397"/>
        <v xml:space="preserve"> </v>
      </c>
      <c r="BO184" s="221" t="str">
        <f t="shared" si="398"/>
        <v xml:space="preserve"> </v>
      </c>
      <c r="BP184" s="221" t="str">
        <f t="shared" si="399"/>
        <v xml:space="preserve"> </v>
      </c>
      <c r="BQ184" s="221" t="str">
        <f t="shared" si="400"/>
        <v xml:space="preserve"> </v>
      </c>
      <c r="BR184" s="221" t="str">
        <f t="shared" si="401"/>
        <v xml:space="preserve"> </v>
      </c>
      <c r="BS184" s="221" t="str">
        <f t="shared" si="402"/>
        <v xml:space="preserve"> </v>
      </c>
      <c r="BT184" s="221" t="str">
        <f t="shared" si="403"/>
        <v xml:space="preserve"> </v>
      </c>
      <c r="BU184" s="221" t="str">
        <f t="shared" si="404"/>
        <v xml:space="preserve"> </v>
      </c>
      <c r="BV184" s="221" t="str">
        <f t="shared" si="405"/>
        <v xml:space="preserve"> </v>
      </c>
      <c r="BW184" s="221" t="str">
        <f t="shared" si="406"/>
        <v xml:space="preserve"> </v>
      </c>
      <c r="BX184" s="421" t="str">
        <f t="shared" si="407"/>
        <v xml:space="preserve"> </v>
      </c>
      <c r="BY184" s="417" t="str">
        <f t="shared" si="408"/>
        <v xml:space="preserve"> </v>
      </c>
      <c r="BZ184" s="417" t="str">
        <f t="shared" si="409"/>
        <v xml:space="preserve"> </v>
      </c>
      <c r="CA184" s="422" t="str">
        <f t="shared" si="410"/>
        <v xml:space="preserve"> </v>
      </c>
      <c r="CB184" s="347" t="str">
        <f t="shared" si="354"/>
        <v xml:space="preserve"> </v>
      </c>
      <c r="CC184" s="347" t="str">
        <f t="shared" si="411"/>
        <v xml:space="preserve"> </v>
      </c>
      <c r="CD184" s="348" t="str">
        <f t="shared" si="355"/>
        <v xml:space="preserve"> </v>
      </c>
      <c r="CE184" s="347" t="str">
        <f t="shared" si="356"/>
        <v xml:space="preserve"> </v>
      </c>
      <c r="CF184" s="347" t="str">
        <f t="shared" si="357"/>
        <v xml:space="preserve"> </v>
      </c>
      <c r="CG184" s="348" t="str">
        <f t="shared" si="358"/>
        <v xml:space="preserve"> </v>
      </c>
      <c r="CH184" s="347" t="str">
        <f t="shared" si="412"/>
        <v xml:space="preserve"> </v>
      </c>
      <c r="CI184" s="349" t="str">
        <f>IF($A184="N/A"," ",F184+G184+(D184*('Pricing Inputs'!T217)))</f>
        <v xml:space="preserve"> </v>
      </c>
      <c r="CJ184" s="347" t="str">
        <f>IF($A184="N/A"," ",IF(PV=1,0,'Pricing Inputs'!U217))</f>
        <v xml:space="preserve"> </v>
      </c>
      <c r="CK184" s="350" t="str">
        <f t="shared" si="359"/>
        <v xml:space="preserve"> </v>
      </c>
      <c r="CL184" s="365" t="str">
        <f t="shared" si="360"/>
        <v xml:space="preserve"> </v>
      </c>
      <c r="CM184" s="380" t="str">
        <f t="shared" si="413"/>
        <v xml:space="preserve"> </v>
      </c>
      <c r="CN184" s="378" t="str">
        <f t="shared" si="361"/>
        <v xml:space="preserve"> </v>
      </c>
      <c r="CO184" s="378" t="str">
        <f t="shared" si="362"/>
        <v xml:space="preserve"> </v>
      </c>
      <c r="CP184" s="378" t="str">
        <f t="shared" si="363"/>
        <v xml:space="preserve"> </v>
      </c>
      <c r="CQ184" s="378" t="str">
        <f t="shared" si="364"/>
        <v xml:space="preserve"> </v>
      </c>
      <c r="CR184" s="378" t="str">
        <f t="shared" si="365"/>
        <v xml:space="preserve"> </v>
      </c>
      <c r="CS184" s="378" t="str">
        <f t="shared" si="366"/>
        <v xml:space="preserve"> </v>
      </c>
      <c r="CT184" s="378" t="str">
        <f t="shared" si="367"/>
        <v xml:space="preserve"> </v>
      </c>
      <c r="CU184" s="378" t="str">
        <f t="shared" si="368"/>
        <v xml:space="preserve"> </v>
      </c>
      <c r="CV184" s="378" t="str">
        <f t="shared" si="369"/>
        <v xml:space="preserve"> </v>
      </c>
      <c r="CW184" s="254" t="str">
        <f t="shared" si="370"/>
        <v xml:space="preserve"> </v>
      </c>
      <c r="CX184" s="254" t="str">
        <f t="shared" si="371"/>
        <v xml:space="preserve"> </v>
      </c>
      <c r="CY184" s="254" t="str">
        <f t="shared" si="372"/>
        <v xml:space="preserve"> </v>
      </c>
      <c r="CZ184" s="254" t="str">
        <f t="shared" si="373"/>
        <v xml:space="preserve"> </v>
      </c>
      <c r="DA184" s="254" t="str">
        <f t="shared" si="374"/>
        <v xml:space="preserve"> </v>
      </c>
      <c r="DB184" s="254" t="str">
        <f t="shared" si="375"/>
        <v xml:space="preserve"> </v>
      </c>
      <c r="DC184" s="254" t="str">
        <f t="shared" si="376"/>
        <v xml:space="preserve"> </v>
      </c>
      <c r="DD184" s="254" t="str">
        <f t="shared" si="377"/>
        <v xml:space="preserve"> </v>
      </c>
      <c r="DE184" s="254" t="str">
        <f t="shared" si="378"/>
        <v xml:space="preserve"> </v>
      </c>
      <c r="DF184" s="374" t="str">
        <f>IF($A184="N/A"," ",IF(CC=2,(IF(MONTH(A184)&gt;=4,IF(MONTH(A184)&lt;=10,Inputs!$G$13,Inputs!$G$14),Inputs!$G$14))*$CK184,0))</f>
        <v xml:space="preserve"> </v>
      </c>
      <c r="DG184" s="373" t="str">
        <f t="shared" si="379"/>
        <v xml:space="preserve"> </v>
      </c>
      <c r="DH184" s="373" t="str">
        <f t="shared" si="380"/>
        <v xml:space="preserve"> </v>
      </c>
      <c r="DI184" s="373" t="str">
        <f t="shared" si="381"/>
        <v xml:space="preserve"> </v>
      </c>
      <c r="DJ184" s="373" t="str">
        <f t="shared" si="382"/>
        <v xml:space="preserve"> </v>
      </c>
      <c r="DK184" s="373" t="str">
        <f t="shared" si="383"/>
        <v xml:space="preserve"> </v>
      </c>
      <c r="DL184" s="373" t="str">
        <f t="shared" si="384"/>
        <v xml:space="preserve"> </v>
      </c>
      <c r="DM184" s="373" t="str">
        <f t="shared" si="385"/>
        <v xml:space="preserve"> </v>
      </c>
      <c r="DN184" s="373" t="str">
        <f t="shared" si="386"/>
        <v xml:space="preserve"> </v>
      </c>
      <c r="DO184" s="373" t="str">
        <f t="shared" si="387"/>
        <v xml:space="preserve"> </v>
      </c>
      <c r="DP184" s="375" t="str">
        <f t="shared" si="388"/>
        <v xml:space="preserve"> </v>
      </c>
      <c r="DQ184" t="str">
        <f t="shared" si="414"/>
        <v xml:space="preserve"> </v>
      </c>
      <c r="HD184" t="str">
        <f t="shared" si="415"/>
        <v xml:space="preserve"> </v>
      </c>
      <c r="HE184" t="str">
        <f t="shared" si="416"/>
        <v xml:space="preserve"> </v>
      </c>
      <c r="HF184" t="str">
        <f t="shared" si="417"/>
        <v xml:space="preserve"> </v>
      </c>
    </row>
    <row r="185" spans="1:214">
      <c r="A185" s="415" t="str">
        <f>IF(A184="N/A","N/A",IF(EDATE(A184,1)&gt;Inputs!$K$3,"N/A",EDATE(A184,1)))</f>
        <v>N/A</v>
      </c>
      <c r="B185" s="410" t="str">
        <f t="shared" si="389"/>
        <v xml:space="preserve"> </v>
      </c>
      <c r="C185" s="411" t="str">
        <f t="shared" si="390"/>
        <v xml:space="preserve"> </v>
      </c>
      <c r="D185" s="412" t="str">
        <f t="shared" si="391"/>
        <v xml:space="preserve"> </v>
      </c>
      <c r="E185" s="413" t="str">
        <f>IF($A185="N/A"," ",(C185-'Pricing Inputs'!T218)*D185)</f>
        <v xml:space="preserve"> </v>
      </c>
      <c r="F185" s="414" t="str">
        <f t="shared" si="440"/>
        <v xml:space="preserve"> </v>
      </c>
      <c r="G185" s="414" t="str">
        <f t="shared" si="392"/>
        <v xml:space="preserve"> </v>
      </c>
      <c r="H185" s="416" t="str">
        <f t="shared" si="393"/>
        <v xml:space="preserve"> </v>
      </c>
      <c r="I185" s="213" t="str">
        <f t="shared" si="342"/>
        <v xml:space="preserve"> </v>
      </c>
      <c r="J185" s="213" t="str">
        <f t="shared" si="343"/>
        <v xml:space="preserve"> </v>
      </c>
      <c r="K185" s="213" t="str">
        <f t="shared" si="344"/>
        <v xml:space="preserve"> </v>
      </c>
      <c r="L185" s="213" t="str">
        <f t="shared" si="345"/>
        <v xml:space="preserve"> </v>
      </c>
      <c r="M185" s="213" t="str">
        <f t="shared" si="346"/>
        <v xml:space="preserve"> </v>
      </c>
      <c r="N185" s="213" t="str">
        <f t="shared" si="347"/>
        <v xml:space="preserve"> </v>
      </c>
      <c r="O185" s="213" t="str">
        <f t="shared" si="348"/>
        <v xml:space="preserve"> </v>
      </c>
      <c r="P185" s="213" t="str">
        <f t="shared" si="349"/>
        <v xml:space="preserve"> </v>
      </c>
      <c r="Q185" s="213" t="str">
        <f t="shared" si="350"/>
        <v xml:space="preserve"> </v>
      </c>
      <c r="R185" s="405" t="str">
        <f>IF($A185="N/A"," ",IF(Pricetype=2,MAX(I185-$H185,0),IF(Pricetype=1,(_xll.xSPRDOPT(I185,$E185,$CI185,0,($CD185+IF(Smile=TRUE,VLOOKUP(MAX(-5,$H185-I185),Volsmile,2),0)),$CG185,$CH185,($A185-DateToday)+15,1,0)),I185-$H185)))</f>
        <v xml:space="preserve"> </v>
      </c>
      <c r="S185" s="405" t="str">
        <f>IF($A185="N/A"," ",IF(Pricetype=2,MAX(J185-$H185,0),IF(Pricetype=1,(_xll.xSPRDOPT(J185,$E185,$CI185,0,($CD185+IF(Smile=TRUE,VLOOKUP(MAX(-5,$H185-J185),Volsmile,2),0)),$CG185,$CH185,($A185-DateToday)+15,1,0)),J185-$H185)))</f>
        <v xml:space="preserve"> </v>
      </c>
      <c r="T185" s="406" t="str">
        <f t="shared" si="351"/>
        <v xml:space="preserve"> </v>
      </c>
      <c r="U185" s="405" t="str">
        <f>IF($A185="N/A"," ",IF(Pricetype=2,MAX(L185-$H185,0),IF(L185&lt;&gt;0,IF(Pricetype=1,(_xll.xSPRDOPT(L185,$E185,$CI185,0,($CD185+IF(Smile=TRUE,VLOOKUP(MAX(-5,$H185-L185),Volsmile,2),0)),$CG185,$CH185,($A185-DateToday)+15,1,0)),L185-$H185),0)))</f>
        <v xml:space="preserve"> </v>
      </c>
      <c r="V185" s="405" t="str">
        <f>IF($A185="N/A"," ",IF(Pricetype=2,MAX(M185-$H185,0),IF(M185&lt;&gt;0,IF(Pricetype=1,(_xll.xSPRDOPT(M185,$E185,$CI185,0,($CD185+IF(Smile=TRUE,VLOOKUP(MAX(-5,$H185-M185),Volsmile,2),0)),$CG185,$CH185,($A185-DateToday)+15,1,0)),M185-$H185),0)))</f>
        <v xml:space="preserve"> </v>
      </c>
      <c r="W185" s="406" t="str">
        <f t="shared" si="352"/>
        <v xml:space="preserve"> </v>
      </c>
      <c r="X185" s="405" t="str">
        <f>IF($A185="N/A"," ",IF(Pricetype=2,MAX(O185-$H185,0),IF(O185&lt;&gt;0,IF(Pricetype=1,(_xll.xSPRDOPT(O185,$E185,$CI185,0,($CD185+IF(Smile=TRUE,VLOOKUP(MAX(-5,$H185-O185),Volsmile,2),0)),$CG185,$CH185,($A185-DateToday)+15,1,0)),O185-$H185),0)))</f>
        <v xml:space="preserve"> </v>
      </c>
      <c r="Y185" s="405" t="str">
        <f>IF($A185="N/A"," ",IF(Pricetype=2,MAX(P185-$H185,0),IF(P185&lt;&gt;0,IF(Pricetype=1,(_xll.xSPRDOPT(P185,$E185,$CI185,0,($CD185+IF(Smile=TRUE,VLOOKUP(MAX(-5,$H185-P185),Volsmile,2),0)),$CG185,$CH185,($A185-DateToday)+15,1,0)),P185-$H185),0)))</f>
        <v xml:space="preserve"> </v>
      </c>
      <c r="Z185" s="406" t="str">
        <f t="shared" si="353"/>
        <v xml:space="preserve"> </v>
      </c>
      <c r="AA185" s="254" t="str">
        <f>IF($A185="N/A"," ",IF(VLOOKUP(MONTH(A185),ManualTable,2)=1,(IF(0&lt;&gt;R185,IF(Pricetype=1,(_xll.xSPRDOPT(I185,$E185,$CI185,0,($CD185+IF(Smile=TRUE,VLOOKUP(MAX(-5,$H185-I185),Volsmile,2),0)),$CG185,$CH185,($A185-DateToday)+15,1,1))*(8*$HD185),8*$HD185),0)),0))</f>
        <v xml:space="preserve"> </v>
      </c>
      <c r="AB185" s="254" t="str">
        <f>IF($A185="N/A"," ",IF(VLOOKUP(MONTH(A185),ManualTable,3)=1,(IF(S185&lt;&gt;0,IF(Pricetype=1,(_xll.xSPRDOPT(J185,$E185,$CI185,0,($CD185+IF(Smile=TRUE,VLOOKUP(MAX(-5,$H185-J185),Volsmile,2),0)),$CG185,$CH185,($A185-DateToday)+15,1,1))*(8*$HD185),8*$HD185),0)),0))</f>
        <v xml:space="preserve"> </v>
      </c>
      <c r="AC185" s="254" t="str">
        <f t="shared" si="394"/>
        <v xml:space="preserve"> </v>
      </c>
      <c r="AD185" s="254" t="str">
        <f>IF($A185="N/A"," ",IF(VLOOKUP(MONTH(A185),ManualTable,5)=1,(IF(U185&lt;&gt;0,IF(Pricetype=1,(_xll.xSPRDOPT(L185,$E185,$CI185,0,($CD185+IF(Smile=TRUE,VLOOKUP(MAX(-5,$H185-L185),Volsmile,2),0)),$CG185,$CH185,($A185-DateToday)+15,1,1))*(8*$HE185),8*$HE185),0)),0))</f>
        <v xml:space="preserve"> </v>
      </c>
      <c r="AE185" s="254" t="str">
        <f>IF($A185="N/A"," ",IF(VLOOKUP(MONTH(A185),ManualTable,6)=1,(IF(V185&lt;&gt;0,IF(Pricetype=1,(_xll.xSPRDOPT(M185,$E185,$CI185,0,($CD185+IF(Smile=TRUE,VLOOKUP(MAX(-5,$H185-M185),Volsmile,2),0)),$CG185,$CH185,($A185-DateToday)+15,1,1))*(8*$HE185),8*$HE185),0)),0))</f>
        <v xml:space="preserve"> </v>
      </c>
      <c r="AF185" s="254" t="str">
        <f t="shared" si="395"/>
        <v xml:space="preserve"> </v>
      </c>
      <c r="AG185" s="254" t="str">
        <f>IF($A185="N/A"," ",IF(VLOOKUP(MONTH(A185),ManualTable,8)=1,(IF(X185&lt;&gt;0,IF(Pricetype=1,(_xll.xSPRDOPT(O185,$E185,$CI185,0,($CD185+IF(Smile=TRUE,VLOOKUP(MAX(-5,$H185-O185),Volsmile,2),0)),$CG185,$CH185,($A185-DateToday)+15,1,1))*(8*$HF185),8*$HF185),0)),0))</f>
        <v xml:space="preserve"> </v>
      </c>
      <c r="AH185" s="254" t="str">
        <f>IF($A185="N/A"," ",IF(VLOOKUP(MONTH(A185),ManualTable,9)=1,(IF(Y185&lt;&gt;0,IF(Pricetype=1,(_xll.xSPRDOPT(P185,$E185,$CI185,0,($CD185+IF(Smile=TRUE,VLOOKUP(MAX(-5,$H185-P185),Volsmile,2),0)),$CG185,$CH185,($A185-DateToday)+15,1,1))*(8*$HF185),8*$HF185),0)),0))</f>
        <v xml:space="preserve"> </v>
      </c>
      <c r="AI185" s="254" t="str">
        <f t="shared" si="396"/>
        <v xml:space="preserve"> </v>
      </c>
      <c r="AJ185" s="227" t="str">
        <f t="shared" ref="AJ185:AJ195" si="494">IF($A185="N/A"," ",RANK(R185,$R$184:$Z$195))</f>
        <v xml:space="preserve"> </v>
      </c>
      <c r="AK185" s="228" t="str">
        <f t="shared" ref="AK185:AL195" si="495">IF($A185="N/A"," ",RANK(S185,$R$184:$Z$195))</f>
        <v xml:space="preserve"> </v>
      </c>
      <c r="AL185" s="228" t="str">
        <f t="shared" si="495"/>
        <v xml:space="preserve"> </v>
      </c>
      <c r="AM185" s="228" t="str">
        <f t="shared" ref="AM185:AM195" si="496">IF($A185="N/A"," ",RANK(U185,$R$184:$Z$195))</f>
        <v xml:space="preserve"> </v>
      </c>
      <c r="AN185" s="228" t="str">
        <f t="shared" ref="AN185:AO195" si="497">IF($A185="N/A"," ",RANK(V185,$R$184:$Z$195))</f>
        <v xml:space="preserve"> </v>
      </c>
      <c r="AO185" s="228" t="str">
        <f t="shared" si="497"/>
        <v xml:space="preserve"> </v>
      </c>
      <c r="AP185" s="228" t="str">
        <f t="shared" ref="AP185:AP195" si="498">IF($A185="N/A"," ",RANK(X185,$R$184:$Z$195))</f>
        <v xml:space="preserve"> </v>
      </c>
      <c r="AQ185" s="228" t="str">
        <f t="shared" ref="AQ185:AQ195" si="499">IF($A185="N/A"," ",RANK(Y185,$R$184:$Z$195))</f>
        <v xml:space="preserve"> </v>
      </c>
      <c r="AR185" s="229" t="str">
        <f t="shared" ref="AR185:AR195" si="500">IF($A185="N/A"," ",RANK(Z185,$R$184:$Z$195))</f>
        <v xml:space="preserve"> </v>
      </c>
      <c r="AS185" s="262" t="str">
        <f t="shared" si="433"/>
        <v xml:space="preserve"> </v>
      </c>
      <c r="AT185" s="263" t="str">
        <f t="shared" si="434"/>
        <v xml:space="preserve"> </v>
      </c>
      <c r="AU185" s="263" t="str">
        <f t="shared" si="434"/>
        <v xml:space="preserve"> </v>
      </c>
      <c r="AV185" s="263" t="str">
        <f t="shared" si="435"/>
        <v xml:space="preserve"> </v>
      </c>
      <c r="AW185" s="263" t="str">
        <f t="shared" si="436"/>
        <v xml:space="preserve"> </v>
      </c>
      <c r="AX185" s="263" t="str">
        <f t="shared" si="436"/>
        <v xml:space="preserve"> </v>
      </c>
      <c r="AY185" s="263" t="str">
        <f t="shared" si="437"/>
        <v xml:space="preserve"> </v>
      </c>
      <c r="AZ185" s="263" t="str">
        <f t="shared" si="438"/>
        <v xml:space="preserve"> </v>
      </c>
      <c r="BA185" s="263" t="str">
        <f t="shared" si="439"/>
        <v xml:space="preserve"> </v>
      </c>
      <c r="BB185" s="229"/>
      <c r="BC185" s="266" t="str">
        <f t="shared" si="487"/>
        <v xml:space="preserve"> </v>
      </c>
      <c r="BD185" s="269" t="str">
        <f t="shared" si="488"/>
        <v xml:space="preserve"> </v>
      </c>
      <c r="BE185" s="269" t="str">
        <f t="shared" si="488"/>
        <v xml:space="preserve"> </v>
      </c>
      <c r="BF185" s="269" t="str">
        <f t="shared" si="489"/>
        <v xml:space="preserve"> </v>
      </c>
      <c r="BG185" s="269" t="str">
        <f t="shared" si="490"/>
        <v xml:space="preserve"> </v>
      </c>
      <c r="BH185" s="269" t="str">
        <f t="shared" si="490"/>
        <v xml:space="preserve"> </v>
      </c>
      <c r="BI185" s="269" t="str">
        <f t="shared" si="491"/>
        <v xml:space="preserve"> </v>
      </c>
      <c r="BJ185" s="269" t="str">
        <f t="shared" si="492"/>
        <v xml:space="preserve"> </v>
      </c>
      <c r="BK185" s="269" t="str">
        <f t="shared" si="493"/>
        <v xml:space="preserve"> </v>
      </c>
      <c r="BL185" s="229"/>
      <c r="BM185" s="220" t="str">
        <f>IF($A185="N/A"," ",(IF(MONTH(A185)&gt;=4,IF(MONTH(A185)&lt;=10,Inputs!$F$13-Inputs!$G$13,Inputs!$F$14-Inputs!$G$14),Inputs!$F$14-Inputs!$G$14))*$CK185*Availability)</f>
        <v xml:space="preserve"> </v>
      </c>
      <c r="BN185" s="221" t="str">
        <f t="shared" si="397"/>
        <v xml:space="preserve"> </v>
      </c>
      <c r="BO185" s="221" t="str">
        <f t="shared" si="398"/>
        <v xml:space="preserve"> </v>
      </c>
      <c r="BP185" s="221" t="str">
        <f t="shared" si="399"/>
        <v xml:space="preserve"> </v>
      </c>
      <c r="BQ185" s="221" t="str">
        <f t="shared" si="400"/>
        <v xml:space="preserve"> </v>
      </c>
      <c r="BR185" s="221" t="str">
        <f t="shared" si="401"/>
        <v xml:space="preserve"> </v>
      </c>
      <c r="BS185" s="221" t="str">
        <f t="shared" si="402"/>
        <v xml:space="preserve"> </v>
      </c>
      <c r="BT185" s="221" t="str">
        <f t="shared" si="403"/>
        <v xml:space="preserve"> </v>
      </c>
      <c r="BU185" s="221" t="str">
        <f t="shared" si="404"/>
        <v xml:space="preserve"> </v>
      </c>
      <c r="BV185" s="221" t="str">
        <f t="shared" si="405"/>
        <v xml:space="preserve"> </v>
      </c>
      <c r="BW185" s="221" t="str">
        <f t="shared" si="406"/>
        <v xml:space="preserve"> </v>
      </c>
      <c r="BX185" s="421" t="str">
        <f t="shared" si="407"/>
        <v xml:space="preserve"> </v>
      </c>
      <c r="BY185" s="417" t="str">
        <f t="shared" si="408"/>
        <v xml:space="preserve"> </v>
      </c>
      <c r="BZ185" s="417" t="str">
        <f t="shared" si="409"/>
        <v xml:space="preserve"> </v>
      </c>
      <c r="CA185" s="422" t="str">
        <f t="shared" si="410"/>
        <v xml:space="preserve"> </v>
      </c>
      <c r="CB185" s="347" t="str">
        <f t="shared" si="354"/>
        <v xml:space="preserve"> </v>
      </c>
      <c r="CC185" s="347" t="str">
        <f t="shared" si="411"/>
        <v xml:space="preserve"> </v>
      </c>
      <c r="CD185" s="348" t="str">
        <f t="shared" si="355"/>
        <v xml:space="preserve"> </v>
      </c>
      <c r="CE185" s="347" t="str">
        <f t="shared" si="356"/>
        <v xml:space="preserve"> </v>
      </c>
      <c r="CF185" s="347" t="str">
        <f t="shared" si="357"/>
        <v xml:space="preserve"> </v>
      </c>
      <c r="CG185" s="348" t="str">
        <f t="shared" si="358"/>
        <v xml:space="preserve"> </v>
      </c>
      <c r="CH185" s="347" t="str">
        <f t="shared" si="412"/>
        <v xml:space="preserve"> </v>
      </c>
      <c r="CI185" s="349" t="str">
        <f>IF($A185="N/A"," ",F185+G185+(D185*('Pricing Inputs'!T218)))</f>
        <v xml:space="preserve"> </v>
      </c>
      <c r="CJ185" s="347" t="str">
        <f>IF($A185="N/A"," ",IF(PV=1,0,'Pricing Inputs'!U218))</f>
        <v xml:space="preserve"> </v>
      </c>
      <c r="CK185" s="350" t="str">
        <f t="shared" si="359"/>
        <v xml:space="preserve"> </v>
      </c>
      <c r="CL185" s="365" t="str">
        <f t="shared" si="360"/>
        <v xml:space="preserve"> </v>
      </c>
      <c r="CM185" s="380" t="str">
        <f t="shared" si="413"/>
        <v xml:space="preserve"> </v>
      </c>
      <c r="CN185" s="378" t="str">
        <f t="shared" si="361"/>
        <v xml:space="preserve"> </v>
      </c>
      <c r="CO185" s="378" t="str">
        <f t="shared" si="362"/>
        <v xml:space="preserve"> </v>
      </c>
      <c r="CP185" s="378" t="str">
        <f t="shared" si="363"/>
        <v xml:space="preserve"> </v>
      </c>
      <c r="CQ185" s="378" t="str">
        <f t="shared" si="364"/>
        <v xml:space="preserve"> </v>
      </c>
      <c r="CR185" s="378" t="str">
        <f t="shared" si="365"/>
        <v xml:space="preserve"> </v>
      </c>
      <c r="CS185" s="378" t="str">
        <f t="shared" si="366"/>
        <v xml:space="preserve"> </v>
      </c>
      <c r="CT185" s="378" t="str">
        <f t="shared" si="367"/>
        <v xml:space="preserve"> </v>
      </c>
      <c r="CU185" s="378" t="str">
        <f t="shared" si="368"/>
        <v xml:space="preserve"> </v>
      </c>
      <c r="CV185" s="378" t="str">
        <f t="shared" si="369"/>
        <v xml:space="preserve"> </v>
      </c>
      <c r="CW185" s="254" t="str">
        <f t="shared" si="370"/>
        <v xml:space="preserve"> </v>
      </c>
      <c r="CX185" s="254" t="str">
        <f t="shared" si="371"/>
        <v xml:space="preserve"> </v>
      </c>
      <c r="CY185" s="254" t="str">
        <f t="shared" si="372"/>
        <v xml:space="preserve"> </v>
      </c>
      <c r="CZ185" s="254" t="str">
        <f t="shared" si="373"/>
        <v xml:space="preserve"> </v>
      </c>
      <c r="DA185" s="254" t="str">
        <f t="shared" si="374"/>
        <v xml:space="preserve"> </v>
      </c>
      <c r="DB185" s="254" t="str">
        <f t="shared" si="375"/>
        <v xml:space="preserve"> </v>
      </c>
      <c r="DC185" s="254" t="str">
        <f t="shared" si="376"/>
        <v xml:space="preserve"> </v>
      </c>
      <c r="DD185" s="254" t="str">
        <f t="shared" si="377"/>
        <v xml:space="preserve"> </v>
      </c>
      <c r="DE185" s="254" t="str">
        <f t="shared" si="378"/>
        <v xml:space="preserve"> </v>
      </c>
      <c r="DF185" s="374" t="str">
        <f>IF($A185="N/A"," ",IF(CC=2,(IF(MONTH(A185)&gt;=4,IF(MONTH(A185)&lt;=10,Inputs!$G$13,Inputs!$G$14),Inputs!$G$14))*$CK185,0))</f>
        <v xml:space="preserve"> </v>
      </c>
      <c r="DG185" s="373" t="str">
        <f t="shared" si="379"/>
        <v xml:space="preserve"> </v>
      </c>
      <c r="DH185" s="373" t="str">
        <f t="shared" si="380"/>
        <v xml:space="preserve"> </v>
      </c>
      <c r="DI185" s="373" t="str">
        <f t="shared" si="381"/>
        <v xml:space="preserve"> </v>
      </c>
      <c r="DJ185" s="373" t="str">
        <f t="shared" si="382"/>
        <v xml:space="preserve"> </v>
      </c>
      <c r="DK185" s="373" t="str">
        <f t="shared" si="383"/>
        <v xml:space="preserve"> </v>
      </c>
      <c r="DL185" s="373" t="str">
        <f t="shared" si="384"/>
        <v xml:space="preserve"> </v>
      </c>
      <c r="DM185" s="373" t="str">
        <f t="shared" si="385"/>
        <v xml:space="preserve"> </v>
      </c>
      <c r="DN185" s="373" t="str">
        <f t="shared" si="386"/>
        <v xml:space="preserve"> </v>
      </c>
      <c r="DO185" s="373" t="str">
        <f t="shared" si="387"/>
        <v xml:space="preserve"> </v>
      </c>
      <c r="DP185" s="375" t="str">
        <f t="shared" si="388"/>
        <v xml:space="preserve"> </v>
      </c>
      <c r="DQ185" t="str">
        <f t="shared" si="414"/>
        <v xml:space="preserve"> </v>
      </c>
      <c r="HD185" t="str">
        <f t="shared" si="415"/>
        <v xml:space="preserve"> </v>
      </c>
      <c r="HE185" t="str">
        <f t="shared" si="416"/>
        <v xml:space="preserve"> </v>
      </c>
      <c r="HF185" t="str">
        <f t="shared" si="417"/>
        <v xml:space="preserve"> </v>
      </c>
    </row>
    <row r="186" spans="1:214">
      <c r="A186" s="415" t="str">
        <f>IF(A185="N/A","N/A",IF(EDATE(A185,1)&gt;Inputs!$K$3,"N/A",EDATE(A185,1)))</f>
        <v>N/A</v>
      </c>
      <c r="B186" s="410" t="str">
        <f t="shared" si="389"/>
        <v xml:space="preserve"> </v>
      </c>
      <c r="C186" s="411" t="str">
        <f t="shared" si="390"/>
        <v xml:space="preserve"> </v>
      </c>
      <c r="D186" s="412" t="str">
        <f t="shared" si="391"/>
        <v xml:space="preserve"> </v>
      </c>
      <c r="E186" s="413" t="str">
        <f>IF($A186="N/A"," ",(C186-'Pricing Inputs'!T219)*D186)</f>
        <v xml:space="preserve"> </v>
      </c>
      <c r="F186" s="414" t="str">
        <f t="shared" si="440"/>
        <v xml:space="preserve"> </v>
      </c>
      <c r="G186" s="414" t="str">
        <f t="shared" si="392"/>
        <v xml:space="preserve"> </v>
      </c>
      <c r="H186" s="416" t="str">
        <f t="shared" si="393"/>
        <v xml:space="preserve"> </v>
      </c>
      <c r="I186" s="213" t="str">
        <f t="shared" si="342"/>
        <v xml:space="preserve"> </v>
      </c>
      <c r="J186" s="213" t="str">
        <f t="shared" si="343"/>
        <v xml:space="preserve"> </v>
      </c>
      <c r="K186" s="213" t="str">
        <f t="shared" si="344"/>
        <v xml:space="preserve"> </v>
      </c>
      <c r="L186" s="213" t="str">
        <f t="shared" si="345"/>
        <v xml:space="preserve"> </v>
      </c>
      <c r="M186" s="213" t="str">
        <f t="shared" si="346"/>
        <v xml:space="preserve"> </v>
      </c>
      <c r="N186" s="213" t="str">
        <f t="shared" si="347"/>
        <v xml:space="preserve"> </v>
      </c>
      <c r="O186" s="213" t="str">
        <f t="shared" si="348"/>
        <v xml:space="preserve"> </v>
      </c>
      <c r="P186" s="213" t="str">
        <f t="shared" si="349"/>
        <v xml:space="preserve"> </v>
      </c>
      <c r="Q186" s="213" t="str">
        <f t="shared" si="350"/>
        <v xml:space="preserve"> </v>
      </c>
      <c r="R186" s="405" t="str">
        <f>IF($A186="N/A"," ",IF(Pricetype=2,MAX(I186-$H186,0),IF(Pricetype=1,(_xll.xSPRDOPT(I186,$E186,$CI186,0,($CD186+IF(Smile=TRUE,VLOOKUP(MAX(-5,$H186-I186),Volsmile,2),0)),$CG186,$CH186,($A186-DateToday)+15,1,0)),I186-$H186)))</f>
        <v xml:space="preserve"> </v>
      </c>
      <c r="S186" s="405" t="str">
        <f>IF($A186="N/A"," ",IF(Pricetype=2,MAX(J186-$H186,0),IF(Pricetype=1,(_xll.xSPRDOPT(J186,$E186,$CI186,0,($CD186+IF(Smile=TRUE,VLOOKUP(MAX(-5,$H186-J186),Volsmile,2),0)),$CG186,$CH186,($A186-DateToday)+15,1,0)),J186-$H186)))</f>
        <v xml:space="preserve"> </v>
      </c>
      <c r="T186" s="406" t="str">
        <f t="shared" si="351"/>
        <v xml:space="preserve"> </v>
      </c>
      <c r="U186" s="405" t="str">
        <f>IF($A186="N/A"," ",IF(Pricetype=2,MAX(L186-$H186,0),IF(L186&lt;&gt;0,IF(Pricetype=1,(_xll.xSPRDOPT(L186,$E186,$CI186,0,($CD186+IF(Smile=TRUE,VLOOKUP(MAX(-5,$H186-L186),Volsmile,2),0)),$CG186,$CH186,($A186-DateToday)+15,1,0)),L186-$H186),0)))</f>
        <v xml:space="preserve"> </v>
      </c>
      <c r="V186" s="405" t="str">
        <f>IF($A186="N/A"," ",IF(Pricetype=2,MAX(M186-$H186,0),IF(M186&lt;&gt;0,IF(Pricetype=1,(_xll.xSPRDOPT(M186,$E186,$CI186,0,($CD186+IF(Smile=TRUE,VLOOKUP(MAX(-5,$H186-M186),Volsmile,2),0)),$CG186,$CH186,($A186-DateToday)+15,1,0)),M186-$H186),0)))</f>
        <v xml:space="preserve"> </v>
      </c>
      <c r="W186" s="406" t="str">
        <f t="shared" si="352"/>
        <v xml:space="preserve"> </v>
      </c>
      <c r="X186" s="405" t="str">
        <f>IF($A186="N/A"," ",IF(Pricetype=2,MAX(O186-$H186,0),IF(O186&lt;&gt;0,IF(Pricetype=1,(_xll.xSPRDOPT(O186,$E186,$CI186,0,($CD186+IF(Smile=TRUE,VLOOKUP(MAX(-5,$H186-O186),Volsmile,2),0)),$CG186,$CH186,($A186-DateToday)+15,1,0)),O186-$H186),0)))</f>
        <v xml:space="preserve"> </v>
      </c>
      <c r="Y186" s="405" t="str">
        <f>IF($A186="N/A"," ",IF(Pricetype=2,MAX(P186-$H186,0),IF(P186&lt;&gt;0,IF(Pricetype=1,(_xll.xSPRDOPT(P186,$E186,$CI186,0,($CD186+IF(Smile=TRUE,VLOOKUP(MAX(-5,$H186-P186),Volsmile,2),0)),$CG186,$CH186,($A186-DateToday)+15,1,0)),P186-$H186),0)))</f>
        <v xml:space="preserve"> </v>
      </c>
      <c r="Z186" s="406" t="str">
        <f t="shared" si="353"/>
        <v xml:space="preserve"> </v>
      </c>
      <c r="AA186" s="254" t="str">
        <f>IF($A186="N/A"," ",IF(VLOOKUP(MONTH(A186),ManualTable,2)=1,(IF(0&lt;&gt;R186,IF(Pricetype=1,(_xll.xSPRDOPT(I186,$E186,$CI186,0,($CD186+IF(Smile=TRUE,VLOOKUP(MAX(-5,$H186-I186),Volsmile,2),0)),$CG186,$CH186,($A186-DateToday)+15,1,1))*(8*$HD186),8*$HD186),0)),0))</f>
        <v xml:space="preserve"> </v>
      </c>
      <c r="AB186" s="254" t="str">
        <f>IF($A186="N/A"," ",IF(VLOOKUP(MONTH(A186),ManualTable,3)=1,(IF(S186&lt;&gt;0,IF(Pricetype=1,(_xll.xSPRDOPT(J186,$E186,$CI186,0,($CD186+IF(Smile=TRUE,VLOOKUP(MAX(-5,$H186-J186),Volsmile,2),0)),$CG186,$CH186,($A186-DateToday)+15,1,1))*(8*$HD186),8*$HD186),0)),0))</f>
        <v xml:space="preserve"> </v>
      </c>
      <c r="AC186" s="254" t="str">
        <f t="shared" si="394"/>
        <v xml:space="preserve"> </v>
      </c>
      <c r="AD186" s="254" t="str">
        <f>IF($A186="N/A"," ",IF(VLOOKUP(MONTH(A186),ManualTable,5)=1,(IF(U186&lt;&gt;0,IF(Pricetype=1,(_xll.xSPRDOPT(L186,$E186,$CI186,0,($CD186+IF(Smile=TRUE,VLOOKUP(MAX(-5,$H186-L186),Volsmile,2),0)),$CG186,$CH186,($A186-DateToday)+15,1,1))*(8*$HE186),8*$HE186),0)),0))</f>
        <v xml:space="preserve"> </v>
      </c>
      <c r="AE186" s="254" t="str">
        <f>IF($A186="N/A"," ",IF(VLOOKUP(MONTH(A186),ManualTable,6)=1,(IF(V186&lt;&gt;0,IF(Pricetype=1,(_xll.xSPRDOPT(M186,$E186,$CI186,0,($CD186+IF(Smile=TRUE,VLOOKUP(MAX(-5,$H186-M186),Volsmile,2),0)),$CG186,$CH186,($A186-DateToday)+15,1,1))*(8*$HE186),8*$HE186),0)),0))</f>
        <v xml:space="preserve"> </v>
      </c>
      <c r="AF186" s="254" t="str">
        <f t="shared" si="395"/>
        <v xml:space="preserve"> </v>
      </c>
      <c r="AG186" s="254" t="str">
        <f>IF($A186="N/A"," ",IF(VLOOKUP(MONTH(A186),ManualTable,8)=1,(IF(X186&lt;&gt;0,IF(Pricetype=1,(_xll.xSPRDOPT(O186,$E186,$CI186,0,($CD186+IF(Smile=TRUE,VLOOKUP(MAX(-5,$H186-O186),Volsmile,2),0)),$CG186,$CH186,($A186-DateToday)+15,1,1))*(8*$HF186),8*$HF186),0)),0))</f>
        <v xml:space="preserve"> </v>
      </c>
      <c r="AH186" s="254" t="str">
        <f>IF($A186="N/A"," ",IF(VLOOKUP(MONTH(A186),ManualTable,9)=1,(IF(Y186&lt;&gt;0,IF(Pricetype=1,(_xll.xSPRDOPT(P186,$E186,$CI186,0,($CD186+IF(Smile=TRUE,VLOOKUP(MAX(-5,$H186-P186),Volsmile,2),0)),$CG186,$CH186,($A186-DateToday)+15,1,1))*(8*$HF186),8*$HF186),0)),0))</f>
        <v xml:space="preserve"> </v>
      </c>
      <c r="AI186" s="254" t="str">
        <f t="shared" si="396"/>
        <v xml:space="preserve"> </v>
      </c>
      <c r="AJ186" s="227" t="str">
        <f t="shared" si="494"/>
        <v xml:space="preserve"> </v>
      </c>
      <c r="AK186" s="228" t="str">
        <f t="shared" si="495"/>
        <v xml:space="preserve"> </v>
      </c>
      <c r="AL186" s="228" t="str">
        <f t="shared" si="495"/>
        <v xml:space="preserve"> </v>
      </c>
      <c r="AM186" s="228" t="str">
        <f t="shared" si="496"/>
        <v xml:space="preserve"> </v>
      </c>
      <c r="AN186" s="228" t="str">
        <f t="shared" si="497"/>
        <v xml:space="preserve"> </v>
      </c>
      <c r="AO186" s="228" t="str">
        <f t="shared" si="497"/>
        <v xml:space="preserve"> </v>
      </c>
      <c r="AP186" s="228" t="str">
        <f t="shared" si="498"/>
        <v xml:space="preserve"> </v>
      </c>
      <c r="AQ186" s="228" t="str">
        <f t="shared" si="499"/>
        <v xml:space="preserve"> </v>
      </c>
      <c r="AR186" s="229" t="str">
        <f t="shared" si="500"/>
        <v xml:space="preserve"> </v>
      </c>
      <c r="AS186" s="262" t="str">
        <f t="shared" si="433"/>
        <v xml:space="preserve"> </v>
      </c>
      <c r="AT186" s="263" t="str">
        <f t="shared" si="434"/>
        <v xml:space="preserve"> </v>
      </c>
      <c r="AU186" s="263" t="str">
        <f t="shared" si="434"/>
        <v xml:space="preserve"> </v>
      </c>
      <c r="AV186" s="263" t="str">
        <f t="shared" si="435"/>
        <v xml:space="preserve"> </v>
      </c>
      <c r="AW186" s="263" t="str">
        <f t="shared" si="436"/>
        <v xml:space="preserve"> </v>
      </c>
      <c r="AX186" s="263" t="str">
        <f t="shared" si="436"/>
        <v xml:space="preserve"> </v>
      </c>
      <c r="AY186" s="263" t="str">
        <f t="shared" si="437"/>
        <v xml:space="preserve"> </v>
      </c>
      <c r="AZ186" s="263" t="str">
        <f t="shared" si="438"/>
        <v xml:space="preserve"> </v>
      </c>
      <c r="BA186" s="263" t="str">
        <f t="shared" si="439"/>
        <v xml:space="preserve"> </v>
      </c>
      <c r="BB186" s="229"/>
      <c r="BC186" s="266" t="str">
        <f t="shared" si="487"/>
        <v xml:space="preserve"> </v>
      </c>
      <c r="BD186" s="269" t="str">
        <f t="shared" si="488"/>
        <v xml:space="preserve"> </v>
      </c>
      <c r="BE186" s="269" t="str">
        <f t="shared" si="488"/>
        <v xml:space="preserve"> </v>
      </c>
      <c r="BF186" s="269" t="str">
        <f t="shared" si="489"/>
        <v xml:space="preserve"> </v>
      </c>
      <c r="BG186" s="269" t="str">
        <f t="shared" si="490"/>
        <v xml:space="preserve"> </v>
      </c>
      <c r="BH186" s="269" t="str">
        <f t="shared" si="490"/>
        <v xml:space="preserve"> </v>
      </c>
      <c r="BI186" s="269" t="str">
        <f t="shared" si="491"/>
        <v xml:space="preserve"> </v>
      </c>
      <c r="BJ186" s="269" t="str">
        <f t="shared" si="492"/>
        <v xml:space="preserve"> </v>
      </c>
      <c r="BK186" s="269" t="str">
        <f t="shared" si="493"/>
        <v xml:space="preserve"> </v>
      </c>
      <c r="BL186" s="229"/>
      <c r="BM186" s="220" t="str">
        <f>IF($A186="N/A"," ",(IF(MONTH(A186)&gt;=4,IF(MONTH(A186)&lt;=10,Inputs!$F$13-Inputs!$G$13,Inputs!$F$14-Inputs!$G$14),Inputs!$F$14-Inputs!$G$14))*$CK186*Availability)</f>
        <v xml:space="preserve"> </v>
      </c>
      <c r="BN186" s="221" t="str">
        <f t="shared" si="397"/>
        <v xml:space="preserve"> </v>
      </c>
      <c r="BO186" s="221" t="str">
        <f t="shared" si="398"/>
        <v xml:space="preserve"> </v>
      </c>
      <c r="BP186" s="221" t="str">
        <f t="shared" si="399"/>
        <v xml:space="preserve"> </v>
      </c>
      <c r="BQ186" s="221" t="str">
        <f t="shared" si="400"/>
        <v xml:space="preserve"> </v>
      </c>
      <c r="BR186" s="221" t="str">
        <f t="shared" si="401"/>
        <v xml:space="preserve"> </v>
      </c>
      <c r="BS186" s="221" t="str">
        <f t="shared" si="402"/>
        <v xml:space="preserve"> </v>
      </c>
      <c r="BT186" s="221" t="str">
        <f t="shared" si="403"/>
        <v xml:space="preserve"> </v>
      </c>
      <c r="BU186" s="221" t="str">
        <f t="shared" si="404"/>
        <v xml:space="preserve"> </v>
      </c>
      <c r="BV186" s="221" t="str">
        <f t="shared" si="405"/>
        <v xml:space="preserve"> </v>
      </c>
      <c r="BW186" s="221" t="str">
        <f t="shared" si="406"/>
        <v xml:space="preserve"> </v>
      </c>
      <c r="BX186" s="421" t="str">
        <f t="shared" si="407"/>
        <v xml:space="preserve"> </v>
      </c>
      <c r="BY186" s="417" t="str">
        <f t="shared" si="408"/>
        <v xml:space="preserve"> </v>
      </c>
      <c r="BZ186" s="417" t="str">
        <f t="shared" si="409"/>
        <v xml:space="preserve"> </v>
      </c>
      <c r="CA186" s="422" t="str">
        <f t="shared" si="410"/>
        <v xml:space="preserve"> </v>
      </c>
      <c r="CB186" s="347" t="str">
        <f t="shared" si="354"/>
        <v xml:space="preserve"> </v>
      </c>
      <c r="CC186" s="347" t="str">
        <f t="shared" si="411"/>
        <v xml:space="preserve"> </v>
      </c>
      <c r="CD186" s="348" t="str">
        <f t="shared" si="355"/>
        <v xml:space="preserve"> </v>
      </c>
      <c r="CE186" s="347" t="str">
        <f t="shared" si="356"/>
        <v xml:space="preserve"> </v>
      </c>
      <c r="CF186" s="347" t="str">
        <f t="shared" si="357"/>
        <v xml:space="preserve"> </v>
      </c>
      <c r="CG186" s="348" t="str">
        <f t="shared" si="358"/>
        <v xml:space="preserve"> </v>
      </c>
      <c r="CH186" s="347" t="str">
        <f t="shared" si="412"/>
        <v xml:space="preserve"> </v>
      </c>
      <c r="CI186" s="349" t="str">
        <f>IF($A186="N/A"," ",F186+G186+(D186*('Pricing Inputs'!T219)))</f>
        <v xml:space="preserve"> </v>
      </c>
      <c r="CJ186" s="347" t="str">
        <f>IF($A186="N/A"," ",IF(PV=1,0,'Pricing Inputs'!U219))</f>
        <v xml:space="preserve"> </v>
      </c>
      <c r="CK186" s="350" t="str">
        <f t="shared" si="359"/>
        <v xml:space="preserve"> </v>
      </c>
      <c r="CL186" s="365" t="str">
        <f t="shared" si="360"/>
        <v xml:space="preserve"> </v>
      </c>
      <c r="CM186" s="380" t="str">
        <f t="shared" si="413"/>
        <v xml:space="preserve"> </v>
      </c>
      <c r="CN186" s="378" t="str">
        <f t="shared" si="361"/>
        <v xml:space="preserve"> </v>
      </c>
      <c r="CO186" s="378" t="str">
        <f t="shared" si="362"/>
        <v xml:space="preserve"> </v>
      </c>
      <c r="CP186" s="378" t="str">
        <f t="shared" si="363"/>
        <v xml:space="preserve"> </v>
      </c>
      <c r="CQ186" s="378" t="str">
        <f t="shared" si="364"/>
        <v xml:space="preserve"> </v>
      </c>
      <c r="CR186" s="378" t="str">
        <f t="shared" si="365"/>
        <v xml:space="preserve"> </v>
      </c>
      <c r="CS186" s="378" t="str">
        <f t="shared" si="366"/>
        <v xml:space="preserve"> </v>
      </c>
      <c r="CT186" s="378" t="str">
        <f t="shared" si="367"/>
        <v xml:space="preserve"> </v>
      </c>
      <c r="CU186" s="378" t="str">
        <f t="shared" si="368"/>
        <v xml:space="preserve"> </v>
      </c>
      <c r="CV186" s="378" t="str">
        <f t="shared" si="369"/>
        <v xml:space="preserve"> </v>
      </c>
      <c r="CW186" s="254" t="str">
        <f t="shared" si="370"/>
        <v xml:space="preserve"> </v>
      </c>
      <c r="CX186" s="254" t="str">
        <f t="shared" si="371"/>
        <v xml:space="preserve"> </v>
      </c>
      <c r="CY186" s="254" t="str">
        <f t="shared" si="372"/>
        <v xml:space="preserve"> </v>
      </c>
      <c r="CZ186" s="254" t="str">
        <f t="shared" si="373"/>
        <v xml:space="preserve"> </v>
      </c>
      <c r="DA186" s="254" t="str">
        <f t="shared" si="374"/>
        <v xml:space="preserve"> </v>
      </c>
      <c r="DB186" s="254" t="str">
        <f t="shared" si="375"/>
        <v xml:space="preserve"> </v>
      </c>
      <c r="DC186" s="254" t="str">
        <f t="shared" si="376"/>
        <v xml:space="preserve"> </v>
      </c>
      <c r="DD186" s="254" t="str">
        <f t="shared" si="377"/>
        <v xml:space="preserve"> </v>
      </c>
      <c r="DE186" s="254" t="str">
        <f t="shared" si="378"/>
        <v xml:space="preserve"> </v>
      </c>
      <c r="DF186" s="374" t="str">
        <f>IF($A186="N/A"," ",IF(CC=2,(IF(MONTH(A186)&gt;=4,IF(MONTH(A186)&lt;=10,Inputs!$G$13,Inputs!$G$14),Inputs!$G$14))*$CK186,0))</f>
        <v xml:space="preserve"> </v>
      </c>
      <c r="DG186" s="373" t="str">
        <f t="shared" si="379"/>
        <v xml:space="preserve"> </v>
      </c>
      <c r="DH186" s="373" t="str">
        <f t="shared" si="380"/>
        <v xml:space="preserve"> </v>
      </c>
      <c r="DI186" s="373" t="str">
        <f t="shared" si="381"/>
        <v xml:space="preserve"> </v>
      </c>
      <c r="DJ186" s="373" t="str">
        <f t="shared" si="382"/>
        <v xml:space="preserve"> </v>
      </c>
      <c r="DK186" s="373" t="str">
        <f t="shared" si="383"/>
        <v xml:space="preserve"> </v>
      </c>
      <c r="DL186" s="373" t="str">
        <f t="shared" si="384"/>
        <v xml:space="preserve"> </v>
      </c>
      <c r="DM186" s="373" t="str">
        <f t="shared" si="385"/>
        <v xml:space="preserve"> </v>
      </c>
      <c r="DN186" s="373" t="str">
        <f t="shared" si="386"/>
        <v xml:space="preserve"> </v>
      </c>
      <c r="DO186" s="373" t="str">
        <f t="shared" si="387"/>
        <v xml:space="preserve"> </v>
      </c>
      <c r="DP186" s="375" t="str">
        <f t="shared" si="388"/>
        <v xml:space="preserve"> </v>
      </c>
      <c r="DQ186" t="str">
        <f t="shared" si="414"/>
        <v xml:space="preserve"> </v>
      </c>
      <c r="HD186" t="str">
        <f t="shared" si="415"/>
        <v xml:space="preserve"> </v>
      </c>
      <c r="HE186" t="str">
        <f t="shared" si="416"/>
        <v xml:space="preserve"> </v>
      </c>
      <c r="HF186" t="str">
        <f t="shared" si="417"/>
        <v xml:space="preserve"> </v>
      </c>
    </row>
    <row r="187" spans="1:214">
      <c r="A187" s="415" t="str">
        <f>IF(A186="N/A","N/A",IF(EDATE(A186,1)&gt;Inputs!$K$3,"N/A",EDATE(A186,1)))</f>
        <v>N/A</v>
      </c>
      <c r="B187" s="410" t="str">
        <f t="shared" si="389"/>
        <v xml:space="preserve"> </v>
      </c>
      <c r="C187" s="411" t="str">
        <f t="shared" si="390"/>
        <v xml:space="preserve"> </v>
      </c>
      <c r="D187" s="412" t="str">
        <f t="shared" si="391"/>
        <v xml:space="preserve"> </v>
      </c>
      <c r="E187" s="413" t="str">
        <f>IF($A187="N/A"," ",(C187-'Pricing Inputs'!T220)*D187)</f>
        <v xml:space="preserve"> </v>
      </c>
      <c r="F187" s="414" t="str">
        <f t="shared" si="440"/>
        <v xml:space="preserve"> </v>
      </c>
      <c r="G187" s="414" t="str">
        <f t="shared" si="392"/>
        <v xml:space="preserve"> </v>
      </c>
      <c r="H187" s="416" t="str">
        <f t="shared" si="393"/>
        <v xml:space="preserve"> </v>
      </c>
      <c r="I187" s="213" t="str">
        <f t="shared" si="342"/>
        <v xml:space="preserve"> </v>
      </c>
      <c r="J187" s="213" t="str">
        <f t="shared" si="343"/>
        <v xml:space="preserve"> </v>
      </c>
      <c r="K187" s="213" t="str">
        <f t="shared" si="344"/>
        <v xml:space="preserve"> </v>
      </c>
      <c r="L187" s="213" t="str">
        <f t="shared" si="345"/>
        <v xml:space="preserve"> </v>
      </c>
      <c r="M187" s="213" t="str">
        <f t="shared" si="346"/>
        <v xml:space="preserve"> </v>
      </c>
      <c r="N187" s="213" t="str">
        <f t="shared" si="347"/>
        <v xml:space="preserve"> </v>
      </c>
      <c r="O187" s="213" t="str">
        <f t="shared" si="348"/>
        <v xml:space="preserve"> </v>
      </c>
      <c r="P187" s="213" t="str">
        <f t="shared" si="349"/>
        <v xml:space="preserve"> </v>
      </c>
      <c r="Q187" s="213" t="str">
        <f t="shared" si="350"/>
        <v xml:space="preserve"> </v>
      </c>
      <c r="R187" s="405" t="str">
        <f>IF($A187="N/A"," ",IF(Pricetype=2,MAX(I187-$H187,0),IF(Pricetype=1,(_xll.xSPRDOPT(I187,$E187,$CI187,0,($CD187+IF(Smile=TRUE,VLOOKUP(MAX(-5,$H187-I187),Volsmile,2),0)),$CG187,$CH187,($A187-DateToday)+15,1,0)),I187-$H187)))</f>
        <v xml:space="preserve"> </v>
      </c>
      <c r="S187" s="405" t="str">
        <f>IF($A187="N/A"," ",IF(Pricetype=2,MAX(J187-$H187,0),IF(Pricetype=1,(_xll.xSPRDOPT(J187,$E187,$CI187,0,($CD187+IF(Smile=TRUE,VLOOKUP(MAX(-5,$H187-J187),Volsmile,2),0)),$CG187,$CH187,($A187-DateToday)+15,1,0)),J187-$H187)))</f>
        <v xml:space="preserve"> </v>
      </c>
      <c r="T187" s="406" t="str">
        <f t="shared" si="351"/>
        <v xml:space="preserve"> </v>
      </c>
      <c r="U187" s="405" t="str">
        <f>IF($A187="N/A"," ",IF(Pricetype=2,MAX(L187-$H187,0),IF(L187&lt;&gt;0,IF(Pricetype=1,(_xll.xSPRDOPT(L187,$E187,$CI187,0,($CD187+IF(Smile=TRUE,VLOOKUP(MAX(-5,$H187-L187),Volsmile,2),0)),$CG187,$CH187,($A187-DateToday)+15,1,0)),L187-$H187),0)))</f>
        <v xml:space="preserve"> </v>
      </c>
      <c r="V187" s="405" t="str">
        <f>IF($A187="N/A"," ",IF(Pricetype=2,MAX(M187-$H187,0),IF(M187&lt;&gt;0,IF(Pricetype=1,(_xll.xSPRDOPT(M187,$E187,$CI187,0,($CD187+IF(Smile=TRUE,VLOOKUP(MAX(-5,$H187-M187),Volsmile,2),0)),$CG187,$CH187,($A187-DateToday)+15,1,0)),M187-$H187),0)))</f>
        <v xml:space="preserve"> </v>
      </c>
      <c r="W187" s="406" t="str">
        <f t="shared" si="352"/>
        <v xml:space="preserve"> </v>
      </c>
      <c r="X187" s="405" t="str">
        <f>IF($A187="N/A"," ",IF(Pricetype=2,MAX(O187-$H187,0),IF(O187&lt;&gt;0,IF(Pricetype=1,(_xll.xSPRDOPT(O187,$E187,$CI187,0,($CD187+IF(Smile=TRUE,VLOOKUP(MAX(-5,$H187-O187),Volsmile,2),0)),$CG187,$CH187,($A187-DateToday)+15,1,0)),O187-$H187),0)))</f>
        <v xml:space="preserve"> </v>
      </c>
      <c r="Y187" s="405" t="str">
        <f>IF($A187="N/A"," ",IF(Pricetype=2,MAX(P187-$H187,0),IF(P187&lt;&gt;0,IF(Pricetype=1,(_xll.xSPRDOPT(P187,$E187,$CI187,0,($CD187+IF(Smile=TRUE,VLOOKUP(MAX(-5,$H187-P187),Volsmile,2),0)),$CG187,$CH187,($A187-DateToday)+15,1,0)),P187-$H187),0)))</f>
        <v xml:space="preserve"> </v>
      </c>
      <c r="Z187" s="406" t="str">
        <f t="shared" si="353"/>
        <v xml:space="preserve"> </v>
      </c>
      <c r="AA187" s="254" t="str">
        <f>IF($A187="N/A"," ",IF(VLOOKUP(MONTH(A187),ManualTable,2)=1,(IF(0&lt;&gt;R187,IF(Pricetype=1,(_xll.xSPRDOPT(I187,$E187,$CI187,0,($CD187+IF(Smile=TRUE,VLOOKUP(MAX(-5,$H187-I187),Volsmile,2),0)),$CG187,$CH187,($A187-DateToday)+15,1,1))*(8*$HD187),8*$HD187),0)),0))</f>
        <v xml:space="preserve"> </v>
      </c>
      <c r="AB187" s="254" t="str">
        <f>IF($A187="N/A"," ",IF(VLOOKUP(MONTH(A187),ManualTable,3)=1,(IF(S187&lt;&gt;0,IF(Pricetype=1,(_xll.xSPRDOPT(J187,$E187,$CI187,0,($CD187+IF(Smile=TRUE,VLOOKUP(MAX(-5,$H187-J187),Volsmile,2),0)),$CG187,$CH187,($A187-DateToday)+15,1,1))*(8*$HD187),8*$HD187),0)),0))</f>
        <v xml:space="preserve"> </v>
      </c>
      <c r="AC187" s="254" t="str">
        <f t="shared" si="394"/>
        <v xml:space="preserve"> </v>
      </c>
      <c r="AD187" s="254" t="str">
        <f>IF($A187="N/A"," ",IF(VLOOKUP(MONTH(A187),ManualTable,5)=1,(IF(U187&lt;&gt;0,IF(Pricetype=1,(_xll.xSPRDOPT(L187,$E187,$CI187,0,($CD187+IF(Smile=TRUE,VLOOKUP(MAX(-5,$H187-L187),Volsmile,2),0)),$CG187,$CH187,($A187-DateToday)+15,1,1))*(8*$HE187),8*$HE187),0)),0))</f>
        <v xml:space="preserve"> </v>
      </c>
      <c r="AE187" s="254" t="str">
        <f>IF($A187="N/A"," ",IF(VLOOKUP(MONTH(A187),ManualTable,6)=1,(IF(V187&lt;&gt;0,IF(Pricetype=1,(_xll.xSPRDOPT(M187,$E187,$CI187,0,($CD187+IF(Smile=TRUE,VLOOKUP(MAX(-5,$H187-M187),Volsmile,2),0)),$CG187,$CH187,($A187-DateToday)+15,1,1))*(8*$HE187),8*$HE187),0)),0))</f>
        <v xml:space="preserve"> </v>
      </c>
      <c r="AF187" s="254" t="str">
        <f t="shared" si="395"/>
        <v xml:space="preserve"> </v>
      </c>
      <c r="AG187" s="254" t="str">
        <f>IF($A187="N/A"," ",IF(VLOOKUP(MONTH(A187),ManualTable,8)=1,(IF(X187&lt;&gt;0,IF(Pricetype=1,(_xll.xSPRDOPT(O187,$E187,$CI187,0,($CD187+IF(Smile=TRUE,VLOOKUP(MAX(-5,$H187-O187),Volsmile,2),0)),$CG187,$CH187,($A187-DateToday)+15,1,1))*(8*$HF187),8*$HF187),0)),0))</f>
        <v xml:space="preserve"> </v>
      </c>
      <c r="AH187" s="254" t="str">
        <f>IF($A187="N/A"," ",IF(VLOOKUP(MONTH(A187),ManualTable,9)=1,(IF(Y187&lt;&gt;0,IF(Pricetype=1,(_xll.xSPRDOPT(P187,$E187,$CI187,0,($CD187+IF(Smile=TRUE,VLOOKUP(MAX(-5,$H187-P187),Volsmile,2),0)),$CG187,$CH187,($A187-DateToday)+15,1,1))*(8*$HF187),8*$HF187),0)),0))</f>
        <v xml:space="preserve"> </v>
      </c>
      <c r="AI187" s="254" t="str">
        <f t="shared" si="396"/>
        <v xml:space="preserve"> </v>
      </c>
      <c r="AJ187" s="227" t="str">
        <f t="shared" si="494"/>
        <v xml:space="preserve"> </v>
      </c>
      <c r="AK187" s="228" t="str">
        <f t="shared" si="495"/>
        <v xml:space="preserve"> </v>
      </c>
      <c r="AL187" s="228" t="str">
        <f t="shared" si="495"/>
        <v xml:space="preserve"> </v>
      </c>
      <c r="AM187" s="228" t="str">
        <f t="shared" si="496"/>
        <v xml:space="preserve"> </v>
      </c>
      <c r="AN187" s="228" t="str">
        <f t="shared" si="497"/>
        <v xml:space="preserve"> </v>
      </c>
      <c r="AO187" s="228" t="str">
        <f t="shared" si="497"/>
        <v xml:space="preserve"> </v>
      </c>
      <c r="AP187" s="228" t="str">
        <f t="shared" si="498"/>
        <v xml:space="preserve"> </v>
      </c>
      <c r="AQ187" s="228" t="str">
        <f t="shared" si="499"/>
        <v xml:space="preserve"> </v>
      </c>
      <c r="AR187" s="229" t="str">
        <f t="shared" si="500"/>
        <v xml:space="preserve"> </v>
      </c>
      <c r="AS187" s="262" t="str">
        <f t="shared" si="433"/>
        <v xml:space="preserve"> </v>
      </c>
      <c r="AT187" s="263" t="str">
        <f t="shared" si="434"/>
        <v xml:space="preserve"> </v>
      </c>
      <c r="AU187" s="263" t="str">
        <f t="shared" si="434"/>
        <v xml:space="preserve"> </v>
      </c>
      <c r="AV187" s="263" t="str">
        <f t="shared" si="435"/>
        <v xml:space="preserve"> </v>
      </c>
      <c r="AW187" s="263" t="str">
        <f t="shared" si="436"/>
        <v xml:space="preserve"> </v>
      </c>
      <c r="AX187" s="263" t="str">
        <f t="shared" si="436"/>
        <v xml:space="preserve"> </v>
      </c>
      <c r="AY187" s="263" t="str">
        <f t="shared" si="437"/>
        <v xml:space="preserve"> </v>
      </c>
      <c r="AZ187" s="263" t="str">
        <f t="shared" si="438"/>
        <v xml:space="preserve"> </v>
      </c>
      <c r="BA187" s="263" t="str">
        <f t="shared" si="439"/>
        <v xml:space="preserve"> </v>
      </c>
      <c r="BB187" s="229"/>
      <c r="BC187" s="266" t="str">
        <f t="shared" si="487"/>
        <v xml:space="preserve"> </v>
      </c>
      <c r="BD187" s="269" t="str">
        <f t="shared" si="488"/>
        <v xml:space="preserve"> </v>
      </c>
      <c r="BE187" s="269" t="str">
        <f t="shared" si="488"/>
        <v xml:space="preserve"> </v>
      </c>
      <c r="BF187" s="269" t="str">
        <f t="shared" si="489"/>
        <v xml:space="preserve"> </v>
      </c>
      <c r="BG187" s="269" t="str">
        <f t="shared" si="490"/>
        <v xml:space="preserve"> </v>
      </c>
      <c r="BH187" s="269" t="str">
        <f t="shared" si="490"/>
        <v xml:space="preserve"> </v>
      </c>
      <c r="BI187" s="269" t="str">
        <f t="shared" si="491"/>
        <v xml:space="preserve"> </v>
      </c>
      <c r="BJ187" s="269" t="str">
        <f t="shared" si="492"/>
        <v xml:space="preserve"> </v>
      </c>
      <c r="BK187" s="269" t="str">
        <f t="shared" si="493"/>
        <v xml:space="preserve"> </v>
      </c>
      <c r="BL187" s="229"/>
      <c r="BM187" s="220" t="str">
        <f>IF($A187="N/A"," ",(IF(MONTH(A187)&gt;=4,IF(MONTH(A187)&lt;=10,Inputs!$F$13-Inputs!$G$13,Inputs!$F$14-Inputs!$G$14),Inputs!$F$14-Inputs!$G$14))*$CK187*Availability)</f>
        <v xml:space="preserve"> </v>
      </c>
      <c r="BN187" s="221" t="str">
        <f t="shared" si="397"/>
        <v xml:space="preserve"> </v>
      </c>
      <c r="BO187" s="221" t="str">
        <f t="shared" si="398"/>
        <v xml:space="preserve"> </v>
      </c>
      <c r="BP187" s="221" t="str">
        <f t="shared" si="399"/>
        <v xml:space="preserve"> </v>
      </c>
      <c r="BQ187" s="221" t="str">
        <f t="shared" si="400"/>
        <v xml:space="preserve"> </v>
      </c>
      <c r="BR187" s="221" t="str">
        <f t="shared" si="401"/>
        <v xml:space="preserve"> </v>
      </c>
      <c r="BS187" s="221" t="str">
        <f t="shared" si="402"/>
        <v xml:space="preserve"> </v>
      </c>
      <c r="BT187" s="221" t="str">
        <f t="shared" si="403"/>
        <v xml:space="preserve"> </v>
      </c>
      <c r="BU187" s="221" t="str">
        <f t="shared" si="404"/>
        <v xml:space="preserve"> </v>
      </c>
      <c r="BV187" s="221" t="str">
        <f t="shared" si="405"/>
        <v xml:space="preserve"> </v>
      </c>
      <c r="BW187" s="221" t="str">
        <f t="shared" si="406"/>
        <v xml:space="preserve"> </v>
      </c>
      <c r="BX187" s="421" t="str">
        <f t="shared" si="407"/>
        <v xml:space="preserve"> </v>
      </c>
      <c r="BY187" s="417" t="str">
        <f t="shared" si="408"/>
        <v xml:space="preserve"> </v>
      </c>
      <c r="BZ187" s="417" t="str">
        <f t="shared" si="409"/>
        <v xml:space="preserve"> </v>
      </c>
      <c r="CA187" s="422" t="str">
        <f t="shared" si="410"/>
        <v xml:space="preserve"> </v>
      </c>
      <c r="CB187" s="347" t="str">
        <f t="shared" si="354"/>
        <v xml:space="preserve"> </v>
      </c>
      <c r="CC187" s="347" t="str">
        <f t="shared" si="411"/>
        <v xml:space="preserve"> </v>
      </c>
      <c r="CD187" s="348" t="str">
        <f t="shared" si="355"/>
        <v xml:space="preserve"> </v>
      </c>
      <c r="CE187" s="347" t="str">
        <f t="shared" si="356"/>
        <v xml:space="preserve"> </v>
      </c>
      <c r="CF187" s="347" t="str">
        <f t="shared" si="357"/>
        <v xml:space="preserve"> </v>
      </c>
      <c r="CG187" s="348" t="str">
        <f t="shared" si="358"/>
        <v xml:space="preserve"> </v>
      </c>
      <c r="CH187" s="347" t="str">
        <f t="shared" si="412"/>
        <v xml:space="preserve"> </v>
      </c>
      <c r="CI187" s="349" t="str">
        <f>IF($A187="N/A"," ",F187+G187+(D187*('Pricing Inputs'!T220)))</f>
        <v xml:space="preserve"> </v>
      </c>
      <c r="CJ187" s="347" t="str">
        <f>IF($A187="N/A"," ",IF(PV=1,0,'Pricing Inputs'!U220))</f>
        <v xml:space="preserve"> </v>
      </c>
      <c r="CK187" s="350" t="str">
        <f t="shared" si="359"/>
        <v xml:space="preserve"> </v>
      </c>
      <c r="CL187" s="365" t="str">
        <f t="shared" si="360"/>
        <v xml:space="preserve"> </v>
      </c>
      <c r="CM187" s="380" t="str">
        <f t="shared" si="413"/>
        <v xml:space="preserve"> </v>
      </c>
      <c r="CN187" s="378" t="str">
        <f t="shared" si="361"/>
        <v xml:space="preserve"> </v>
      </c>
      <c r="CO187" s="378" t="str">
        <f t="shared" si="362"/>
        <v xml:space="preserve"> </v>
      </c>
      <c r="CP187" s="378" t="str">
        <f t="shared" si="363"/>
        <v xml:space="preserve"> </v>
      </c>
      <c r="CQ187" s="378" t="str">
        <f t="shared" si="364"/>
        <v xml:space="preserve"> </v>
      </c>
      <c r="CR187" s="378" t="str">
        <f t="shared" si="365"/>
        <v xml:space="preserve"> </v>
      </c>
      <c r="CS187" s="378" t="str">
        <f t="shared" si="366"/>
        <v xml:space="preserve"> </v>
      </c>
      <c r="CT187" s="378" t="str">
        <f t="shared" si="367"/>
        <v xml:space="preserve"> </v>
      </c>
      <c r="CU187" s="378" t="str">
        <f t="shared" si="368"/>
        <v xml:space="preserve"> </v>
      </c>
      <c r="CV187" s="378" t="str">
        <f t="shared" si="369"/>
        <v xml:space="preserve"> </v>
      </c>
      <c r="CW187" s="254" t="str">
        <f t="shared" si="370"/>
        <v xml:space="preserve"> </v>
      </c>
      <c r="CX187" s="254" t="str">
        <f t="shared" si="371"/>
        <v xml:space="preserve"> </v>
      </c>
      <c r="CY187" s="254" t="str">
        <f t="shared" si="372"/>
        <v xml:space="preserve"> </v>
      </c>
      <c r="CZ187" s="254" t="str">
        <f t="shared" si="373"/>
        <v xml:space="preserve"> </v>
      </c>
      <c r="DA187" s="254" t="str">
        <f t="shared" si="374"/>
        <v xml:space="preserve"> </v>
      </c>
      <c r="DB187" s="254" t="str">
        <f t="shared" si="375"/>
        <v xml:space="preserve"> </v>
      </c>
      <c r="DC187" s="254" t="str">
        <f t="shared" si="376"/>
        <v xml:space="preserve"> </v>
      </c>
      <c r="DD187" s="254" t="str">
        <f t="shared" si="377"/>
        <v xml:space="preserve"> </v>
      </c>
      <c r="DE187" s="254" t="str">
        <f t="shared" si="378"/>
        <v xml:space="preserve"> </v>
      </c>
      <c r="DF187" s="374" t="str">
        <f>IF($A187="N/A"," ",IF(CC=2,(IF(MONTH(A187)&gt;=4,IF(MONTH(A187)&lt;=10,Inputs!$G$13,Inputs!$G$14),Inputs!$G$14))*$CK187,0))</f>
        <v xml:space="preserve"> </v>
      </c>
      <c r="DG187" s="373" t="str">
        <f t="shared" si="379"/>
        <v xml:space="preserve"> </v>
      </c>
      <c r="DH187" s="373" t="str">
        <f t="shared" si="380"/>
        <v xml:space="preserve"> </v>
      </c>
      <c r="DI187" s="373" t="str">
        <f t="shared" si="381"/>
        <v xml:space="preserve"> </v>
      </c>
      <c r="DJ187" s="373" t="str">
        <f t="shared" si="382"/>
        <v xml:space="preserve"> </v>
      </c>
      <c r="DK187" s="373" t="str">
        <f t="shared" si="383"/>
        <v xml:space="preserve"> </v>
      </c>
      <c r="DL187" s="373" t="str">
        <f t="shared" si="384"/>
        <v xml:space="preserve"> </v>
      </c>
      <c r="DM187" s="373" t="str">
        <f t="shared" si="385"/>
        <v xml:space="preserve"> </v>
      </c>
      <c r="DN187" s="373" t="str">
        <f t="shared" si="386"/>
        <v xml:space="preserve"> </v>
      </c>
      <c r="DO187" s="373" t="str">
        <f t="shared" si="387"/>
        <v xml:space="preserve"> </v>
      </c>
      <c r="DP187" s="375" t="str">
        <f t="shared" si="388"/>
        <v xml:space="preserve"> </v>
      </c>
      <c r="DQ187" t="str">
        <f t="shared" si="414"/>
        <v xml:space="preserve"> </v>
      </c>
      <c r="HD187" t="str">
        <f t="shared" si="415"/>
        <v xml:space="preserve"> </v>
      </c>
      <c r="HE187" t="str">
        <f t="shared" si="416"/>
        <v xml:space="preserve"> </v>
      </c>
      <c r="HF187" t="str">
        <f t="shared" si="417"/>
        <v xml:space="preserve"> </v>
      </c>
    </row>
    <row r="188" spans="1:214">
      <c r="A188" s="415" t="str">
        <f>IF(A187="N/A","N/A",IF(EDATE(A187,1)&gt;Inputs!$K$3,"N/A",EDATE(A187,1)))</f>
        <v>N/A</v>
      </c>
      <c r="B188" s="410" t="str">
        <f t="shared" si="389"/>
        <v xml:space="preserve"> </v>
      </c>
      <c r="C188" s="411" t="str">
        <f t="shared" si="390"/>
        <v xml:space="preserve"> </v>
      </c>
      <c r="D188" s="412" t="str">
        <f t="shared" si="391"/>
        <v xml:space="preserve"> </v>
      </c>
      <c r="E188" s="413" t="str">
        <f>IF($A188="N/A"," ",(C188-'Pricing Inputs'!T221)*D188)</f>
        <v xml:space="preserve"> </v>
      </c>
      <c r="F188" s="414" t="str">
        <f t="shared" si="440"/>
        <v xml:space="preserve"> </v>
      </c>
      <c r="G188" s="414" t="str">
        <f t="shared" si="392"/>
        <v xml:space="preserve"> </v>
      </c>
      <c r="H188" s="416" t="str">
        <f t="shared" si="393"/>
        <v xml:space="preserve"> </v>
      </c>
      <c r="I188" s="213" t="str">
        <f t="shared" si="342"/>
        <v xml:space="preserve"> </v>
      </c>
      <c r="J188" s="213" t="str">
        <f t="shared" si="343"/>
        <v xml:space="preserve"> </v>
      </c>
      <c r="K188" s="213" t="str">
        <f t="shared" si="344"/>
        <v xml:space="preserve"> </v>
      </c>
      <c r="L188" s="213" t="str">
        <f t="shared" si="345"/>
        <v xml:space="preserve"> </v>
      </c>
      <c r="M188" s="213" t="str">
        <f t="shared" si="346"/>
        <v xml:space="preserve"> </v>
      </c>
      <c r="N188" s="213" t="str">
        <f t="shared" si="347"/>
        <v xml:space="preserve"> </v>
      </c>
      <c r="O188" s="213" t="str">
        <f t="shared" si="348"/>
        <v xml:space="preserve"> </v>
      </c>
      <c r="P188" s="213" t="str">
        <f t="shared" si="349"/>
        <v xml:space="preserve"> </v>
      </c>
      <c r="Q188" s="213" t="str">
        <f t="shared" si="350"/>
        <v xml:space="preserve"> </v>
      </c>
      <c r="R188" s="405" t="str">
        <f>IF($A188="N/A"," ",IF(Pricetype=2,MAX(I188-$H188,0),IF(Pricetype=1,(_xll.xSPRDOPT(I188,$E188,$CI188,0,($CD188+IF(Smile=TRUE,VLOOKUP(MAX(-5,$H188-I188),Volsmile,2),0)),$CG188,$CH188,($A188-DateToday)+15,1,0)),I188-$H188)))</f>
        <v xml:space="preserve"> </v>
      </c>
      <c r="S188" s="405" t="str">
        <f>IF($A188="N/A"," ",IF(Pricetype=2,MAX(J188-$H188,0),IF(Pricetype=1,(_xll.xSPRDOPT(J188,$E188,$CI188,0,($CD188+IF(Smile=TRUE,VLOOKUP(MAX(-5,$H188-J188),Volsmile,2),0)),$CG188,$CH188,($A188-DateToday)+15,1,0)),J188-$H188)))</f>
        <v xml:space="preserve"> </v>
      </c>
      <c r="T188" s="406" t="str">
        <f t="shared" si="351"/>
        <v xml:space="preserve"> </v>
      </c>
      <c r="U188" s="405" t="str">
        <f>IF($A188="N/A"," ",IF(Pricetype=2,MAX(L188-$H188,0),IF(L188&lt;&gt;0,IF(Pricetype=1,(_xll.xSPRDOPT(L188,$E188,$CI188,0,($CD188+IF(Smile=TRUE,VLOOKUP(MAX(-5,$H188-L188),Volsmile,2),0)),$CG188,$CH188,($A188-DateToday)+15,1,0)),L188-$H188),0)))</f>
        <v xml:space="preserve"> </v>
      </c>
      <c r="V188" s="405" t="str">
        <f>IF($A188="N/A"," ",IF(Pricetype=2,MAX(M188-$H188,0),IF(M188&lt;&gt;0,IF(Pricetype=1,(_xll.xSPRDOPT(M188,$E188,$CI188,0,($CD188+IF(Smile=TRUE,VLOOKUP(MAX(-5,$H188-M188),Volsmile,2),0)),$CG188,$CH188,($A188-DateToday)+15,1,0)),M188-$H188),0)))</f>
        <v xml:space="preserve"> </v>
      </c>
      <c r="W188" s="406" t="str">
        <f t="shared" si="352"/>
        <v xml:space="preserve"> </v>
      </c>
      <c r="X188" s="405" t="str">
        <f>IF($A188="N/A"," ",IF(Pricetype=2,MAX(O188-$H188,0),IF(O188&lt;&gt;0,IF(Pricetype=1,(_xll.xSPRDOPT(O188,$E188,$CI188,0,($CD188+IF(Smile=TRUE,VLOOKUP(MAX(-5,$H188-O188),Volsmile,2),0)),$CG188,$CH188,($A188-DateToday)+15,1,0)),O188-$H188),0)))</f>
        <v xml:space="preserve"> </v>
      </c>
      <c r="Y188" s="405" t="str">
        <f>IF($A188="N/A"," ",IF(Pricetype=2,MAX(P188-$H188,0),IF(P188&lt;&gt;0,IF(Pricetype=1,(_xll.xSPRDOPT(P188,$E188,$CI188,0,($CD188+IF(Smile=TRUE,VLOOKUP(MAX(-5,$H188-P188),Volsmile,2),0)),$CG188,$CH188,($A188-DateToday)+15,1,0)),P188-$H188),0)))</f>
        <v xml:space="preserve"> </v>
      </c>
      <c r="Z188" s="406" t="str">
        <f t="shared" si="353"/>
        <v xml:space="preserve"> </v>
      </c>
      <c r="AA188" s="254" t="str">
        <f>IF($A188="N/A"," ",IF(VLOOKUP(MONTH(A188),ManualTable,2)=1,(IF(0&lt;&gt;R188,IF(Pricetype=1,(_xll.xSPRDOPT(I188,$E188,$CI188,0,($CD188+IF(Smile=TRUE,VLOOKUP(MAX(-5,$H188-I188),Volsmile,2),0)),$CG188,$CH188,($A188-DateToday)+15,1,1))*(8*$HD188),8*$HD188),0)),0))</f>
        <v xml:space="preserve"> </v>
      </c>
      <c r="AB188" s="254" t="str">
        <f>IF($A188="N/A"," ",IF(VLOOKUP(MONTH(A188),ManualTable,3)=1,(IF(S188&lt;&gt;0,IF(Pricetype=1,(_xll.xSPRDOPT(J188,$E188,$CI188,0,($CD188+IF(Smile=TRUE,VLOOKUP(MAX(-5,$H188-J188),Volsmile,2),0)),$CG188,$CH188,($A188-DateToday)+15,1,1))*(8*$HD188),8*$HD188),0)),0))</f>
        <v xml:space="preserve"> </v>
      </c>
      <c r="AC188" s="254" t="str">
        <f t="shared" si="394"/>
        <v xml:space="preserve"> </v>
      </c>
      <c r="AD188" s="254" t="str">
        <f>IF($A188="N/A"," ",IF(VLOOKUP(MONTH(A188),ManualTable,5)=1,(IF(U188&lt;&gt;0,IF(Pricetype=1,(_xll.xSPRDOPT(L188,$E188,$CI188,0,($CD188+IF(Smile=TRUE,VLOOKUP(MAX(-5,$H188-L188),Volsmile,2),0)),$CG188,$CH188,($A188-DateToday)+15,1,1))*(8*$HE188),8*$HE188),0)),0))</f>
        <v xml:space="preserve"> </v>
      </c>
      <c r="AE188" s="254" t="str">
        <f>IF($A188="N/A"," ",IF(VLOOKUP(MONTH(A188),ManualTable,6)=1,(IF(V188&lt;&gt;0,IF(Pricetype=1,(_xll.xSPRDOPT(M188,$E188,$CI188,0,($CD188+IF(Smile=TRUE,VLOOKUP(MAX(-5,$H188-M188),Volsmile,2),0)),$CG188,$CH188,($A188-DateToday)+15,1,1))*(8*$HE188),8*$HE188),0)),0))</f>
        <v xml:space="preserve"> </v>
      </c>
      <c r="AF188" s="254" t="str">
        <f t="shared" si="395"/>
        <v xml:space="preserve"> </v>
      </c>
      <c r="AG188" s="254" t="str">
        <f>IF($A188="N/A"," ",IF(VLOOKUP(MONTH(A188),ManualTable,8)=1,(IF(X188&lt;&gt;0,IF(Pricetype=1,(_xll.xSPRDOPT(O188,$E188,$CI188,0,($CD188+IF(Smile=TRUE,VLOOKUP(MAX(-5,$H188-O188),Volsmile,2),0)),$CG188,$CH188,($A188-DateToday)+15,1,1))*(8*$HF188),8*$HF188),0)),0))</f>
        <v xml:space="preserve"> </v>
      </c>
      <c r="AH188" s="254" t="str">
        <f>IF($A188="N/A"," ",IF(VLOOKUP(MONTH(A188),ManualTable,9)=1,(IF(Y188&lt;&gt;0,IF(Pricetype=1,(_xll.xSPRDOPT(P188,$E188,$CI188,0,($CD188+IF(Smile=TRUE,VLOOKUP(MAX(-5,$H188-P188),Volsmile,2),0)),$CG188,$CH188,($A188-DateToday)+15,1,1))*(8*$HF188),8*$HF188),0)),0))</f>
        <v xml:space="preserve"> </v>
      </c>
      <c r="AI188" s="254" t="str">
        <f t="shared" si="396"/>
        <v xml:space="preserve"> </v>
      </c>
      <c r="AJ188" s="227" t="str">
        <f t="shared" si="494"/>
        <v xml:space="preserve"> </v>
      </c>
      <c r="AK188" s="228" t="str">
        <f t="shared" si="495"/>
        <v xml:space="preserve"> </v>
      </c>
      <c r="AL188" s="228" t="str">
        <f t="shared" si="495"/>
        <v xml:space="preserve"> </v>
      </c>
      <c r="AM188" s="228" t="str">
        <f t="shared" si="496"/>
        <v xml:space="preserve"> </v>
      </c>
      <c r="AN188" s="228" t="str">
        <f t="shared" si="497"/>
        <v xml:space="preserve"> </v>
      </c>
      <c r="AO188" s="228" t="str">
        <f t="shared" si="497"/>
        <v xml:space="preserve"> </v>
      </c>
      <c r="AP188" s="228" t="str">
        <f t="shared" si="498"/>
        <v xml:space="preserve"> </v>
      </c>
      <c r="AQ188" s="228" t="str">
        <f t="shared" si="499"/>
        <v xml:space="preserve"> </v>
      </c>
      <c r="AR188" s="229" t="str">
        <f t="shared" si="500"/>
        <v xml:space="preserve"> </v>
      </c>
      <c r="AS188" s="262" t="str">
        <f t="shared" si="433"/>
        <v xml:space="preserve"> </v>
      </c>
      <c r="AT188" s="263" t="str">
        <f t="shared" si="434"/>
        <v xml:space="preserve"> </v>
      </c>
      <c r="AU188" s="263" t="str">
        <f t="shared" si="434"/>
        <v xml:space="preserve"> </v>
      </c>
      <c r="AV188" s="263" t="str">
        <f t="shared" si="435"/>
        <v xml:space="preserve"> </v>
      </c>
      <c r="AW188" s="263" t="str">
        <f t="shared" si="436"/>
        <v xml:space="preserve"> </v>
      </c>
      <c r="AX188" s="263" t="str">
        <f t="shared" si="436"/>
        <v xml:space="preserve"> </v>
      </c>
      <c r="AY188" s="263" t="str">
        <f t="shared" si="437"/>
        <v xml:space="preserve"> </v>
      </c>
      <c r="AZ188" s="263" t="str">
        <f t="shared" si="438"/>
        <v xml:space="preserve"> </v>
      </c>
      <c r="BA188" s="263" t="str">
        <f t="shared" si="439"/>
        <v xml:space="preserve"> </v>
      </c>
      <c r="BB188" s="229"/>
      <c r="BC188" s="266" t="str">
        <f t="shared" si="487"/>
        <v xml:space="preserve"> </v>
      </c>
      <c r="BD188" s="269" t="str">
        <f t="shared" si="488"/>
        <v xml:space="preserve"> </v>
      </c>
      <c r="BE188" s="269" t="str">
        <f t="shared" si="488"/>
        <v xml:space="preserve"> </v>
      </c>
      <c r="BF188" s="269" t="str">
        <f t="shared" si="489"/>
        <v xml:space="preserve"> </v>
      </c>
      <c r="BG188" s="269" t="str">
        <f t="shared" si="490"/>
        <v xml:space="preserve"> </v>
      </c>
      <c r="BH188" s="269" t="str">
        <f t="shared" si="490"/>
        <v xml:space="preserve"> </v>
      </c>
      <c r="BI188" s="269" t="str">
        <f t="shared" si="491"/>
        <v xml:space="preserve"> </v>
      </c>
      <c r="BJ188" s="269" t="str">
        <f t="shared" si="492"/>
        <v xml:space="preserve"> </v>
      </c>
      <c r="BK188" s="269" t="str">
        <f t="shared" si="493"/>
        <v xml:space="preserve"> </v>
      </c>
      <c r="BL188" s="229"/>
      <c r="BM188" s="220" t="str">
        <f>IF($A188="N/A"," ",(IF(MONTH(A188)&gt;=4,IF(MONTH(A188)&lt;=10,Inputs!$F$13-Inputs!$G$13,Inputs!$F$14-Inputs!$G$14),Inputs!$F$14-Inputs!$G$14))*$CK188*Availability)</f>
        <v xml:space="preserve"> </v>
      </c>
      <c r="BN188" s="221" t="str">
        <f t="shared" si="397"/>
        <v xml:space="preserve"> </v>
      </c>
      <c r="BO188" s="221" t="str">
        <f t="shared" si="398"/>
        <v xml:space="preserve"> </v>
      </c>
      <c r="BP188" s="221" t="str">
        <f t="shared" si="399"/>
        <v xml:space="preserve"> </v>
      </c>
      <c r="BQ188" s="221" t="str">
        <f t="shared" si="400"/>
        <v xml:space="preserve"> </v>
      </c>
      <c r="BR188" s="221" t="str">
        <f t="shared" si="401"/>
        <v xml:space="preserve"> </v>
      </c>
      <c r="BS188" s="221" t="str">
        <f t="shared" si="402"/>
        <v xml:space="preserve"> </v>
      </c>
      <c r="BT188" s="221" t="str">
        <f t="shared" si="403"/>
        <v xml:space="preserve"> </v>
      </c>
      <c r="BU188" s="221" t="str">
        <f t="shared" si="404"/>
        <v xml:space="preserve"> </v>
      </c>
      <c r="BV188" s="221" t="str">
        <f t="shared" si="405"/>
        <v xml:space="preserve"> </v>
      </c>
      <c r="BW188" s="221" t="str">
        <f t="shared" si="406"/>
        <v xml:space="preserve"> </v>
      </c>
      <c r="BX188" s="421" t="str">
        <f t="shared" si="407"/>
        <v xml:space="preserve"> </v>
      </c>
      <c r="BY188" s="417" t="str">
        <f t="shared" si="408"/>
        <v xml:space="preserve"> </v>
      </c>
      <c r="BZ188" s="417" t="str">
        <f t="shared" si="409"/>
        <v xml:space="preserve"> </v>
      </c>
      <c r="CA188" s="422" t="str">
        <f t="shared" si="410"/>
        <v xml:space="preserve"> </v>
      </c>
      <c r="CB188" s="347" t="str">
        <f t="shared" si="354"/>
        <v xml:space="preserve"> </v>
      </c>
      <c r="CC188" s="347" t="str">
        <f t="shared" si="411"/>
        <v xml:space="preserve"> </v>
      </c>
      <c r="CD188" s="348" t="str">
        <f t="shared" si="355"/>
        <v xml:space="preserve"> </v>
      </c>
      <c r="CE188" s="347" t="str">
        <f t="shared" si="356"/>
        <v xml:space="preserve"> </v>
      </c>
      <c r="CF188" s="347" t="str">
        <f t="shared" si="357"/>
        <v xml:space="preserve"> </v>
      </c>
      <c r="CG188" s="348" t="str">
        <f t="shared" si="358"/>
        <v xml:space="preserve"> </v>
      </c>
      <c r="CH188" s="347" t="str">
        <f t="shared" si="412"/>
        <v xml:space="preserve"> </v>
      </c>
      <c r="CI188" s="349" t="str">
        <f>IF($A188="N/A"," ",F188+G188+(D188*('Pricing Inputs'!T221)))</f>
        <v xml:space="preserve"> </v>
      </c>
      <c r="CJ188" s="347" t="str">
        <f>IF($A188="N/A"," ",IF(PV=1,0,'Pricing Inputs'!U221))</f>
        <v xml:space="preserve"> </v>
      </c>
      <c r="CK188" s="350" t="str">
        <f t="shared" si="359"/>
        <v xml:space="preserve"> </v>
      </c>
      <c r="CL188" s="365" t="str">
        <f t="shared" si="360"/>
        <v xml:space="preserve"> </v>
      </c>
      <c r="CM188" s="380" t="str">
        <f t="shared" si="413"/>
        <v xml:space="preserve"> </v>
      </c>
      <c r="CN188" s="378" t="str">
        <f t="shared" si="361"/>
        <v xml:space="preserve"> </v>
      </c>
      <c r="CO188" s="378" t="str">
        <f t="shared" si="362"/>
        <v xml:space="preserve"> </v>
      </c>
      <c r="CP188" s="378" t="str">
        <f t="shared" si="363"/>
        <v xml:space="preserve"> </v>
      </c>
      <c r="CQ188" s="378" t="str">
        <f t="shared" si="364"/>
        <v xml:space="preserve"> </v>
      </c>
      <c r="CR188" s="378" t="str">
        <f t="shared" si="365"/>
        <v xml:space="preserve"> </v>
      </c>
      <c r="CS188" s="378" t="str">
        <f t="shared" si="366"/>
        <v xml:space="preserve"> </v>
      </c>
      <c r="CT188" s="378" t="str">
        <f t="shared" si="367"/>
        <v xml:space="preserve"> </v>
      </c>
      <c r="CU188" s="378" t="str">
        <f t="shared" si="368"/>
        <v xml:space="preserve"> </v>
      </c>
      <c r="CV188" s="378" t="str">
        <f t="shared" si="369"/>
        <v xml:space="preserve"> </v>
      </c>
      <c r="CW188" s="254" t="str">
        <f t="shared" si="370"/>
        <v xml:space="preserve"> </v>
      </c>
      <c r="CX188" s="254" t="str">
        <f t="shared" si="371"/>
        <v xml:space="preserve"> </v>
      </c>
      <c r="CY188" s="254" t="str">
        <f t="shared" si="372"/>
        <v xml:space="preserve"> </v>
      </c>
      <c r="CZ188" s="254" t="str">
        <f t="shared" si="373"/>
        <v xml:space="preserve"> </v>
      </c>
      <c r="DA188" s="254" t="str">
        <f t="shared" si="374"/>
        <v xml:space="preserve"> </v>
      </c>
      <c r="DB188" s="254" t="str">
        <f t="shared" si="375"/>
        <v xml:space="preserve"> </v>
      </c>
      <c r="DC188" s="254" t="str">
        <f t="shared" si="376"/>
        <v xml:space="preserve"> </v>
      </c>
      <c r="DD188" s="254" t="str">
        <f t="shared" si="377"/>
        <v xml:space="preserve"> </v>
      </c>
      <c r="DE188" s="254" t="str">
        <f t="shared" si="378"/>
        <v xml:space="preserve"> </v>
      </c>
      <c r="DF188" s="374" t="str">
        <f>IF($A188="N/A"," ",IF(CC=2,(IF(MONTH(A188)&gt;=4,IF(MONTH(A188)&lt;=10,Inputs!$G$13,Inputs!$G$14),Inputs!$G$14))*$CK188,0))</f>
        <v xml:space="preserve"> </v>
      </c>
      <c r="DG188" s="373" t="str">
        <f t="shared" si="379"/>
        <v xml:space="preserve"> </v>
      </c>
      <c r="DH188" s="373" t="str">
        <f t="shared" si="380"/>
        <v xml:space="preserve"> </v>
      </c>
      <c r="DI188" s="373" t="str">
        <f t="shared" si="381"/>
        <v xml:space="preserve"> </v>
      </c>
      <c r="DJ188" s="373" t="str">
        <f t="shared" si="382"/>
        <v xml:space="preserve"> </v>
      </c>
      <c r="DK188" s="373" t="str">
        <f t="shared" si="383"/>
        <v xml:space="preserve"> </v>
      </c>
      <c r="DL188" s="373" t="str">
        <f t="shared" si="384"/>
        <v xml:space="preserve"> </v>
      </c>
      <c r="DM188" s="373" t="str">
        <f t="shared" si="385"/>
        <v xml:space="preserve"> </v>
      </c>
      <c r="DN188" s="373" t="str">
        <f t="shared" si="386"/>
        <v xml:space="preserve"> </v>
      </c>
      <c r="DO188" s="373" t="str">
        <f t="shared" si="387"/>
        <v xml:space="preserve"> </v>
      </c>
      <c r="DP188" s="375" t="str">
        <f t="shared" si="388"/>
        <v xml:space="preserve"> </v>
      </c>
      <c r="DQ188" t="str">
        <f t="shared" si="414"/>
        <v xml:space="preserve"> </v>
      </c>
      <c r="HD188" t="str">
        <f t="shared" si="415"/>
        <v xml:space="preserve"> </v>
      </c>
      <c r="HE188" t="str">
        <f t="shared" si="416"/>
        <v xml:space="preserve"> </v>
      </c>
      <c r="HF188" t="str">
        <f t="shared" si="417"/>
        <v xml:space="preserve"> </v>
      </c>
    </row>
    <row r="189" spans="1:214">
      <c r="A189" s="415" t="str">
        <f>IF(A188="N/A","N/A",IF(EDATE(A188,1)&gt;Inputs!$K$3,"N/A",EDATE(A188,1)))</f>
        <v>N/A</v>
      </c>
      <c r="B189" s="410" t="str">
        <f t="shared" si="389"/>
        <v xml:space="preserve"> </v>
      </c>
      <c r="C189" s="411" t="str">
        <f t="shared" si="390"/>
        <v xml:space="preserve"> </v>
      </c>
      <c r="D189" s="412" t="str">
        <f t="shared" si="391"/>
        <v xml:space="preserve"> </v>
      </c>
      <c r="E189" s="413" t="str">
        <f>IF($A189="N/A"," ",(C189-'Pricing Inputs'!T222)*D189)</f>
        <v xml:space="preserve"> </v>
      </c>
      <c r="F189" s="414" t="str">
        <f t="shared" si="440"/>
        <v xml:space="preserve"> </v>
      </c>
      <c r="G189" s="414" t="str">
        <f t="shared" si="392"/>
        <v xml:space="preserve"> </v>
      </c>
      <c r="H189" s="416" t="str">
        <f t="shared" si="393"/>
        <v xml:space="preserve"> </v>
      </c>
      <c r="I189" s="213" t="str">
        <f t="shared" si="342"/>
        <v xml:space="preserve"> </v>
      </c>
      <c r="J189" s="213" t="str">
        <f t="shared" si="343"/>
        <v xml:space="preserve"> </v>
      </c>
      <c r="K189" s="213" t="str">
        <f t="shared" si="344"/>
        <v xml:space="preserve"> </v>
      </c>
      <c r="L189" s="213" t="str">
        <f t="shared" si="345"/>
        <v xml:space="preserve"> </v>
      </c>
      <c r="M189" s="213" t="str">
        <f t="shared" si="346"/>
        <v xml:space="preserve"> </v>
      </c>
      <c r="N189" s="213" t="str">
        <f t="shared" si="347"/>
        <v xml:space="preserve"> </v>
      </c>
      <c r="O189" s="213" t="str">
        <f t="shared" si="348"/>
        <v xml:space="preserve"> </v>
      </c>
      <c r="P189" s="213" t="str">
        <f t="shared" si="349"/>
        <v xml:space="preserve"> </v>
      </c>
      <c r="Q189" s="213" t="str">
        <f t="shared" si="350"/>
        <v xml:space="preserve"> </v>
      </c>
      <c r="R189" s="405" t="str">
        <f>IF($A189="N/A"," ",IF(Pricetype=2,MAX(I189-$H189,0),IF(Pricetype=1,(_xll.xSPRDOPT(I189,$E189,$CI189,0,($CD189+IF(Smile=TRUE,VLOOKUP(MAX(-5,$H189-I189),Volsmile,2),0)),$CG189,$CH189,($A189-DateToday)+15,1,0)),I189-$H189)))</f>
        <v xml:space="preserve"> </v>
      </c>
      <c r="S189" s="405" t="str">
        <f>IF($A189="N/A"," ",IF(Pricetype=2,MAX(J189-$H189,0),IF(Pricetype=1,(_xll.xSPRDOPT(J189,$E189,$CI189,0,($CD189+IF(Smile=TRUE,VLOOKUP(MAX(-5,$H189-J189),Volsmile,2),0)),$CG189,$CH189,($A189-DateToday)+15,1,0)),J189-$H189)))</f>
        <v xml:space="preserve"> </v>
      </c>
      <c r="T189" s="406" t="str">
        <f t="shared" si="351"/>
        <v xml:space="preserve"> </v>
      </c>
      <c r="U189" s="405" t="str">
        <f>IF($A189="N/A"," ",IF(Pricetype=2,MAX(L189-$H189,0),IF(L189&lt;&gt;0,IF(Pricetype=1,(_xll.xSPRDOPT(L189,$E189,$CI189,0,($CD189+IF(Smile=TRUE,VLOOKUP(MAX(-5,$H189-L189),Volsmile,2),0)),$CG189,$CH189,($A189-DateToday)+15,1,0)),L189-$H189),0)))</f>
        <v xml:space="preserve"> </v>
      </c>
      <c r="V189" s="405" t="str">
        <f>IF($A189="N/A"," ",IF(Pricetype=2,MAX(M189-$H189,0),IF(M189&lt;&gt;0,IF(Pricetype=1,(_xll.xSPRDOPT(M189,$E189,$CI189,0,($CD189+IF(Smile=TRUE,VLOOKUP(MAX(-5,$H189-M189),Volsmile,2),0)),$CG189,$CH189,($A189-DateToday)+15,1,0)),M189-$H189),0)))</f>
        <v xml:space="preserve"> </v>
      </c>
      <c r="W189" s="406" t="str">
        <f t="shared" si="352"/>
        <v xml:space="preserve"> </v>
      </c>
      <c r="X189" s="405" t="str">
        <f>IF($A189="N/A"," ",IF(Pricetype=2,MAX(O189-$H189,0),IF(O189&lt;&gt;0,IF(Pricetype=1,(_xll.xSPRDOPT(O189,$E189,$CI189,0,($CD189+IF(Smile=TRUE,VLOOKUP(MAX(-5,$H189-O189),Volsmile,2),0)),$CG189,$CH189,($A189-DateToday)+15,1,0)),O189-$H189),0)))</f>
        <v xml:space="preserve"> </v>
      </c>
      <c r="Y189" s="405" t="str">
        <f>IF($A189="N/A"," ",IF(Pricetype=2,MAX(P189-$H189,0),IF(P189&lt;&gt;0,IF(Pricetype=1,(_xll.xSPRDOPT(P189,$E189,$CI189,0,($CD189+IF(Smile=TRUE,VLOOKUP(MAX(-5,$H189-P189),Volsmile,2),0)),$CG189,$CH189,($A189-DateToday)+15,1,0)),P189-$H189),0)))</f>
        <v xml:space="preserve"> </v>
      </c>
      <c r="Z189" s="406" t="str">
        <f t="shared" si="353"/>
        <v xml:space="preserve"> </v>
      </c>
      <c r="AA189" s="254" t="str">
        <f>IF($A189="N/A"," ",IF(VLOOKUP(MONTH(A189),ManualTable,2)=1,(IF(0&lt;&gt;R189,IF(Pricetype=1,(_xll.xSPRDOPT(I189,$E189,$CI189,0,($CD189+IF(Smile=TRUE,VLOOKUP(MAX(-5,$H189-I189),Volsmile,2),0)),$CG189,$CH189,($A189-DateToday)+15,1,1))*(8*$HD189),8*$HD189),0)),0))</f>
        <v xml:space="preserve"> </v>
      </c>
      <c r="AB189" s="254" t="str">
        <f>IF($A189="N/A"," ",IF(VLOOKUP(MONTH(A189),ManualTable,3)=1,(IF(S189&lt;&gt;0,IF(Pricetype=1,(_xll.xSPRDOPT(J189,$E189,$CI189,0,($CD189+IF(Smile=TRUE,VLOOKUP(MAX(-5,$H189-J189),Volsmile,2),0)),$CG189,$CH189,($A189-DateToday)+15,1,1))*(8*$HD189),8*$HD189),0)),0))</f>
        <v xml:space="preserve"> </v>
      </c>
      <c r="AC189" s="254" t="str">
        <f t="shared" si="394"/>
        <v xml:space="preserve"> </v>
      </c>
      <c r="AD189" s="254" t="str">
        <f>IF($A189="N/A"," ",IF(VLOOKUP(MONTH(A189),ManualTable,5)=1,(IF(U189&lt;&gt;0,IF(Pricetype=1,(_xll.xSPRDOPT(L189,$E189,$CI189,0,($CD189+IF(Smile=TRUE,VLOOKUP(MAX(-5,$H189-L189),Volsmile,2),0)),$CG189,$CH189,($A189-DateToday)+15,1,1))*(8*$HE189),8*$HE189),0)),0))</f>
        <v xml:space="preserve"> </v>
      </c>
      <c r="AE189" s="254" t="str">
        <f>IF($A189="N/A"," ",IF(VLOOKUP(MONTH(A189),ManualTable,6)=1,(IF(V189&lt;&gt;0,IF(Pricetype=1,(_xll.xSPRDOPT(M189,$E189,$CI189,0,($CD189+IF(Smile=TRUE,VLOOKUP(MAX(-5,$H189-M189),Volsmile,2),0)),$CG189,$CH189,($A189-DateToday)+15,1,1))*(8*$HE189),8*$HE189),0)),0))</f>
        <v xml:space="preserve"> </v>
      </c>
      <c r="AF189" s="254" t="str">
        <f t="shared" si="395"/>
        <v xml:space="preserve"> </v>
      </c>
      <c r="AG189" s="254" t="str">
        <f>IF($A189="N/A"," ",IF(VLOOKUP(MONTH(A189),ManualTable,8)=1,(IF(X189&lt;&gt;0,IF(Pricetype=1,(_xll.xSPRDOPT(O189,$E189,$CI189,0,($CD189+IF(Smile=TRUE,VLOOKUP(MAX(-5,$H189-O189),Volsmile,2),0)),$CG189,$CH189,($A189-DateToday)+15,1,1))*(8*$HF189),8*$HF189),0)),0))</f>
        <v xml:space="preserve"> </v>
      </c>
      <c r="AH189" s="254" t="str">
        <f>IF($A189="N/A"," ",IF(VLOOKUP(MONTH(A189),ManualTable,9)=1,(IF(Y189&lt;&gt;0,IF(Pricetype=1,(_xll.xSPRDOPT(P189,$E189,$CI189,0,($CD189+IF(Smile=TRUE,VLOOKUP(MAX(-5,$H189-P189),Volsmile,2),0)),$CG189,$CH189,($A189-DateToday)+15,1,1))*(8*$HF189),8*$HF189),0)),0))</f>
        <v xml:space="preserve"> </v>
      </c>
      <c r="AI189" s="254" t="str">
        <f t="shared" si="396"/>
        <v xml:space="preserve"> </v>
      </c>
      <c r="AJ189" s="227" t="str">
        <f t="shared" si="494"/>
        <v xml:space="preserve"> </v>
      </c>
      <c r="AK189" s="228" t="str">
        <f t="shared" si="495"/>
        <v xml:space="preserve"> </v>
      </c>
      <c r="AL189" s="228" t="str">
        <f t="shared" si="495"/>
        <v xml:space="preserve"> </v>
      </c>
      <c r="AM189" s="228" t="str">
        <f t="shared" si="496"/>
        <v xml:space="preserve"> </v>
      </c>
      <c r="AN189" s="228" t="str">
        <f t="shared" si="497"/>
        <v xml:space="preserve"> </v>
      </c>
      <c r="AO189" s="228" t="str">
        <f t="shared" si="497"/>
        <v xml:space="preserve"> </v>
      </c>
      <c r="AP189" s="228" t="str">
        <f t="shared" si="498"/>
        <v xml:space="preserve"> </v>
      </c>
      <c r="AQ189" s="228" t="str">
        <f t="shared" si="499"/>
        <v xml:space="preserve"> </v>
      </c>
      <c r="AR189" s="229" t="str">
        <f t="shared" si="500"/>
        <v xml:space="preserve"> </v>
      </c>
      <c r="AS189" s="262" t="str">
        <f t="shared" si="433"/>
        <v xml:space="preserve"> </v>
      </c>
      <c r="AT189" s="263" t="str">
        <f t="shared" si="434"/>
        <v xml:space="preserve"> </v>
      </c>
      <c r="AU189" s="263" t="str">
        <f t="shared" si="434"/>
        <v xml:space="preserve"> </v>
      </c>
      <c r="AV189" s="263" t="str">
        <f t="shared" si="435"/>
        <v xml:space="preserve"> </v>
      </c>
      <c r="AW189" s="263" t="str">
        <f t="shared" si="436"/>
        <v xml:space="preserve"> </v>
      </c>
      <c r="AX189" s="263" t="str">
        <f t="shared" si="436"/>
        <v xml:space="preserve"> </v>
      </c>
      <c r="AY189" s="263" t="str">
        <f t="shared" si="437"/>
        <v xml:space="preserve"> </v>
      </c>
      <c r="AZ189" s="263" t="str">
        <f t="shared" si="438"/>
        <v xml:space="preserve"> </v>
      </c>
      <c r="BA189" s="263" t="str">
        <f t="shared" si="439"/>
        <v xml:space="preserve"> </v>
      </c>
      <c r="BB189" s="229"/>
      <c r="BC189" s="266" t="str">
        <f t="shared" si="487"/>
        <v xml:space="preserve"> </v>
      </c>
      <c r="BD189" s="269" t="str">
        <f t="shared" si="488"/>
        <v xml:space="preserve"> </v>
      </c>
      <c r="BE189" s="269" t="str">
        <f t="shared" si="488"/>
        <v xml:space="preserve"> </v>
      </c>
      <c r="BF189" s="269" t="str">
        <f t="shared" si="489"/>
        <v xml:space="preserve"> </v>
      </c>
      <c r="BG189" s="269" t="str">
        <f t="shared" si="490"/>
        <v xml:space="preserve"> </v>
      </c>
      <c r="BH189" s="269" t="str">
        <f t="shared" si="490"/>
        <v xml:space="preserve"> </v>
      </c>
      <c r="BI189" s="269" t="str">
        <f t="shared" si="491"/>
        <v xml:space="preserve"> </v>
      </c>
      <c r="BJ189" s="269" t="str">
        <f t="shared" si="492"/>
        <v xml:space="preserve"> </v>
      </c>
      <c r="BK189" s="269" t="str">
        <f t="shared" si="493"/>
        <v xml:space="preserve"> </v>
      </c>
      <c r="BL189" s="229"/>
      <c r="BM189" s="220" t="str">
        <f>IF($A189="N/A"," ",(IF(MONTH(A189)&gt;=4,IF(MONTH(A189)&lt;=10,Inputs!$F$13-Inputs!$G$13,Inputs!$F$14-Inputs!$G$14),Inputs!$F$14-Inputs!$G$14))*$CK189*Availability)</f>
        <v xml:space="preserve"> </v>
      </c>
      <c r="BN189" s="221" t="str">
        <f t="shared" si="397"/>
        <v xml:space="preserve"> </v>
      </c>
      <c r="BO189" s="221" t="str">
        <f t="shared" si="398"/>
        <v xml:space="preserve"> </v>
      </c>
      <c r="BP189" s="221" t="str">
        <f t="shared" si="399"/>
        <v xml:space="preserve"> </v>
      </c>
      <c r="BQ189" s="221" t="str">
        <f t="shared" si="400"/>
        <v xml:space="preserve"> </v>
      </c>
      <c r="BR189" s="221" t="str">
        <f t="shared" si="401"/>
        <v xml:space="preserve"> </v>
      </c>
      <c r="BS189" s="221" t="str">
        <f t="shared" si="402"/>
        <v xml:space="preserve"> </v>
      </c>
      <c r="BT189" s="221" t="str">
        <f t="shared" si="403"/>
        <v xml:space="preserve"> </v>
      </c>
      <c r="BU189" s="221" t="str">
        <f t="shared" si="404"/>
        <v xml:space="preserve"> </v>
      </c>
      <c r="BV189" s="221" t="str">
        <f t="shared" si="405"/>
        <v xml:space="preserve"> </v>
      </c>
      <c r="BW189" s="221" t="str">
        <f t="shared" si="406"/>
        <v xml:space="preserve"> </v>
      </c>
      <c r="BX189" s="421" t="str">
        <f t="shared" si="407"/>
        <v xml:space="preserve"> </v>
      </c>
      <c r="BY189" s="417" t="str">
        <f t="shared" si="408"/>
        <v xml:space="preserve"> </v>
      </c>
      <c r="BZ189" s="417" t="str">
        <f t="shared" si="409"/>
        <v xml:space="preserve"> </v>
      </c>
      <c r="CA189" s="422" t="str">
        <f t="shared" si="410"/>
        <v xml:space="preserve"> </v>
      </c>
      <c r="CB189" s="347" t="str">
        <f t="shared" si="354"/>
        <v xml:space="preserve"> </v>
      </c>
      <c r="CC189" s="347" t="str">
        <f t="shared" si="411"/>
        <v xml:space="preserve"> </v>
      </c>
      <c r="CD189" s="348" t="str">
        <f t="shared" si="355"/>
        <v xml:space="preserve"> </v>
      </c>
      <c r="CE189" s="347" t="str">
        <f t="shared" si="356"/>
        <v xml:space="preserve"> </v>
      </c>
      <c r="CF189" s="347" t="str">
        <f t="shared" si="357"/>
        <v xml:space="preserve"> </v>
      </c>
      <c r="CG189" s="348" t="str">
        <f t="shared" si="358"/>
        <v xml:space="preserve"> </v>
      </c>
      <c r="CH189" s="347" t="str">
        <f t="shared" si="412"/>
        <v xml:space="preserve"> </v>
      </c>
      <c r="CI189" s="349" t="str">
        <f>IF($A189="N/A"," ",F189+G189+(D189*('Pricing Inputs'!T222)))</f>
        <v xml:space="preserve"> </v>
      </c>
      <c r="CJ189" s="347" t="str">
        <f>IF($A189="N/A"," ",IF(PV=1,0,'Pricing Inputs'!U222))</f>
        <v xml:space="preserve"> </v>
      </c>
      <c r="CK189" s="350" t="str">
        <f t="shared" si="359"/>
        <v xml:space="preserve"> </v>
      </c>
      <c r="CL189" s="365" t="str">
        <f t="shared" si="360"/>
        <v xml:space="preserve"> </v>
      </c>
      <c r="CM189" s="380" t="str">
        <f t="shared" si="413"/>
        <v xml:space="preserve"> </v>
      </c>
      <c r="CN189" s="378" t="str">
        <f t="shared" si="361"/>
        <v xml:space="preserve"> </v>
      </c>
      <c r="CO189" s="378" t="str">
        <f t="shared" si="362"/>
        <v xml:space="preserve"> </v>
      </c>
      <c r="CP189" s="378" t="str">
        <f t="shared" si="363"/>
        <v xml:space="preserve"> </v>
      </c>
      <c r="CQ189" s="378" t="str">
        <f t="shared" si="364"/>
        <v xml:space="preserve"> </v>
      </c>
      <c r="CR189" s="378" t="str">
        <f t="shared" si="365"/>
        <v xml:space="preserve"> </v>
      </c>
      <c r="CS189" s="378" t="str">
        <f t="shared" si="366"/>
        <v xml:space="preserve"> </v>
      </c>
      <c r="CT189" s="378" t="str">
        <f t="shared" si="367"/>
        <v xml:space="preserve"> </v>
      </c>
      <c r="CU189" s="378" t="str">
        <f t="shared" si="368"/>
        <v xml:space="preserve"> </v>
      </c>
      <c r="CV189" s="378" t="str">
        <f t="shared" si="369"/>
        <v xml:space="preserve"> </v>
      </c>
      <c r="CW189" s="254" t="str">
        <f t="shared" si="370"/>
        <v xml:space="preserve"> </v>
      </c>
      <c r="CX189" s="254" t="str">
        <f t="shared" si="371"/>
        <v xml:space="preserve"> </v>
      </c>
      <c r="CY189" s="254" t="str">
        <f t="shared" si="372"/>
        <v xml:space="preserve"> </v>
      </c>
      <c r="CZ189" s="254" t="str">
        <f t="shared" si="373"/>
        <v xml:space="preserve"> </v>
      </c>
      <c r="DA189" s="254" t="str">
        <f t="shared" si="374"/>
        <v xml:space="preserve"> </v>
      </c>
      <c r="DB189" s="254" t="str">
        <f t="shared" si="375"/>
        <v xml:space="preserve"> </v>
      </c>
      <c r="DC189" s="254" t="str">
        <f t="shared" si="376"/>
        <v xml:space="preserve"> </v>
      </c>
      <c r="DD189" s="254" t="str">
        <f t="shared" si="377"/>
        <v xml:space="preserve"> </v>
      </c>
      <c r="DE189" s="254" t="str">
        <f t="shared" si="378"/>
        <v xml:space="preserve"> </v>
      </c>
      <c r="DF189" s="374" t="str">
        <f>IF($A189="N/A"," ",IF(CC=2,(IF(MONTH(A189)&gt;=4,IF(MONTH(A189)&lt;=10,Inputs!$G$13,Inputs!$G$14),Inputs!$G$14))*$CK189,0))</f>
        <v xml:space="preserve"> </v>
      </c>
      <c r="DG189" s="373" t="str">
        <f t="shared" si="379"/>
        <v xml:space="preserve"> </v>
      </c>
      <c r="DH189" s="373" t="str">
        <f t="shared" si="380"/>
        <v xml:space="preserve"> </v>
      </c>
      <c r="DI189" s="373" t="str">
        <f t="shared" si="381"/>
        <v xml:space="preserve"> </v>
      </c>
      <c r="DJ189" s="373" t="str">
        <f t="shared" si="382"/>
        <v xml:space="preserve"> </v>
      </c>
      <c r="DK189" s="373" t="str">
        <f t="shared" si="383"/>
        <v xml:space="preserve"> </v>
      </c>
      <c r="DL189" s="373" t="str">
        <f t="shared" si="384"/>
        <v xml:space="preserve"> </v>
      </c>
      <c r="DM189" s="373" t="str">
        <f t="shared" si="385"/>
        <v xml:space="preserve"> </v>
      </c>
      <c r="DN189" s="373" t="str">
        <f t="shared" si="386"/>
        <v xml:space="preserve"> </v>
      </c>
      <c r="DO189" s="373" t="str">
        <f t="shared" si="387"/>
        <v xml:space="preserve"> </v>
      </c>
      <c r="DP189" s="375" t="str">
        <f t="shared" si="388"/>
        <v xml:space="preserve"> </v>
      </c>
      <c r="DQ189" t="str">
        <f t="shared" si="414"/>
        <v xml:space="preserve"> </v>
      </c>
      <c r="HD189" t="str">
        <f t="shared" si="415"/>
        <v xml:space="preserve"> </v>
      </c>
      <c r="HE189" t="str">
        <f t="shared" si="416"/>
        <v xml:space="preserve"> </v>
      </c>
      <c r="HF189" t="str">
        <f t="shared" si="417"/>
        <v xml:space="preserve"> </v>
      </c>
    </row>
    <row r="190" spans="1:214">
      <c r="A190" s="415" t="str">
        <f>IF(A189="N/A","N/A",IF(EDATE(A189,1)&gt;Inputs!$K$3,"N/A",EDATE(A189,1)))</f>
        <v>N/A</v>
      </c>
      <c r="B190" s="410" t="str">
        <f t="shared" si="389"/>
        <v xml:space="preserve"> </v>
      </c>
      <c r="C190" s="411" t="str">
        <f t="shared" si="390"/>
        <v xml:space="preserve"> </v>
      </c>
      <c r="D190" s="412" t="str">
        <f t="shared" si="391"/>
        <v xml:space="preserve"> </v>
      </c>
      <c r="E190" s="413" t="str">
        <f>IF($A190="N/A"," ",(C190-'Pricing Inputs'!T223)*D190)</f>
        <v xml:space="preserve"> </v>
      </c>
      <c r="F190" s="414" t="str">
        <f t="shared" si="440"/>
        <v xml:space="preserve"> </v>
      </c>
      <c r="G190" s="414" t="str">
        <f t="shared" si="392"/>
        <v xml:space="preserve"> </v>
      </c>
      <c r="H190" s="416" t="str">
        <f t="shared" si="393"/>
        <v xml:space="preserve"> </v>
      </c>
      <c r="I190" s="213" t="str">
        <f t="shared" si="342"/>
        <v xml:space="preserve"> </v>
      </c>
      <c r="J190" s="213" t="str">
        <f t="shared" si="343"/>
        <v xml:space="preserve"> </v>
      </c>
      <c r="K190" s="213" t="str">
        <f t="shared" si="344"/>
        <v xml:space="preserve"> </v>
      </c>
      <c r="L190" s="213" t="str">
        <f t="shared" si="345"/>
        <v xml:space="preserve"> </v>
      </c>
      <c r="M190" s="213" t="str">
        <f t="shared" si="346"/>
        <v xml:space="preserve"> </v>
      </c>
      <c r="N190" s="213" t="str">
        <f t="shared" si="347"/>
        <v xml:space="preserve"> </v>
      </c>
      <c r="O190" s="213" t="str">
        <f t="shared" si="348"/>
        <v xml:space="preserve"> </v>
      </c>
      <c r="P190" s="213" t="str">
        <f t="shared" si="349"/>
        <v xml:space="preserve"> </v>
      </c>
      <c r="Q190" s="213" t="str">
        <f t="shared" si="350"/>
        <v xml:space="preserve"> </v>
      </c>
      <c r="R190" s="405" t="str">
        <f>IF($A190="N/A"," ",IF(Pricetype=2,MAX(I190-$H190,0),IF(Pricetype=1,(_xll.xSPRDOPT(I190,$E190,$CI190,0,($CD190+IF(Smile=TRUE,VLOOKUP(MAX(-5,$H190-I190),Volsmile,2),0)),$CG190,$CH190,($A190-DateToday)+15,1,0)),I190-$H190)))</f>
        <v xml:space="preserve"> </v>
      </c>
      <c r="S190" s="405" t="str">
        <f>IF($A190="N/A"," ",IF(Pricetype=2,MAX(J190-$H190,0),IF(Pricetype=1,(_xll.xSPRDOPT(J190,$E190,$CI190,0,($CD190+IF(Smile=TRUE,VLOOKUP(MAX(-5,$H190-J190),Volsmile,2),0)),$CG190,$CH190,($A190-DateToday)+15,1,0)),J190-$H190)))</f>
        <v xml:space="preserve"> </v>
      </c>
      <c r="T190" s="406" t="str">
        <f t="shared" si="351"/>
        <v xml:space="preserve"> </v>
      </c>
      <c r="U190" s="405" t="str">
        <f>IF($A190="N/A"," ",IF(Pricetype=2,MAX(L190-$H190,0),IF(L190&lt;&gt;0,IF(Pricetype=1,(_xll.xSPRDOPT(L190,$E190,$CI190,0,($CD190+IF(Smile=TRUE,VLOOKUP(MAX(-5,$H190-L190),Volsmile,2),0)),$CG190,$CH190,($A190-DateToday)+15,1,0)),L190-$H190),0)))</f>
        <v xml:space="preserve"> </v>
      </c>
      <c r="V190" s="405" t="str">
        <f>IF($A190="N/A"," ",IF(Pricetype=2,MAX(M190-$H190,0),IF(M190&lt;&gt;0,IF(Pricetype=1,(_xll.xSPRDOPT(M190,$E190,$CI190,0,($CD190+IF(Smile=TRUE,VLOOKUP(MAX(-5,$H190-M190),Volsmile,2),0)),$CG190,$CH190,($A190-DateToday)+15,1,0)),M190-$H190),0)))</f>
        <v xml:space="preserve"> </v>
      </c>
      <c r="W190" s="406" t="str">
        <f t="shared" si="352"/>
        <v xml:space="preserve"> </v>
      </c>
      <c r="X190" s="405" t="str">
        <f>IF($A190="N/A"," ",IF(Pricetype=2,MAX(O190-$H190,0),IF(O190&lt;&gt;0,IF(Pricetype=1,(_xll.xSPRDOPT(O190,$E190,$CI190,0,($CD190+IF(Smile=TRUE,VLOOKUP(MAX(-5,$H190-O190),Volsmile,2),0)),$CG190,$CH190,($A190-DateToday)+15,1,0)),O190-$H190),0)))</f>
        <v xml:space="preserve"> </v>
      </c>
      <c r="Y190" s="405" t="str">
        <f>IF($A190="N/A"," ",IF(Pricetype=2,MAX(P190-$H190,0),IF(P190&lt;&gt;0,IF(Pricetype=1,(_xll.xSPRDOPT(P190,$E190,$CI190,0,($CD190+IF(Smile=TRUE,VLOOKUP(MAX(-5,$H190-P190),Volsmile,2),0)),$CG190,$CH190,($A190-DateToday)+15,1,0)),P190-$H190),0)))</f>
        <v xml:space="preserve"> </v>
      </c>
      <c r="Z190" s="406" t="str">
        <f t="shared" si="353"/>
        <v xml:space="preserve"> </v>
      </c>
      <c r="AA190" s="254" t="str">
        <f>IF($A190="N/A"," ",IF(VLOOKUP(MONTH(A190),ManualTable,2)=1,(IF(0&lt;&gt;R190,IF(Pricetype=1,(_xll.xSPRDOPT(I190,$E190,$CI190,0,($CD190+IF(Smile=TRUE,VLOOKUP(MAX(-5,$H190-I190),Volsmile,2),0)),$CG190,$CH190,($A190-DateToday)+15,1,1))*(8*$HD190),8*$HD190),0)),0))</f>
        <v xml:space="preserve"> </v>
      </c>
      <c r="AB190" s="254" t="str">
        <f>IF($A190="N/A"," ",IF(VLOOKUP(MONTH(A190),ManualTable,3)=1,(IF(S190&lt;&gt;0,IF(Pricetype=1,(_xll.xSPRDOPT(J190,$E190,$CI190,0,($CD190+IF(Smile=TRUE,VLOOKUP(MAX(-5,$H190-J190),Volsmile,2),0)),$CG190,$CH190,($A190-DateToday)+15,1,1))*(8*$HD190),8*$HD190),0)),0))</f>
        <v xml:space="preserve"> </v>
      </c>
      <c r="AC190" s="254" t="str">
        <f t="shared" si="394"/>
        <v xml:space="preserve"> </v>
      </c>
      <c r="AD190" s="254" t="str">
        <f>IF($A190="N/A"," ",IF(VLOOKUP(MONTH(A190),ManualTable,5)=1,(IF(U190&lt;&gt;0,IF(Pricetype=1,(_xll.xSPRDOPT(L190,$E190,$CI190,0,($CD190+IF(Smile=TRUE,VLOOKUP(MAX(-5,$H190-L190),Volsmile,2),0)),$CG190,$CH190,($A190-DateToday)+15,1,1))*(8*$HE190),8*$HE190),0)),0))</f>
        <v xml:space="preserve"> </v>
      </c>
      <c r="AE190" s="254" t="str">
        <f>IF($A190="N/A"," ",IF(VLOOKUP(MONTH(A190),ManualTable,6)=1,(IF(V190&lt;&gt;0,IF(Pricetype=1,(_xll.xSPRDOPT(M190,$E190,$CI190,0,($CD190+IF(Smile=TRUE,VLOOKUP(MAX(-5,$H190-M190),Volsmile,2),0)),$CG190,$CH190,($A190-DateToday)+15,1,1))*(8*$HE190),8*$HE190),0)),0))</f>
        <v xml:space="preserve"> </v>
      </c>
      <c r="AF190" s="254" t="str">
        <f t="shared" si="395"/>
        <v xml:space="preserve"> </v>
      </c>
      <c r="AG190" s="254" t="str">
        <f>IF($A190="N/A"," ",IF(VLOOKUP(MONTH(A190),ManualTable,8)=1,(IF(X190&lt;&gt;0,IF(Pricetype=1,(_xll.xSPRDOPT(O190,$E190,$CI190,0,($CD190+IF(Smile=TRUE,VLOOKUP(MAX(-5,$H190-O190),Volsmile,2),0)),$CG190,$CH190,($A190-DateToday)+15,1,1))*(8*$HF190),8*$HF190),0)),0))</f>
        <v xml:space="preserve"> </v>
      </c>
      <c r="AH190" s="254" t="str">
        <f>IF($A190="N/A"," ",IF(VLOOKUP(MONTH(A190),ManualTable,9)=1,(IF(Y190&lt;&gt;0,IF(Pricetype=1,(_xll.xSPRDOPT(P190,$E190,$CI190,0,($CD190+IF(Smile=TRUE,VLOOKUP(MAX(-5,$H190-P190),Volsmile,2),0)),$CG190,$CH190,($A190-DateToday)+15,1,1))*(8*$HF190),8*$HF190),0)),0))</f>
        <v xml:space="preserve"> </v>
      </c>
      <c r="AI190" s="254" t="str">
        <f t="shared" si="396"/>
        <v xml:space="preserve"> </v>
      </c>
      <c r="AJ190" s="227" t="str">
        <f t="shared" si="494"/>
        <v xml:space="preserve"> </v>
      </c>
      <c r="AK190" s="228" t="str">
        <f t="shared" si="495"/>
        <v xml:space="preserve"> </v>
      </c>
      <c r="AL190" s="228" t="str">
        <f t="shared" si="495"/>
        <v xml:space="preserve"> </v>
      </c>
      <c r="AM190" s="228" t="str">
        <f t="shared" si="496"/>
        <v xml:space="preserve"> </v>
      </c>
      <c r="AN190" s="228" t="str">
        <f t="shared" si="497"/>
        <v xml:space="preserve"> </v>
      </c>
      <c r="AO190" s="228" t="str">
        <f t="shared" si="497"/>
        <v xml:space="preserve"> </v>
      </c>
      <c r="AP190" s="228" t="str">
        <f t="shared" si="498"/>
        <v xml:space="preserve"> </v>
      </c>
      <c r="AQ190" s="228" t="str">
        <f t="shared" si="499"/>
        <v xml:space="preserve"> </v>
      </c>
      <c r="AR190" s="229" t="str">
        <f t="shared" si="500"/>
        <v xml:space="preserve"> </v>
      </c>
      <c r="AS190" s="262" t="str">
        <f t="shared" si="433"/>
        <v xml:space="preserve"> </v>
      </c>
      <c r="AT190" s="263" t="str">
        <f t="shared" si="434"/>
        <v xml:space="preserve"> </v>
      </c>
      <c r="AU190" s="263" t="str">
        <f t="shared" si="434"/>
        <v xml:space="preserve"> </v>
      </c>
      <c r="AV190" s="263" t="str">
        <f t="shared" si="435"/>
        <v xml:space="preserve"> </v>
      </c>
      <c r="AW190" s="263" t="str">
        <f t="shared" si="436"/>
        <v xml:space="preserve"> </v>
      </c>
      <c r="AX190" s="263" t="str">
        <f t="shared" si="436"/>
        <v xml:space="preserve"> </v>
      </c>
      <c r="AY190" s="263" t="str">
        <f t="shared" si="437"/>
        <v xml:space="preserve"> </v>
      </c>
      <c r="AZ190" s="263" t="str">
        <f t="shared" si="438"/>
        <v xml:space="preserve"> </v>
      </c>
      <c r="BA190" s="263" t="str">
        <f t="shared" si="439"/>
        <v xml:space="preserve"> </v>
      </c>
      <c r="BB190" s="229"/>
      <c r="BC190" s="266" t="str">
        <f t="shared" si="487"/>
        <v xml:space="preserve"> </v>
      </c>
      <c r="BD190" s="269" t="str">
        <f t="shared" si="488"/>
        <v xml:space="preserve"> </v>
      </c>
      <c r="BE190" s="269" t="str">
        <f t="shared" si="488"/>
        <v xml:space="preserve"> </v>
      </c>
      <c r="BF190" s="269" t="str">
        <f t="shared" si="489"/>
        <v xml:space="preserve"> </v>
      </c>
      <c r="BG190" s="269" t="str">
        <f t="shared" si="490"/>
        <v xml:space="preserve"> </v>
      </c>
      <c r="BH190" s="269" t="str">
        <f t="shared" si="490"/>
        <v xml:space="preserve"> </v>
      </c>
      <c r="BI190" s="269" t="str">
        <f t="shared" si="491"/>
        <v xml:space="preserve"> </v>
      </c>
      <c r="BJ190" s="269" t="str">
        <f t="shared" si="492"/>
        <v xml:space="preserve"> </v>
      </c>
      <c r="BK190" s="269" t="str">
        <f t="shared" si="493"/>
        <v xml:space="preserve"> </v>
      </c>
      <c r="BL190" s="229"/>
      <c r="BM190" s="220" t="str">
        <f>IF($A190="N/A"," ",(IF(MONTH(A190)&gt;=4,IF(MONTH(A190)&lt;=10,Inputs!$F$13-Inputs!$G$13,Inputs!$F$14-Inputs!$G$14),Inputs!$F$14-Inputs!$G$14))*$CK190*Availability)</f>
        <v xml:space="preserve"> </v>
      </c>
      <c r="BN190" s="221" t="str">
        <f t="shared" si="397"/>
        <v xml:space="preserve"> </v>
      </c>
      <c r="BO190" s="221" t="str">
        <f t="shared" si="398"/>
        <v xml:space="preserve"> </v>
      </c>
      <c r="BP190" s="221" t="str">
        <f t="shared" si="399"/>
        <v xml:space="preserve"> </v>
      </c>
      <c r="BQ190" s="221" t="str">
        <f t="shared" si="400"/>
        <v xml:space="preserve"> </v>
      </c>
      <c r="BR190" s="221" t="str">
        <f t="shared" si="401"/>
        <v xml:space="preserve"> </v>
      </c>
      <c r="BS190" s="221" t="str">
        <f t="shared" si="402"/>
        <v xml:space="preserve"> </v>
      </c>
      <c r="BT190" s="221" t="str">
        <f t="shared" si="403"/>
        <v xml:space="preserve"> </v>
      </c>
      <c r="BU190" s="221" t="str">
        <f t="shared" si="404"/>
        <v xml:space="preserve"> </v>
      </c>
      <c r="BV190" s="221" t="str">
        <f t="shared" si="405"/>
        <v xml:space="preserve"> </v>
      </c>
      <c r="BW190" s="221" t="str">
        <f t="shared" si="406"/>
        <v xml:space="preserve"> </v>
      </c>
      <c r="BX190" s="421" t="str">
        <f t="shared" si="407"/>
        <v xml:space="preserve"> </v>
      </c>
      <c r="BY190" s="417" t="str">
        <f t="shared" si="408"/>
        <v xml:space="preserve"> </v>
      </c>
      <c r="BZ190" s="417" t="str">
        <f t="shared" si="409"/>
        <v xml:space="preserve"> </v>
      </c>
      <c r="CA190" s="422" t="str">
        <f t="shared" si="410"/>
        <v xml:space="preserve"> </v>
      </c>
      <c r="CB190" s="347" t="str">
        <f t="shared" si="354"/>
        <v xml:space="preserve"> </v>
      </c>
      <c r="CC190" s="347" t="str">
        <f t="shared" si="411"/>
        <v xml:space="preserve"> </v>
      </c>
      <c r="CD190" s="348" t="str">
        <f t="shared" si="355"/>
        <v xml:space="preserve"> </v>
      </c>
      <c r="CE190" s="347" t="str">
        <f t="shared" si="356"/>
        <v xml:space="preserve"> </v>
      </c>
      <c r="CF190" s="347" t="str">
        <f t="shared" si="357"/>
        <v xml:space="preserve"> </v>
      </c>
      <c r="CG190" s="348" t="str">
        <f t="shared" si="358"/>
        <v xml:space="preserve"> </v>
      </c>
      <c r="CH190" s="347" t="str">
        <f t="shared" si="412"/>
        <v xml:space="preserve"> </v>
      </c>
      <c r="CI190" s="349" t="str">
        <f>IF($A190="N/A"," ",F190+G190+(D190*('Pricing Inputs'!T223)))</f>
        <v xml:space="preserve"> </v>
      </c>
      <c r="CJ190" s="347" t="str">
        <f>IF($A190="N/A"," ",IF(PV=1,0,'Pricing Inputs'!U223))</f>
        <v xml:space="preserve"> </v>
      </c>
      <c r="CK190" s="350" t="str">
        <f t="shared" si="359"/>
        <v xml:space="preserve"> </v>
      </c>
      <c r="CL190" s="365" t="str">
        <f t="shared" si="360"/>
        <v xml:space="preserve"> </v>
      </c>
      <c r="CM190" s="380" t="str">
        <f t="shared" si="413"/>
        <v xml:space="preserve"> </v>
      </c>
      <c r="CN190" s="378" t="str">
        <f t="shared" si="361"/>
        <v xml:space="preserve"> </v>
      </c>
      <c r="CO190" s="378" t="str">
        <f t="shared" si="362"/>
        <v xml:space="preserve"> </v>
      </c>
      <c r="CP190" s="378" t="str">
        <f t="shared" si="363"/>
        <v xml:space="preserve"> </v>
      </c>
      <c r="CQ190" s="378" t="str">
        <f t="shared" si="364"/>
        <v xml:space="preserve"> </v>
      </c>
      <c r="CR190" s="378" t="str">
        <f t="shared" si="365"/>
        <v xml:space="preserve"> </v>
      </c>
      <c r="CS190" s="378" t="str">
        <f t="shared" si="366"/>
        <v xml:space="preserve"> </v>
      </c>
      <c r="CT190" s="378" t="str">
        <f t="shared" si="367"/>
        <v xml:space="preserve"> </v>
      </c>
      <c r="CU190" s="378" t="str">
        <f t="shared" si="368"/>
        <v xml:space="preserve"> </v>
      </c>
      <c r="CV190" s="378" t="str">
        <f t="shared" si="369"/>
        <v xml:space="preserve"> </v>
      </c>
      <c r="CW190" s="254" t="str">
        <f t="shared" si="370"/>
        <v xml:space="preserve"> </v>
      </c>
      <c r="CX190" s="254" t="str">
        <f t="shared" si="371"/>
        <v xml:space="preserve"> </v>
      </c>
      <c r="CY190" s="254" t="str">
        <f t="shared" si="372"/>
        <v xml:space="preserve"> </v>
      </c>
      <c r="CZ190" s="254" t="str">
        <f t="shared" si="373"/>
        <v xml:space="preserve"> </v>
      </c>
      <c r="DA190" s="254" t="str">
        <f t="shared" si="374"/>
        <v xml:space="preserve"> </v>
      </c>
      <c r="DB190" s="254" t="str">
        <f t="shared" si="375"/>
        <v xml:space="preserve"> </v>
      </c>
      <c r="DC190" s="254" t="str">
        <f t="shared" si="376"/>
        <v xml:space="preserve"> </v>
      </c>
      <c r="DD190" s="254" t="str">
        <f t="shared" si="377"/>
        <v xml:space="preserve"> </v>
      </c>
      <c r="DE190" s="254" t="str">
        <f t="shared" si="378"/>
        <v xml:space="preserve"> </v>
      </c>
      <c r="DF190" s="374" t="str">
        <f>IF($A190="N/A"," ",IF(CC=2,(IF(MONTH(A190)&gt;=4,IF(MONTH(A190)&lt;=10,Inputs!$G$13,Inputs!$G$14),Inputs!$G$14))*$CK190,0))</f>
        <v xml:space="preserve"> </v>
      </c>
      <c r="DG190" s="373" t="str">
        <f t="shared" si="379"/>
        <v xml:space="preserve"> </v>
      </c>
      <c r="DH190" s="373" t="str">
        <f t="shared" si="380"/>
        <v xml:space="preserve"> </v>
      </c>
      <c r="DI190" s="373" t="str">
        <f t="shared" si="381"/>
        <v xml:space="preserve"> </v>
      </c>
      <c r="DJ190" s="373" t="str">
        <f t="shared" si="382"/>
        <v xml:space="preserve"> </v>
      </c>
      <c r="DK190" s="373" t="str">
        <f t="shared" si="383"/>
        <v xml:space="preserve"> </v>
      </c>
      <c r="DL190" s="373" t="str">
        <f t="shared" si="384"/>
        <v xml:space="preserve"> </v>
      </c>
      <c r="DM190" s="373" t="str">
        <f t="shared" si="385"/>
        <v xml:space="preserve"> </v>
      </c>
      <c r="DN190" s="373" t="str">
        <f t="shared" si="386"/>
        <v xml:space="preserve"> </v>
      </c>
      <c r="DO190" s="373" t="str">
        <f t="shared" si="387"/>
        <v xml:space="preserve"> </v>
      </c>
      <c r="DP190" s="375" t="str">
        <f t="shared" si="388"/>
        <v xml:space="preserve"> </v>
      </c>
      <c r="DQ190" t="str">
        <f t="shared" si="414"/>
        <v xml:space="preserve"> </v>
      </c>
      <c r="HD190" t="str">
        <f t="shared" si="415"/>
        <v xml:space="preserve"> </v>
      </c>
      <c r="HE190" t="str">
        <f t="shared" si="416"/>
        <v xml:space="preserve"> </v>
      </c>
      <c r="HF190" t="str">
        <f t="shared" si="417"/>
        <v xml:space="preserve"> </v>
      </c>
    </row>
    <row r="191" spans="1:214">
      <c r="A191" s="415" t="str">
        <f>IF(A190="N/A","N/A",IF(EDATE(A190,1)&gt;Inputs!$K$3,"N/A",EDATE(A190,1)))</f>
        <v>N/A</v>
      </c>
      <c r="B191" s="410" t="str">
        <f t="shared" si="389"/>
        <v xml:space="preserve"> </v>
      </c>
      <c r="C191" s="411" t="str">
        <f t="shared" si="390"/>
        <v xml:space="preserve"> </v>
      </c>
      <c r="D191" s="412" t="str">
        <f t="shared" si="391"/>
        <v xml:space="preserve"> </v>
      </c>
      <c r="E191" s="413" t="str">
        <f>IF($A191="N/A"," ",(C191-'Pricing Inputs'!T224)*D191)</f>
        <v xml:space="preserve"> </v>
      </c>
      <c r="F191" s="414" t="str">
        <f t="shared" si="440"/>
        <v xml:space="preserve"> </v>
      </c>
      <c r="G191" s="414" t="str">
        <f t="shared" si="392"/>
        <v xml:space="preserve"> </v>
      </c>
      <c r="H191" s="416" t="str">
        <f t="shared" si="393"/>
        <v xml:space="preserve"> </v>
      </c>
      <c r="I191" s="213" t="str">
        <f t="shared" si="342"/>
        <v xml:space="preserve"> </v>
      </c>
      <c r="J191" s="213" t="str">
        <f t="shared" si="343"/>
        <v xml:space="preserve"> </v>
      </c>
      <c r="K191" s="213" t="str">
        <f t="shared" si="344"/>
        <v xml:space="preserve"> </v>
      </c>
      <c r="L191" s="213" t="str">
        <f t="shared" si="345"/>
        <v xml:space="preserve"> </v>
      </c>
      <c r="M191" s="213" t="str">
        <f t="shared" si="346"/>
        <v xml:space="preserve"> </v>
      </c>
      <c r="N191" s="213" t="str">
        <f t="shared" si="347"/>
        <v xml:space="preserve"> </v>
      </c>
      <c r="O191" s="213" t="str">
        <f t="shared" si="348"/>
        <v xml:space="preserve"> </v>
      </c>
      <c r="P191" s="213" t="str">
        <f t="shared" si="349"/>
        <v xml:space="preserve"> </v>
      </c>
      <c r="Q191" s="213" t="str">
        <f t="shared" si="350"/>
        <v xml:space="preserve"> </v>
      </c>
      <c r="R191" s="405" t="str">
        <f>IF($A191="N/A"," ",IF(Pricetype=2,MAX(I191-$H191,0),IF(Pricetype=1,(_xll.xSPRDOPT(I191,$E191,$CI191,0,($CD191+IF(Smile=TRUE,VLOOKUP(MAX(-5,$H191-I191),Volsmile,2),0)),$CG191,$CH191,($A191-DateToday)+15,1,0)),I191-$H191)))</f>
        <v xml:space="preserve"> </v>
      </c>
      <c r="S191" s="405" t="str">
        <f>IF($A191="N/A"," ",IF(Pricetype=2,MAX(J191-$H191,0),IF(Pricetype=1,(_xll.xSPRDOPT(J191,$E191,$CI191,0,($CD191+IF(Smile=TRUE,VLOOKUP(MAX(-5,$H191-J191),Volsmile,2),0)),$CG191,$CH191,($A191-DateToday)+15,1,0)),J191-$H191)))</f>
        <v xml:space="preserve"> </v>
      </c>
      <c r="T191" s="406" t="str">
        <f t="shared" si="351"/>
        <v xml:space="preserve"> </v>
      </c>
      <c r="U191" s="405" t="str">
        <f>IF($A191="N/A"," ",IF(Pricetype=2,MAX(L191-$H191,0),IF(L191&lt;&gt;0,IF(Pricetype=1,(_xll.xSPRDOPT(L191,$E191,$CI191,0,($CD191+IF(Smile=TRUE,VLOOKUP(MAX(-5,$H191-L191),Volsmile,2),0)),$CG191,$CH191,($A191-DateToday)+15,1,0)),L191-$H191),0)))</f>
        <v xml:space="preserve"> </v>
      </c>
      <c r="V191" s="405" t="str">
        <f>IF($A191="N/A"," ",IF(Pricetype=2,MAX(M191-$H191,0),IF(M191&lt;&gt;0,IF(Pricetype=1,(_xll.xSPRDOPT(M191,$E191,$CI191,0,($CD191+IF(Smile=TRUE,VLOOKUP(MAX(-5,$H191-M191),Volsmile,2),0)),$CG191,$CH191,($A191-DateToday)+15,1,0)),M191-$H191),0)))</f>
        <v xml:space="preserve"> </v>
      </c>
      <c r="W191" s="406" t="str">
        <f t="shared" si="352"/>
        <v xml:space="preserve"> </v>
      </c>
      <c r="X191" s="405" t="str">
        <f>IF($A191="N/A"," ",IF(Pricetype=2,MAX(O191-$H191,0),IF(O191&lt;&gt;0,IF(Pricetype=1,(_xll.xSPRDOPT(O191,$E191,$CI191,0,($CD191+IF(Smile=TRUE,VLOOKUP(MAX(-5,$H191-O191),Volsmile,2),0)),$CG191,$CH191,($A191-DateToday)+15,1,0)),O191-$H191),0)))</f>
        <v xml:space="preserve"> </v>
      </c>
      <c r="Y191" s="405" t="str">
        <f>IF($A191="N/A"," ",IF(Pricetype=2,MAX(P191-$H191,0),IF(P191&lt;&gt;0,IF(Pricetype=1,(_xll.xSPRDOPT(P191,$E191,$CI191,0,($CD191+IF(Smile=TRUE,VLOOKUP(MAX(-5,$H191-P191),Volsmile,2),0)),$CG191,$CH191,($A191-DateToday)+15,1,0)),P191-$H191),0)))</f>
        <v xml:space="preserve"> </v>
      </c>
      <c r="Z191" s="406" t="str">
        <f t="shared" si="353"/>
        <v xml:space="preserve"> </v>
      </c>
      <c r="AA191" s="254" t="str">
        <f>IF($A191="N/A"," ",IF(VLOOKUP(MONTH(A191),ManualTable,2)=1,(IF(0&lt;&gt;R191,IF(Pricetype=1,(_xll.xSPRDOPT(I191,$E191,$CI191,0,($CD191+IF(Smile=TRUE,VLOOKUP(MAX(-5,$H191-I191),Volsmile,2),0)),$CG191,$CH191,($A191-DateToday)+15,1,1))*(8*$HD191),8*$HD191),0)),0))</f>
        <v xml:space="preserve"> </v>
      </c>
      <c r="AB191" s="254" t="str">
        <f>IF($A191="N/A"," ",IF(VLOOKUP(MONTH(A191),ManualTable,3)=1,(IF(S191&lt;&gt;0,IF(Pricetype=1,(_xll.xSPRDOPT(J191,$E191,$CI191,0,($CD191+IF(Smile=TRUE,VLOOKUP(MAX(-5,$H191-J191),Volsmile,2),0)),$CG191,$CH191,($A191-DateToday)+15,1,1))*(8*$HD191),8*$HD191),0)),0))</f>
        <v xml:space="preserve"> </v>
      </c>
      <c r="AC191" s="254" t="str">
        <f t="shared" si="394"/>
        <v xml:space="preserve"> </v>
      </c>
      <c r="AD191" s="254" t="str">
        <f>IF($A191="N/A"," ",IF(VLOOKUP(MONTH(A191),ManualTable,5)=1,(IF(U191&lt;&gt;0,IF(Pricetype=1,(_xll.xSPRDOPT(L191,$E191,$CI191,0,($CD191+IF(Smile=TRUE,VLOOKUP(MAX(-5,$H191-L191),Volsmile,2),0)),$CG191,$CH191,($A191-DateToday)+15,1,1))*(8*$HE191),8*$HE191),0)),0))</f>
        <v xml:space="preserve"> </v>
      </c>
      <c r="AE191" s="254" t="str">
        <f>IF($A191="N/A"," ",IF(VLOOKUP(MONTH(A191),ManualTable,6)=1,(IF(V191&lt;&gt;0,IF(Pricetype=1,(_xll.xSPRDOPT(M191,$E191,$CI191,0,($CD191+IF(Smile=TRUE,VLOOKUP(MAX(-5,$H191-M191),Volsmile,2),0)),$CG191,$CH191,($A191-DateToday)+15,1,1))*(8*$HE191),8*$HE191),0)),0))</f>
        <v xml:space="preserve"> </v>
      </c>
      <c r="AF191" s="254" t="str">
        <f t="shared" si="395"/>
        <v xml:space="preserve"> </v>
      </c>
      <c r="AG191" s="254" t="str">
        <f>IF($A191="N/A"," ",IF(VLOOKUP(MONTH(A191),ManualTable,8)=1,(IF(X191&lt;&gt;0,IF(Pricetype=1,(_xll.xSPRDOPT(O191,$E191,$CI191,0,($CD191+IF(Smile=TRUE,VLOOKUP(MAX(-5,$H191-O191),Volsmile,2),0)),$CG191,$CH191,($A191-DateToday)+15,1,1))*(8*$HF191),8*$HF191),0)),0))</f>
        <v xml:space="preserve"> </v>
      </c>
      <c r="AH191" s="254" t="str">
        <f>IF($A191="N/A"," ",IF(VLOOKUP(MONTH(A191),ManualTable,9)=1,(IF(Y191&lt;&gt;0,IF(Pricetype=1,(_xll.xSPRDOPT(P191,$E191,$CI191,0,($CD191+IF(Smile=TRUE,VLOOKUP(MAX(-5,$H191-P191),Volsmile,2),0)),$CG191,$CH191,($A191-DateToday)+15,1,1))*(8*$HF191),8*$HF191),0)),0))</f>
        <v xml:space="preserve"> </v>
      </c>
      <c r="AI191" s="254" t="str">
        <f t="shared" si="396"/>
        <v xml:space="preserve"> </v>
      </c>
      <c r="AJ191" s="227" t="str">
        <f t="shared" si="494"/>
        <v xml:space="preserve"> </v>
      </c>
      <c r="AK191" s="228" t="str">
        <f t="shared" si="495"/>
        <v xml:space="preserve"> </v>
      </c>
      <c r="AL191" s="228" t="str">
        <f t="shared" si="495"/>
        <v xml:space="preserve"> </v>
      </c>
      <c r="AM191" s="228" t="str">
        <f t="shared" si="496"/>
        <v xml:space="preserve"> </v>
      </c>
      <c r="AN191" s="228" t="str">
        <f t="shared" si="497"/>
        <v xml:space="preserve"> </v>
      </c>
      <c r="AO191" s="228" t="str">
        <f t="shared" si="497"/>
        <v xml:space="preserve"> </v>
      </c>
      <c r="AP191" s="228" t="str">
        <f t="shared" si="498"/>
        <v xml:space="preserve"> </v>
      </c>
      <c r="AQ191" s="228" t="str">
        <f t="shared" si="499"/>
        <v xml:space="preserve"> </v>
      </c>
      <c r="AR191" s="229" t="str">
        <f t="shared" si="500"/>
        <v xml:space="preserve"> </v>
      </c>
      <c r="AS191" s="262" t="str">
        <f t="shared" si="433"/>
        <v xml:space="preserve"> </v>
      </c>
      <c r="AT191" s="263" t="str">
        <f t="shared" si="434"/>
        <v xml:space="preserve"> </v>
      </c>
      <c r="AU191" s="263" t="str">
        <f t="shared" si="434"/>
        <v xml:space="preserve"> </v>
      </c>
      <c r="AV191" s="263" t="str">
        <f t="shared" si="435"/>
        <v xml:space="preserve"> </v>
      </c>
      <c r="AW191" s="263" t="str">
        <f t="shared" si="436"/>
        <v xml:space="preserve"> </v>
      </c>
      <c r="AX191" s="263" t="str">
        <f t="shared" si="436"/>
        <v xml:space="preserve"> </v>
      </c>
      <c r="AY191" s="263" t="str">
        <f t="shared" si="437"/>
        <v xml:space="preserve"> </v>
      </c>
      <c r="AZ191" s="263" t="str">
        <f t="shared" si="438"/>
        <v xml:space="preserve"> </v>
      </c>
      <c r="BA191" s="263" t="str">
        <f t="shared" si="439"/>
        <v xml:space="preserve"> </v>
      </c>
      <c r="BB191" s="229"/>
      <c r="BC191" s="266" t="str">
        <f t="shared" si="487"/>
        <v xml:space="preserve"> </v>
      </c>
      <c r="BD191" s="269" t="str">
        <f t="shared" si="488"/>
        <v xml:space="preserve"> </v>
      </c>
      <c r="BE191" s="269" t="str">
        <f t="shared" si="488"/>
        <v xml:space="preserve"> </v>
      </c>
      <c r="BF191" s="269" t="str">
        <f t="shared" si="489"/>
        <v xml:space="preserve"> </v>
      </c>
      <c r="BG191" s="269" t="str">
        <f t="shared" si="490"/>
        <v xml:space="preserve"> </v>
      </c>
      <c r="BH191" s="269" t="str">
        <f t="shared" si="490"/>
        <v xml:space="preserve"> </v>
      </c>
      <c r="BI191" s="269" t="str">
        <f t="shared" si="491"/>
        <v xml:space="preserve"> </v>
      </c>
      <c r="BJ191" s="269" t="str">
        <f t="shared" si="492"/>
        <v xml:space="preserve"> </v>
      </c>
      <c r="BK191" s="269" t="str">
        <f t="shared" si="493"/>
        <v xml:space="preserve"> </v>
      </c>
      <c r="BL191" s="229"/>
      <c r="BM191" s="220" t="str">
        <f>IF($A191="N/A"," ",(IF(MONTH(A191)&gt;=4,IF(MONTH(A191)&lt;=10,Inputs!$F$13-Inputs!$G$13,Inputs!$F$14-Inputs!$G$14),Inputs!$F$14-Inputs!$G$14))*$CK191*Availability)</f>
        <v xml:space="preserve"> </v>
      </c>
      <c r="BN191" s="221" t="str">
        <f t="shared" si="397"/>
        <v xml:space="preserve"> </v>
      </c>
      <c r="BO191" s="221" t="str">
        <f t="shared" si="398"/>
        <v xml:space="preserve"> </v>
      </c>
      <c r="BP191" s="221" t="str">
        <f t="shared" si="399"/>
        <v xml:space="preserve"> </v>
      </c>
      <c r="BQ191" s="221" t="str">
        <f t="shared" si="400"/>
        <v xml:space="preserve"> </v>
      </c>
      <c r="BR191" s="221" t="str">
        <f t="shared" si="401"/>
        <v xml:space="preserve"> </v>
      </c>
      <c r="BS191" s="221" t="str">
        <f t="shared" si="402"/>
        <v xml:space="preserve"> </v>
      </c>
      <c r="BT191" s="221" t="str">
        <f t="shared" si="403"/>
        <v xml:space="preserve"> </v>
      </c>
      <c r="BU191" s="221" t="str">
        <f t="shared" si="404"/>
        <v xml:space="preserve"> </v>
      </c>
      <c r="BV191" s="221" t="str">
        <f t="shared" si="405"/>
        <v xml:space="preserve"> </v>
      </c>
      <c r="BW191" s="221" t="str">
        <f t="shared" si="406"/>
        <v xml:space="preserve"> </v>
      </c>
      <c r="BX191" s="421" t="str">
        <f t="shared" si="407"/>
        <v xml:space="preserve"> </v>
      </c>
      <c r="BY191" s="417" t="str">
        <f t="shared" si="408"/>
        <v xml:space="preserve"> </v>
      </c>
      <c r="BZ191" s="417" t="str">
        <f t="shared" si="409"/>
        <v xml:space="preserve"> </v>
      </c>
      <c r="CA191" s="422" t="str">
        <f t="shared" si="410"/>
        <v xml:space="preserve"> </v>
      </c>
      <c r="CB191" s="347" t="str">
        <f t="shared" si="354"/>
        <v xml:space="preserve"> </v>
      </c>
      <c r="CC191" s="347" t="str">
        <f t="shared" si="411"/>
        <v xml:space="preserve"> </v>
      </c>
      <c r="CD191" s="348" t="str">
        <f t="shared" si="355"/>
        <v xml:space="preserve"> </v>
      </c>
      <c r="CE191" s="347" t="str">
        <f t="shared" si="356"/>
        <v xml:space="preserve"> </v>
      </c>
      <c r="CF191" s="347" t="str">
        <f t="shared" si="357"/>
        <v xml:space="preserve"> </v>
      </c>
      <c r="CG191" s="348" t="str">
        <f t="shared" si="358"/>
        <v xml:space="preserve"> </v>
      </c>
      <c r="CH191" s="347" t="str">
        <f t="shared" si="412"/>
        <v xml:space="preserve"> </v>
      </c>
      <c r="CI191" s="349" t="str">
        <f>IF($A191="N/A"," ",F191+G191+(D191*('Pricing Inputs'!T224)))</f>
        <v xml:space="preserve"> </v>
      </c>
      <c r="CJ191" s="347" t="str">
        <f>IF($A191="N/A"," ",IF(PV=1,0,'Pricing Inputs'!U224))</f>
        <v xml:space="preserve"> </v>
      </c>
      <c r="CK191" s="350" t="str">
        <f t="shared" si="359"/>
        <v xml:space="preserve"> </v>
      </c>
      <c r="CL191" s="365" t="str">
        <f t="shared" si="360"/>
        <v xml:space="preserve"> </v>
      </c>
      <c r="CM191" s="380" t="str">
        <f t="shared" si="413"/>
        <v xml:space="preserve"> </v>
      </c>
      <c r="CN191" s="378" t="str">
        <f t="shared" si="361"/>
        <v xml:space="preserve"> </v>
      </c>
      <c r="CO191" s="378" t="str">
        <f t="shared" si="362"/>
        <v xml:space="preserve"> </v>
      </c>
      <c r="CP191" s="378" t="str">
        <f t="shared" si="363"/>
        <v xml:space="preserve"> </v>
      </c>
      <c r="CQ191" s="378" t="str">
        <f t="shared" si="364"/>
        <v xml:space="preserve"> </v>
      </c>
      <c r="CR191" s="378" t="str">
        <f t="shared" si="365"/>
        <v xml:space="preserve"> </v>
      </c>
      <c r="CS191" s="378" t="str">
        <f t="shared" si="366"/>
        <v xml:space="preserve"> </v>
      </c>
      <c r="CT191" s="378" t="str">
        <f t="shared" si="367"/>
        <v xml:space="preserve"> </v>
      </c>
      <c r="CU191" s="378" t="str">
        <f t="shared" si="368"/>
        <v xml:space="preserve"> </v>
      </c>
      <c r="CV191" s="378" t="str">
        <f t="shared" si="369"/>
        <v xml:space="preserve"> </v>
      </c>
      <c r="CW191" s="254" t="str">
        <f t="shared" si="370"/>
        <v xml:space="preserve"> </v>
      </c>
      <c r="CX191" s="254" t="str">
        <f t="shared" si="371"/>
        <v xml:space="preserve"> </v>
      </c>
      <c r="CY191" s="254" t="str">
        <f t="shared" si="372"/>
        <v xml:space="preserve"> </v>
      </c>
      <c r="CZ191" s="254" t="str">
        <f t="shared" si="373"/>
        <v xml:space="preserve"> </v>
      </c>
      <c r="DA191" s="254" t="str">
        <f t="shared" si="374"/>
        <v xml:space="preserve"> </v>
      </c>
      <c r="DB191" s="254" t="str">
        <f t="shared" si="375"/>
        <v xml:space="preserve"> </v>
      </c>
      <c r="DC191" s="254" t="str">
        <f t="shared" si="376"/>
        <v xml:space="preserve"> </v>
      </c>
      <c r="DD191" s="254" t="str">
        <f t="shared" si="377"/>
        <v xml:space="preserve"> </v>
      </c>
      <c r="DE191" s="254" t="str">
        <f t="shared" si="378"/>
        <v xml:space="preserve"> </v>
      </c>
      <c r="DF191" s="374" t="str">
        <f>IF($A191="N/A"," ",IF(CC=2,(IF(MONTH(A191)&gt;=4,IF(MONTH(A191)&lt;=10,Inputs!$G$13,Inputs!$G$14),Inputs!$G$14))*$CK191,0))</f>
        <v xml:space="preserve"> </v>
      </c>
      <c r="DG191" s="373" t="str">
        <f t="shared" si="379"/>
        <v xml:space="preserve"> </v>
      </c>
      <c r="DH191" s="373" t="str">
        <f t="shared" si="380"/>
        <v xml:space="preserve"> </v>
      </c>
      <c r="DI191" s="373" t="str">
        <f t="shared" si="381"/>
        <v xml:space="preserve"> </v>
      </c>
      <c r="DJ191" s="373" t="str">
        <f t="shared" si="382"/>
        <v xml:space="preserve"> </v>
      </c>
      <c r="DK191" s="373" t="str">
        <f t="shared" si="383"/>
        <v xml:space="preserve"> </v>
      </c>
      <c r="DL191" s="373" t="str">
        <f t="shared" si="384"/>
        <v xml:space="preserve"> </v>
      </c>
      <c r="DM191" s="373" t="str">
        <f t="shared" si="385"/>
        <v xml:space="preserve"> </v>
      </c>
      <c r="DN191" s="373" t="str">
        <f t="shared" si="386"/>
        <v xml:space="preserve"> </v>
      </c>
      <c r="DO191" s="373" t="str">
        <f t="shared" si="387"/>
        <v xml:space="preserve"> </v>
      </c>
      <c r="DP191" s="375" t="str">
        <f t="shared" si="388"/>
        <v xml:space="preserve"> </v>
      </c>
      <c r="DQ191" t="str">
        <f t="shared" si="414"/>
        <v xml:space="preserve"> </v>
      </c>
      <c r="HD191" t="str">
        <f t="shared" si="415"/>
        <v xml:space="preserve"> </v>
      </c>
      <c r="HE191" t="str">
        <f t="shared" si="416"/>
        <v xml:space="preserve"> </v>
      </c>
      <c r="HF191" t="str">
        <f t="shared" si="417"/>
        <v xml:space="preserve"> </v>
      </c>
    </row>
    <row r="192" spans="1:214">
      <c r="A192" s="415" t="str">
        <f>IF(A191="N/A","N/A",IF(EDATE(A191,1)&gt;Inputs!$K$3,"N/A",EDATE(A191,1)))</f>
        <v>N/A</v>
      </c>
      <c r="B192" s="410" t="str">
        <f t="shared" si="389"/>
        <v xml:space="preserve"> </v>
      </c>
      <c r="C192" s="411" t="str">
        <f t="shared" si="390"/>
        <v xml:space="preserve"> </v>
      </c>
      <c r="D192" s="412" t="str">
        <f t="shared" si="391"/>
        <v xml:space="preserve"> </v>
      </c>
      <c r="E192" s="413" t="str">
        <f>IF($A192="N/A"," ",(C192-'Pricing Inputs'!T225)*D192)</f>
        <v xml:space="preserve"> </v>
      </c>
      <c r="F192" s="414" t="str">
        <f t="shared" si="440"/>
        <v xml:space="preserve"> </v>
      </c>
      <c r="G192" s="414" t="str">
        <f t="shared" si="392"/>
        <v xml:space="preserve"> </v>
      </c>
      <c r="H192" s="416" t="str">
        <f t="shared" si="393"/>
        <v xml:space="preserve"> </v>
      </c>
      <c r="I192" s="213" t="str">
        <f t="shared" si="342"/>
        <v xml:space="preserve"> </v>
      </c>
      <c r="J192" s="213" t="str">
        <f t="shared" si="343"/>
        <v xml:space="preserve"> </v>
      </c>
      <c r="K192" s="213" t="str">
        <f t="shared" si="344"/>
        <v xml:space="preserve"> </v>
      </c>
      <c r="L192" s="213" t="str">
        <f t="shared" si="345"/>
        <v xml:space="preserve"> </v>
      </c>
      <c r="M192" s="213" t="str">
        <f t="shared" si="346"/>
        <v xml:space="preserve"> </v>
      </c>
      <c r="N192" s="213" t="str">
        <f t="shared" si="347"/>
        <v xml:space="preserve"> </v>
      </c>
      <c r="O192" s="213" t="str">
        <f t="shared" si="348"/>
        <v xml:space="preserve"> </v>
      </c>
      <c r="P192" s="213" t="str">
        <f t="shared" si="349"/>
        <v xml:space="preserve"> </v>
      </c>
      <c r="Q192" s="213" t="str">
        <f t="shared" si="350"/>
        <v xml:space="preserve"> </v>
      </c>
      <c r="R192" s="405" t="str">
        <f>IF($A192="N/A"," ",IF(Pricetype=2,MAX(I192-$H192,0),IF(Pricetype=1,(_xll.xSPRDOPT(I192,$E192,$CI192,0,($CD192+IF(Smile=TRUE,VLOOKUP(MAX(-5,$H192-I192),Volsmile,2),0)),$CG192,$CH192,($A192-DateToday)+15,1,0)),I192-$H192)))</f>
        <v xml:space="preserve"> </v>
      </c>
      <c r="S192" s="405" t="str">
        <f>IF($A192="N/A"," ",IF(Pricetype=2,MAX(J192-$H192,0),IF(Pricetype=1,(_xll.xSPRDOPT(J192,$E192,$CI192,0,($CD192+IF(Smile=TRUE,VLOOKUP(MAX(-5,$H192-J192),Volsmile,2),0)),$CG192,$CH192,($A192-DateToday)+15,1,0)),J192-$H192)))</f>
        <v xml:space="preserve"> </v>
      </c>
      <c r="T192" s="406" t="str">
        <f t="shared" si="351"/>
        <v xml:space="preserve"> </v>
      </c>
      <c r="U192" s="405" t="str">
        <f>IF($A192="N/A"," ",IF(Pricetype=2,MAX(L192-$H192,0),IF(L192&lt;&gt;0,IF(Pricetype=1,(_xll.xSPRDOPT(L192,$E192,$CI192,0,($CD192+IF(Smile=TRUE,VLOOKUP(MAX(-5,$H192-L192),Volsmile,2),0)),$CG192,$CH192,($A192-DateToday)+15,1,0)),L192-$H192),0)))</f>
        <v xml:space="preserve"> </v>
      </c>
      <c r="V192" s="405" t="str">
        <f>IF($A192="N/A"," ",IF(Pricetype=2,MAX(M192-$H192,0),IF(M192&lt;&gt;0,IF(Pricetype=1,(_xll.xSPRDOPT(M192,$E192,$CI192,0,($CD192+IF(Smile=TRUE,VLOOKUP(MAX(-5,$H192-M192),Volsmile,2),0)),$CG192,$CH192,($A192-DateToday)+15,1,0)),M192-$H192),0)))</f>
        <v xml:space="preserve"> </v>
      </c>
      <c r="W192" s="406" t="str">
        <f t="shared" si="352"/>
        <v xml:space="preserve"> </v>
      </c>
      <c r="X192" s="405" t="str">
        <f>IF($A192="N/A"," ",IF(Pricetype=2,MAX(O192-$H192,0),IF(O192&lt;&gt;0,IF(Pricetype=1,(_xll.xSPRDOPT(O192,$E192,$CI192,0,($CD192+IF(Smile=TRUE,VLOOKUP(MAX(-5,$H192-O192),Volsmile,2),0)),$CG192,$CH192,($A192-DateToday)+15,1,0)),O192-$H192),0)))</f>
        <v xml:space="preserve"> </v>
      </c>
      <c r="Y192" s="405" t="str">
        <f>IF($A192="N/A"," ",IF(Pricetype=2,MAX(P192-$H192,0),IF(P192&lt;&gt;0,IF(Pricetype=1,(_xll.xSPRDOPT(P192,$E192,$CI192,0,($CD192+IF(Smile=TRUE,VLOOKUP(MAX(-5,$H192-P192),Volsmile,2),0)),$CG192,$CH192,($A192-DateToday)+15,1,0)),P192-$H192),0)))</f>
        <v xml:space="preserve"> </v>
      </c>
      <c r="Z192" s="406" t="str">
        <f t="shared" si="353"/>
        <v xml:space="preserve"> </v>
      </c>
      <c r="AA192" s="254" t="str">
        <f>IF($A192="N/A"," ",IF(VLOOKUP(MONTH(A192),ManualTable,2)=1,(IF(0&lt;&gt;R192,IF(Pricetype=1,(_xll.xSPRDOPT(I192,$E192,$CI192,0,($CD192+IF(Smile=TRUE,VLOOKUP(MAX(-5,$H192-I192),Volsmile,2),0)),$CG192,$CH192,($A192-DateToday)+15,1,1))*(8*$HD192),8*$HD192),0)),0))</f>
        <v xml:space="preserve"> </v>
      </c>
      <c r="AB192" s="254" t="str">
        <f>IF($A192="N/A"," ",IF(VLOOKUP(MONTH(A192),ManualTable,3)=1,(IF(S192&lt;&gt;0,IF(Pricetype=1,(_xll.xSPRDOPT(J192,$E192,$CI192,0,($CD192+IF(Smile=TRUE,VLOOKUP(MAX(-5,$H192-J192),Volsmile,2),0)),$CG192,$CH192,($A192-DateToday)+15,1,1))*(8*$HD192),8*$HD192),0)),0))</f>
        <v xml:space="preserve"> </v>
      </c>
      <c r="AC192" s="254" t="str">
        <f t="shared" si="394"/>
        <v xml:space="preserve"> </v>
      </c>
      <c r="AD192" s="254" t="str">
        <f>IF($A192="N/A"," ",IF(VLOOKUP(MONTH(A192),ManualTable,5)=1,(IF(U192&lt;&gt;0,IF(Pricetype=1,(_xll.xSPRDOPT(L192,$E192,$CI192,0,($CD192+IF(Smile=TRUE,VLOOKUP(MAX(-5,$H192-L192),Volsmile,2),0)),$CG192,$CH192,($A192-DateToday)+15,1,1))*(8*$HE192),8*$HE192),0)),0))</f>
        <v xml:space="preserve"> </v>
      </c>
      <c r="AE192" s="254" t="str">
        <f>IF($A192="N/A"," ",IF(VLOOKUP(MONTH(A192),ManualTable,6)=1,(IF(V192&lt;&gt;0,IF(Pricetype=1,(_xll.xSPRDOPT(M192,$E192,$CI192,0,($CD192+IF(Smile=TRUE,VLOOKUP(MAX(-5,$H192-M192),Volsmile,2),0)),$CG192,$CH192,($A192-DateToday)+15,1,1))*(8*$HE192),8*$HE192),0)),0))</f>
        <v xml:space="preserve"> </v>
      </c>
      <c r="AF192" s="254" t="str">
        <f t="shared" si="395"/>
        <v xml:space="preserve"> </v>
      </c>
      <c r="AG192" s="254" t="str">
        <f>IF($A192="N/A"," ",IF(VLOOKUP(MONTH(A192),ManualTable,8)=1,(IF(X192&lt;&gt;0,IF(Pricetype=1,(_xll.xSPRDOPT(O192,$E192,$CI192,0,($CD192+IF(Smile=TRUE,VLOOKUP(MAX(-5,$H192-O192),Volsmile,2),0)),$CG192,$CH192,($A192-DateToday)+15,1,1))*(8*$HF192),8*$HF192),0)),0))</f>
        <v xml:space="preserve"> </v>
      </c>
      <c r="AH192" s="254" t="str">
        <f>IF($A192="N/A"," ",IF(VLOOKUP(MONTH(A192),ManualTable,9)=1,(IF(Y192&lt;&gt;0,IF(Pricetype=1,(_xll.xSPRDOPT(P192,$E192,$CI192,0,($CD192+IF(Smile=TRUE,VLOOKUP(MAX(-5,$H192-P192),Volsmile,2),0)),$CG192,$CH192,($A192-DateToday)+15,1,1))*(8*$HF192),8*$HF192),0)),0))</f>
        <v xml:space="preserve"> </v>
      </c>
      <c r="AI192" s="254" t="str">
        <f t="shared" si="396"/>
        <v xml:space="preserve"> </v>
      </c>
      <c r="AJ192" s="227" t="str">
        <f t="shared" si="494"/>
        <v xml:space="preserve"> </v>
      </c>
      <c r="AK192" s="228" t="str">
        <f t="shared" si="495"/>
        <v xml:space="preserve"> </v>
      </c>
      <c r="AL192" s="228" t="str">
        <f t="shared" si="495"/>
        <v xml:space="preserve"> </v>
      </c>
      <c r="AM192" s="228" t="str">
        <f t="shared" si="496"/>
        <v xml:space="preserve"> </v>
      </c>
      <c r="AN192" s="228" t="str">
        <f t="shared" si="497"/>
        <v xml:space="preserve"> </v>
      </c>
      <c r="AO192" s="228" t="str">
        <f t="shared" si="497"/>
        <v xml:space="preserve"> </v>
      </c>
      <c r="AP192" s="228" t="str">
        <f t="shared" si="498"/>
        <v xml:space="preserve"> </v>
      </c>
      <c r="AQ192" s="228" t="str">
        <f t="shared" si="499"/>
        <v xml:space="preserve"> </v>
      </c>
      <c r="AR192" s="229" t="str">
        <f t="shared" si="500"/>
        <v xml:space="preserve"> </v>
      </c>
      <c r="AS192" s="262" t="str">
        <f t="shared" si="433"/>
        <v xml:space="preserve"> </v>
      </c>
      <c r="AT192" s="263" t="str">
        <f t="shared" si="434"/>
        <v xml:space="preserve"> </v>
      </c>
      <c r="AU192" s="263" t="str">
        <f t="shared" si="434"/>
        <v xml:space="preserve"> </v>
      </c>
      <c r="AV192" s="263" t="str">
        <f t="shared" si="435"/>
        <v xml:space="preserve"> </v>
      </c>
      <c r="AW192" s="263" t="str">
        <f t="shared" si="436"/>
        <v xml:space="preserve"> </v>
      </c>
      <c r="AX192" s="263" t="str">
        <f t="shared" si="436"/>
        <v xml:space="preserve"> </v>
      </c>
      <c r="AY192" s="263" t="str">
        <f t="shared" si="437"/>
        <v xml:space="preserve"> </v>
      </c>
      <c r="AZ192" s="263" t="str">
        <f t="shared" si="438"/>
        <v xml:space="preserve"> </v>
      </c>
      <c r="BA192" s="263" t="str">
        <f t="shared" si="439"/>
        <v xml:space="preserve"> </v>
      </c>
      <c r="BB192" s="229"/>
      <c r="BC192" s="266" t="str">
        <f t="shared" si="487"/>
        <v xml:space="preserve"> </v>
      </c>
      <c r="BD192" s="269" t="str">
        <f t="shared" si="488"/>
        <v xml:space="preserve"> </v>
      </c>
      <c r="BE192" s="269" t="str">
        <f t="shared" si="488"/>
        <v xml:space="preserve"> </v>
      </c>
      <c r="BF192" s="269" t="str">
        <f t="shared" si="489"/>
        <v xml:space="preserve"> </v>
      </c>
      <c r="BG192" s="269" t="str">
        <f t="shared" si="490"/>
        <v xml:space="preserve"> </v>
      </c>
      <c r="BH192" s="269" t="str">
        <f t="shared" si="490"/>
        <v xml:space="preserve"> </v>
      </c>
      <c r="BI192" s="269" t="str">
        <f t="shared" si="491"/>
        <v xml:space="preserve"> </v>
      </c>
      <c r="BJ192" s="269" t="str">
        <f t="shared" si="492"/>
        <v xml:space="preserve"> </v>
      </c>
      <c r="BK192" s="269" t="str">
        <f t="shared" si="493"/>
        <v xml:space="preserve"> </v>
      </c>
      <c r="BL192" s="229"/>
      <c r="BM192" s="220" t="str">
        <f>IF($A192="N/A"," ",(IF(MONTH(A192)&gt;=4,IF(MONTH(A192)&lt;=10,Inputs!$F$13-Inputs!$G$13,Inputs!$F$14-Inputs!$G$14),Inputs!$F$14-Inputs!$G$14))*$CK192*Availability)</f>
        <v xml:space="preserve"> </v>
      </c>
      <c r="BN192" s="221" t="str">
        <f t="shared" si="397"/>
        <v xml:space="preserve"> </v>
      </c>
      <c r="BO192" s="221" t="str">
        <f t="shared" si="398"/>
        <v xml:space="preserve"> </v>
      </c>
      <c r="BP192" s="221" t="str">
        <f t="shared" si="399"/>
        <v xml:space="preserve"> </v>
      </c>
      <c r="BQ192" s="221" t="str">
        <f t="shared" si="400"/>
        <v xml:space="preserve"> </v>
      </c>
      <c r="BR192" s="221" t="str">
        <f t="shared" si="401"/>
        <v xml:space="preserve"> </v>
      </c>
      <c r="BS192" s="221" t="str">
        <f t="shared" si="402"/>
        <v xml:space="preserve"> </v>
      </c>
      <c r="BT192" s="221" t="str">
        <f t="shared" si="403"/>
        <v xml:space="preserve"> </v>
      </c>
      <c r="BU192" s="221" t="str">
        <f t="shared" si="404"/>
        <v xml:space="preserve"> </v>
      </c>
      <c r="BV192" s="221" t="str">
        <f t="shared" si="405"/>
        <v xml:space="preserve"> </v>
      </c>
      <c r="BW192" s="221" t="str">
        <f t="shared" si="406"/>
        <v xml:space="preserve"> </v>
      </c>
      <c r="BX192" s="421" t="str">
        <f t="shared" si="407"/>
        <v xml:space="preserve"> </v>
      </c>
      <c r="BY192" s="417" t="str">
        <f t="shared" si="408"/>
        <v xml:space="preserve"> </v>
      </c>
      <c r="BZ192" s="417" t="str">
        <f t="shared" si="409"/>
        <v xml:space="preserve"> </v>
      </c>
      <c r="CA192" s="422" t="str">
        <f t="shared" si="410"/>
        <v xml:space="preserve"> </v>
      </c>
      <c r="CB192" s="347" t="str">
        <f t="shared" si="354"/>
        <v xml:space="preserve"> </v>
      </c>
      <c r="CC192" s="347" t="str">
        <f t="shared" si="411"/>
        <v xml:space="preserve"> </v>
      </c>
      <c r="CD192" s="348" t="str">
        <f t="shared" si="355"/>
        <v xml:space="preserve"> </v>
      </c>
      <c r="CE192" s="347" t="str">
        <f t="shared" si="356"/>
        <v xml:space="preserve"> </v>
      </c>
      <c r="CF192" s="347" t="str">
        <f t="shared" si="357"/>
        <v xml:space="preserve"> </v>
      </c>
      <c r="CG192" s="348" t="str">
        <f t="shared" si="358"/>
        <v xml:space="preserve"> </v>
      </c>
      <c r="CH192" s="347" t="str">
        <f t="shared" si="412"/>
        <v xml:space="preserve"> </v>
      </c>
      <c r="CI192" s="349" t="str">
        <f>IF($A192="N/A"," ",F192+G192+(D192*('Pricing Inputs'!T225)))</f>
        <v xml:space="preserve"> </v>
      </c>
      <c r="CJ192" s="347" t="str">
        <f>IF($A192="N/A"," ",IF(PV=1,0,'Pricing Inputs'!U225))</f>
        <v xml:space="preserve"> </v>
      </c>
      <c r="CK192" s="350" t="str">
        <f t="shared" si="359"/>
        <v xml:space="preserve"> </v>
      </c>
      <c r="CL192" s="365" t="str">
        <f t="shared" si="360"/>
        <v xml:space="preserve"> </v>
      </c>
      <c r="CM192" s="380" t="str">
        <f t="shared" si="413"/>
        <v xml:space="preserve"> </v>
      </c>
      <c r="CN192" s="378" t="str">
        <f t="shared" si="361"/>
        <v xml:space="preserve"> </v>
      </c>
      <c r="CO192" s="378" t="str">
        <f t="shared" si="362"/>
        <v xml:space="preserve"> </v>
      </c>
      <c r="CP192" s="378" t="str">
        <f t="shared" si="363"/>
        <v xml:space="preserve"> </v>
      </c>
      <c r="CQ192" s="378" t="str">
        <f t="shared" si="364"/>
        <v xml:space="preserve"> </v>
      </c>
      <c r="CR192" s="378" t="str">
        <f t="shared" si="365"/>
        <v xml:space="preserve"> </v>
      </c>
      <c r="CS192" s="378" t="str">
        <f t="shared" si="366"/>
        <v xml:space="preserve"> </v>
      </c>
      <c r="CT192" s="378" t="str">
        <f t="shared" si="367"/>
        <v xml:space="preserve"> </v>
      </c>
      <c r="CU192" s="378" t="str">
        <f t="shared" si="368"/>
        <v xml:space="preserve"> </v>
      </c>
      <c r="CV192" s="378" t="str">
        <f t="shared" si="369"/>
        <v xml:space="preserve"> </v>
      </c>
      <c r="CW192" s="254" t="str">
        <f t="shared" si="370"/>
        <v xml:space="preserve"> </v>
      </c>
      <c r="CX192" s="254" t="str">
        <f t="shared" si="371"/>
        <v xml:space="preserve"> </v>
      </c>
      <c r="CY192" s="254" t="str">
        <f t="shared" si="372"/>
        <v xml:space="preserve"> </v>
      </c>
      <c r="CZ192" s="254" t="str">
        <f t="shared" si="373"/>
        <v xml:space="preserve"> </v>
      </c>
      <c r="DA192" s="254" t="str">
        <f t="shared" si="374"/>
        <v xml:space="preserve"> </v>
      </c>
      <c r="DB192" s="254" t="str">
        <f t="shared" si="375"/>
        <v xml:space="preserve"> </v>
      </c>
      <c r="DC192" s="254" t="str">
        <f t="shared" si="376"/>
        <v xml:space="preserve"> </v>
      </c>
      <c r="DD192" s="254" t="str">
        <f t="shared" si="377"/>
        <v xml:space="preserve"> </v>
      </c>
      <c r="DE192" s="254" t="str">
        <f t="shared" si="378"/>
        <v xml:space="preserve"> </v>
      </c>
      <c r="DF192" s="374" t="str">
        <f>IF($A192="N/A"," ",IF(CC=2,(IF(MONTH(A192)&gt;=4,IF(MONTH(A192)&lt;=10,Inputs!$G$13,Inputs!$G$14),Inputs!$G$14))*$CK192,0))</f>
        <v xml:space="preserve"> </v>
      </c>
      <c r="DG192" s="373" t="str">
        <f t="shared" si="379"/>
        <v xml:space="preserve"> </v>
      </c>
      <c r="DH192" s="373" t="str">
        <f t="shared" si="380"/>
        <v xml:space="preserve"> </v>
      </c>
      <c r="DI192" s="373" t="str">
        <f t="shared" si="381"/>
        <v xml:space="preserve"> </v>
      </c>
      <c r="DJ192" s="373" t="str">
        <f t="shared" si="382"/>
        <v xml:space="preserve"> </v>
      </c>
      <c r="DK192" s="373" t="str">
        <f t="shared" si="383"/>
        <v xml:space="preserve"> </v>
      </c>
      <c r="DL192" s="373" t="str">
        <f t="shared" si="384"/>
        <v xml:space="preserve"> </v>
      </c>
      <c r="DM192" s="373" t="str">
        <f t="shared" si="385"/>
        <v xml:space="preserve"> </v>
      </c>
      <c r="DN192" s="373" t="str">
        <f t="shared" si="386"/>
        <v xml:space="preserve"> </v>
      </c>
      <c r="DO192" s="373" t="str">
        <f t="shared" si="387"/>
        <v xml:space="preserve"> </v>
      </c>
      <c r="DP192" s="375" t="str">
        <f t="shared" si="388"/>
        <v xml:space="preserve"> </v>
      </c>
      <c r="DQ192" t="str">
        <f t="shared" si="414"/>
        <v xml:space="preserve"> </v>
      </c>
      <c r="HD192" t="str">
        <f t="shared" si="415"/>
        <v xml:space="preserve"> </v>
      </c>
      <c r="HE192" t="str">
        <f t="shared" si="416"/>
        <v xml:space="preserve"> </v>
      </c>
      <c r="HF192" t="str">
        <f t="shared" si="417"/>
        <v xml:space="preserve"> </v>
      </c>
    </row>
    <row r="193" spans="1:214">
      <c r="A193" s="415" t="str">
        <f>IF(A192="N/A","N/A",IF(EDATE(A192,1)&gt;Inputs!$K$3,"N/A",EDATE(A192,1)))</f>
        <v>N/A</v>
      </c>
      <c r="B193" s="410" t="str">
        <f t="shared" si="389"/>
        <v xml:space="preserve"> </v>
      </c>
      <c r="C193" s="411" t="str">
        <f t="shared" si="390"/>
        <v xml:space="preserve"> </v>
      </c>
      <c r="D193" s="412" t="str">
        <f t="shared" si="391"/>
        <v xml:space="preserve"> </v>
      </c>
      <c r="E193" s="413" t="str">
        <f>IF($A193="N/A"," ",(C193-'Pricing Inputs'!T226)*D193)</f>
        <v xml:space="preserve"> </v>
      </c>
      <c r="F193" s="414" t="str">
        <f t="shared" si="440"/>
        <v xml:space="preserve"> </v>
      </c>
      <c r="G193" s="414" t="str">
        <f t="shared" si="392"/>
        <v xml:space="preserve"> </v>
      </c>
      <c r="H193" s="416" t="str">
        <f t="shared" si="393"/>
        <v xml:space="preserve"> </v>
      </c>
      <c r="I193" s="213" t="str">
        <f t="shared" si="342"/>
        <v xml:space="preserve"> </v>
      </c>
      <c r="J193" s="213" t="str">
        <f t="shared" si="343"/>
        <v xml:space="preserve"> </v>
      </c>
      <c r="K193" s="213" t="str">
        <f t="shared" si="344"/>
        <v xml:space="preserve"> </v>
      </c>
      <c r="L193" s="213" t="str">
        <f t="shared" si="345"/>
        <v xml:space="preserve"> </v>
      </c>
      <c r="M193" s="213" t="str">
        <f t="shared" si="346"/>
        <v xml:space="preserve"> </v>
      </c>
      <c r="N193" s="213" t="str">
        <f t="shared" si="347"/>
        <v xml:space="preserve"> </v>
      </c>
      <c r="O193" s="213" t="str">
        <f t="shared" si="348"/>
        <v xml:space="preserve"> </v>
      </c>
      <c r="P193" s="213" t="str">
        <f t="shared" si="349"/>
        <v xml:space="preserve"> </v>
      </c>
      <c r="Q193" s="213" t="str">
        <f t="shared" si="350"/>
        <v xml:space="preserve"> </v>
      </c>
      <c r="R193" s="405" t="str">
        <f>IF($A193="N/A"," ",IF(Pricetype=2,MAX(I193-$H193,0),IF(Pricetype=1,(_xll.xSPRDOPT(I193,$E193,$CI193,0,($CD193+IF(Smile=TRUE,VLOOKUP(MAX(-5,$H193-I193),Volsmile,2),0)),$CG193,$CH193,($A193-DateToday)+15,1,0)),I193-$H193)))</f>
        <v xml:space="preserve"> </v>
      </c>
      <c r="S193" s="405" t="str">
        <f>IF($A193="N/A"," ",IF(Pricetype=2,MAX(J193-$H193,0),IF(Pricetype=1,(_xll.xSPRDOPT(J193,$E193,$CI193,0,($CD193+IF(Smile=TRUE,VLOOKUP(MAX(-5,$H193-J193),Volsmile,2),0)),$CG193,$CH193,($A193-DateToday)+15,1,0)),J193-$H193)))</f>
        <v xml:space="preserve"> </v>
      </c>
      <c r="T193" s="406" t="str">
        <f t="shared" si="351"/>
        <v xml:space="preserve"> </v>
      </c>
      <c r="U193" s="405" t="str">
        <f>IF($A193="N/A"," ",IF(Pricetype=2,MAX(L193-$H193,0),IF(L193&lt;&gt;0,IF(Pricetype=1,(_xll.xSPRDOPT(L193,$E193,$CI193,0,($CD193+IF(Smile=TRUE,VLOOKUP(MAX(-5,$H193-L193),Volsmile,2),0)),$CG193,$CH193,($A193-DateToday)+15,1,0)),L193-$H193),0)))</f>
        <v xml:space="preserve"> </v>
      </c>
      <c r="V193" s="405" t="str">
        <f>IF($A193="N/A"," ",IF(Pricetype=2,MAX(M193-$H193,0),IF(M193&lt;&gt;0,IF(Pricetype=1,(_xll.xSPRDOPT(M193,$E193,$CI193,0,($CD193+IF(Smile=TRUE,VLOOKUP(MAX(-5,$H193-M193),Volsmile,2),0)),$CG193,$CH193,($A193-DateToday)+15,1,0)),M193-$H193),0)))</f>
        <v xml:space="preserve"> </v>
      </c>
      <c r="W193" s="406" t="str">
        <f t="shared" si="352"/>
        <v xml:space="preserve"> </v>
      </c>
      <c r="X193" s="405" t="str">
        <f>IF($A193="N/A"," ",IF(Pricetype=2,MAX(O193-$H193,0),IF(O193&lt;&gt;0,IF(Pricetype=1,(_xll.xSPRDOPT(O193,$E193,$CI193,0,($CD193+IF(Smile=TRUE,VLOOKUP(MAX(-5,$H193-O193),Volsmile,2),0)),$CG193,$CH193,($A193-DateToday)+15,1,0)),O193-$H193),0)))</f>
        <v xml:space="preserve"> </v>
      </c>
      <c r="Y193" s="405" t="str">
        <f>IF($A193="N/A"," ",IF(Pricetype=2,MAX(P193-$H193,0),IF(P193&lt;&gt;0,IF(Pricetype=1,(_xll.xSPRDOPT(P193,$E193,$CI193,0,($CD193+IF(Smile=TRUE,VLOOKUP(MAX(-5,$H193-P193),Volsmile,2),0)),$CG193,$CH193,($A193-DateToday)+15,1,0)),P193-$H193),0)))</f>
        <v xml:space="preserve"> </v>
      </c>
      <c r="Z193" s="406" t="str">
        <f t="shared" si="353"/>
        <v xml:space="preserve"> </v>
      </c>
      <c r="AA193" s="254" t="str">
        <f>IF($A193="N/A"," ",IF(VLOOKUP(MONTH(A193),ManualTable,2)=1,(IF(0&lt;&gt;R193,IF(Pricetype=1,(_xll.xSPRDOPT(I193,$E193,$CI193,0,($CD193+IF(Smile=TRUE,VLOOKUP(MAX(-5,$H193-I193),Volsmile,2),0)),$CG193,$CH193,($A193-DateToday)+15,1,1))*(8*$HD193),8*$HD193),0)),0))</f>
        <v xml:space="preserve"> </v>
      </c>
      <c r="AB193" s="254" t="str">
        <f>IF($A193="N/A"," ",IF(VLOOKUP(MONTH(A193),ManualTable,3)=1,(IF(S193&lt;&gt;0,IF(Pricetype=1,(_xll.xSPRDOPT(J193,$E193,$CI193,0,($CD193+IF(Smile=TRUE,VLOOKUP(MAX(-5,$H193-J193),Volsmile,2),0)),$CG193,$CH193,($A193-DateToday)+15,1,1))*(8*$HD193),8*$HD193),0)),0))</f>
        <v xml:space="preserve"> </v>
      </c>
      <c r="AC193" s="254" t="str">
        <f t="shared" si="394"/>
        <v xml:space="preserve"> </v>
      </c>
      <c r="AD193" s="254" t="str">
        <f>IF($A193="N/A"," ",IF(VLOOKUP(MONTH(A193),ManualTable,5)=1,(IF(U193&lt;&gt;0,IF(Pricetype=1,(_xll.xSPRDOPT(L193,$E193,$CI193,0,($CD193+IF(Smile=TRUE,VLOOKUP(MAX(-5,$H193-L193),Volsmile,2),0)),$CG193,$CH193,($A193-DateToday)+15,1,1))*(8*$HE193),8*$HE193),0)),0))</f>
        <v xml:space="preserve"> </v>
      </c>
      <c r="AE193" s="254" t="str">
        <f>IF($A193="N/A"," ",IF(VLOOKUP(MONTH(A193),ManualTable,6)=1,(IF(V193&lt;&gt;0,IF(Pricetype=1,(_xll.xSPRDOPT(M193,$E193,$CI193,0,($CD193+IF(Smile=TRUE,VLOOKUP(MAX(-5,$H193-M193),Volsmile,2),0)),$CG193,$CH193,($A193-DateToday)+15,1,1))*(8*$HE193),8*$HE193),0)),0))</f>
        <v xml:space="preserve"> </v>
      </c>
      <c r="AF193" s="254" t="str">
        <f t="shared" si="395"/>
        <v xml:space="preserve"> </v>
      </c>
      <c r="AG193" s="254" t="str">
        <f>IF($A193="N/A"," ",IF(VLOOKUP(MONTH(A193),ManualTable,8)=1,(IF(X193&lt;&gt;0,IF(Pricetype=1,(_xll.xSPRDOPT(O193,$E193,$CI193,0,($CD193+IF(Smile=TRUE,VLOOKUP(MAX(-5,$H193-O193),Volsmile,2),0)),$CG193,$CH193,($A193-DateToday)+15,1,1))*(8*$HF193),8*$HF193),0)),0))</f>
        <v xml:space="preserve"> </v>
      </c>
      <c r="AH193" s="254" t="str">
        <f>IF($A193="N/A"," ",IF(VLOOKUP(MONTH(A193),ManualTable,9)=1,(IF(Y193&lt;&gt;0,IF(Pricetype=1,(_xll.xSPRDOPT(P193,$E193,$CI193,0,($CD193+IF(Smile=TRUE,VLOOKUP(MAX(-5,$H193-P193),Volsmile,2),0)),$CG193,$CH193,($A193-DateToday)+15,1,1))*(8*$HF193),8*$HF193),0)),0))</f>
        <v xml:space="preserve"> </v>
      </c>
      <c r="AI193" s="254" t="str">
        <f t="shared" si="396"/>
        <v xml:space="preserve"> </v>
      </c>
      <c r="AJ193" s="227" t="str">
        <f t="shared" si="494"/>
        <v xml:space="preserve"> </v>
      </c>
      <c r="AK193" s="228" t="str">
        <f t="shared" si="495"/>
        <v xml:space="preserve"> </v>
      </c>
      <c r="AL193" s="228" t="str">
        <f t="shared" si="495"/>
        <v xml:space="preserve"> </v>
      </c>
      <c r="AM193" s="228" t="str">
        <f t="shared" si="496"/>
        <v xml:space="preserve"> </v>
      </c>
      <c r="AN193" s="228" t="str">
        <f t="shared" si="497"/>
        <v xml:space="preserve"> </v>
      </c>
      <c r="AO193" s="228" t="str">
        <f t="shared" si="497"/>
        <v xml:space="preserve"> </v>
      </c>
      <c r="AP193" s="228" t="str">
        <f t="shared" si="498"/>
        <v xml:space="preserve"> </v>
      </c>
      <c r="AQ193" s="228" t="str">
        <f t="shared" si="499"/>
        <v xml:space="preserve"> </v>
      </c>
      <c r="AR193" s="229" t="str">
        <f t="shared" si="500"/>
        <v xml:space="preserve"> </v>
      </c>
      <c r="AS193" s="262" t="str">
        <f t="shared" si="433"/>
        <v xml:space="preserve"> </v>
      </c>
      <c r="AT193" s="263" t="str">
        <f t="shared" si="434"/>
        <v xml:space="preserve"> </v>
      </c>
      <c r="AU193" s="263" t="str">
        <f t="shared" si="434"/>
        <v xml:space="preserve"> </v>
      </c>
      <c r="AV193" s="263" t="str">
        <f t="shared" si="435"/>
        <v xml:space="preserve"> </v>
      </c>
      <c r="AW193" s="263" t="str">
        <f t="shared" si="436"/>
        <v xml:space="preserve"> </v>
      </c>
      <c r="AX193" s="263" t="str">
        <f t="shared" si="436"/>
        <v xml:space="preserve"> </v>
      </c>
      <c r="AY193" s="263" t="str">
        <f t="shared" si="437"/>
        <v xml:space="preserve"> </v>
      </c>
      <c r="AZ193" s="263" t="str">
        <f t="shared" si="438"/>
        <v xml:space="preserve"> </v>
      </c>
      <c r="BA193" s="263" t="str">
        <f t="shared" si="439"/>
        <v xml:space="preserve"> </v>
      </c>
      <c r="BB193" s="234" t="s">
        <v>1271</v>
      </c>
      <c r="BC193" s="266" t="str">
        <f t="shared" si="487"/>
        <v xml:space="preserve"> </v>
      </c>
      <c r="BD193" s="269" t="str">
        <f t="shared" si="488"/>
        <v xml:space="preserve"> </v>
      </c>
      <c r="BE193" s="269" t="str">
        <f t="shared" si="488"/>
        <v xml:space="preserve"> </v>
      </c>
      <c r="BF193" s="269" t="str">
        <f t="shared" si="489"/>
        <v xml:space="preserve"> </v>
      </c>
      <c r="BG193" s="269" t="str">
        <f t="shared" si="490"/>
        <v xml:space="preserve"> </v>
      </c>
      <c r="BH193" s="269" t="str">
        <f t="shared" si="490"/>
        <v xml:space="preserve"> </v>
      </c>
      <c r="BI193" s="269" t="str">
        <f t="shared" si="491"/>
        <v xml:space="preserve"> </v>
      </c>
      <c r="BJ193" s="269" t="str">
        <f t="shared" si="492"/>
        <v xml:space="preserve"> </v>
      </c>
      <c r="BK193" s="269" t="str">
        <f t="shared" si="493"/>
        <v xml:space="preserve"> </v>
      </c>
      <c r="BL193" s="233" t="s">
        <v>1283</v>
      </c>
      <c r="BM193" s="220" t="str">
        <f>IF($A193="N/A"," ",(IF(MONTH(A193)&gt;=4,IF(MONTH(A193)&lt;=10,Inputs!$F$13-Inputs!$G$13,Inputs!$F$14-Inputs!$G$14),Inputs!$F$14-Inputs!$G$14))*$CK193*Availability)</f>
        <v xml:space="preserve"> </v>
      </c>
      <c r="BN193" s="221" t="str">
        <f t="shared" si="397"/>
        <v xml:space="preserve"> </v>
      </c>
      <c r="BO193" s="221" t="str">
        <f t="shared" si="398"/>
        <v xml:space="preserve"> </v>
      </c>
      <c r="BP193" s="221" t="str">
        <f t="shared" si="399"/>
        <v xml:space="preserve"> </v>
      </c>
      <c r="BQ193" s="221" t="str">
        <f t="shared" si="400"/>
        <v xml:space="preserve"> </v>
      </c>
      <c r="BR193" s="221" t="str">
        <f t="shared" si="401"/>
        <v xml:space="preserve"> </v>
      </c>
      <c r="BS193" s="221" t="str">
        <f t="shared" si="402"/>
        <v xml:space="preserve"> </v>
      </c>
      <c r="BT193" s="221" t="str">
        <f t="shared" si="403"/>
        <v xml:space="preserve"> </v>
      </c>
      <c r="BU193" s="221" t="str">
        <f t="shared" si="404"/>
        <v xml:space="preserve"> </v>
      </c>
      <c r="BV193" s="221" t="str">
        <f t="shared" si="405"/>
        <v xml:space="preserve"> </v>
      </c>
      <c r="BW193" s="221" t="str">
        <f t="shared" si="406"/>
        <v xml:space="preserve"> </v>
      </c>
      <c r="BX193" s="421" t="str">
        <f t="shared" si="407"/>
        <v xml:space="preserve"> </v>
      </c>
      <c r="BY193" s="417" t="str">
        <f t="shared" si="408"/>
        <v xml:space="preserve"> </v>
      </c>
      <c r="BZ193" s="417" t="str">
        <f t="shared" si="409"/>
        <v xml:space="preserve"> </v>
      </c>
      <c r="CA193" s="422" t="str">
        <f t="shared" si="410"/>
        <v xml:space="preserve"> </v>
      </c>
      <c r="CB193" s="347" t="str">
        <f t="shared" si="354"/>
        <v xml:space="preserve"> </v>
      </c>
      <c r="CC193" s="347" t="str">
        <f t="shared" si="411"/>
        <v xml:space="preserve"> </v>
      </c>
      <c r="CD193" s="348" t="str">
        <f t="shared" si="355"/>
        <v xml:space="preserve"> </v>
      </c>
      <c r="CE193" s="347" t="str">
        <f t="shared" si="356"/>
        <v xml:space="preserve"> </v>
      </c>
      <c r="CF193" s="347" t="str">
        <f t="shared" si="357"/>
        <v xml:space="preserve"> </v>
      </c>
      <c r="CG193" s="348" t="str">
        <f t="shared" si="358"/>
        <v xml:space="preserve"> </v>
      </c>
      <c r="CH193" s="347" t="str">
        <f t="shared" si="412"/>
        <v xml:space="preserve"> </v>
      </c>
      <c r="CI193" s="349" t="str">
        <f>IF($A193="N/A"," ",F193+G193+(D193*('Pricing Inputs'!T226)))</f>
        <v xml:space="preserve"> </v>
      </c>
      <c r="CJ193" s="347" t="str">
        <f>IF($A193="N/A"," ",IF(PV=1,0,'Pricing Inputs'!U226))</f>
        <v xml:space="preserve"> </v>
      </c>
      <c r="CK193" s="350" t="str">
        <f t="shared" si="359"/>
        <v xml:space="preserve"> </v>
      </c>
      <c r="CL193" s="365" t="str">
        <f t="shared" si="360"/>
        <v xml:space="preserve"> </v>
      </c>
      <c r="CM193" s="380" t="str">
        <f t="shared" si="413"/>
        <v xml:space="preserve"> </v>
      </c>
      <c r="CN193" s="378" t="str">
        <f t="shared" si="361"/>
        <v xml:space="preserve"> </v>
      </c>
      <c r="CO193" s="378" t="str">
        <f t="shared" si="362"/>
        <v xml:space="preserve"> </v>
      </c>
      <c r="CP193" s="378" t="str">
        <f t="shared" si="363"/>
        <v xml:space="preserve"> </v>
      </c>
      <c r="CQ193" s="378" t="str">
        <f t="shared" si="364"/>
        <v xml:space="preserve"> </v>
      </c>
      <c r="CR193" s="378" t="str">
        <f t="shared" si="365"/>
        <v xml:space="preserve"> </v>
      </c>
      <c r="CS193" s="378" t="str">
        <f t="shared" si="366"/>
        <v xml:space="preserve"> </v>
      </c>
      <c r="CT193" s="378" t="str">
        <f t="shared" si="367"/>
        <v xml:space="preserve"> </v>
      </c>
      <c r="CU193" s="378" t="str">
        <f t="shared" si="368"/>
        <v xml:space="preserve"> </v>
      </c>
      <c r="CV193" s="378" t="str">
        <f t="shared" si="369"/>
        <v xml:space="preserve"> </v>
      </c>
      <c r="CW193" s="254" t="str">
        <f t="shared" si="370"/>
        <v xml:space="preserve"> </v>
      </c>
      <c r="CX193" s="254" t="str">
        <f t="shared" si="371"/>
        <v xml:space="preserve"> </v>
      </c>
      <c r="CY193" s="254" t="str">
        <f t="shared" si="372"/>
        <v xml:space="preserve"> </v>
      </c>
      <c r="CZ193" s="254" t="str">
        <f t="shared" si="373"/>
        <v xml:space="preserve"> </v>
      </c>
      <c r="DA193" s="254" t="str">
        <f t="shared" si="374"/>
        <v xml:space="preserve"> </v>
      </c>
      <c r="DB193" s="254" t="str">
        <f t="shared" si="375"/>
        <v xml:space="preserve"> </v>
      </c>
      <c r="DC193" s="254" t="str">
        <f t="shared" si="376"/>
        <v xml:space="preserve"> </v>
      </c>
      <c r="DD193" s="254" t="str">
        <f t="shared" si="377"/>
        <v xml:space="preserve"> </v>
      </c>
      <c r="DE193" s="254" t="str">
        <f t="shared" si="378"/>
        <v xml:space="preserve"> </v>
      </c>
      <c r="DF193" s="374" t="str">
        <f>IF($A193="N/A"," ",IF(CC=2,(IF(MONTH(A193)&gt;=4,IF(MONTH(A193)&lt;=10,Inputs!$G$13,Inputs!$G$14),Inputs!$G$14))*$CK193,0))</f>
        <v xml:space="preserve"> </v>
      </c>
      <c r="DG193" s="373" t="str">
        <f t="shared" si="379"/>
        <v xml:space="preserve"> </v>
      </c>
      <c r="DH193" s="373" t="str">
        <f t="shared" si="380"/>
        <v xml:space="preserve"> </v>
      </c>
      <c r="DI193" s="373" t="str">
        <f t="shared" si="381"/>
        <v xml:space="preserve"> </v>
      </c>
      <c r="DJ193" s="373" t="str">
        <f t="shared" si="382"/>
        <v xml:space="preserve"> </v>
      </c>
      <c r="DK193" s="373" t="str">
        <f t="shared" si="383"/>
        <v xml:space="preserve"> </v>
      </c>
      <c r="DL193" s="373" t="str">
        <f t="shared" si="384"/>
        <v xml:space="preserve"> </v>
      </c>
      <c r="DM193" s="373" t="str">
        <f t="shared" si="385"/>
        <v xml:space="preserve"> </v>
      </c>
      <c r="DN193" s="373" t="str">
        <f t="shared" si="386"/>
        <v xml:space="preserve"> </v>
      </c>
      <c r="DO193" s="373" t="str">
        <f t="shared" si="387"/>
        <v xml:space="preserve"> </v>
      </c>
      <c r="DP193" s="375" t="str">
        <f t="shared" si="388"/>
        <v xml:space="preserve"> </v>
      </c>
      <c r="DQ193" t="str">
        <f t="shared" si="414"/>
        <v xml:space="preserve"> </v>
      </c>
      <c r="HD193" t="str">
        <f t="shared" si="415"/>
        <v xml:space="preserve"> </v>
      </c>
      <c r="HE193" t="str">
        <f t="shared" si="416"/>
        <v xml:space="preserve"> </v>
      </c>
      <c r="HF193" t="str">
        <f t="shared" si="417"/>
        <v xml:space="preserve"> </v>
      </c>
    </row>
    <row r="194" spans="1:214">
      <c r="A194" s="415" t="str">
        <f>IF(A193="N/A","N/A",IF(EDATE(A193,1)&gt;Inputs!$K$3,"N/A",EDATE(A193,1)))</f>
        <v>N/A</v>
      </c>
      <c r="B194" s="410" t="str">
        <f t="shared" si="389"/>
        <v xml:space="preserve"> </v>
      </c>
      <c r="C194" s="411" t="str">
        <f t="shared" si="390"/>
        <v xml:space="preserve"> </v>
      </c>
      <c r="D194" s="412" t="str">
        <f t="shared" si="391"/>
        <v xml:space="preserve"> </v>
      </c>
      <c r="E194" s="413" t="str">
        <f>IF($A194="N/A"," ",(C194-'Pricing Inputs'!T227)*D194)</f>
        <v xml:space="preserve"> </v>
      </c>
      <c r="F194" s="414" t="str">
        <f t="shared" si="440"/>
        <v xml:space="preserve"> </v>
      </c>
      <c r="G194" s="414" t="str">
        <f t="shared" si="392"/>
        <v xml:space="preserve"> </v>
      </c>
      <c r="H194" s="416" t="str">
        <f t="shared" si="393"/>
        <v xml:space="preserve"> </v>
      </c>
      <c r="I194" s="213" t="str">
        <f t="shared" si="342"/>
        <v xml:space="preserve"> </v>
      </c>
      <c r="J194" s="213" t="str">
        <f t="shared" si="343"/>
        <v xml:space="preserve"> </v>
      </c>
      <c r="K194" s="213" t="str">
        <f t="shared" si="344"/>
        <v xml:space="preserve"> </v>
      </c>
      <c r="L194" s="213" t="str">
        <f t="shared" si="345"/>
        <v xml:space="preserve"> </v>
      </c>
      <c r="M194" s="213" t="str">
        <f t="shared" si="346"/>
        <v xml:space="preserve"> </v>
      </c>
      <c r="N194" s="213" t="str">
        <f t="shared" si="347"/>
        <v xml:space="preserve"> </v>
      </c>
      <c r="O194" s="213" t="str">
        <f t="shared" si="348"/>
        <v xml:space="preserve"> </v>
      </c>
      <c r="P194" s="213" t="str">
        <f t="shared" si="349"/>
        <v xml:space="preserve"> </v>
      </c>
      <c r="Q194" s="213" t="str">
        <f t="shared" si="350"/>
        <v xml:space="preserve"> </v>
      </c>
      <c r="R194" s="405" t="str">
        <f>IF($A194="N/A"," ",IF(Pricetype=2,MAX(I194-$H194,0),IF(Pricetype=1,(_xll.xSPRDOPT(I194,$E194,$CI194,0,($CD194+IF(Smile=TRUE,VLOOKUP(MAX(-5,$H194-I194),Volsmile,2),0)),$CG194,$CH194,($A194-DateToday)+15,1,0)),I194-$H194)))</f>
        <v xml:space="preserve"> </v>
      </c>
      <c r="S194" s="405" t="str">
        <f>IF($A194="N/A"," ",IF(Pricetype=2,MAX(J194-$H194,0),IF(Pricetype=1,(_xll.xSPRDOPT(J194,$E194,$CI194,0,($CD194+IF(Smile=TRUE,VLOOKUP(MAX(-5,$H194-J194),Volsmile,2),0)),$CG194,$CH194,($A194-DateToday)+15,1,0)),J194-$H194)))</f>
        <v xml:space="preserve"> </v>
      </c>
      <c r="T194" s="406" t="str">
        <f t="shared" si="351"/>
        <v xml:space="preserve"> </v>
      </c>
      <c r="U194" s="405" t="str">
        <f>IF($A194="N/A"," ",IF(Pricetype=2,MAX(L194-$H194,0),IF(L194&lt;&gt;0,IF(Pricetype=1,(_xll.xSPRDOPT(L194,$E194,$CI194,0,($CD194+IF(Smile=TRUE,VLOOKUP(MAX(-5,$H194-L194),Volsmile,2),0)),$CG194,$CH194,($A194-DateToday)+15,1,0)),L194-$H194),0)))</f>
        <v xml:space="preserve"> </v>
      </c>
      <c r="V194" s="405" t="str">
        <f>IF($A194="N/A"," ",IF(Pricetype=2,MAX(M194-$H194,0),IF(M194&lt;&gt;0,IF(Pricetype=1,(_xll.xSPRDOPT(M194,$E194,$CI194,0,($CD194+IF(Smile=TRUE,VLOOKUP(MAX(-5,$H194-M194),Volsmile,2),0)),$CG194,$CH194,($A194-DateToday)+15,1,0)),M194-$H194),0)))</f>
        <v xml:space="preserve"> </v>
      </c>
      <c r="W194" s="406" t="str">
        <f t="shared" si="352"/>
        <v xml:space="preserve"> </v>
      </c>
      <c r="X194" s="405" t="str">
        <f>IF($A194="N/A"," ",IF(Pricetype=2,MAX(O194-$H194,0),IF(O194&lt;&gt;0,IF(Pricetype=1,(_xll.xSPRDOPT(O194,$E194,$CI194,0,($CD194+IF(Smile=TRUE,VLOOKUP(MAX(-5,$H194-O194),Volsmile,2),0)),$CG194,$CH194,($A194-DateToday)+15,1,0)),O194-$H194),0)))</f>
        <v xml:space="preserve"> </v>
      </c>
      <c r="Y194" s="405" t="str">
        <f>IF($A194="N/A"," ",IF(Pricetype=2,MAX(P194-$H194,0),IF(P194&lt;&gt;0,IF(Pricetype=1,(_xll.xSPRDOPT(P194,$E194,$CI194,0,($CD194+IF(Smile=TRUE,VLOOKUP(MAX(-5,$H194-P194),Volsmile,2),0)),$CG194,$CH194,($A194-DateToday)+15,1,0)),P194-$H194),0)))</f>
        <v xml:space="preserve"> </v>
      </c>
      <c r="Z194" s="406" t="str">
        <f t="shared" si="353"/>
        <v xml:space="preserve"> </v>
      </c>
      <c r="AA194" s="254" t="str">
        <f>IF($A194="N/A"," ",IF(VLOOKUP(MONTH(A194),ManualTable,2)=1,(IF(0&lt;&gt;R194,IF(Pricetype=1,(_xll.xSPRDOPT(I194,$E194,$CI194,0,($CD194+IF(Smile=TRUE,VLOOKUP(MAX(-5,$H194-I194),Volsmile,2),0)),$CG194,$CH194,($A194-DateToday)+15,1,1))*(8*$HD194),8*$HD194),0)),0))</f>
        <v xml:space="preserve"> </v>
      </c>
      <c r="AB194" s="254" t="str">
        <f>IF($A194="N/A"," ",IF(VLOOKUP(MONTH(A194),ManualTable,3)=1,(IF(S194&lt;&gt;0,IF(Pricetype=1,(_xll.xSPRDOPT(J194,$E194,$CI194,0,($CD194+IF(Smile=TRUE,VLOOKUP(MAX(-5,$H194-J194),Volsmile,2),0)),$CG194,$CH194,($A194-DateToday)+15,1,1))*(8*$HD194),8*$HD194),0)),0))</f>
        <v xml:space="preserve"> </v>
      </c>
      <c r="AC194" s="254" t="str">
        <f t="shared" si="394"/>
        <v xml:space="preserve"> </v>
      </c>
      <c r="AD194" s="254" t="str">
        <f>IF($A194="N/A"," ",IF(VLOOKUP(MONTH(A194),ManualTable,5)=1,(IF(U194&lt;&gt;0,IF(Pricetype=1,(_xll.xSPRDOPT(L194,$E194,$CI194,0,($CD194+IF(Smile=TRUE,VLOOKUP(MAX(-5,$H194-L194),Volsmile,2),0)),$CG194,$CH194,($A194-DateToday)+15,1,1))*(8*$HE194),8*$HE194),0)),0))</f>
        <v xml:space="preserve"> </v>
      </c>
      <c r="AE194" s="254" t="str">
        <f>IF($A194="N/A"," ",IF(VLOOKUP(MONTH(A194),ManualTable,6)=1,(IF(V194&lt;&gt;0,IF(Pricetype=1,(_xll.xSPRDOPT(M194,$E194,$CI194,0,($CD194+IF(Smile=TRUE,VLOOKUP(MAX(-5,$H194-M194),Volsmile,2),0)),$CG194,$CH194,($A194-DateToday)+15,1,1))*(8*$HE194),8*$HE194),0)),0))</f>
        <v xml:space="preserve"> </v>
      </c>
      <c r="AF194" s="254" t="str">
        <f t="shared" si="395"/>
        <v xml:space="preserve"> </v>
      </c>
      <c r="AG194" s="254" t="str">
        <f>IF($A194="N/A"," ",IF(VLOOKUP(MONTH(A194),ManualTable,8)=1,(IF(X194&lt;&gt;0,IF(Pricetype=1,(_xll.xSPRDOPT(O194,$E194,$CI194,0,($CD194+IF(Smile=TRUE,VLOOKUP(MAX(-5,$H194-O194),Volsmile,2),0)),$CG194,$CH194,($A194-DateToday)+15,1,1))*(8*$HF194),8*$HF194),0)),0))</f>
        <v xml:space="preserve"> </v>
      </c>
      <c r="AH194" s="254" t="str">
        <f>IF($A194="N/A"," ",IF(VLOOKUP(MONTH(A194),ManualTable,9)=1,(IF(Y194&lt;&gt;0,IF(Pricetype=1,(_xll.xSPRDOPT(P194,$E194,$CI194,0,($CD194+IF(Smile=TRUE,VLOOKUP(MAX(-5,$H194-P194),Volsmile,2),0)),$CG194,$CH194,($A194-DateToday)+15,1,1))*(8*$HF194),8*$HF194),0)),0))</f>
        <v xml:space="preserve"> </v>
      </c>
      <c r="AI194" s="254" t="str">
        <f t="shared" si="396"/>
        <v xml:space="preserve"> </v>
      </c>
      <c r="AJ194" s="227" t="str">
        <f t="shared" si="494"/>
        <v xml:space="preserve"> </v>
      </c>
      <c r="AK194" s="228" t="str">
        <f t="shared" si="495"/>
        <v xml:space="preserve"> </v>
      </c>
      <c r="AL194" s="228" t="str">
        <f t="shared" si="495"/>
        <v xml:space="preserve"> </v>
      </c>
      <c r="AM194" s="228" t="str">
        <f t="shared" si="496"/>
        <v xml:space="preserve"> </v>
      </c>
      <c r="AN194" s="228" t="str">
        <f t="shared" si="497"/>
        <v xml:space="preserve"> </v>
      </c>
      <c r="AO194" s="228" t="str">
        <f t="shared" si="497"/>
        <v xml:space="preserve"> </v>
      </c>
      <c r="AP194" s="228" t="str">
        <f t="shared" si="498"/>
        <v xml:space="preserve"> </v>
      </c>
      <c r="AQ194" s="228" t="str">
        <f t="shared" si="499"/>
        <v xml:space="preserve"> </v>
      </c>
      <c r="AR194" s="229" t="str">
        <f t="shared" si="500"/>
        <v xml:space="preserve"> </v>
      </c>
      <c r="AS194" s="262" t="str">
        <f t="shared" si="433"/>
        <v xml:space="preserve"> </v>
      </c>
      <c r="AT194" s="263" t="str">
        <f t="shared" si="434"/>
        <v xml:space="preserve"> </v>
      </c>
      <c r="AU194" s="263" t="str">
        <f t="shared" si="434"/>
        <v xml:space="preserve"> </v>
      </c>
      <c r="AV194" s="263" t="str">
        <f t="shared" si="435"/>
        <v xml:space="preserve"> </v>
      </c>
      <c r="AW194" s="263" t="str">
        <f t="shared" si="436"/>
        <v xml:space="preserve"> </v>
      </c>
      <c r="AX194" s="263" t="str">
        <f t="shared" si="436"/>
        <v xml:space="preserve"> </v>
      </c>
      <c r="AY194" s="263" t="str">
        <f t="shared" si="437"/>
        <v xml:space="preserve"> </v>
      </c>
      <c r="AZ194" s="263" t="str">
        <f t="shared" si="438"/>
        <v xml:space="preserve"> </v>
      </c>
      <c r="BA194" s="263" t="str">
        <f t="shared" si="439"/>
        <v xml:space="preserve"> </v>
      </c>
      <c r="BB194" s="229">
        <f>SUM(AS184:BA195)</f>
        <v>0</v>
      </c>
      <c r="BC194" s="266" t="str">
        <f t="shared" si="487"/>
        <v xml:space="preserve"> </v>
      </c>
      <c r="BD194" s="269" t="str">
        <f t="shared" si="488"/>
        <v xml:space="preserve"> </v>
      </c>
      <c r="BE194" s="269" t="str">
        <f t="shared" si="488"/>
        <v xml:space="preserve"> </v>
      </c>
      <c r="BF194" s="269" t="str">
        <f t="shared" si="489"/>
        <v xml:space="preserve"> </v>
      </c>
      <c r="BG194" s="269" t="str">
        <f t="shared" si="490"/>
        <v xml:space="preserve"> </v>
      </c>
      <c r="BH194" s="269" t="str">
        <f t="shared" si="490"/>
        <v xml:space="preserve"> </v>
      </c>
      <c r="BI194" s="269" t="str">
        <f t="shared" si="491"/>
        <v xml:space="preserve"> </v>
      </c>
      <c r="BJ194" s="269" t="str">
        <f t="shared" si="492"/>
        <v xml:space="preserve"> </v>
      </c>
      <c r="BK194" s="269" t="str">
        <f t="shared" si="493"/>
        <v xml:space="preserve"> </v>
      </c>
      <c r="BL194" s="229">
        <f>SUM(BC184:BK195)</f>
        <v>0</v>
      </c>
      <c r="BM194" s="220" t="str">
        <f>IF($A194="N/A"," ",(IF(MONTH(A194)&gt;=4,IF(MONTH(A194)&lt;=10,Inputs!$F$13-Inputs!$G$13,Inputs!$F$14-Inputs!$G$14),Inputs!$F$14-Inputs!$G$14))*$CK194*Availability)</f>
        <v xml:space="preserve"> </v>
      </c>
      <c r="BN194" s="221" t="str">
        <f t="shared" si="397"/>
        <v xml:space="preserve"> </v>
      </c>
      <c r="BO194" s="221" t="str">
        <f t="shared" si="398"/>
        <v xml:space="preserve"> </v>
      </c>
      <c r="BP194" s="221" t="str">
        <f t="shared" si="399"/>
        <v xml:space="preserve"> </v>
      </c>
      <c r="BQ194" s="221" t="str">
        <f t="shared" si="400"/>
        <v xml:space="preserve"> </v>
      </c>
      <c r="BR194" s="221" t="str">
        <f t="shared" si="401"/>
        <v xml:space="preserve"> </v>
      </c>
      <c r="BS194" s="221" t="str">
        <f t="shared" si="402"/>
        <v xml:space="preserve"> </v>
      </c>
      <c r="BT194" s="221" t="str">
        <f t="shared" si="403"/>
        <v xml:space="preserve"> </v>
      </c>
      <c r="BU194" s="221" t="str">
        <f t="shared" si="404"/>
        <v xml:space="preserve"> </v>
      </c>
      <c r="BV194" s="221" t="str">
        <f t="shared" si="405"/>
        <v xml:space="preserve"> </v>
      </c>
      <c r="BW194" s="221" t="str">
        <f t="shared" si="406"/>
        <v xml:space="preserve"> </v>
      </c>
      <c r="BX194" s="421" t="str">
        <f t="shared" si="407"/>
        <v xml:space="preserve"> </v>
      </c>
      <c r="BY194" s="417" t="str">
        <f t="shared" si="408"/>
        <v xml:space="preserve"> </v>
      </c>
      <c r="BZ194" s="417" t="str">
        <f t="shared" si="409"/>
        <v xml:space="preserve"> </v>
      </c>
      <c r="CA194" s="422" t="str">
        <f t="shared" si="410"/>
        <v xml:space="preserve"> </v>
      </c>
      <c r="CB194" s="347" t="str">
        <f t="shared" si="354"/>
        <v xml:space="preserve"> </v>
      </c>
      <c r="CC194" s="347" t="str">
        <f t="shared" si="411"/>
        <v xml:space="preserve"> </v>
      </c>
      <c r="CD194" s="348" t="str">
        <f t="shared" si="355"/>
        <v xml:space="preserve"> </v>
      </c>
      <c r="CE194" s="347" t="str">
        <f t="shared" si="356"/>
        <v xml:space="preserve"> </v>
      </c>
      <c r="CF194" s="347" t="str">
        <f t="shared" si="357"/>
        <v xml:space="preserve"> </v>
      </c>
      <c r="CG194" s="348" t="str">
        <f t="shared" si="358"/>
        <v xml:space="preserve"> </v>
      </c>
      <c r="CH194" s="347" t="str">
        <f t="shared" si="412"/>
        <v xml:space="preserve"> </v>
      </c>
      <c r="CI194" s="349" t="str">
        <f>IF($A194="N/A"," ",F194+G194+(D194*('Pricing Inputs'!T227)))</f>
        <v xml:space="preserve"> </v>
      </c>
      <c r="CJ194" s="347" t="str">
        <f>IF($A194="N/A"," ",IF(PV=1,0,'Pricing Inputs'!U227))</f>
        <v xml:space="preserve"> </v>
      </c>
      <c r="CK194" s="350" t="str">
        <f t="shared" si="359"/>
        <v xml:space="preserve"> </v>
      </c>
      <c r="CL194" s="365" t="str">
        <f t="shared" si="360"/>
        <v xml:space="preserve"> </v>
      </c>
      <c r="CM194" s="380" t="str">
        <f t="shared" si="413"/>
        <v xml:space="preserve"> </v>
      </c>
      <c r="CN194" s="378" t="str">
        <f t="shared" si="361"/>
        <v xml:space="preserve"> </v>
      </c>
      <c r="CO194" s="378" t="str">
        <f t="shared" si="362"/>
        <v xml:space="preserve"> </v>
      </c>
      <c r="CP194" s="378" t="str">
        <f t="shared" si="363"/>
        <v xml:space="preserve"> </v>
      </c>
      <c r="CQ194" s="378" t="str">
        <f t="shared" si="364"/>
        <v xml:space="preserve"> </v>
      </c>
      <c r="CR194" s="378" t="str">
        <f t="shared" si="365"/>
        <v xml:space="preserve"> </v>
      </c>
      <c r="CS194" s="378" t="str">
        <f t="shared" si="366"/>
        <v xml:space="preserve"> </v>
      </c>
      <c r="CT194" s="378" t="str">
        <f t="shared" si="367"/>
        <v xml:space="preserve"> </v>
      </c>
      <c r="CU194" s="378" t="str">
        <f t="shared" si="368"/>
        <v xml:space="preserve"> </v>
      </c>
      <c r="CV194" s="378" t="str">
        <f t="shared" si="369"/>
        <v xml:space="preserve"> </v>
      </c>
      <c r="CW194" s="254" t="str">
        <f t="shared" si="370"/>
        <v xml:space="preserve"> </v>
      </c>
      <c r="CX194" s="254" t="str">
        <f t="shared" si="371"/>
        <v xml:space="preserve"> </v>
      </c>
      <c r="CY194" s="254" t="str">
        <f t="shared" si="372"/>
        <v xml:space="preserve"> </v>
      </c>
      <c r="CZ194" s="254" t="str">
        <f t="shared" si="373"/>
        <v xml:space="preserve"> </v>
      </c>
      <c r="DA194" s="254" t="str">
        <f t="shared" si="374"/>
        <v xml:space="preserve"> </v>
      </c>
      <c r="DB194" s="254" t="str">
        <f t="shared" si="375"/>
        <v xml:space="preserve"> </v>
      </c>
      <c r="DC194" s="254" t="str">
        <f t="shared" si="376"/>
        <v xml:space="preserve"> </v>
      </c>
      <c r="DD194" s="254" t="str">
        <f t="shared" si="377"/>
        <v xml:space="preserve"> </v>
      </c>
      <c r="DE194" s="254" t="str">
        <f t="shared" si="378"/>
        <v xml:space="preserve"> </v>
      </c>
      <c r="DF194" s="374" t="str">
        <f>IF($A194="N/A"," ",IF(CC=2,(IF(MONTH(A194)&gt;=4,IF(MONTH(A194)&lt;=10,Inputs!$G$13,Inputs!$G$14),Inputs!$G$14))*$CK194,0))</f>
        <v xml:space="preserve"> </v>
      </c>
      <c r="DG194" s="373" t="str">
        <f t="shared" si="379"/>
        <v xml:space="preserve"> </v>
      </c>
      <c r="DH194" s="373" t="str">
        <f t="shared" si="380"/>
        <v xml:space="preserve"> </v>
      </c>
      <c r="DI194" s="373" t="str">
        <f t="shared" si="381"/>
        <v xml:space="preserve"> </v>
      </c>
      <c r="DJ194" s="373" t="str">
        <f t="shared" si="382"/>
        <v xml:space="preserve"> </v>
      </c>
      <c r="DK194" s="373" t="str">
        <f t="shared" si="383"/>
        <v xml:space="preserve"> </v>
      </c>
      <c r="DL194" s="373" t="str">
        <f t="shared" si="384"/>
        <v xml:space="preserve"> </v>
      </c>
      <c r="DM194" s="373" t="str">
        <f t="shared" si="385"/>
        <v xml:space="preserve"> </v>
      </c>
      <c r="DN194" s="373" t="str">
        <f t="shared" si="386"/>
        <v xml:space="preserve"> </v>
      </c>
      <c r="DO194" s="373" t="str">
        <f t="shared" si="387"/>
        <v xml:space="preserve"> </v>
      </c>
      <c r="DP194" s="375" t="str">
        <f t="shared" si="388"/>
        <v xml:space="preserve"> </v>
      </c>
      <c r="DQ194" t="str">
        <f t="shared" si="414"/>
        <v xml:space="preserve"> </v>
      </c>
      <c r="HD194" t="str">
        <f t="shared" si="415"/>
        <v xml:space="preserve"> </v>
      </c>
      <c r="HE194" t="str">
        <f t="shared" si="416"/>
        <v xml:space="preserve"> </v>
      </c>
      <c r="HF194" t="str">
        <f t="shared" si="417"/>
        <v xml:space="preserve"> </v>
      </c>
    </row>
    <row r="195" spans="1:214">
      <c r="A195" s="415" t="str">
        <f>IF(A194="N/A","N/A",IF(EDATE(A194,1)&gt;Inputs!$K$3,"N/A",EDATE(A194,1)))</f>
        <v>N/A</v>
      </c>
      <c r="B195" s="410" t="str">
        <f t="shared" si="389"/>
        <v xml:space="preserve"> </v>
      </c>
      <c r="C195" s="411" t="str">
        <f t="shared" si="390"/>
        <v xml:space="preserve"> </v>
      </c>
      <c r="D195" s="412" t="str">
        <f t="shared" si="391"/>
        <v xml:space="preserve"> </v>
      </c>
      <c r="E195" s="413" t="str">
        <f>IF($A195="N/A"," ",(C195-'Pricing Inputs'!T228)*D195)</f>
        <v xml:space="preserve"> </v>
      </c>
      <c r="F195" s="414" t="str">
        <f t="shared" si="440"/>
        <v xml:space="preserve"> </v>
      </c>
      <c r="G195" s="414" t="str">
        <f t="shared" si="392"/>
        <v xml:space="preserve"> </v>
      </c>
      <c r="H195" s="416" t="str">
        <f t="shared" si="393"/>
        <v xml:space="preserve"> </v>
      </c>
      <c r="I195" s="213" t="str">
        <f t="shared" si="342"/>
        <v xml:space="preserve"> </v>
      </c>
      <c r="J195" s="213" t="str">
        <f t="shared" si="343"/>
        <v xml:space="preserve"> </v>
      </c>
      <c r="K195" s="213" t="str">
        <f t="shared" si="344"/>
        <v xml:space="preserve"> </v>
      </c>
      <c r="L195" s="213" t="str">
        <f t="shared" si="345"/>
        <v xml:space="preserve"> </v>
      </c>
      <c r="M195" s="213" t="str">
        <f t="shared" si="346"/>
        <v xml:space="preserve"> </v>
      </c>
      <c r="N195" s="213" t="str">
        <f t="shared" si="347"/>
        <v xml:space="preserve"> </v>
      </c>
      <c r="O195" s="213" t="str">
        <f t="shared" si="348"/>
        <v xml:space="preserve"> </v>
      </c>
      <c r="P195" s="213" t="str">
        <f t="shared" si="349"/>
        <v xml:space="preserve"> </v>
      </c>
      <c r="Q195" s="213" t="str">
        <f t="shared" si="350"/>
        <v xml:space="preserve"> </v>
      </c>
      <c r="R195" s="405" t="str">
        <f>IF($A195="N/A"," ",IF(Pricetype=2,MAX(I195-$H195,0),IF(Pricetype=1,(_xll.xSPRDOPT(I195,$E195,$CI195,0,($CD195+IF(Smile=TRUE,VLOOKUP(MAX(-5,$H195-I195),Volsmile,2),0)),$CG195,$CH195,($A195-DateToday)+15,1,0)),I195-$H195)))</f>
        <v xml:space="preserve"> </v>
      </c>
      <c r="S195" s="405" t="str">
        <f>IF($A195="N/A"," ",IF(Pricetype=2,MAX(J195-$H195,0),IF(Pricetype=1,(_xll.xSPRDOPT(J195,$E195,$CI195,0,($CD195+IF(Smile=TRUE,VLOOKUP(MAX(-5,$H195-J195),Volsmile,2),0)),$CG195,$CH195,($A195-DateToday)+15,1,0)),J195-$H195)))</f>
        <v xml:space="preserve"> </v>
      </c>
      <c r="T195" s="406" t="str">
        <f t="shared" si="351"/>
        <v xml:space="preserve"> </v>
      </c>
      <c r="U195" s="405" t="str">
        <f>IF($A195="N/A"," ",IF(Pricetype=2,MAX(L195-$H195,0),IF(L195&lt;&gt;0,IF(Pricetype=1,(_xll.xSPRDOPT(L195,$E195,$CI195,0,($CD195+IF(Smile=TRUE,VLOOKUP(MAX(-5,$H195-L195),Volsmile,2),0)),$CG195,$CH195,($A195-DateToday)+15,1,0)),L195-$H195),0)))</f>
        <v xml:space="preserve"> </v>
      </c>
      <c r="V195" s="405" t="str">
        <f>IF($A195="N/A"," ",IF(Pricetype=2,MAX(M195-$H195,0),IF(M195&lt;&gt;0,IF(Pricetype=1,(_xll.xSPRDOPT(M195,$E195,$CI195,0,($CD195+IF(Smile=TRUE,VLOOKUP(MAX(-5,$H195-M195),Volsmile,2),0)),$CG195,$CH195,($A195-DateToday)+15,1,0)),M195-$H195),0)))</f>
        <v xml:space="preserve"> </v>
      </c>
      <c r="W195" s="406" t="str">
        <f t="shared" si="352"/>
        <v xml:space="preserve"> </v>
      </c>
      <c r="X195" s="405" t="str">
        <f>IF($A195="N/A"," ",IF(Pricetype=2,MAX(O195-$H195,0),IF(O195&lt;&gt;0,IF(Pricetype=1,(_xll.xSPRDOPT(O195,$E195,$CI195,0,($CD195+IF(Smile=TRUE,VLOOKUP(MAX(-5,$H195-O195),Volsmile,2),0)),$CG195,$CH195,($A195-DateToday)+15,1,0)),O195-$H195),0)))</f>
        <v xml:space="preserve"> </v>
      </c>
      <c r="Y195" s="405" t="str">
        <f>IF($A195="N/A"," ",IF(Pricetype=2,MAX(P195-$H195,0),IF(P195&lt;&gt;0,IF(Pricetype=1,(_xll.xSPRDOPT(P195,$E195,$CI195,0,($CD195+IF(Smile=TRUE,VLOOKUP(MAX(-5,$H195-P195),Volsmile,2),0)),$CG195,$CH195,($A195-DateToday)+15,1,0)),P195-$H195),0)))</f>
        <v xml:space="preserve"> </v>
      </c>
      <c r="Z195" s="406" t="str">
        <f t="shared" si="353"/>
        <v xml:space="preserve"> </v>
      </c>
      <c r="AA195" s="254" t="str">
        <f>IF($A195="N/A"," ",IF(VLOOKUP(MONTH(A195),ManualTable,2)=1,(IF(0&lt;&gt;R195,IF(Pricetype=1,(_xll.xSPRDOPT(I195,$E195,$CI195,0,($CD195+IF(Smile=TRUE,VLOOKUP(MAX(-5,$H195-I195),Volsmile,2),0)),$CG195,$CH195,($A195-DateToday)+15,1,1))*(8*$HD195),8*$HD195),0)),0))</f>
        <v xml:space="preserve"> </v>
      </c>
      <c r="AB195" s="254" t="str">
        <f>IF($A195="N/A"," ",IF(VLOOKUP(MONTH(A195),ManualTable,3)=1,(IF(S195&lt;&gt;0,IF(Pricetype=1,(_xll.xSPRDOPT(J195,$E195,$CI195,0,($CD195+IF(Smile=TRUE,VLOOKUP(MAX(-5,$H195-J195),Volsmile,2),0)),$CG195,$CH195,($A195-DateToday)+15,1,1))*(8*$HD195),8*$HD195),0)),0))</f>
        <v xml:space="preserve"> </v>
      </c>
      <c r="AC195" s="254" t="str">
        <f t="shared" si="394"/>
        <v xml:space="preserve"> </v>
      </c>
      <c r="AD195" s="254" t="str">
        <f>IF($A195="N/A"," ",IF(VLOOKUP(MONTH(A195),ManualTable,5)=1,(IF(U195&lt;&gt;0,IF(Pricetype=1,(_xll.xSPRDOPT(L195,$E195,$CI195,0,($CD195+IF(Smile=TRUE,VLOOKUP(MAX(-5,$H195-L195),Volsmile,2),0)),$CG195,$CH195,($A195-DateToday)+15,1,1))*(8*$HE195),8*$HE195),0)),0))</f>
        <v xml:space="preserve"> </v>
      </c>
      <c r="AE195" s="254" t="str">
        <f>IF($A195="N/A"," ",IF(VLOOKUP(MONTH(A195),ManualTable,6)=1,(IF(V195&lt;&gt;0,IF(Pricetype=1,(_xll.xSPRDOPT(M195,$E195,$CI195,0,($CD195+IF(Smile=TRUE,VLOOKUP(MAX(-5,$H195-M195),Volsmile,2),0)),$CG195,$CH195,($A195-DateToday)+15,1,1))*(8*$HE195),8*$HE195),0)),0))</f>
        <v xml:space="preserve"> </v>
      </c>
      <c r="AF195" s="254" t="str">
        <f t="shared" si="395"/>
        <v xml:space="preserve"> </v>
      </c>
      <c r="AG195" s="254" t="str">
        <f>IF($A195="N/A"," ",IF(VLOOKUP(MONTH(A195),ManualTable,8)=1,(IF(X195&lt;&gt;0,IF(Pricetype=1,(_xll.xSPRDOPT(O195,$E195,$CI195,0,($CD195+IF(Smile=TRUE,VLOOKUP(MAX(-5,$H195-O195),Volsmile,2),0)),$CG195,$CH195,($A195-DateToday)+15,1,1))*(8*$HF195),8*$HF195),0)),0))</f>
        <v xml:space="preserve"> </v>
      </c>
      <c r="AH195" s="254" t="str">
        <f>IF($A195="N/A"," ",IF(VLOOKUP(MONTH(A195),ManualTable,9)=1,(IF(Y195&lt;&gt;0,IF(Pricetype=1,(_xll.xSPRDOPT(P195,$E195,$CI195,0,($CD195+IF(Smile=TRUE,VLOOKUP(MAX(-5,$H195-P195),Volsmile,2),0)),$CG195,$CH195,($A195-DateToday)+15,1,1))*(8*$HF195),8*$HF195),0)),0))</f>
        <v xml:space="preserve"> </v>
      </c>
      <c r="AI195" s="254" t="str">
        <f t="shared" si="396"/>
        <v xml:space="preserve"> </v>
      </c>
      <c r="AJ195" s="230" t="str">
        <f t="shared" si="494"/>
        <v xml:space="preserve"> </v>
      </c>
      <c r="AK195" s="231" t="str">
        <f t="shared" si="495"/>
        <v xml:space="preserve"> </v>
      </c>
      <c r="AL195" s="231" t="str">
        <f t="shared" si="495"/>
        <v xml:space="preserve"> </v>
      </c>
      <c r="AM195" s="231" t="str">
        <f t="shared" si="496"/>
        <v xml:space="preserve"> </v>
      </c>
      <c r="AN195" s="231" t="str">
        <f t="shared" si="497"/>
        <v xml:space="preserve"> </v>
      </c>
      <c r="AO195" s="231" t="str">
        <f t="shared" si="497"/>
        <v xml:space="preserve"> </v>
      </c>
      <c r="AP195" s="231" t="str">
        <f t="shared" si="498"/>
        <v xml:space="preserve"> </v>
      </c>
      <c r="AQ195" s="231" t="str">
        <f t="shared" si="499"/>
        <v xml:space="preserve"> </v>
      </c>
      <c r="AR195" s="232" t="str">
        <f t="shared" si="500"/>
        <v xml:space="preserve"> </v>
      </c>
      <c r="AS195" s="264" t="str">
        <f t="shared" si="433"/>
        <v xml:space="preserve"> </v>
      </c>
      <c r="AT195" s="265" t="str">
        <f t="shared" si="434"/>
        <v xml:space="preserve"> </v>
      </c>
      <c r="AU195" s="265" t="str">
        <f t="shared" si="434"/>
        <v xml:space="preserve"> </v>
      </c>
      <c r="AV195" s="265" t="str">
        <f t="shared" si="435"/>
        <v xml:space="preserve"> </v>
      </c>
      <c r="AW195" s="265" t="str">
        <f t="shared" si="436"/>
        <v xml:space="preserve"> </v>
      </c>
      <c r="AX195" s="265" t="str">
        <f t="shared" si="436"/>
        <v xml:space="preserve"> </v>
      </c>
      <c r="AY195" s="265" t="str">
        <f t="shared" si="437"/>
        <v xml:space="preserve"> </v>
      </c>
      <c r="AZ195" s="265" t="str">
        <f t="shared" si="438"/>
        <v xml:space="preserve"> </v>
      </c>
      <c r="BA195" s="265" t="str">
        <f t="shared" si="439"/>
        <v xml:space="preserve"> </v>
      </c>
      <c r="BB195" s="232">
        <f>IF(($AZ$2-BB194)&gt;=0,$AZ$2-BB194,0)</f>
        <v>980</v>
      </c>
      <c r="BC195" s="270" t="str">
        <f t="shared" si="487"/>
        <v xml:space="preserve"> </v>
      </c>
      <c r="BD195" s="271" t="str">
        <f t="shared" si="488"/>
        <v xml:space="preserve"> </v>
      </c>
      <c r="BE195" s="269" t="str">
        <f t="shared" si="488"/>
        <v xml:space="preserve"> </v>
      </c>
      <c r="BF195" s="271" t="str">
        <f t="shared" si="489"/>
        <v xml:space="preserve"> </v>
      </c>
      <c r="BG195" s="271" t="str">
        <f t="shared" si="490"/>
        <v xml:space="preserve"> </v>
      </c>
      <c r="BH195" s="269" t="str">
        <f t="shared" si="490"/>
        <v xml:space="preserve"> </v>
      </c>
      <c r="BI195" s="271" t="str">
        <f t="shared" si="491"/>
        <v xml:space="preserve"> </v>
      </c>
      <c r="BJ195" s="271" t="str">
        <f t="shared" si="492"/>
        <v xml:space="preserve"> </v>
      </c>
      <c r="BK195" s="271" t="str">
        <f t="shared" si="493"/>
        <v xml:space="preserve"> </v>
      </c>
      <c r="BL195" s="235">
        <f>BB194+BL194</f>
        <v>0</v>
      </c>
      <c r="BM195" s="220" t="str">
        <f>IF($A195="N/A"," ",(IF(MONTH(A195)&gt;=4,IF(MONTH(A195)&lt;=10,Inputs!$F$13-Inputs!$G$13,Inputs!$F$14-Inputs!$G$14),Inputs!$F$14-Inputs!$G$14))*$CK195*Availability)</f>
        <v xml:space="preserve"> </v>
      </c>
      <c r="BN195" s="221" t="str">
        <f t="shared" si="397"/>
        <v xml:space="preserve"> </v>
      </c>
      <c r="BO195" s="221" t="str">
        <f t="shared" si="398"/>
        <v xml:space="preserve"> </v>
      </c>
      <c r="BP195" s="221" t="str">
        <f t="shared" si="399"/>
        <v xml:space="preserve"> </v>
      </c>
      <c r="BQ195" s="221" t="str">
        <f t="shared" si="400"/>
        <v xml:space="preserve"> </v>
      </c>
      <c r="BR195" s="221" t="str">
        <f t="shared" si="401"/>
        <v xml:space="preserve"> </v>
      </c>
      <c r="BS195" s="221" t="str">
        <f t="shared" si="402"/>
        <v xml:space="preserve"> </v>
      </c>
      <c r="BT195" s="221" t="str">
        <f t="shared" si="403"/>
        <v xml:space="preserve"> </v>
      </c>
      <c r="BU195" s="221" t="str">
        <f t="shared" si="404"/>
        <v xml:space="preserve"> </v>
      </c>
      <c r="BV195" s="221" t="str">
        <f t="shared" si="405"/>
        <v xml:space="preserve"> </v>
      </c>
      <c r="BW195" s="221" t="str">
        <f t="shared" si="406"/>
        <v xml:space="preserve"> </v>
      </c>
      <c r="BX195" s="421" t="str">
        <f t="shared" si="407"/>
        <v xml:space="preserve"> </v>
      </c>
      <c r="BY195" s="417" t="str">
        <f t="shared" si="408"/>
        <v xml:space="preserve"> </v>
      </c>
      <c r="BZ195" s="417" t="str">
        <f t="shared" si="409"/>
        <v xml:space="preserve"> </v>
      </c>
      <c r="CA195" s="422" t="str">
        <f t="shared" si="410"/>
        <v xml:space="preserve"> </v>
      </c>
      <c r="CB195" s="347" t="str">
        <f t="shared" si="354"/>
        <v xml:space="preserve"> </v>
      </c>
      <c r="CC195" s="347" t="str">
        <f t="shared" si="411"/>
        <v xml:space="preserve"> </v>
      </c>
      <c r="CD195" s="348" t="str">
        <f t="shared" si="355"/>
        <v xml:space="preserve"> </v>
      </c>
      <c r="CE195" s="347" t="str">
        <f t="shared" si="356"/>
        <v xml:space="preserve"> </v>
      </c>
      <c r="CF195" s="347" t="str">
        <f t="shared" si="357"/>
        <v xml:space="preserve"> </v>
      </c>
      <c r="CG195" s="348" t="str">
        <f t="shared" si="358"/>
        <v xml:space="preserve"> </v>
      </c>
      <c r="CH195" s="347" t="str">
        <f t="shared" si="412"/>
        <v xml:space="preserve"> </v>
      </c>
      <c r="CI195" s="349" t="str">
        <f>IF($A195="N/A"," ",F195+G195+(D195*('Pricing Inputs'!T228)))</f>
        <v xml:space="preserve"> </v>
      </c>
      <c r="CJ195" s="347" t="str">
        <f>IF($A195="N/A"," ",IF(PV=1,0,'Pricing Inputs'!U228))</f>
        <v xml:space="preserve"> </v>
      </c>
      <c r="CK195" s="350" t="str">
        <f t="shared" si="359"/>
        <v xml:space="preserve"> </v>
      </c>
      <c r="CL195" s="365" t="str">
        <f t="shared" si="360"/>
        <v xml:space="preserve"> </v>
      </c>
      <c r="CM195" s="380" t="str">
        <f t="shared" si="413"/>
        <v xml:space="preserve"> </v>
      </c>
      <c r="CN195" s="378" t="str">
        <f t="shared" si="361"/>
        <v xml:space="preserve"> </v>
      </c>
      <c r="CO195" s="378" t="str">
        <f t="shared" si="362"/>
        <v xml:space="preserve"> </v>
      </c>
      <c r="CP195" s="378" t="str">
        <f t="shared" si="363"/>
        <v xml:space="preserve"> </v>
      </c>
      <c r="CQ195" s="378" t="str">
        <f t="shared" si="364"/>
        <v xml:space="preserve"> </v>
      </c>
      <c r="CR195" s="378" t="str">
        <f t="shared" si="365"/>
        <v xml:space="preserve"> </v>
      </c>
      <c r="CS195" s="378" t="str">
        <f t="shared" si="366"/>
        <v xml:space="preserve"> </v>
      </c>
      <c r="CT195" s="378" t="str">
        <f t="shared" si="367"/>
        <v xml:space="preserve"> </v>
      </c>
      <c r="CU195" s="378" t="str">
        <f t="shared" si="368"/>
        <v xml:space="preserve"> </v>
      </c>
      <c r="CV195" s="378" t="str">
        <f t="shared" si="369"/>
        <v xml:space="preserve"> </v>
      </c>
      <c r="CW195" s="254" t="str">
        <f t="shared" si="370"/>
        <v xml:space="preserve"> </v>
      </c>
      <c r="CX195" s="254" t="str">
        <f t="shared" si="371"/>
        <v xml:space="preserve"> </v>
      </c>
      <c r="CY195" s="254" t="str">
        <f t="shared" si="372"/>
        <v xml:space="preserve"> </v>
      </c>
      <c r="CZ195" s="254" t="str">
        <f t="shared" si="373"/>
        <v xml:space="preserve"> </v>
      </c>
      <c r="DA195" s="254" t="str">
        <f t="shared" si="374"/>
        <v xml:space="preserve"> </v>
      </c>
      <c r="DB195" s="254" t="str">
        <f t="shared" si="375"/>
        <v xml:space="preserve"> </v>
      </c>
      <c r="DC195" s="254" t="str">
        <f t="shared" si="376"/>
        <v xml:space="preserve"> </v>
      </c>
      <c r="DD195" s="254" t="str">
        <f t="shared" si="377"/>
        <v xml:space="preserve"> </v>
      </c>
      <c r="DE195" s="254" t="str">
        <f t="shared" si="378"/>
        <v xml:space="preserve"> </v>
      </c>
      <c r="DF195" s="374" t="str">
        <f>IF($A195="N/A"," ",IF(CC=2,(IF(MONTH(A195)&gt;=4,IF(MONTH(A195)&lt;=10,Inputs!$G$13,Inputs!$G$14),Inputs!$G$14))*$CK195,0))</f>
        <v xml:space="preserve"> </v>
      </c>
      <c r="DG195" s="373" t="str">
        <f t="shared" si="379"/>
        <v xml:space="preserve"> </v>
      </c>
      <c r="DH195" s="373" t="str">
        <f t="shared" si="380"/>
        <v xml:space="preserve"> </v>
      </c>
      <c r="DI195" s="373" t="str">
        <f t="shared" si="381"/>
        <v xml:space="preserve"> </v>
      </c>
      <c r="DJ195" s="373" t="str">
        <f t="shared" si="382"/>
        <v xml:space="preserve"> </v>
      </c>
      <c r="DK195" s="373" t="str">
        <f t="shared" si="383"/>
        <v xml:space="preserve"> </v>
      </c>
      <c r="DL195" s="373" t="str">
        <f t="shared" si="384"/>
        <v xml:space="preserve"> </v>
      </c>
      <c r="DM195" s="373" t="str">
        <f t="shared" si="385"/>
        <v xml:space="preserve"> </v>
      </c>
      <c r="DN195" s="373" t="str">
        <f t="shared" si="386"/>
        <v xml:space="preserve"> </v>
      </c>
      <c r="DO195" s="373" t="str">
        <f t="shared" si="387"/>
        <v xml:space="preserve"> </v>
      </c>
      <c r="DP195" s="375" t="str">
        <f t="shared" si="388"/>
        <v xml:space="preserve"> </v>
      </c>
      <c r="DQ195" t="str">
        <f t="shared" si="414"/>
        <v xml:space="preserve"> </v>
      </c>
      <c r="HD195" t="str">
        <f t="shared" si="415"/>
        <v xml:space="preserve"> </v>
      </c>
      <c r="HE195" t="str">
        <f t="shared" si="416"/>
        <v xml:space="preserve"> </v>
      </c>
      <c r="HF195" t="str">
        <f t="shared" si="417"/>
        <v xml:space="preserve"> </v>
      </c>
    </row>
    <row r="196" spans="1:214">
      <c r="A196" s="415" t="str">
        <f>IF(A195="N/A","N/A",IF(EDATE(A195,1)&gt;Inputs!$K$3,"N/A",EDATE(A195,1)))</f>
        <v>N/A</v>
      </c>
      <c r="B196" s="410" t="str">
        <f t="shared" si="389"/>
        <v xml:space="preserve"> </v>
      </c>
      <c r="C196" s="411" t="str">
        <f t="shared" si="390"/>
        <v xml:space="preserve"> </v>
      </c>
      <c r="D196" s="412" t="str">
        <f t="shared" si="391"/>
        <v xml:space="preserve"> </v>
      </c>
      <c r="E196" s="413" t="str">
        <f>IF($A196="N/A"," ",(C196-'Pricing Inputs'!T229)*D196)</f>
        <v xml:space="preserve"> </v>
      </c>
      <c r="F196" s="414" t="str">
        <f t="shared" si="440"/>
        <v xml:space="preserve"> </v>
      </c>
      <c r="G196" s="414" t="str">
        <f t="shared" si="392"/>
        <v xml:space="preserve"> </v>
      </c>
      <c r="H196" s="416" t="str">
        <f t="shared" si="393"/>
        <v xml:space="preserve"> </v>
      </c>
      <c r="I196" s="213" t="str">
        <f t="shared" ref="I196:I255" si="501">VLOOKUP(A196,ScaledPrice,(IF(AND(Dayrun&gt;=1,Dayrun&lt;=6),2,4)))</f>
        <v xml:space="preserve"> </v>
      </c>
      <c r="J196" s="213" t="str">
        <f t="shared" ref="J196:J255" si="502">IF(A196="N/A"," ",IF(AND(Dayrun&gt;=1,Dayrun&lt;=6),I196,(VLOOKUP(A196,ScaledPrice,2))*(2-(VLOOKUP(A196,ScaledPrice,3)))))</f>
        <v xml:space="preserve"> </v>
      </c>
      <c r="K196" s="213" t="str">
        <f t="shared" ref="K196:K255" si="503">IF(A196="N/A"," ",IF(AND(Dayrun&gt;=1,Dayrun&lt;=3),VLOOKUP(A196,ScaledPrice,9),0))</f>
        <v xml:space="preserve"> </v>
      </c>
      <c r="L196" s="213" t="str">
        <f t="shared" ref="L196:L255" si="504">IF(A196="N/A"," ",IF(OR(Dayrun=2,Dayrun=3,Dayrun=5,Dayrun=6,Dayrun=8,Dayrun=9),VLOOKUP(A196,ScaledPrice,IF(AND(Dayrun&gt;=2,Dayrun&lt;=6),5,6)),0))</f>
        <v xml:space="preserve"> </v>
      </c>
      <c r="M196" s="213" t="str">
        <f t="shared" ref="M196:M255" si="505">IF(A196="N/A"," ",IF(OR(Dayrun=2,Dayrun=3,Dayrun=5,Dayrun=6,Dayrun=8,Dayrun=9),IF(AND(Dayrun&gt;=2,Dayrun&lt;=6),L196,(VLOOKUP(A196,ScaledPrice,5))*(2-(VLOOKUP(A196,ScaledPrice,3)))),0))</f>
        <v xml:space="preserve"> </v>
      </c>
      <c r="N196" s="213" t="str">
        <f t="shared" ref="N196:N255" si="506">IF(A196="N/A"," ",IF(AND(Dayrun&gt;1,Dayrun&lt;=3),VLOOKUP(A196,ScaledPrice,9),0))</f>
        <v xml:space="preserve"> </v>
      </c>
      <c r="O196" s="213" t="str">
        <f t="shared" ref="O196:O255" si="507">IF(A196="N/A"," ",IF(OR(Dayrun=3,Dayrun=6,Dayrun=9),(VLOOKUP(A196,ScaledPrice,IF(AND(Dayrun&gt;=3,Dayrun&lt;=6),7,8))),0))</f>
        <v xml:space="preserve"> </v>
      </c>
      <c r="P196" s="213" t="str">
        <f t="shared" ref="P196:P255" si="508">IF(A196="N/A"," ",IF(OR(Dayrun=3,Dayrun=6,Dayrun=9),IF(AND(Dayrun&gt;=3,Dayrun&lt;=6),O196,(VLOOKUP(A196,ScaledPrice,7))*(2-(VLOOKUP(A196,ScaledPrice,3)))),0))</f>
        <v xml:space="preserve"> </v>
      </c>
      <c r="Q196" s="213" t="str">
        <f t="shared" ref="Q196:Q255" si="509">IF(A196="N/A"," ",IF(AND(Dayrun&gt;2,Dayrun&lt;=3),VLOOKUP(A196,ScaledPrice,9),0))</f>
        <v xml:space="preserve"> </v>
      </c>
      <c r="R196" s="405" t="str">
        <f>IF($A196="N/A"," ",IF(Pricetype=2,MAX(I196-$H196,0),IF(Pricetype=1,(_xll.xSPRDOPT(I196,$E196,$CI196,0,($CD196+IF(Smile=TRUE,VLOOKUP(MAX(-5,$H196-I196),Volsmile,2),0)),$CG196,$CH196,($A196-DateToday)+15,1,0)),I196-$H196)))</f>
        <v xml:space="preserve"> </v>
      </c>
      <c r="S196" s="405" t="str">
        <f>IF($A196="N/A"," ",IF(Pricetype=2,MAX(J196-$H196,0),IF(Pricetype=1,(_xll.xSPRDOPT(J196,$E196,$CI196,0,($CD196+IF(Smile=TRUE,VLOOKUP(MAX(-5,$H196-J196),Volsmile,2),0)),$CG196,$CH196,($A196-DateToday)+15,1,0)),J196-$H196)))</f>
        <v xml:space="preserve"> </v>
      </c>
      <c r="T196" s="406" t="str">
        <f t="shared" ref="T196:T255" si="510">IF($A196="N/A"," ",(IF(Pricetype=2,IF((K196-$H196)&lt;=0,0,(K196-$H196)),IF(K196&lt;&gt;0,(K196-$H196),0))))</f>
        <v xml:space="preserve"> </v>
      </c>
      <c r="U196" s="405" t="str">
        <f>IF($A196="N/A"," ",IF(Pricetype=2,MAX(L196-$H196,0),IF(L196&lt;&gt;0,IF(Pricetype=1,(_xll.xSPRDOPT(L196,$E196,$CI196,0,($CD196+IF(Smile=TRUE,VLOOKUP(MAX(-5,$H196-L196),Volsmile,2),0)),$CG196,$CH196,($A196-DateToday)+15,1,0)),L196-$H196),0)))</f>
        <v xml:space="preserve"> </v>
      </c>
      <c r="V196" s="405" t="str">
        <f>IF($A196="N/A"," ",IF(Pricetype=2,MAX(M196-$H196,0),IF(M196&lt;&gt;0,IF(Pricetype=1,(_xll.xSPRDOPT(M196,$E196,$CI196,0,($CD196+IF(Smile=TRUE,VLOOKUP(MAX(-5,$H196-M196),Volsmile,2),0)),$CG196,$CH196,($A196-DateToday)+15,1,0)),M196-$H196),0)))</f>
        <v xml:space="preserve"> </v>
      </c>
      <c r="W196" s="406" t="str">
        <f t="shared" ref="W196:W255" si="511">IF($A196="N/A"," ",(IF(Pricetype=2,IF((N196-$H196)&lt;=0,0,(N196-$H196)),IF(N196&lt;&gt;0,(N196-$H196),0))))</f>
        <v xml:space="preserve"> </v>
      </c>
      <c r="X196" s="405" t="str">
        <f>IF($A196="N/A"," ",IF(Pricetype=2,MAX(O196-$H196,0),IF(O196&lt;&gt;0,IF(Pricetype=1,(_xll.xSPRDOPT(O196,$E196,$CI196,0,($CD196+IF(Smile=TRUE,VLOOKUP(MAX(-5,$H196-O196),Volsmile,2),0)),$CG196,$CH196,($A196-DateToday)+15,1,0)),O196-$H196),0)))</f>
        <v xml:space="preserve"> </v>
      </c>
      <c r="Y196" s="405" t="str">
        <f>IF($A196="N/A"," ",IF(Pricetype=2,MAX(P196-$H196,0),IF(P196&lt;&gt;0,IF(Pricetype=1,(_xll.xSPRDOPT(P196,$E196,$CI196,0,($CD196+IF(Smile=TRUE,VLOOKUP(MAX(-5,$H196-P196),Volsmile,2),0)),$CG196,$CH196,($A196-DateToday)+15,1,0)),P196-$H196),0)))</f>
        <v xml:space="preserve"> </v>
      </c>
      <c r="Z196" s="406" t="str">
        <f t="shared" ref="Z196:Z255" si="512">IF($A196="N/A"," ",(IF(Pricetype=2,IF((Q196-$H196)&lt;=0,0,(Q196-$H196)),IF(Q196&lt;&gt;0,(Q196-$H196),0))))</f>
        <v xml:space="preserve"> </v>
      </c>
      <c r="AA196" s="254" t="str">
        <f>IF($A196="N/A"," ",IF(VLOOKUP(MONTH(A196),ManualTable,2)=1,(IF(0&lt;&gt;R196,IF(Pricetype=1,(_xll.xSPRDOPT(I196,$E196,$CI196,0,($CD196+IF(Smile=TRUE,VLOOKUP(MAX(-5,$H196-I196),Volsmile,2),0)),$CG196,$CH196,($A196-DateToday)+15,1,1))*(8*$HD196),8*$HD196),0)),0))</f>
        <v xml:space="preserve"> </v>
      </c>
      <c r="AB196" s="254" t="str">
        <f>IF($A196="N/A"," ",IF(VLOOKUP(MONTH(A196),ManualTable,3)=1,(IF(S196&lt;&gt;0,IF(Pricetype=1,(_xll.xSPRDOPT(J196,$E196,$CI196,0,($CD196+IF(Smile=TRUE,VLOOKUP(MAX(-5,$H196-J196),Volsmile,2),0)),$CG196,$CH196,($A196-DateToday)+15,1,1))*(8*$HD196),8*$HD196),0)),0))</f>
        <v xml:space="preserve"> </v>
      </c>
      <c r="AC196" s="254" t="str">
        <f t="shared" si="394"/>
        <v xml:space="preserve"> </v>
      </c>
      <c r="AD196" s="254" t="str">
        <f>IF($A196="N/A"," ",IF(VLOOKUP(MONTH(A196),ManualTable,5)=1,(IF(U196&lt;&gt;0,IF(Pricetype=1,(_xll.xSPRDOPT(L196,$E196,$CI196,0,($CD196+IF(Smile=TRUE,VLOOKUP(MAX(-5,$H196-L196),Volsmile,2),0)),$CG196,$CH196,($A196-DateToday)+15,1,1))*(8*$HE196),8*$HE196),0)),0))</f>
        <v xml:space="preserve"> </v>
      </c>
      <c r="AE196" s="254" t="str">
        <f>IF($A196="N/A"," ",IF(VLOOKUP(MONTH(A196),ManualTable,6)=1,(IF(V196&lt;&gt;0,IF(Pricetype=1,(_xll.xSPRDOPT(M196,$E196,$CI196,0,($CD196+IF(Smile=TRUE,VLOOKUP(MAX(-5,$H196-M196),Volsmile,2),0)),$CG196,$CH196,($A196-DateToday)+15,1,1))*(8*$HE196),8*$HE196),0)),0))</f>
        <v xml:space="preserve"> </v>
      </c>
      <c r="AF196" s="254" t="str">
        <f t="shared" si="395"/>
        <v xml:space="preserve"> </v>
      </c>
      <c r="AG196" s="254" t="str">
        <f>IF($A196="N/A"," ",IF(VLOOKUP(MONTH(A196),ManualTable,8)=1,(IF(X196&lt;&gt;0,IF(Pricetype=1,(_xll.xSPRDOPT(O196,$E196,$CI196,0,($CD196+IF(Smile=TRUE,VLOOKUP(MAX(-5,$H196-O196),Volsmile,2),0)),$CG196,$CH196,($A196-DateToday)+15,1,1))*(8*$HF196),8*$HF196),0)),0))</f>
        <v xml:space="preserve"> </v>
      </c>
      <c r="AH196" s="254" t="str">
        <f>IF($A196="N/A"," ",IF(VLOOKUP(MONTH(A196),ManualTable,9)=1,(IF(Y196&lt;&gt;0,IF(Pricetype=1,(_xll.xSPRDOPT(P196,$E196,$CI196,0,($CD196+IF(Smile=TRUE,VLOOKUP(MAX(-5,$H196-P196),Volsmile,2),0)),$CG196,$CH196,($A196-DateToday)+15,1,1))*(8*$HF196),8*$HF196),0)),0))</f>
        <v xml:space="preserve"> </v>
      </c>
      <c r="AI196" s="254" t="str">
        <f t="shared" si="396"/>
        <v xml:space="preserve"> </v>
      </c>
      <c r="AJ196" s="224" t="str">
        <f t="shared" ref="AJ196:AR196" si="513">IF($A196="N/A"," ",RANK(R196,$R$196:$Z$207))</f>
        <v xml:space="preserve"> </v>
      </c>
      <c r="AK196" s="225" t="str">
        <f t="shared" si="513"/>
        <v xml:space="preserve"> </v>
      </c>
      <c r="AL196" s="225" t="str">
        <f t="shared" si="513"/>
        <v xml:space="preserve"> </v>
      </c>
      <c r="AM196" s="225" t="str">
        <f t="shared" si="513"/>
        <v xml:space="preserve"> </v>
      </c>
      <c r="AN196" s="225" t="str">
        <f t="shared" si="513"/>
        <v xml:space="preserve"> </v>
      </c>
      <c r="AO196" s="225" t="str">
        <f t="shared" si="513"/>
        <v xml:space="preserve"> </v>
      </c>
      <c r="AP196" s="225" t="str">
        <f t="shared" si="513"/>
        <v xml:space="preserve"> </v>
      </c>
      <c r="AQ196" s="225" t="str">
        <f t="shared" si="513"/>
        <v xml:space="preserve"> </v>
      </c>
      <c r="AR196" s="226" t="str">
        <f t="shared" si="513"/>
        <v xml:space="preserve"> </v>
      </c>
      <c r="AS196" s="260" t="str">
        <f t="shared" si="433"/>
        <v xml:space="preserve"> </v>
      </c>
      <c r="AT196" s="261" t="str">
        <f t="shared" si="434"/>
        <v xml:space="preserve"> </v>
      </c>
      <c r="AU196" s="263" t="str">
        <f t="shared" si="434"/>
        <v xml:space="preserve"> </v>
      </c>
      <c r="AV196" s="263" t="str">
        <f t="shared" si="435"/>
        <v xml:space="preserve"> </v>
      </c>
      <c r="AW196" s="263" t="str">
        <f t="shared" si="436"/>
        <v xml:space="preserve"> </v>
      </c>
      <c r="AX196" s="263" t="str">
        <f t="shared" si="436"/>
        <v xml:space="preserve"> </v>
      </c>
      <c r="AY196" s="261" t="str">
        <f t="shared" si="437"/>
        <v xml:space="preserve"> </v>
      </c>
      <c r="AZ196" s="261" t="str">
        <f t="shared" si="438"/>
        <v xml:space="preserve"> </v>
      </c>
      <c r="BA196" s="261" t="str">
        <f t="shared" si="439"/>
        <v xml:space="preserve"> </v>
      </c>
      <c r="BB196" s="226"/>
      <c r="BC196" s="272" t="str">
        <f t="shared" ref="BC196:BC207" si="514">IF($A196="N/A"," ",IF(AND(AJ196=$AR$2+1,AS196=0),MIN($BB$207,AA196),0))</f>
        <v xml:space="preserve"> </v>
      </c>
      <c r="BD196" s="267" t="str">
        <f t="shared" ref="BD196:BE207" si="515">IF($A196="N/A"," ",IF(AND(AK196=$AR$2+1,AT196=0),MIN($BB$207,AB196),0))</f>
        <v xml:space="preserve"> </v>
      </c>
      <c r="BE196" s="267" t="str">
        <f t="shared" si="515"/>
        <v xml:space="preserve"> </v>
      </c>
      <c r="BF196" s="267" t="str">
        <f t="shared" ref="BF196:BF207" si="516">IF($A196="N/A"," ",IF(AND(AM196=$AR$2+1,AV196=0),MIN($BB$207,AD196),0))</f>
        <v xml:space="preserve"> </v>
      </c>
      <c r="BG196" s="267" t="str">
        <f t="shared" ref="BG196:BH207" si="517">IF($A196="N/A"," ",IF(AND(AN196=$AR$2+1,AW196=0),MIN($BB$207,AE196),0))</f>
        <v xml:space="preserve"> </v>
      </c>
      <c r="BH196" s="267" t="str">
        <f t="shared" si="517"/>
        <v xml:space="preserve"> </v>
      </c>
      <c r="BI196" s="267" t="str">
        <f t="shared" ref="BI196:BI207" si="518">IF($A196="N/A"," ",IF(AND(AP196=$AR$2+1,AY196=0),MIN($BB$207,AG196),0))</f>
        <v xml:space="preserve"> </v>
      </c>
      <c r="BJ196" s="267" t="str">
        <f t="shared" ref="BJ196:BJ207" si="519">IF($A196="N/A"," ",IF(AND(AQ196=$AR$2+1,AZ196=0),MIN($BB$207,AH196),0))</f>
        <v xml:space="preserve"> </v>
      </c>
      <c r="BK196" s="267" t="str">
        <f t="shared" ref="BK196:BK207" si="520">IF($A196="N/A"," ",IF(AND(AR196=$AR$2+1,BA196=0),MIN($BB$207,AI196),0))</f>
        <v xml:space="preserve"> </v>
      </c>
      <c r="BL196" s="226"/>
      <c r="BM196" s="220" t="str">
        <f>IF($A196="N/A"," ",(IF(MONTH(A196)&gt;=4,IF(MONTH(A196)&lt;=10,Inputs!$F$13-Inputs!$G$13,Inputs!$F$14-Inputs!$G$14),Inputs!$F$14-Inputs!$G$14))*$CK196*Availability)</f>
        <v xml:space="preserve"> </v>
      </c>
      <c r="BN196" s="221" t="str">
        <f t="shared" si="397"/>
        <v xml:space="preserve"> </v>
      </c>
      <c r="BO196" s="221" t="str">
        <f t="shared" si="398"/>
        <v xml:space="preserve"> </v>
      </c>
      <c r="BP196" s="221" t="str">
        <f t="shared" si="399"/>
        <v xml:space="preserve"> </v>
      </c>
      <c r="BQ196" s="221" t="str">
        <f t="shared" si="400"/>
        <v xml:space="preserve"> </v>
      </c>
      <c r="BR196" s="221" t="str">
        <f t="shared" si="401"/>
        <v xml:space="preserve"> </v>
      </c>
      <c r="BS196" s="221" t="str">
        <f t="shared" si="402"/>
        <v xml:space="preserve"> </v>
      </c>
      <c r="BT196" s="221" t="str">
        <f t="shared" si="403"/>
        <v xml:space="preserve"> </v>
      </c>
      <c r="BU196" s="221" t="str">
        <f t="shared" si="404"/>
        <v xml:space="preserve"> </v>
      </c>
      <c r="BV196" s="221" t="str">
        <f t="shared" si="405"/>
        <v xml:space="preserve"> </v>
      </c>
      <c r="BW196" s="221" t="str">
        <f t="shared" si="406"/>
        <v xml:space="preserve"> </v>
      </c>
      <c r="BX196" s="421" t="str">
        <f t="shared" si="407"/>
        <v xml:space="preserve"> </v>
      </c>
      <c r="BY196" s="417" t="str">
        <f t="shared" si="408"/>
        <v xml:space="preserve"> </v>
      </c>
      <c r="BZ196" s="417" t="str">
        <f t="shared" si="409"/>
        <v xml:space="preserve"> </v>
      </c>
      <c r="CA196" s="422" t="str">
        <f t="shared" si="410"/>
        <v xml:space="preserve"> </v>
      </c>
      <c r="CB196" s="347" t="str">
        <f t="shared" ref="CB196:CB255" si="521">IF(A196="N/A"," ",(VLOOKUP(A196,PowerVolTable,(IF(BMO=2,7,IF(BMO=1,6,8))),FALSE)))</f>
        <v xml:space="preserve"> </v>
      </c>
      <c r="CC196" s="347" t="str">
        <f t="shared" si="411"/>
        <v xml:space="preserve"> </v>
      </c>
      <c r="CD196" s="348" t="str">
        <f t="shared" ref="CD196:CD255" si="522">IF($A196="N/A"," ",(IF(DateToday&gt;$A196,$CC196,((($CB196^2)*((($A196-1)-DateToday)/((EOMONTH($A196,0)+1)-DateToday-15)))+((($CC196)^2)*((15)/((EOMONTH($A196,0)+1)-DateToday-15))))^0.5)))</f>
        <v xml:space="preserve"> </v>
      </c>
      <c r="CE196" s="347" t="str">
        <f t="shared" ref="CE196:CE255" si="523">IF($A196="N/A"," ",(VLOOKUP($A196,GasVolTable,(IF(BMO=2,6,IF(BMO=1,7,5))),FALSE)))</f>
        <v xml:space="preserve"> </v>
      </c>
      <c r="CF196" s="347" t="str">
        <f t="shared" ref="CF196:CF255" si="524">IF($A196="N/A"," ",(VLOOKUP($A196,OmicronVol,(IF(BMO=2,3,IF(BMO=1,4,2))),FALSE)))</f>
        <v xml:space="preserve"> </v>
      </c>
      <c r="CG196" s="348" t="str">
        <f t="shared" ref="CG196:CG255" si="525">IF($A196="N/A"," ",(IF(DateToday&gt;$A196,$CF196,((($CE196^2)*((($A196-1)-DateToday)/((EOMONTH($A196,0)+1)-DateToday-15)))+((($CF196)^2)*((15)/((EOMONTH($A196,0)+1)-DateToday-15))))^0.5)))</f>
        <v xml:space="preserve"> </v>
      </c>
      <c r="CH196" s="347" t="str">
        <f t="shared" si="412"/>
        <v xml:space="preserve"> </v>
      </c>
      <c r="CI196" s="349" t="str">
        <f>IF($A196="N/A"," ",F196+G196+(D196*('Pricing Inputs'!T229)))</f>
        <v xml:space="preserve"> </v>
      </c>
      <c r="CJ196" s="347" t="str">
        <f>IF($A196="N/A"," ",IF(PV=1,0,'Pricing Inputs'!U229))</f>
        <v xml:space="preserve"> </v>
      </c>
      <c r="CK196" s="350" t="str">
        <f t="shared" ref="CK196:CK259" si="526">IF($A196="N/A"," ",(1+CJ196/2)^(-2*((EOMONTH(A196,0)+20)-DateToday)/365.25))</f>
        <v xml:space="preserve"> </v>
      </c>
      <c r="CL196" s="365" t="str">
        <f t="shared" ref="CL196:CL255" si="527">IF(A196="N/A"," ",IF(CC=2,(VLOOKUP(MONTH($A196),Hrtable,3))/1000,0))</f>
        <v xml:space="preserve"> </v>
      </c>
      <c r="CM196" s="380" t="str">
        <f t="shared" si="413"/>
        <v xml:space="preserve"> </v>
      </c>
      <c r="CN196" s="378" t="str">
        <f t="shared" ref="CN196:CN255" si="528">IF($A196="N/A"," ",IF(CC=2,(VLOOKUP(A196,ScaledPrice,(IF(AND(Dayrun&gt;=1,Dayrun&lt;=6),2,4)))-((IF(R196&lt;&gt;0,$D196,$CL196)*$C196)+$F196+$G196)),0))</f>
        <v xml:space="preserve"> </v>
      </c>
      <c r="CO196" s="378" t="str">
        <f t="shared" ref="CO196:CO255" si="529">IF($A196="N/A"," ",IF(CC=2,(IF(AND(Dayrun&gt;=1,Dayrun&lt;=6),I196,(VLOOKUP(A196,ScaledPrice,2))*(2-(VLOOKUP(A196,ScaledPrice,3))))-((IF(S196&lt;&gt;0,$D196,$CL196)*$C196)+$F196+$G196)),0))</f>
        <v xml:space="preserve"> </v>
      </c>
      <c r="CP196" s="378" t="str">
        <f t="shared" ref="CP196:CP255" si="530">IF(A196="N/A"," ",IF(CC=2,(VLOOKUP(A196,ScaledPrice,9)-((IF(T196&lt;&gt;0,$D196,$CL196)*$C196)+$F196+$G196)),0))</f>
        <v xml:space="preserve"> </v>
      </c>
      <c r="CQ196" s="378" t="str">
        <f t="shared" ref="CQ196:CQ255" si="531">IF(A196="N/A"," ",IF(CC=2,(IF(OR(Dayrun=2,Dayrun=3,Dayrun=5,Dayrun=6,Dayrun=8,Dayrun=9),VLOOKUP(A196,ScaledPrice,IF(AND(Dayrun&gt;=2,Dayrun&lt;=6),5,6)),0)-((IF(U196&lt;&gt;0,$D196,$CL196)*$C196)+$F196+$G196)),0))</f>
        <v xml:space="preserve"> </v>
      </c>
      <c r="CR196" s="378" t="str">
        <f t="shared" ref="CR196:CR255" si="532">IF(A196="N/A"," ",IF(CC=2,(IF(OR(Dayrun=2,Dayrun=3,Dayrun=5,Dayrun=6,Dayrun=8,Dayrun=9),IF(AND(Dayrun&gt;=2,Dayrun&lt;=6),L196,(VLOOKUP(A196,ScaledPrice,5))*(2-(VLOOKUP(A196,ScaledPrice,3)))),0)-((IF(V196&lt;&gt;0,$D196,$CL196)*$C196)+$F196+$G196)),0))</f>
        <v xml:space="preserve"> </v>
      </c>
      <c r="CS196" s="378" t="str">
        <f t="shared" ref="CS196:CS255" si="533">IF(A196="N/A"," ",IF(CC=2,(VLOOKUP(A196,ScaledPrice,9)-((IF(W196&lt;&gt;0,$D196,$CL196)*$C196)+$F196+$G196)),0))</f>
        <v xml:space="preserve"> </v>
      </c>
      <c r="CT196" s="378" t="str">
        <f t="shared" ref="CT196:CT255" si="534">IF(A196="N/A"," ",IF(CC=2,(IF(OR(Dayrun=3,Dayrun=6,Dayrun=9),(VLOOKUP(A196,ScaledPrice,IF(AND(Dayrun&gt;=3,Dayrun&lt;=6),7,8))),0)-((IF(X196&lt;&gt;0,$D196,$CL196)*$C196)+$F196+$G196)),0))</f>
        <v xml:space="preserve"> </v>
      </c>
      <c r="CU196" s="378" t="str">
        <f t="shared" ref="CU196:CU255" si="535">IF(A196="N/A"," ",IF(CC=2,(IF(OR(Dayrun=3,Dayrun=6,Dayrun=9),IF(AND(Dayrun&gt;=3,Dayrun&lt;=6),O196,(VLOOKUP(A196,ScaledPrice,7))*(2-(VLOOKUP(A196,ScaledPrice,3)))),0)-((IF(Y196&lt;&gt;0,$D196,$CL196)*$C196)+$F196+$G196)),0))</f>
        <v xml:space="preserve"> </v>
      </c>
      <c r="CV196" s="378" t="str">
        <f t="shared" ref="CV196:CV255" si="536">IF(A196="N/A"," ",IF(CC=2,(VLOOKUP(A196,ScaledPrice,9)-((IF(Z196&lt;&gt;0,$D196,$CL196)*$C196)+$F196+$G196)),0))</f>
        <v xml:space="preserve"> </v>
      </c>
      <c r="CW196" s="254" t="str">
        <f t="shared" ref="CW196:CW255" si="537">IF($A196="N/A"," ",IF(0&lt;&gt;CN196,IF(CC=2,8*$HD196,0),0))</f>
        <v xml:space="preserve"> </v>
      </c>
      <c r="CX196" s="254" t="str">
        <f t="shared" ref="CX196:CX255" si="538">IF($A196="N/A"," ",IF(0&lt;&gt;CO196,IF(CC=2,8*$HD196,0),0))</f>
        <v xml:space="preserve"> </v>
      </c>
      <c r="CY196" s="254" t="str">
        <f t="shared" ref="CY196:CY255" si="539">IF($A196="N/A"," ",IF(0&lt;&gt;CP196,IF(CC=2,8*$HD196,0),0))</f>
        <v xml:space="preserve"> </v>
      </c>
      <c r="CZ196" s="254" t="str">
        <f t="shared" ref="CZ196:CZ255" si="540">IF($A196="N/A"," ",IF(0&lt;&gt;CQ196,IF(CC=2,8*$HE196,0),0))</f>
        <v xml:space="preserve"> </v>
      </c>
      <c r="DA196" s="254" t="str">
        <f t="shared" ref="DA196:DA255" si="541">IF($A196="N/A"," ",IF(0&lt;&gt;CR196,IF(CC=2,8*$HE196,0),0))</f>
        <v xml:space="preserve"> </v>
      </c>
      <c r="DB196" s="254" t="str">
        <f t="shared" ref="DB196:DB255" si="542">IF($A196="N/A"," ",IF(0&lt;&gt;CS196,IF(CC=2,8*$HE196,0),0))</f>
        <v xml:space="preserve"> </v>
      </c>
      <c r="DC196" s="254" t="str">
        <f t="shared" ref="DC196:DC255" si="543">IF($A196="N/A"," ",IF(0&lt;&gt;CT196,IF(CC=2,8*$HF196,0),0))</f>
        <v xml:space="preserve"> </v>
      </c>
      <c r="DD196" s="254" t="str">
        <f t="shared" ref="DD196:DD255" si="544">IF($A196="N/A"," ",IF(0&lt;&gt;CU196,IF(CC=2,8*$HF196,0),0))</f>
        <v xml:space="preserve"> </v>
      </c>
      <c r="DE196" s="254" t="str">
        <f t="shared" ref="DE196:DE255" si="545">IF($A196="N/A"," ",IF(0&lt;&gt;CV196,IF(CC=2,8*$HF196,0),0))</f>
        <v xml:space="preserve"> </v>
      </c>
      <c r="DF196" s="374" t="str">
        <f>IF($A196="N/A"," ",IF(CC=2,(IF(MONTH(A196)&gt;=4,IF(MONTH(A196)&lt;=10,Inputs!$G$13,Inputs!$G$14),Inputs!$G$14))*$CK196,0))</f>
        <v xml:space="preserve"> </v>
      </c>
      <c r="DG196" s="373" t="str">
        <f t="shared" ref="DG196:DG255" si="546">IF($A196="N/A"," ",IF(CC=2,$DF196*CW196*CN196,0))</f>
        <v xml:space="preserve"> </v>
      </c>
      <c r="DH196" s="373" t="str">
        <f t="shared" ref="DH196:DH255" si="547">IF($A196="N/A"," ",IF(CC=2,$DF196*CX196*CO196,0))</f>
        <v xml:space="preserve"> </v>
      </c>
      <c r="DI196" s="373" t="str">
        <f t="shared" ref="DI196:DI255" si="548">IF($A196="N/A"," ",IF(CC=2,$DF196*CY196*CP196,0))</f>
        <v xml:space="preserve"> </v>
      </c>
      <c r="DJ196" s="373" t="str">
        <f t="shared" ref="DJ196:DJ255" si="549">IF($A196="N/A"," ",IF(CC=2,$DF196*CZ196*CQ196,0))</f>
        <v xml:space="preserve"> </v>
      </c>
      <c r="DK196" s="373" t="str">
        <f t="shared" ref="DK196:DK255" si="550">IF($A196="N/A"," ",IF(CC=2,$DF196*DA196*CR196,0))</f>
        <v xml:space="preserve"> </v>
      </c>
      <c r="DL196" s="373" t="str">
        <f t="shared" ref="DL196:DL255" si="551">IF($A196="N/A"," ",IF(CC=2,$DF196*DB196*CS196,0))</f>
        <v xml:space="preserve"> </v>
      </c>
      <c r="DM196" s="373" t="str">
        <f t="shared" ref="DM196:DM255" si="552">IF($A196="N/A"," ",IF(CC=2,$DF196*DC196*CT196,0))</f>
        <v xml:space="preserve"> </v>
      </c>
      <c r="DN196" s="373" t="str">
        <f t="shared" ref="DN196:DN255" si="553">IF($A196="N/A"," ",IF(CC=2,$DF196*DD196*CU196,0))</f>
        <v xml:space="preserve"> </v>
      </c>
      <c r="DO196" s="373" t="str">
        <f t="shared" ref="DO196:DO255" si="554">IF($A196="N/A"," ",IF(CC=2,$DF196*DE196*CV196,0))</f>
        <v xml:space="preserve"> </v>
      </c>
      <c r="DP196" s="375" t="str">
        <f t="shared" ref="DP196:DP255" si="555">IF($A196="N/A"," ",IF(CC=2,SUM(DG196:DO196),0))</f>
        <v xml:space="preserve"> </v>
      </c>
      <c r="DQ196" t="str">
        <f t="shared" si="414"/>
        <v xml:space="preserve"> </v>
      </c>
      <c r="HD196" t="str">
        <f t="shared" si="415"/>
        <v xml:space="preserve"> </v>
      </c>
      <c r="HE196" t="str">
        <f t="shared" si="416"/>
        <v xml:space="preserve"> </v>
      </c>
      <c r="HF196" t="str">
        <f t="shared" si="417"/>
        <v xml:space="preserve"> </v>
      </c>
    </row>
    <row r="197" spans="1:214">
      <c r="A197" s="415" t="str">
        <f>IF(A196="N/A","N/A",IF(EDATE(A196,1)&gt;Inputs!$K$3,"N/A",EDATE(A196,1)))</f>
        <v>N/A</v>
      </c>
      <c r="B197" s="410" t="str">
        <f t="shared" ref="B197:B255" si="556">IF(A197="N/A"," ",YEAR(A197))</f>
        <v xml:space="preserve"> </v>
      </c>
      <c r="C197" s="411" t="str">
        <f t="shared" ref="C197:C255" si="557">IF(A197="N/A"," ",VLOOKUP(A197,ScaledPrice,10))</f>
        <v xml:space="preserve"> </v>
      </c>
      <c r="D197" s="412" t="str">
        <f t="shared" ref="D197:D255" si="558">IF(A197="N/A"," ",(VLOOKUP(MONTH($A197),Hrtable,2))/1000)</f>
        <v xml:space="preserve"> </v>
      </c>
      <c r="E197" s="413" t="str">
        <f>IF($A197="N/A"," ",(C197-'Pricing Inputs'!T230)*D197)</f>
        <v xml:space="preserve"> </v>
      </c>
      <c r="F197" s="414" t="str">
        <f t="shared" si="440"/>
        <v xml:space="preserve"> </v>
      </c>
      <c r="G197" s="414" t="str">
        <f t="shared" ref="G197:G255" si="559">IF(A197="N/A"," ",Perstart/IF(AND(Dayrun&gt;=4,Dayrun&lt;=6),16,IF(AND(Dayrun&gt;=7,Dayrun&lt;=9),8,24))/(BM197/CK197))</f>
        <v xml:space="preserve"> </v>
      </c>
      <c r="H197" s="416" t="str">
        <f t="shared" ref="H197:H255" si="560">IF(A197="N/A"," ",(C197*D197)+F197+G197)</f>
        <v xml:space="preserve"> </v>
      </c>
      <c r="I197" s="213" t="str">
        <f t="shared" si="501"/>
        <v xml:space="preserve"> </v>
      </c>
      <c r="J197" s="213" t="str">
        <f t="shared" si="502"/>
        <v xml:space="preserve"> </v>
      </c>
      <c r="K197" s="213" t="str">
        <f t="shared" si="503"/>
        <v xml:space="preserve"> </v>
      </c>
      <c r="L197" s="213" t="str">
        <f t="shared" si="504"/>
        <v xml:space="preserve"> </v>
      </c>
      <c r="M197" s="213" t="str">
        <f t="shared" si="505"/>
        <v xml:space="preserve"> </v>
      </c>
      <c r="N197" s="213" t="str">
        <f t="shared" si="506"/>
        <v xml:space="preserve"> </v>
      </c>
      <c r="O197" s="213" t="str">
        <f t="shared" si="507"/>
        <v xml:space="preserve"> </v>
      </c>
      <c r="P197" s="213" t="str">
        <f t="shared" si="508"/>
        <v xml:space="preserve"> </v>
      </c>
      <c r="Q197" s="213" t="str">
        <f t="shared" si="509"/>
        <v xml:space="preserve"> </v>
      </c>
      <c r="R197" s="405" t="str">
        <f>IF($A197="N/A"," ",IF(Pricetype=2,MAX(I197-$H197,0),IF(Pricetype=1,(_xll.xSPRDOPT(I197,$E197,$CI197,0,($CD197+IF(Smile=TRUE,VLOOKUP(MAX(-5,$H197-I197),Volsmile,2),0)),$CG197,$CH197,($A197-DateToday)+15,1,0)),I197-$H197)))</f>
        <v xml:space="preserve"> </v>
      </c>
      <c r="S197" s="405" t="str">
        <f>IF($A197="N/A"," ",IF(Pricetype=2,MAX(J197-$H197,0),IF(Pricetype=1,(_xll.xSPRDOPT(J197,$E197,$CI197,0,($CD197+IF(Smile=TRUE,VLOOKUP(MAX(-5,$H197-J197),Volsmile,2),0)),$CG197,$CH197,($A197-DateToday)+15,1,0)),J197-$H197)))</f>
        <v xml:space="preserve"> </v>
      </c>
      <c r="T197" s="406" t="str">
        <f t="shared" si="510"/>
        <v xml:space="preserve"> </v>
      </c>
      <c r="U197" s="405" t="str">
        <f>IF($A197="N/A"," ",IF(Pricetype=2,MAX(L197-$H197,0),IF(L197&lt;&gt;0,IF(Pricetype=1,(_xll.xSPRDOPT(L197,$E197,$CI197,0,($CD197+IF(Smile=TRUE,VLOOKUP(MAX(-5,$H197-L197),Volsmile,2),0)),$CG197,$CH197,($A197-DateToday)+15,1,0)),L197-$H197),0)))</f>
        <v xml:space="preserve"> </v>
      </c>
      <c r="V197" s="405" t="str">
        <f>IF($A197="N/A"," ",IF(Pricetype=2,MAX(M197-$H197,0),IF(M197&lt;&gt;0,IF(Pricetype=1,(_xll.xSPRDOPT(M197,$E197,$CI197,0,($CD197+IF(Smile=TRUE,VLOOKUP(MAX(-5,$H197-M197),Volsmile,2),0)),$CG197,$CH197,($A197-DateToday)+15,1,0)),M197-$H197),0)))</f>
        <v xml:space="preserve"> </v>
      </c>
      <c r="W197" s="406" t="str">
        <f t="shared" si="511"/>
        <v xml:space="preserve"> </v>
      </c>
      <c r="X197" s="405" t="str">
        <f>IF($A197="N/A"," ",IF(Pricetype=2,MAX(O197-$H197,0),IF(O197&lt;&gt;0,IF(Pricetype=1,(_xll.xSPRDOPT(O197,$E197,$CI197,0,($CD197+IF(Smile=TRUE,VLOOKUP(MAX(-5,$H197-O197),Volsmile,2),0)),$CG197,$CH197,($A197-DateToday)+15,1,0)),O197-$H197),0)))</f>
        <v xml:space="preserve"> </v>
      </c>
      <c r="Y197" s="405" t="str">
        <f>IF($A197="N/A"," ",IF(Pricetype=2,MAX(P197-$H197,0),IF(P197&lt;&gt;0,IF(Pricetype=1,(_xll.xSPRDOPT(P197,$E197,$CI197,0,($CD197+IF(Smile=TRUE,VLOOKUP(MAX(-5,$H197-P197),Volsmile,2),0)),$CG197,$CH197,($A197-DateToday)+15,1,0)),P197-$H197),0)))</f>
        <v xml:space="preserve"> </v>
      </c>
      <c r="Z197" s="406" t="str">
        <f t="shared" si="512"/>
        <v xml:space="preserve"> </v>
      </c>
      <c r="AA197" s="254" t="str">
        <f>IF($A197="N/A"," ",IF(VLOOKUP(MONTH(A197),ManualTable,2)=1,(IF(0&lt;&gt;R197,IF(Pricetype=1,(_xll.xSPRDOPT(I197,$E197,$CI197,0,($CD197+IF(Smile=TRUE,VLOOKUP(MAX(-5,$H197-I197),Volsmile,2),0)),$CG197,$CH197,($A197-DateToday)+15,1,1))*(8*$HD197),8*$HD197),0)),0))</f>
        <v xml:space="preserve"> </v>
      </c>
      <c r="AB197" s="254" t="str">
        <f>IF($A197="N/A"," ",IF(VLOOKUP(MONTH(A197),ManualTable,3)=1,(IF(S197&lt;&gt;0,IF(Pricetype=1,(_xll.xSPRDOPT(J197,$E197,$CI197,0,($CD197+IF(Smile=TRUE,VLOOKUP(MAX(-5,$H197-J197),Volsmile,2),0)),$CG197,$CH197,($A197-DateToday)+15,1,1))*(8*$HD197),8*$HD197),0)),0))</f>
        <v xml:space="preserve"> </v>
      </c>
      <c r="AC197" s="254" t="str">
        <f t="shared" ref="AC197:AC255" si="561">IF($A197="N/A"," ",IF(VLOOKUP(MONTH(A197),ManualTable,4)=1,(IF(T197&lt;&gt;0,(8*$HD197),0)),0))</f>
        <v xml:space="preserve"> </v>
      </c>
      <c r="AD197" s="254" t="str">
        <f>IF($A197="N/A"," ",IF(VLOOKUP(MONTH(A197),ManualTable,5)=1,(IF(U197&lt;&gt;0,IF(Pricetype=1,(_xll.xSPRDOPT(L197,$E197,$CI197,0,($CD197+IF(Smile=TRUE,VLOOKUP(MAX(-5,$H197-L197),Volsmile,2),0)),$CG197,$CH197,($A197-DateToday)+15,1,1))*(8*$HE197),8*$HE197),0)),0))</f>
        <v xml:space="preserve"> </v>
      </c>
      <c r="AE197" s="254" t="str">
        <f>IF($A197="N/A"," ",IF(VLOOKUP(MONTH(A197),ManualTable,6)=1,(IF(V197&lt;&gt;0,IF(Pricetype=1,(_xll.xSPRDOPT(M197,$E197,$CI197,0,($CD197+IF(Smile=TRUE,VLOOKUP(MAX(-5,$H197-M197),Volsmile,2),0)),$CG197,$CH197,($A197-DateToday)+15,1,1))*(8*$HE197),8*$HE197),0)),0))</f>
        <v xml:space="preserve"> </v>
      </c>
      <c r="AF197" s="254" t="str">
        <f t="shared" ref="AF197:AF255" si="562">IF($A197="N/A"," ",IF(VLOOKUP(MONTH(A197),ManualTable,7)=1,(IF(W197&lt;&gt;0,(8*$HE197),0)),0))</f>
        <v xml:space="preserve"> </v>
      </c>
      <c r="AG197" s="254" t="str">
        <f>IF($A197="N/A"," ",IF(VLOOKUP(MONTH(A197),ManualTable,8)=1,(IF(X197&lt;&gt;0,IF(Pricetype=1,(_xll.xSPRDOPT(O197,$E197,$CI197,0,($CD197+IF(Smile=TRUE,VLOOKUP(MAX(-5,$H197-O197),Volsmile,2),0)),$CG197,$CH197,($A197-DateToday)+15,1,1))*(8*$HF197),8*$HF197),0)),0))</f>
        <v xml:space="preserve"> </v>
      </c>
      <c r="AH197" s="254" t="str">
        <f>IF($A197="N/A"," ",IF(VLOOKUP(MONTH(A197),ManualTable,9)=1,(IF(Y197&lt;&gt;0,IF(Pricetype=1,(_xll.xSPRDOPT(P197,$E197,$CI197,0,($CD197+IF(Smile=TRUE,VLOOKUP(MAX(-5,$H197-P197),Volsmile,2),0)),$CG197,$CH197,($A197-DateToday)+15,1,1))*(8*$HF197),8*$HF197),0)),0))</f>
        <v xml:space="preserve"> </v>
      </c>
      <c r="AI197" s="254" t="str">
        <f t="shared" ref="AI197:AI255" si="563">IF($A197="N/A"," ",IF(VLOOKUP(MONTH(A197),ManualTable,10)=1,(IF(Z197&lt;&gt;0,(8*($HF197)),0)),0))</f>
        <v xml:space="preserve"> </v>
      </c>
      <c r="AJ197" s="227" t="str">
        <f t="shared" ref="AJ197:AJ207" si="564">IF($A197="N/A"," ",RANK(R197,$R$196:$Z$207))</f>
        <v xml:space="preserve"> </v>
      </c>
      <c r="AK197" s="228" t="str">
        <f t="shared" ref="AK197:AL207" si="565">IF($A197="N/A"," ",RANK(S197,$R$196:$Z$207))</f>
        <v xml:space="preserve"> </v>
      </c>
      <c r="AL197" s="228" t="str">
        <f t="shared" si="565"/>
        <v xml:space="preserve"> </v>
      </c>
      <c r="AM197" s="228" t="str">
        <f t="shared" ref="AM197:AM207" si="566">IF($A197="N/A"," ",RANK(U197,$R$196:$Z$207))</f>
        <v xml:space="preserve"> </v>
      </c>
      <c r="AN197" s="228" t="str">
        <f t="shared" ref="AN197:AO207" si="567">IF($A197="N/A"," ",RANK(V197,$R$196:$Z$207))</f>
        <v xml:space="preserve"> </v>
      </c>
      <c r="AO197" s="228" t="str">
        <f t="shared" si="567"/>
        <v xml:space="preserve"> </v>
      </c>
      <c r="AP197" s="228" t="str">
        <f t="shared" ref="AP197:AP207" si="568">IF($A197="N/A"," ",RANK(X197,$R$196:$Z$207))</f>
        <v xml:space="preserve"> </v>
      </c>
      <c r="AQ197" s="228" t="str">
        <f t="shared" ref="AQ197:AQ207" si="569">IF($A197="N/A"," ",RANK(Y197,$R$196:$Z$207))</f>
        <v xml:space="preserve"> </v>
      </c>
      <c r="AR197" s="229" t="str">
        <f t="shared" ref="AR197:AR207" si="570">IF($A197="N/A"," ",RANK(Z197,$R$196:$Z$207))</f>
        <v xml:space="preserve"> </v>
      </c>
      <c r="AS197" s="262" t="str">
        <f t="shared" si="433"/>
        <v xml:space="preserve"> </v>
      </c>
      <c r="AT197" s="263" t="str">
        <f t="shared" si="434"/>
        <v xml:space="preserve"> </v>
      </c>
      <c r="AU197" s="263" t="str">
        <f t="shared" si="434"/>
        <v xml:space="preserve"> </v>
      </c>
      <c r="AV197" s="263" t="str">
        <f t="shared" si="435"/>
        <v xml:space="preserve"> </v>
      </c>
      <c r="AW197" s="263" t="str">
        <f t="shared" si="436"/>
        <v xml:space="preserve"> </v>
      </c>
      <c r="AX197" s="263" t="str">
        <f t="shared" si="436"/>
        <v xml:space="preserve"> </v>
      </c>
      <c r="AY197" s="263" t="str">
        <f t="shared" si="437"/>
        <v xml:space="preserve"> </v>
      </c>
      <c r="AZ197" s="263" t="str">
        <f t="shared" si="438"/>
        <v xml:space="preserve"> </v>
      </c>
      <c r="BA197" s="263" t="str">
        <f t="shared" si="439"/>
        <v xml:space="preserve"> </v>
      </c>
      <c r="BB197" s="229"/>
      <c r="BC197" s="266" t="str">
        <f t="shared" si="514"/>
        <v xml:space="preserve"> </v>
      </c>
      <c r="BD197" s="269" t="str">
        <f t="shared" si="515"/>
        <v xml:space="preserve"> </v>
      </c>
      <c r="BE197" s="269" t="str">
        <f t="shared" si="515"/>
        <v xml:space="preserve"> </v>
      </c>
      <c r="BF197" s="269" t="str">
        <f t="shared" si="516"/>
        <v xml:space="preserve"> </v>
      </c>
      <c r="BG197" s="269" t="str">
        <f t="shared" si="517"/>
        <v xml:space="preserve"> </v>
      </c>
      <c r="BH197" s="269" t="str">
        <f t="shared" si="517"/>
        <v xml:space="preserve"> </v>
      </c>
      <c r="BI197" s="269" t="str">
        <f t="shared" si="518"/>
        <v xml:space="preserve"> </v>
      </c>
      <c r="BJ197" s="269" t="str">
        <f t="shared" si="519"/>
        <v xml:space="preserve"> </v>
      </c>
      <c r="BK197" s="269" t="str">
        <f t="shared" si="520"/>
        <v xml:space="preserve"> </v>
      </c>
      <c r="BL197" s="229"/>
      <c r="BM197" s="220" t="str">
        <f>IF($A197="N/A"," ",(IF(MONTH(A197)&gt;=4,IF(MONTH(A197)&lt;=10,Inputs!$F$13-Inputs!$G$13,Inputs!$F$14-Inputs!$G$14),Inputs!$F$14-Inputs!$G$14))*$CK197*Availability)</f>
        <v xml:space="preserve"> </v>
      </c>
      <c r="BN197" s="221" t="str">
        <f t="shared" ref="BN197:BN255" si="571">IF($A197="N/A"," ",(IF(AS197&gt;0,($BM197*(8*($HD197))*R197),0)+IF(BC197&gt;0,($BM197*((BC197/AA197)*8*$HD197)*R197),0)))</f>
        <v xml:space="preserve"> </v>
      </c>
      <c r="BO197" s="221" t="str">
        <f t="shared" ref="BO197:BO255" si="572">IF($A197="N/A"," ",(IF(AT197&gt;0,($BM197*(8*($HD197))*S197),0)+IF(BD197&gt;0,($BM197*((BD197/AB197)*8*$HD197)*S197),0)))</f>
        <v xml:space="preserve"> </v>
      </c>
      <c r="BP197" s="221" t="str">
        <f t="shared" ref="BP197:BP255" si="573">IF($A197="N/A"," ",(IF(AU197&gt;0,($BM197*(8*($HD197))*T197),0)+IF(BE197&gt;0,($BM197*((BE197))*T197),0)))</f>
        <v xml:space="preserve"> </v>
      </c>
      <c r="BQ197" s="221" t="str">
        <f t="shared" ref="BQ197:BQ255" si="574">IF($A197="N/A"," ",(IF(AV197&gt;0,($BM197*(8*($HE197))*U197),0)+IF(BF197&gt;0,($BM197*((BF197/AD197)*8*$HE197)*U197),0)))</f>
        <v xml:space="preserve"> </v>
      </c>
      <c r="BR197" s="221" t="str">
        <f t="shared" ref="BR197:BR255" si="575">IF($A197="N/A"," ",(IF(AW197&gt;0,($BM197*(8*($HE197))*V197),0)+IF(BG197&gt;0,($BM197*((BG197/AE197)*8*$HE197)*V197),0)))</f>
        <v xml:space="preserve"> </v>
      </c>
      <c r="BS197" s="221" t="str">
        <f t="shared" ref="BS197:BS255" si="576">IF($A197="N/A"," ",(IF(AX197&gt;0,($BM197*(8*($HE197))*W197),0)+IF(BH197&gt;0,($BM197*((BH197))*W197),0)))</f>
        <v xml:space="preserve"> </v>
      </c>
      <c r="BT197" s="221" t="str">
        <f t="shared" ref="BT197:BT255" si="577">IF($A197="N/A"," ",(IF(AY197&gt;0,($BM197*(8*($HF197))*X197),0)+IF(BI197&gt;0,($BM197*((BI197/AG197)*8*$HF197)*X197),0)))</f>
        <v xml:space="preserve"> </v>
      </c>
      <c r="BU197" s="221" t="str">
        <f t="shared" ref="BU197:BU255" si="578">IF($A197="N/A"," ",(IF(AZ197&gt;0,($BM197*(8*($HF197))*Y197),0)+IF(BJ197&gt;0,($BM197*((BJ197/AH197)*8*$HF197)*Y197),0)))</f>
        <v xml:space="preserve"> </v>
      </c>
      <c r="BV197" s="221" t="str">
        <f t="shared" ref="BV197:BV255" si="579">IF($A197="N/A"," ",(IF(BA197&gt;0,($BM197*(8*($HF197))*Z197),0)+IF(BK197&gt;0,($BM197*((BK197))*Z197),0)))</f>
        <v xml:space="preserve"> </v>
      </c>
      <c r="BW197" s="221" t="str">
        <f t="shared" ref="BW197:BW255" si="580">IF($A197="N/A"," ",SUM(BN197:BV197))</f>
        <v xml:space="preserve"> </v>
      </c>
      <c r="BX197" s="421" t="str">
        <f t="shared" ref="BX197:BX255" si="581">IF($A197="N/A"," ",(H197*(SUM(AS197:BA197)+SUM(BC197:BK197))*BM197))</f>
        <v xml:space="preserve"> </v>
      </c>
      <c r="BY197" s="417" t="str">
        <f t="shared" ref="BY197:BY255" si="582">IF($A197="N/A"," ",((C197*D197)*(SUM($AS197:$BA197)+SUM($BC197:$BK197))*$BM197))</f>
        <v xml:space="preserve"> </v>
      </c>
      <c r="BZ197" s="417" t="str">
        <f t="shared" ref="BZ197:BZ255" si="583">IF($A197="N/A"," ",(F197*(SUM($AS197:$BA197)+SUM($BC197:$BK197))*$BM197))</f>
        <v xml:space="preserve"> </v>
      </c>
      <c r="CA197" s="422" t="str">
        <f t="shared" ref="CA197:CA255" si="584">IF($A197="N/A"," ",(G197*(SUM($AS197:$BA197)+SUM($BC197:$BK197))*$BM197))</f>
        <v xml:space="preserve"> </v>
      </c>
      <c r="CB197" s="347" t="str">
        <f t="shared" si="521"/>
        <v xml:space="preserve"> </v>
      </c>
      <c r="CC197" s="347" t="str">
        <f t="shared" ref="CC197:CC255" si="585">IF(A197="N/A"," ",(VLOOKUP(A197,IntraPowerVol,(IF(BMO=2,3,IF(BMO=1,2,4))),FALSE)*VLOOKUP(MONTH($A197),Volscale,2)))</f>
        <v xml:space="preserve"> </v>
      </c>
      <c r="CD197" s="348" t="str">
        <f t="shared" si="522"/>
        <v xml:space="preserve"> </v>
      </c>
      <c r="CE197" s="347" t="str">
        <f t="shared" si="523"/>
        <v xml:space="preserve"> </v>
      </c>
      <c r="CF197" s="347" t="str">
        <f t="shared" si="524"/>
        <v xml:space="preserve"> </v>
      </c>
      <c r="CG197" s="348" t="str">
        <f t="shared" si="525"/>
        <v xml:space="preserve"> </v>
      </c>
      <c r="CH197" s="347" t="str">
        <f t="shared" ref="CH197:CH255" si="586">IF($A197="N/A"," ",VLOOKUP($A197,CorrelationTable,2,FALSE))</f>
        <v xml:space="preserve"> </v>
      </c>
      <c r="CI197" s="349" t="str">
        <f>IF($A197="N/A"," ",F197+G197+(D197*('Pricing Inputs'!T230)))</f>
        <v xml:space="preserve"> </v>
      </c>
      <c r="CJ197" s="347" t="str">
        <f>IF($A197="N/A"," ",IF(PV=1,0,'Pricing Inputs'!U230))</f>
        <v xml:space="preserve"> </v>
      </c>
      <c r="CK197" s="350" t="str">
        <f t="shared" si="526"/>
        <v xml:space="preserve"> </v>
      </c>
      <c r="CL197" s="365" t="str">
        <f t="shared" si="527"/>
        <v xml:space="preserve"> </v>
      </c>
      <c r="CM197" s="380" t="str">
        <f t="shared" ref="CM197:CM255" si="587">IF(A197="N/A"," ",IF(CC=2,(CL197*C197)+F197,0))</f>
        <v xml:space="preserve"> </v>
      </c>
      <c r="CN197" s="378" t="str">
        <f t="shared" si="528"/>
        <v xml:space="preserve"> </v>
      </c>
      <c r="CO197" s="378" t="str">
        <f t="shared" si="529"/>
        <v xml:space="preserve"> </v>
      </c>
      <c r="CP197" s="378" t="str">
        <f t="shared" si="530"/>
        <v xml:space="preserve"> </v>
      </c>
      <c r="CQ197" s="378" t="str">
        <f t="shared" si="531"/>
        <v xml:space="preserve"> </v>
      </c>
      <c r="CR197" s="378" t="str">
        <f t="shared" si="532"/>
        <v xml:space="preserve"> </v>
      </c>
      <c r="CS197" s="378" t="str">
        <f t="shared" si="533"/>
        <v xml:space="preserve"> </v>
      </c>
      <c r="CT197" s="378" t="str">
        <f t="shared" si="534"/>
        <v xml:space="preserve"> </v>
      </c>
      <c r="CU197" s="378" t="str">
        <f t="shared" si="535"/>
        <v xml:space="preserve"> </v>
      </c>
      <c r="CV197" s="378" t="str">
        <f t="shared" si="536"/>
        <v xml:space="preserve"> </v>
      </c>
      <c r="CW197" s="254" t="str">
        <f t="shared" si="537"/>
        <v xml:space="preserve"> </v>
      </c>
      <c r="CX197" s="254" t="str">
        <f t="shared" si="538"/>
        <v xml:space="preserve"> </v>
      </c>
      <c r="CY197" s="254" t="str">
        <f t="shared" si="539"/>
        <v xml:space="preserve"> </v>
      </c>
      <c r="CZ197" s="254" t="str">
        <f t="shared" si="540"/>
        <v xml:space="preserve"> </v>
      </c>
      <c r="DA197" s="254" t="str">
        <f t="shared" si="541"/>
        <v xml:space="preserve"> </v>
      </c>
      <c r="DB197" s="254" t="str">
        <f t="shared" si="542"/>
        <v xml:space="preserve"> </v>
      </c>
      <c r="DC197" s="254" t="str">
        <f t="shared" si="543"/>
        <v xml:space="preserve"> </v>
      </c>
      <c r="DD197" s="254" t="str">
        <f t="shared" si="544"/>
        <v xml:space="preserve"> </v>
      </c>
      <c r="DE197" s="254" t="str">
        <f t="shared" si="545"/>
        <v xml:space="preserve"> </v>
      </c>
      <c r="DF197" s="374" t="str">
        <f>IF($A197="N/A"," ",IF(CC=2,(IF(MONTH(A197)&gt;=4,IF(MONTH(A197)&lt;=10,Inputs!$G$13,Inputs!$G$14),Inputs!$G$14))*$CK197,0))</f>
        <v xml:space="preserve"> </v>
      </c>
      <c r="DG197" s="373" t="str">
        <f t="shared" si="546"/>
        <v xml:space="preserve"> </v>
      </c>
      <c r="DH197" s="373" t="str">
        <f t="shared" si="547"/>
        <v xml:space="preserve"> </v>
      </c>
      <c r="DI197" s="373" t="str">
        <f t="shared" si="548"/>
        <v xml:space="preserve"> </v>
      </c>
      <c r="DJ197" s="373" t="str">
        <f t="shared" si="549"/>
        <v xml:space="preserve"> </v>
      </c>
      <c r="DK197" s="373" t="str">
        <f t="shared" si="550"/>
        <v xml:space="preserve"> </v>
      </c>
      <c r="DL197" s="373" t="str">
        <f t="shared" si="551"/>
        <v xml:space="preserve"> </v>
      </c>
      <c r="DM197" s="373" t="str">
        <f t="shared" si="552"/>
        <v xml:space="preserve"> </v>
      </c>
      <c r="DN197" s="373" t="str">
        <f t="shared" si="553"/>
        <v xml:space="preserve"> </v>
      </c>
      <c r="DO197" s="373" t="str">
        <f t="shared" si="554"/>
        <v xml:space="preserve"> </v>
      </c>
      <c r="DP197" s="375" t="str">
        <f t="shared" si="555"/>
        <v xml:space="preserve"> </v>
      </c>
      <c r="DQ197" t="str">
        <f t="shared" ref="DQ197:DQ255" si="588">IF(A197="N/A"," ",Perstart)</f>
        <v xml:space="preserve"> </v>
      </c>
      <c r="HD197" t="str">
        <f t="shared" si="415"/>
        <v xml:space="preserve"> </v>
      </c>
      <c r="HE197" t="str">
        <f t="shared" si="416"/>
        <v xml:space="preserve"> </v>
      </c>
      <c r="HF197" t="str">
        <f t="shared" si="417"/>
        <v xml:space="preserve"> </v>
      </c>
    </row>
    <row r="198" spans="1:214">
      <c r="A198" s="415" t="str">
        <f>IF(A197="N/A","N/A",IF(EDATE(A197,1)&gt;Inputs!$K$3,"N/A",EDATE(A197,1)))</f>
        <v>N/A</v>
      </c>
      <c r="B198" s="410" t="str">
        <f t="shared" si="556"/>
        <v xml:space="preserve"> </v>
      </c>
      <c r="C198" s="411" t="str">
        <f t="shared" si="557"/>
        <v xml:space="preserve"> </v>
      </c>
      <c r="D198" s="412" t="str">
        <f t="shared" si="558"/>
        <v xml:space="preserve"> </v>
      </c>
      <c r="E198" s="413" t="str">
        <f>IF($A198="N/A"," ",(C198-'Pricing Inputs'!T231)*D198)</f>
        <v xml:space="preserve"> </v>
      </c>
      <c r="F198" s="414" t="str">
        <f t="shared" si="440"/>
        <v xml:space="preserve"> </v>
      </c>
      <c r="G198" s="414" t="str">
        <f t="shared" si="559"/>
        <v xml:space="preserve"> </v>
      </c>
      <c r="H198" s="416" t="str">
        <f t="shared" si="560"/>
        <v xml:space="preserve"> </v>
      </c>
      <c r="I198" s="213" t="str">
        <f t="shared" si="501"/>
        <v xml:space="preserve"> </v>
      </c>
      <c r="J198" s="213" t="str">
        <f t="shared" si="502"/>
        <v xml:space="preserve"> </v>
      </c>
      <c r="K198" s="213" t="str">
        <f t="shared" si="503"/>
        <v xml:space="preserve"> </v>
      </c>
      <c r="L198" s="213" t="str">
        <f t="shared" si="504"/>
        <v xml:space="preserve"> </v>
      </c>
      <c r="M198" s="213" t="str">
        <f t="shared" si="505"/>
        <v xml:space="preserve"> </v>
      </c>
      <c r="N198" s="213" t="str">
        <f t="shared" si="506"/>
        <v xml:space="preserve"> </v>
      </c>
      <c r="O198" s="213" t="str">
        <f t="shared" si="507"/>
        <v xml:space="preserve"> </v>
      </c>
      <c r="P198" s="213" t="str">
        <f t="shared" si="508"/>
        <v xml:space="preserve"> </v>
      </c>
      <c r="Q198" s="213" t="str">
        <f t="shared" si="509"/>
        <v xml:space="preserve"> </v>
      </c>
      <c r="R198" s="405" t="str">
        <f>IF($A198="N/A"," ",IF(Pricetype=2,MAX(I198-$H198,0),IF(Pricetype=1,(_xll.xSPRDOPT(I198,$E198,$CI198,0,($CD198+IF(Smile=TRUE,VLOOKUP(MAX(-5,$H198-I198),Volsmile,2),0)),$CG198,$CH198,($A198-DateToday)+15,1,0)),I198-$H198)))</f>
        <v xml:space="preserve"> </v>
      </c>
      <c r="S198" s="405" t="str">
        <f>IF($A198="N/A"," ",IF(Pricetype=2,MAX(J198-$H198,0),IF(Pricetype=1,(_xll.xSPRDOPT(J198,$E198,$CI198,0,($CD198+IF(Smile=TRUE,VLOOKUP(MAX(-5,$H198-J198),Volsmile,2),0)),$CG198,$CH198,($A198-DateToday)+15,1,0)),J198-$H198)))</f>
        <v xml:space="preserve"> </v>
      </c>
      <c r="T198" s="406" t="str">
        <f t="shared" si="510"/>
        <v xml:space="preserve"> </v>
      </c>
      <c r="U198" s="405" t="str">
        <f>IF($A198="N/A"," ",IF(Pricetype=2,MAX(L198-$H198,0),IF(L198&lt;&gt;0,IF(Pricetype=1,(_xll.xSPRDOPT(L198,$E198,$CI198,0,($CD198+IF(Smile=TRUE,VLOOKUP(MAX(-5,$H198-L198),Volsmile,2),0)),$CG198,$CH198,($A198-DateToday)+15,1,0)),L198-$H198),0)))</f>
        <v xml:space="preserve"> </v>
      </c>
      <c r="V198" s="405" t="str">
        <f>IF($A198="N/A"," ",IF(Pricetype=2,MAX(M198-$H198,0),IF(M198&lt;&gt;0,IF(Pricetype=1,(_xll.xSPRDOPT(M198,$E198,$CI198,0,($CD198+IF(Smile=TRUE,VLOOKUP(MAX(-5,$H198-M198),Volsmile,2),0)),$CG198,$CH198,($A198-DateToday)+15,1,0)),M198-$H198),0)))</f>
        <v xml:space="preserve"> </v>
      </c>
      <c r="W198" s="406" t="str">
        <f t="shared" si="511"/>
        <v xml:space="preserve"> </v>
      </c>
      <c r="X198" s="405" t="str">
        <f>IF($A198="N/A"," ",IF(Pricetype=2,MAX(O198-$H198,0),IF(O198&lt;&gt;0,IF(Pricetype=1,(_xll.xSPRDOPT(O198,$E198,$CI198,0,($CD198+IF(Smile=TRUE,VLOOKUP(MAX(-5,$H198-O198),Volsmile,2),0)),$CG198,$CH198,($A198-DateToday)+15,1,0)),O198-$H198),0)))</f>
        <v xml:space="preserve"> </v>
      </c>
      <c r="Y198" s="405" t="str">
        <f>IF($A198="N/A"," ",IF(Pricetype=2,MAX(P198-$H198,0),IF(P198&lt;&gt;0,IF(Pricetype=1,(_xll.xSPRDOPT(P198,$E198,$CI198,0,($CD198+IF(Smile=TRUE,VLOOKUP(MAX(-5,$H198-P198),Volsmile,2),0)),$CG198,$CH198,($A198-DateToday)+15,1,0)),P198-$H198),0)))</f>
        <v xml:space="preserve"> </v>
      </c>
      <c r="Z198" s="406" t="str">
        <f t="shared" si="512"/>
        <v xml:space="preserve"> </v>
      </c>
      <c r="AA198" s="254" t="str">
        <f>IF($A198="N/A"," ",IF(VLOOKUP(MONTH(A198),ManualTable,2)=1,(IF(0&lt;&gt;R198,IF(Pricetype=1,(_xll.xSPRDOPT(I198,$E198,$CI198,0,($CD198+IF(Smile=TRUE,VLOOKUP(MAX(-5,$H198-I198),Volsmile,2),0)),$CG198,$CH198,($A198-DateToday)+15,1,1))*(8*$HD198),8*$HD198),0)),0))</f>
        <v xml:space="preserve"> </v>
      </c>
      <c r="AB198" s="254" t="str">
        <f>IF($A198="N/A"," ",IF(VLOOKUP(MONTH(A198),ManualTable,3)=1,(IF(S198&lt;&gt;0,IF(Pricetype=1,(_xll.xSPRDOPT(J198,$E198,$CI198,0,($CD198+IF(Smile=TRUE,VLOOKUP(MAX(-5,$H198-J198),Volsmile,2),0)),$CG198,$CH198,($A198-DateToday)+15,1,1))*(8*$HD198),8*$HD198),0)),0))</f>
        <v xml:space="preserve"> </v>
      </c>
      <c r="AC198" s="254" t="str">
        <f t="shared" si="561"/>
        <v xml:space="preserve"> </v>
      </c>
      <c r="AD198" s="254" t="str">
        <f>IF($A198="N/A"," ",IF(VLOOKUP(MONTH(A198),ManualTable,5)=1,(IF(U198&lt;&gt;0,IF(Pricetype=1,(_xll.xSPRDOPT(L198,$E198,$CI198,0,($CD198+IF(Smile=TRUE,VLOOKUP(MAX(-5,$H198-L198),Volsmile,2),0)),$CG198,$CH198,($A198-DateToday)+15,1,1))*(8*$HE198),8*$HE198),0)),0))</f>
        <v xml:space="preserve"> </v>
      </c>
      <c r="AE198" s="254" t="str">
        <f>IF($A198="N/A"," ",IF(VLOOKUP(MONTH(A198),ManualTable,6)=1,(IF(V198&lt;&gt;0,IF(Pricetype=1,(_xll.xSPRDOPT(M198,$E198,$CI198,0,($CD198+IF(Smile=TRUE,VLOOKUP(MAX(-5,$H198-M198),Volsmile,2),0)),$CG198,$CH198,($A198-DateToday)+15,1,1))*(8*$HE198),8*$HE198),0)),0))</f>
        <v xml:space="preserve"> </v>
      </c>
      <c r="AF198" s="254" t="str">
        <f t="shared" si="562"/>
        <v xml:space="preserve"> </v>
      </c>
      <c r="AG198" s="254" t="str">
        <f>IF($A198="N/A"," ",IF(VLOOKUP(MONTH(A198),ManualTable,8)=1,(IF(X198&lt;&gt;0,IF(Pricetype=1,(_xll.xSPRDOPT(O198,$E198,$CI198,0,($CD198+IF(Smile=TRUE,VLOOKUP(MAX(-5,$H198-O198),Volsmile,2),0)),$CG198,$CH198,($A198-DateToday)+15,1,1))*(8*$HF198),8*$HF198),0)),0))</f>
        <v xml:space="preserve"> </v>
      </c>
      <c r="AH198" s="254" t="str">
        <f>IF($A198="N/A"," ",IF(VLOOKUP(MONTH(A198),ManualTable,9)=1,(IF(Y198&lt;&gt;0,IF(Pricetype=1,(_xll.xSPRDOPT(P198,$E198,$CI198,0,($CD198+IF(Smile=TRUE,VLOOKUP(MAX(-5,$H198-P198),Volsmile,2),0)),$CG198,$CH198,($A198-DateToday)+15,1,1))*(8*$HF198),8*$HF198),0)),0))</f>
        <v xml:space="preserve"> </v>
      </c>
      <c r="AI198" s="254" t="str">
        <f t="shared" si="563"/>
        <v xml:space="preserve"> </v>
      </c>
      <c r="AJ198" s="227" t="str">
        <f t="shared" si="564"/>
        <v xml:space="preserve"> </v>
      </c>
      <c r="AK198" s="228" t="str">
        <f t="shared" si="565"/>
        <v xml:space="preserve"> </v>
      </c>
      <c r="AL198" s="228" t="str">
        <f t="shared" si="565"/>
        <v xml:space="preserve"> </v>
      </c>
      <c r="AM198" s="228" t="str">
        <f t="shared" si="566"/>
        <v xml:space="preserve"> </v>
      </c>
      <c r="AN198" s="228" t="str">
        <f t="shared" si="567"/>
        <v xml:space="preserve"> </v>
      </c>
      <c r="AO198" s="228" t="str">
        <f t="shared" si="567"/>
        <v xml:space="preserve"> </v>
      </c>
      <c r="AP198" s="228" t="str">
        <f t="shared" si="568"/>
        <v xml:space="preserve"> </v>
      </c>
      <c r="AQ198" s="228" t="str">
        <f t="shared" si="569"/>
        <v xml:space="preserve"> </v>
      </c>
      <c r="AR198" s="229" t="str">
        <f t="shared" si="570"/>
        <v xml:space="preserve"> </v>
      </c>
      <c r="AS198" s="262" t="str">
        <f t="shared" si="433"/>
        <v xml:space="preserve"> </v>
      </c>
      <c r="AT198" s="263" t="str">
        <f t="shared" si="434"/>
        <v xml:space="preserve"> </v>
      </c>
      <c r="AU198" s="263" t="str">
        <f t="shared" si="434"/>
        <v xml:space="preserve"> </v>
      </c>
      <c r="AV198" s="263" t="str">
        <f t="shared" si="435"/>
        <v xml:space="preserve"> </v>
      </c>
      <c r="AW198" s="263" t="str">
        <f t="shared" si="436"/>
        <v xml:space="preserve"> </v>
      </c>
      <c r="AX198" s="263" t="str">
        <f t="shared" si="436"/>
        <v xml:space="preserve"> </v>
      </c>
      <c r="AY198" s="263" t="str">
        <f t="shared" si="437"/>
        <v xml:space="preserve"> </v>
      </c>
      <c r="AZ198" s="263" t="str">
        <f t="shared" si="438"/>
        <v xml:space="preserve"> </v>
      </c>
      <c r="BA198" s="263" t="str">
        <f t="shared" si="439"/>
        <v xml:space="preserve"> </v>
      </c>
      <c r="BB198" s="229"/>
      <c r="BC198" s="266" t="str">
        <f t="shared" si="514"/>
        <v xml:space="preserve"> </v>
      </c>
      <c r="BD198" s="269" t="str">
        <f t="shared" si="515"/>
        <v xml:space="preserve"> </v>
      </c>
      <c r="BE198" s="269" t="str">
        <f t="shared" si="515"/>
        <v xml:space="preserve"> </v>
      </c>
      <c r="BF198" s="269" t="str">
        <f t="shared" si="516"/>
        <v xml:space="preserve"> </v>
      </c>
      <c r="BG198" s="269" t="str">
        <f t="shared" si="517"/>
        <v xml:space="preserve"> </v>
      </c>
      <c r="BH198" s="269" t="str">
        <f t="shared" si="517"/>
        <v xml:space="preserve"> </v>
      </c>
      <c r="BI198" s="269" t="str">
        <f t="shared" si="518"/>
        <v xml:space="preserve"> </v>
      </c>
      <c r="BJ198" s="269" t="str">
        <f t="shared" si="519"/>
        <v xml:space="preserve"> </v>
      </c>
      <c r="BK198" s="269" t="str">
        <f t="shared" si="520"/>
        <v xml:space="preserve"> </v>
      </c>
      <c r="BL198" s="229"/>
      <c r="BM198" s="220" t="str">
        <f>IF($A198="N/A"," ",(IF(MONTH(A198)&gt;=4,IF(MONTH(A198)&lt;=10,Inputs!$F$13-Inputs!$G$13,Inputs!$F$14-Inputs!$G$14),Inputs!$F$14-Inputs!$G$14))*$CK198*Availability)</f>
        <v xml:space="preserve"> </v>
      </c>
      <c r="BN198" s="221" t="str">
        <f t="shared" si="571"/>
        <v xml:space="preserve"> </v>
      </c>
      <c r="BO198" s="221" t="str">
        <f t="shared" si="572"/>
        <v xml:space="preserve"> </v>
      </c>
      <c r="BP198" s="221" t="str">
        <f t="shared" si="573"/>
        <v xml:space="preserve"> </v>
      </c>
      <c r="BQ198" s="221" t="str">
        <f t="shared" si="574"/>
        <v xml:space="preserve"> </v>
      </c>
      <c r="BR198" s="221" t="str">
        <f t="shared" si="575"/>
        <v xml:space="preserve"> </v>
      </c>
      <c r="BS198" s="221" t="str">
        <f t="shared" si="576"/>
        <v xml:space="preserve"> </v>
      </c>
      <c r="BT198" s="221" t="str">
        <f t="shared" si="577"/>
        <v xml:space="preserve"> </v>
      </c>
      <c r="BU198" s="221" t="str">
        <f t="shared" si="578"/>
        <v xml:space="preserve"> </v>
      </c>
      <c r="BV198" s="221" t="str">
        <f t="shared" si="579"/>
        <v xml:space="preserve"> </v>
      </c>
      <c r="BW198" s="221" t="str">
        <f t="shared" si="580"/>
        <v xml:space="preserve"> </v>
      </c>
      <c r="BX198" s="421" t="str">
        <f t="shared" si="581"/>
        <v xml:space="preserve"> </v>
      </c>
      <c r="BY198" s="417" t="str">
        <f t="shared" si="582"/>
        <v xml:space="preserve"> </v>
      </c>
      <c r="BZ198" s="417" t="str">
        <f t="shared" si="583"/>
        <v xml:space="preserve"> </v>
      </c>
      <c r="CA198" s="422" t="str">
        <f t="shared" si="584"/>
        <v xml:space="preserve"> </v>
      </c>
      <c r="CB198" s="347" t="str">
        <f t="shared" si="521"/>
        <v xml:space="preserve"> </v>
      </c>
      <c r="CC198" s="347" t="str">
        <f t="shared" si="585"/>
        <v xml:space="preserve"> </v>
      </c>
      <c r="CD198" s="348" t="str">
        <f t="shared" si="522"/>
        <v xml:space="preserve"> </v>
      </c>
      <c r="CE198" s="347" t="str">
        <f t="shared" si="523"/>
        <v xml:space="preserve"> </v>
      </c>
      <c r="CF198" s="347" t="str">
        <f t="shared" si="524"/>
        <v xml:space="preserve"> </v>
      </c>
      <c r="CG198" s="348" t="str">
        <f t="shared" si="525"/>
        <v xml:space="preserve"> </v>
      </c>
      <c r="CH198" s="347" t="str">
        <f t="shared" si="586"/>
        <v xml:space="preserve"> </v>
      </c>
      <c r="CI198" s="349" t="str">
        <f>IF($A198="N/A"," ",F198+G198+(D198*('Pricing Inputs'!T231)))</f>
        <v xml:space="preserve"> </v>
      </c>
      <c r="CJ198" s="347" t="str">
        <f>IF($A198="N/A"," ",IF(PV=1,0,'Pricing Inputs'!U231))</f>
        <v xml:space="preserve"> </v>
      </c>
      <c r="CK198" s="350" t="str">
        <f t="shared" si="526"/>
        <v xml:space="preserve"> </v>
      </c>
      <c r="CL198" s="365" t="str">
        <f t="shared" si="527"/>
        <v xml:space="preserve"> </v>
      </c>
      <c r="CM198" s="380" t="str">
        <f t="shared" si="587"/>
        <v xml:space="preserve"> </v>
      </c>
      <c r="CN198" s="378" t="str">
        <f t="shared" si="528"/>
        <v xml:space="preserve"> </v>
      </c>
      <c r="CO198" s="378" t="str">
        <f t="shared" si="529"/>
        <v xml:space="preserve"> </v>
      </c>
      <c r="CP198" s="378" t="str">
        <f t="shared" si="530"/>
        <v xml:space="preserve"> </v>
      </c>
      <c r="CQ198" s="378" t="str">
        <f t="shared" si="531"/>
        <v xml:space="preserve"> </v>
      </c>
      <c r="CR198" s="378" t="str">
        <f t="shared" si="532"/>
        <v xml:space="preserve"> </v>
      </c>
      <c r="CS198" s="378" t="str">
        <f t="shared" si="533"/>
        <v xml:space="preserve"> </v>
      </c>
      <c r="CT198" s="378" t="str">
        <f t="shared" si="534"/>
        <v xml:space="preserve"> </v>
      </c>
      <c r="CU198" s="378" t="str">
        <f t="shared" si="535"/>
        <v xml:space="preserve"> </v>
      </c>
      <c r="CV198" s="378" t="str">
        <f t="shared" si="536"/>
        <v xml:space="preserve"> </v>
      </c>
      <c r="CW198" s="254" t="str">
        <f t="shared" si="537"/>
        <v xml:space="preserve"> </v>
      </c>
      <c r="CX198" s="254" t="str">
        <f t="shared" si="538"/>
        <v xml:space="preserve"> </v>
      </c>
      <c r="CY198" s="254" t="str">
        <f t="shared" si="539"/>
        <v xml:space="preserve"> </v>
      </c>
      <c r="CZ198" s="254" t="str">
        <f t="shared" si="540"/>
        <v xml:space="preserve"> </v>
      </c>
      <c r="DA198" s="254" t="str">
        <f t="shared" si="541"/>
        <v xml:space="preserve"> </v>
      </c>
      <c r="DB198" s="254" t="str">
        <f t="shared" si="542"/>
        <v xml:space="preserve"> </v>
      </c>
      <c r="DC198" s="254" t="str">
        <f t="shared" si="543"/>
        <v xml:space="preserve"> </v>
      </c>
      <c r="DD198" s="254" t="str">
        <f t="shared" si="544"/>
        <v xml:space="preserve"> </v>
      </c>
      <c r="DE198" s="254" t="str">
        <f t="shared" si="545"/>
        <v xml:space="preserve"> </v>
      </c>
      <c r="DF198" s="374" t="str">
        <f>IF($A198="N/A"," ",IF(CC=2,(IF(MONTH(A198)&gt;=4,IF(MONTH(A198)&lt;=10,Inputs!$G$13,Inputs!$G$14),Inputs!$G$14))*$CK198,0))</f>
        <v xml:space="preserve"> </v>
      </c>
      <c r="DG198" s="373" t="str">
        <f t="shared" si="546"/>
        <v xml:space="preserve"> </v>
      </c>
      <c r="DH198" s="373" t="str">
        <f t="shared" si="547"/>
        <v xml:space="preserve"> </v>
      </c>
      <c r="DI198" s="373" t="str">
        <f t="shared" si="548"/>
        <v xml:space="preserve"> </v>
      </c>
      <c r="DJ198" s="373" t="str">
        <f t="shared" si="549"/>
        <v xml:space="preserve"> </v>
      </c>
      <c r="DK198" s="373" t="str">
        <f t="shared" si="550"/>
        <v xml:space="preserve"> </v>
      </c>
      <c r="DL198" s="373" t="str">
        <f t="shared" si="551"/>
        <v xml:space="preserve"> </v>
      </c>
      <c r="DM198" s="373" t="str">
        <f t="shared" si="552"/>
        <v xml:space="preserve"> </v>
      </c>
      <c r="DN198" s="373" t="str">
        <f t="shared" si="553"/>
        <v xml:space="preserve"> </v>
      </c>
      <c r="DO198" s="373" t="str">
        <f t="shared" si="554"/>
        <v xml:space="preserve"> </v>
      </c>
      <c r="DP198" s="375" t="str">
        <f t="shared" si="555"/>
        <v xml:space="preserve"> </v>
      </c>
      <c r="DQ198" t="str">
        <f t="shared" si="588"/>
        <v xml:space="preserve"> </v>
      </c>
      <c r="HD198" t="str">
        <f t="shared" ref="HD198:HD255" si="589">IF($A198="N/A"," ",VLOOKUP($A198,NumberofDaysTable,2))</f>
        <v xml:space="preserve"> </v>
      </c>
      <c r="HE198" t="str">
        <f t="shared" ref="HE198:HE255" si="590">IF($A198="N/A"," ",VLOOKUP($A198,NumberofDaysTable,3))</f>
        <v xml:space="preserve"> </v>
      </c>
      <c r="HF198" t="str">
        <f t="shared" ref="HF198:HF255" si="591">IF($A198="N/A"," ",VLOOKUP($A198,NumberofDaysTable,4))</f>
        <v xml:space="preserve"> </v>
      </c>
    </row>
    <row r="199" spans="1:214">
      <c r="A199" s="415" t="str">
        <f>IF(A198="N/A","N/A",IF(EDATE(A198,1)&gt;Inputs!$K$3,"N/A",EDATE(A198,1)))</f>
        <v>N/A</v>
      </c>
      <c r="B199" s="410" t="str">
        <f t="shared" si="556"/>
        <v xml:space="preserve"> </v>
      </c>
      <c r="C199" s="411" t="str">
        <f t="shared" si="557"/>
        <v xml:space="preserve"> </v>
      </c>
      <c r="D199" s="412" t="str">
        <f t="shared" si="558"/>
        <v xml:space="preserve"> </v>
      </c>
      <c r="E199" s="413" t="str">
        <f>IF($A199="N/A"," ",(C199-'Pricing Inputs'!T232)*D199)</f>
        <v xml:space="preserve"> </v>
      </c>
      <c r="F199" s="414" t="str">
        <f t="shared" si="440"/>
        <v xml:space="preserve"> </v>
      </c>
      <c r="G199" s="414" t="str">
        <f t="shared" si="559"/>
        <v xml:space="preserve"> </v>
      </c>
      <c r="H199" s="416" t="str">
        <f t="shared" si="560"/>
        <v xml:space="preserve"> </v>
      </c>
      <c r="I199" s="213" t="str">
        <f t="shared" si="501"/>
        <v xml:space="preserve"> </v>
      </c>
      <c r="J199" s="213" t="str">
        <f t="shared" si="502"/>
        <v xml:space="preserve"> </v>
      </c>
      <c r="K199" s="213" t="str">
        <f t="shared" si="503"/>
        <v xml:space="preserve"> </v>
      </c>
      <c r="L199" s="213" t="str">
        <f t="shared" si="504"/>
        <v xml:space="preserve"> </v>
      </c>
      <c r="M199" s="213" t="str">
        <f t="shared" si="505"/>
        <v xml:space="preserve"> </v>
      </c>
      <c r="N199" s="213" t="str">
        <f t="shared" si="506"/>
        <v xml:space="preserve"> </v>
      </c>
      <c r="O199" s="213" t="str">
        <f t="shared" si="507"/>
        <v xml:space="preserve"> </v>
      </c>
      <c r="P199" s="213" t="str">
        <f t="shared" si="508"/>
        <v xml:space="preserve"> </v>
      </c>
      <c r="Q199" s="213" t="str">
        <f t="shared" si="509"/>
        <v xml:space="preserve"> </v>
      </c>
      <c r="R199" s="405" t="str">
        <f>IF($A199="N/A"," ",IF(Pricetype=2,MAX(I199-$H199,0),IF(Pricetype=1,(_xll.xSPRDOPT(I199,$E199,$CI199,0,($CD199+IF(Smile=TRUE,VLOOKUP(MAX(-5,$H199-I199),Volsmile,2),0)),$CG199,$CH199,($A199-DateToday)+15,1,0)),I199-$H199)))</f>
        <v xml:space="preserve"> </v>
      </c>
      <c r="S199" s="405" t="str">
        <f>IF($A199="N/A"," ",IF(Pricetype=2,MAX(J199-$H199,0),IF(Pricetype=1,(_xll.xSPRDOPT(J199,$E199,$CI199,0,($CD199+IF(Smile=TRUE,VLOOKUP(MAX(-5,$H199-J199),Volsmile,2),0)),$CG199,$CH199,($A199-DateToday)+15,1,0)),J199-$H199)))</f>
        <v xml:space="preserve"> </v>
      </c>
      <c r="T199" s="406" t="str">
        <f t="shared" si="510"/>
        <v xml:space="preserve"> </v>
      </c>
      <c r="U199" s="405" t="str">
        <f>IF($A199="N/A"," ",IF(Pricetype=2,MAX(L199-$H199,0),IF(L199&lt;&gt;0,IF(Pricetype=1,(_xll.xSPRDOPT(L199,$E199,$CI199,0,($CD199+IF(Smile=TRUE,VLOOKUP(MAX(-5,$H199-L199),Volsmile,2),0)),$CG199,$CH199,($A199-DateToday)+15,1,0)),L199-$H199),0)))</f>
        <v xml:space="preserve"> </v>
      </c>
      <c r="V199" s="405" t="str">
        <f>IF($A199="N/A"," ",IF(Pricetype=2,MAX(M199-$H199,0),IF(M199&lt;&gt;0,IF(Pricetype=1,(_xll.xSPRDOPT(M199,$E199,$CI199,0,($CD199+IF(Smile=TRUE,VLOOKUP(MAX(-5,$H199-M199),Volsmile,2),0)),$CG199,$CH199,($A199-DateToday)+15,1,0)),M199-$H199),0)))</f>
        <v xml:space="preserve"> </v>
      </c>
      <c r="W199" s="406" t="str">
        <f t="shared" si="511"/>
        <v xml:space="preserve"> </v>
      </c>
      <c r="X199" s="405" t="str">
        <f>IF($A199="N/A"," ",IF(Pricetype=2,MAX(O199-$H199,0),IF(O199&lt;&gt;0,IF(Pricetype=1,(_xll.xSPRDOPT(O199,$E199,$CI199,0,($CD199+IF(Smile=TRUE,VLOOKUP(MAX(-5,$H199-O199),Volsmile,2),0)),$CG199,$CH199,($A199-DateToday)+15,1,0)),O199-$H199),0)))</f>
        <v xml:space="preserve"> </v>
      </c>
      <c r="Y199" s="405" t="str">
        <f>IF($A199="N/A"," ",IF(Pricetype=2,MAX(P199-$H199,0),IF(P199&lt;&gt;0,IF(Pricetype=1,(_xll.xSPRDOPT(P199,$E199,$CI199,0,($CD199+IF(Smile=TRUE,VLOOKUP(MAX(-5,$H199-P199),Volsmile,2),0)),$CG199,$CH199,($A199-DateToday)+15,1,0)),P199-$H199),0)))</f>
        <v xml:space="preserve"> </v>
      </c>
      <c r="Z199" s="406" t="str">
        <f t="shared" si="512"/>
        <v xml:space="preserve"> </v>
      </c>
      <c r="AA199" s="254" t="str">
        <f>IF($A199="N/A"," ",IF(VLOOKUP(MONTH(A199),ManualTable,2)=1,(IF(0&lt;&gt;R199,IF(Pricetype=1,(_xll.xSPRDOPT(I199,$E199,$CI199,0,($CD199+IF(Smile=TRUE,VLOOKUP(MAX(-5,$H199-I199),Volsmile,2),0)),$CG199,$CH199,($A199-DateToday)+15,1,1))*(8*$HD199),8*$HD199),0)),0))</f>
        <v xml:space="preserve"> </v>
      </c>
      <c r="AB199" s="254" t="str">
        <f>IF($A199="N/A"," ",IF(VLOOKUP(MONTH(A199),ManualTable,3)=1,(IF(S199&lt;&gt;0,IF(Pricetype=1,(_xll.xSPRDOPT(J199,$E199,$CI199,0,($CD199+IF(Smile=TRUE,VLOOKUP(MAX(-5,$H199-J199),Volsmile,2),0)),$CG199,$CH199,($A199-DateToday)+15,1,1))*(8*$HD199),8*$HD199),0)),0))</f>
        <v xml:space="preserve"> </v>
      </c>
      <c r="AC199" s="254" t="str">
        <f t="shared" si="561"/>
        <v xml:space="preserve"> </v>
      </c>
      <c r="AD199" s="254" t="str">
        <f>IF($A199="N/A"," ",IF(VLOOKUP(MONTH(A199),ManualTable,5)=1,(IF(U199&lt;&gt;0,IF(Pricetype=1,(_xll.xSPRDOPT(L199,$E199,$CI199,0,($CD199+IF(Smile=TRUE,VLOOKUP(MAX(-5,$H199-L199),Volsmile,2),0)),$CG199,$CH199,($A199-DateToday)+15,1,1))*(8*$HE199),8*$HE199),0)),0))</f>
        <v xml:space="preserve"> </v>
      </c>
      <c r="AE199" s="254" t="str">
        <f>IF($A199="N/A"," ",IF(VLOOKUP(MONTH(A199),ManualTable,6)=1,(IF(V199&lt;&gt;0,IF(Pricetype=1,(_xll.xSPRDOPT(M199,$E199,$CI199,0,($CD199+IF(Smile=TRUE,VLOOKUP(MAX(-5,$H199-M199),Volsmile,2),0)),$CG199,$CH199,($A199-DateToday)+15,1,1))*(8*$HE199),8*$HE199),0)),0))</f>
        <v xml:space="preserve"> </v>
      </c>
      <c r="AF199" s="254" t="str">
        <f t="shared" si="562"/>
        <v xml:space="preserve"> </v>
      </c>
      <c r="AG199" s="254" t="str">
        <f>IF($A199="N/A"," ",IF(VLOOKUP(MONTH(A199),ManualTable,8)=1,(IF(X199&lt;&gt;0,IF(Pricetype=1,(_xll.xSPRDOPT(O199,$E199,$CI199,0,($CD199+IF(Smile=TRUE,VLOOKUP(MAX(-5,$H199-O199),Volsmile,2),0)),$CG199,$CH199,($A199-DateToday)+15,1,1))*(8*$HF199),8*$HF199),0)),0))</f>
        <v xml:space="preserve"> </v>
      </c>
      <c r="AH199" s="254" t="str">
        <f>IF($A199="N/A"," ",IF(VLOOKUP(MONTH(A199),ManualTable,9)=1,(IF(Y199&lt;&gt;0,IF(Pricetype=1,(_xll.xSPRDOPT(P199,$E199,$CI199,0,($CD199+IF(Smile=TRUE,VLOOKUP(MAX(-5,$H199-P199),Volsmile,2),0)),$CG199,$CH199,($A199-DateToday)+15,1,1))*(8*$HF199),8*$HF199),0)),0))</f>
        <v xml:space="preserve"> </v>
      </c>
      <c r="AI199" s="254" t="str">
        <f t="shared" si="563"/>
        <v xml:space="preserve"> </v>
      </c>
      <c r="AJ199" s="227" t="str">
        <f t="shared" si="564"/>
        <v xml:space="preserve"> </v>
      </c>
      <c r="AK199" s="228" t="str">
        <f t="shared" si="565"/>
        <v xml:space="preserve"> </v>
      </c>
      <c r="AL199" s="228" t="str">
        <f t="shared" si="565"/>
        <v xml:space="preserve"> </v>
      </c>
      <c r="AM199" s="228" t="str">
        <f t="shared" si="566"/>
        <v xml:space="preserve"> </v>
      </c>
      <c r="AN199" s="228" t="str">
        <f t="shared" si="567"/>
        <v xml:space="preserve"> </v>
      </c>
      <c r="AO199" s="228" t="str">
        <f t="shared" si="567"/>
        <v xml:space="preserve"> </v>
      </c>
      <c r="AP199" s="228" t="str">
        <f t="shared" si="568"/>
        <v xml:space="preserve"> </v>
      </c>
      <c r="AQ199" s="228" t="str">
        <f t="shared" si="569"/>
        <v xml:space="preserve"> </v>
      </c>
      <c r="AR199" s="229" t="str">
        <f t="shared" si="570"/>
        <v xml:space="preserve"> </v>
      </c>
      <c r="AS199" s="262" t="str">
        <f t="shared" si="433"/>
        <v xml:space="preserve"> </v>
      </c>
      <c r="AT199" s="263" t="str">
        <f t="shared" si="434"/>
        <v xml:space="preserve"> </v>
      </c>
      <c r="AU199" s="263" t="str">
        <f t="shared" si="434"/>
        <v xml:space="preserve"> </v>
      </c>
      <c r="AV199" s="263" t="str">
        <f t="shared" si="435"/>
        <v xml:space="preserve"> </v>
      </c>
      <c r="AW199" s="263" t="str">
        <f t="shared" si="436"/>
        <v xml:space="preserve"> </v>
      </c>
      <c r="AX199" s="263" t="str">
        <f t="shared" si="436"/>
        <v xml:space="preserve"> </v>
      </c>
      <c r="AY199" s="263" t="str">
        <f t="shared" si="437"/>
        <v xml:space="preserve"> </v>
      </c>
      <c r="AZ199" s="263" t="str">
        <f t="shared" si="438"/>
        <v xml:space="preserve"> </v>
      </c>
      <c r="BA199" s="263" t="str">
        <f t="shared" si="439"/>
        <v xml:space="preserve"> </v>
      </c>
      <c r="BB199" s="229"/>
      <c r="BC199" s="266" t="str">
        <f t="shared" si="514"/>
        <v xml:space="preserve"> </v>
      </c>
      <c r="BD199" s="269" t="str">
        <f t="shared" si="515"/>
        <v xml:space="preserve"> </v>
      </c>
      <c r="BE199" s="269" t="str">
        <f t="shared" si="515"/>
        <v xml:space="preserve"> </v>
      </c>
      <c r="BF199" s="269" t="str">
        <f t="shared" si="516"/>
        <v xml:space="preserve"> </v>
      </c>
      <c r="BG199" s="269" t="str">
        <f t="shared" si="517"/>
        <v xml:space="preserve"> </v>
      </c>
      <c r="BH199" s="269" t="str">
        <f t="shared" si="517"/>
        <v xml:space="preserve"> </v>
      </c>
      <c r="BI199" s="269" t="str">
        <f t="shared" si="518"/>
        <v xml:space="preserve"> </v>
      </c>
      <c r="BJ199" s="269" t="str">
        <f t="shared" si="519"/>
        <v xml:space="preserve"> </v>
      </c>
      <c r="BK199" s="269" t="str">
        <f t="shared" si="520"/>
        <v xml:space="preserve"> </v>
      </c>
      <c r="BL199" s="229"/>
      <c r="BM199" s="220" t="str">
        <f>IF($A199="N/A"," ",(IF(MONTH(A199)&gt;=4,IF(MONTH(A199)&lt;=10,Inputs!$F$13-Inputs!$G$13,Inputs!$F$14-Inputs!$G$14),Inputs!$F$14-Inputs!$G$14))*$CK199*Availability)</f>
        <v xml:space="preserve"> </v>
      </c>
      <c r="BN199" s="221" t="str">
        <f t="shared" si="571"/>
        <v xml:space="preserve"> </v>
      </c>
      <c r="BO199" s="221" t="str">
        <f t="shared" si="572"/>
        <v xml:space="preserve"> </v>
      </c>
      <c r="BP199" s="221" t="str">
        <f t="shared" si="573"/>
        <v xml:space="preserve"> </v>
      </c>
      <c r="BQ199" s="221" t="str">
        <f t="shared" si="574"/>
        <v xml:space="preserve"> </v>
      </c>
      <c r="BR199" s="221" t="str">
        <f t="shared" si="575"/>
        <v xml:space="preserve"> </v>
      </c>
      <c r="BS199" s="221" t="str">
        <f t="shared" si="576"/>
        <v xml:space="preserve"> </v>
      </c>
      <c r="BT199" s="221" t="str">
        <f t="shared" si="577"/>
        <v xml:space="preserve"> </v>
      </c>
      <c r="BU199" s="221" t="str">
        <f t="shared" si="578"/>
        <v xml:space="preserve"> </v>
      </c>
      <c r="BV199" s="221" t="str">
        <f t="shared" si="579"/>
        <v xml:space="preserve"> </v>
      </c>
      <c r="BW199" s="221" t="str">
        <f t="shared" si="580"/>
        <v xml:space="preserve"> </v>
      </c>
      <c r="BX199" s="421" t="str">
        <f t="shared" si="581"/>
        <v xml:space="preserve"> </v>
      </c>
      <c r="BY199" s="417" t="str">
        <f t="shared" si="582"/>
        <v xml:space="preserve"> </v>
      </c>
      <c r="BZ199" s="417" t="str">
        <f t="shared" si="583"/>
        <v xml:space="preserve"> </v>
      </c>
      <c r="CA199" s="422" t="str">
        <f t="shared" si="584"/>
        <v xml:space="preserve"> </v>
      </c>
      <c r="CB199" s="347" t="str">
        <f t="shared" si="521"/>
        <v xml:space="preserve"> </v>
      </c>
      <c r="CC199" s="347" t="str">
        <f t="shared" si="585"/>
        <v xml:space="preserve"> </v>
      </c>
      <c r="CD199" s="348" t="str">
        <f t="shared" si="522"/>
        <v xml:space="preserve"> </v>
      </c>
      <c r="CE199" s="347" t="str">
        <f t="shared" si="523"/>
        <v xml:space="preserve"> </v>
      </c>
      <c r="CF199" s="347" t="str">
        <f t="shared" si="524"/>
        <v xml:space="preserve"> </v>
      </c>
      <c r="CG199" s="348" t="str">
        <f t="shared" si="525"/>
        <v xml:space="preserve"> </v>
      </c>
      <c r="CH199" s="347" t="str">
        <f t="shared" si="586"/>
        <v xml:space="preserve"> </v>
      </c>
      <c r="CI199" s="349" t="str">
        <f>IF($A199="N/A"," ",F199+G199+(D199*('Pricing Inputs'!T232)))</f>
        <v xml:space="preserve"> </v>
      </c>
      <c r="CJ199" s="347" t="str">
        <f>IF($A199="N/A"," ",IF(PV=1,0,'Pricing Inputs'!U232))</f>
        <v xml:space="preserve"> </v>
      </c>
      <c r="CK199" s="350" t="str">
        <f t="shared" si="526"/>
        <v xml:space="preserve"> </v>
      </c>
      <c r="CL199" s="365" t="str">
        <f t="shared" si="527"/>
        <v xml:space="preserve"> </v>
      </c>
      <c r="CM199" s="380" t="str">
        <f t="shared" si="587"/>
        <v xml:space="preserve"> </v>
      </c>
      <c r="CN199" s="378" t="str">
        <f t="shared" si="528"/>
        <v xml:space="preserve"> </v>
      </c>
      <c r="CO199" s="378" t="str">
        <f t="shared" si="529"/>
        <v xml:space="preserve"> </v>
      </c>
      <c r="CP199" s="378" t="str">
        <f t="shared" si="530"/>
        <v xml:space="preserve"> </v>
      </c>
      <c r="CQ199" s="378" t="str">
        <f t="shared" si="531"/>
        <v xml:space="preserve"> </v>
      </c>
      <c r="CR199" s="378" t="str">
        <f t="shared" si="532"/>
        <v xml:space="preserve"> </v>
      </c>
      <c r="CS199" s="378" t="str">
        <f t="shared" si="533"/>
        <v xml:space="preserve"> </v>
      </c>
      <c r="CT199" s="378" t="str">
        <f t="shared" si="534"/>
        <v xml:space="preserve"> </v>
      </c>
      <c r="CU199" s="378" t="str">
        <f t="shared" si="535"/>
        <v xml:space="preserve"> </v>
      </c>
      <c r="CV199" s="378" t="str">
        <f t="shared" si="536"/>
        <v xml:space="preserve"> </v>
      </c>
      <c r="CW199" s="254" t="str">
        <f t="shared" si="537"/>
        <v xml:space="preserve"> </v>
      </c>
      <c r="CX199" s="254" t="str">
        <f t="shared" si="538"/>
        <v xml:space="preserve"> </v>
      </c>
      <c r="CY199" s="254" t="str">
        <f t="shared" si="539"/>
        <v xml:space="preserve"> </v>
      </c>
      <c r="CZ199" s="254" t="str">
        <f t="shared" si="540"/>
        <v xml:space="preserve"> </v>
      </c>
      <c r="DA199" s="254" t="str">
        <f t="shared" si="541"/>
        <v xml:space="preserve"> </v>
      </c>
      <c r="DB199" s="254" t="str">
        <f t="shared" si="542"/>
        <v xml:space="preserve"> </v>
      </c>
      <c r="DC199" s="254" t="str">
        <f t="shared" si="543"/>
        <v xml:space="preserve"> </v>
      </c>
      <c r="DD199" s="254" t="str">
        <f t="shared" si="544"/>
        <v xml:space="preserve"> </v>
      </c>
      <c r="DE199" s="254" t="str">
        <f t="shared" si="545"/>
        <v xml:space="preserve"> </v>
      </c>
      <c r="DF199" s="374" t="str">
        <f>IF($A199="N/A"," ",IF(CC=2,(IF(MONTH(A199)&gt;=4,IF(MONTH(A199)&lt;=10,Inputs!$G$13,Inputs!$G$14),Inputs!$G$14))*$CK199,0))</f>
        <v xml:space="preserve"> </v>
      </c>
      <c r="DG199" s="373" t="str">
        <f t="shared" si="546"/>
        <v xml:space="preserve"> </v>
      </c>
      <c r="DH199" s="373" t="str">
        <f t="shared" si="547"/>
        <v xml:space="preserve"> </v>
      </c>
      <c r="DI199" s="373" t="str">
        <f t="shared" si="548"/>
        <v xml:space="preserve"> </v>
      </c>
      <c r="DJ199" s="373" t="str">
        <f t="shared" si="549"/>
        <v xml:space="preserve"> </v>
      </c>
      <c r="DK199" s="373" t="str">
        <f t="shared" si="550"/>
        <v xml:space="preserve"> </v>
      </c>
      <c r="DL199" s="373" t="str">
        <f t="shared" si="551"/>
        <v xml:space="preserve"> </v>
      </c>
      <c r="DM199" s="373" t="str">
        <f t="shared" si="552"/>
        <v xml:space="preserve"> </v>
      </c>
      <c r="DN199" s="373" t="str">
        <f t="shared" si="553"/>
        <v xml:space="preserve"> </v>
      </c>
      <c r="DO199" s="373" t="str">
        <f t="shared" si="554"/>
        <v xml:space="preserve"> </v>
      </c>
      <c r="DP199" s="375" t="str">
        <f t="shared" si="555"/>
        <v xml:space="preserve"> </v>
      </c>
      <c r="DQ199" t="str">
        <f t="shared" si="588"/>
        <v xml:space="preserve"> </v>
      </c>
      <c r="HD199" t="str">
        <f t="shared" si="589"/>
        <v xml:space="preserve"> </v>
      </c>
      <c r="HE199" t="str">
        <f t="shared" si="590"/>
        <v xml:space="preserve"> </v>
      </c>
      <c r="HF199" t="str">
        <f t="shared" si="591"/>
        <v xml:space="preserve"> </v>
      </c>
    </row>
    <row r="200" spans="1:214">
      <c r="A200" s="415" t="str">
        <f>IF(A199="N/A","N/A",IF(EDATE(A199,1)&gt;Inputs!$K$3,"N/A",EDATE(A199,1)))</f>
        <v>N/A</v>
      </c>
      <c r="B200" s="410" t="str">
        <f t="shared" si="556"/>
        <v xml:space="preserve"> </v>
      </c>
      <c r="C200" s="411" t="str">
        <f t="shared" si="557"/>
        <v xml:space="preserve"> </v>
      </c>
      <c r="D200" s="412" t="str">
        <f t="shared" si="558"/>
        <v xml:space="preserve"> </v>
      </c>
      <c r="E200" s="413" t="str">
        <f>IF($A200="N/A"," ",(C200-'Pricing Inputs'!T233)*D200)</f>
        <v xml:space="preserve"> </v>
      </c>
      <c r="F200" s="414" t="str">
        <f t="shared" si="440"/>
        <v xml:space="preserve"> </v>
      </c>
      <c r="G200" s="414" t="str">
        <f t="shared" si="559"/>
        <v xml:space="preserve"> </v>
      </c>
      <c r="H200" s="416" t="str">
        <f t="shared" si="560"/>
        <v xml:space="preserve"> </v>
      </c>
      <c r="I200" s="213" t="str">
        <f t="shared" si="501"/>
        <v xml:space="preserve"> </v>
      </c>
      <c r="J200" s="213" t="str">
        <f t="shared" si="502"/>
        <v xml:space="preserve"> </v>
      </c>
      <c r="K200" s="213" t="str">
        <f t="shared" si="503"/>
        <v xml:space="preserve"> </v>
      </c>
      <c r="L200" s="213" t="str">
        <f t="shared" si="504"/>
        <v xml:space="preserve"> </v>
      </c>
      <c r="M200" s="213" t="str">
        <f t="shared" si="505"/>
        <v xml:space="preserve"> </v>
      </c>
      <c r="N200" s="213" t="str">
        <f t="shared" si="506"/>
        <v xml:space="preserve"> </v>
      </c>
      <c r="O200" s="213" t="str">
        <f t="shared" si="507"/>
        <v xml:space="preserve"> </v>
      </c>
      <c r="P200" s="213" t="str">
        <f t="shared" si="508"/>
        <v xml:space="preserve"> </v>
      </c>
      <c r="Q200" s="213" t="str">
        <f t="shared" si="509"/>
        <v xml:space="preserve"> </v>
      </c>
      <c r="R200" s="405" t="str">
        <f>IF($A200="N/A"," ",IF(Pricetype=2,MAX(I200-$H200,0),IF(Pricetype=1,(_xll.xSPRDOPT(I200,$E200,$CI200,0,($CD200+IF(Smile=TRUE,VLOOKUP(MAX(-5,$H200-I200),Volsmile,2),0)),$CG200,$CH200,($A200-DateToday)+15,1,0)),I200-$H200)))</f>
        <v xml:space="preserve"> </v>
      </c>
      <c r="S200" s="405" t="str">
        <f>IF($A200="N/A"," ",IF(Pricetype=2,MAX(J200-$H200,0),IF(Pricetype=1,(_xll.xSPRDOPT(J200,$E200,$CI200,0,($CD200+IF(Smile=TRUE,VLOOKUP(MAX(-5,$H200-J200),Volsmile,2),0)),$CG200,$CH200,($A200-DateToday)+15,1,0)),J200-$H200)))</f>
        <v xml:space="preserve"> </v>
      </c>
      <c r="T200" s="406" t="str">
        <f t="shared" si="510"/>
        <v xml:space="preserve"> </v>
      </c>
      <c r="U200" s="405" t="str">
        <f>IF($A200="N/A"," ",IF(Pricetype=2,MAX(L200-$H200,0),IF(L200&lt;&gt;0,IF(Pricetype=1,(_xll.xSPRDOPT(L200,$E200,$CI200,0,($CD200+IF(Smile=TRUE,VLOOKUP(MAX(-5,$H200-L200),Volsmile,2),0)),$CG200,$CH200,($A200-DateToday)+15,1,0)),L200-$H200),0)))</f>
        <v xml:space="preserve"> </v>
      </c>
      <c r="V200" s="405" t="str">
        <f>IF($A200="N/A"," ",IF(Pricetype=2,MAX(M200-$H200,0),IF(M200&lt;&gt;0,IF(Pricetype=1,(_xll.xSPRDOPT(M200,$E200,$CI200,0,($CD200+IF(Smile=TRUE,VLOOKUP(MAX(-5,$H200-M200),Volsmile,2),0)),$CG200,$CH200,($A200-DateToday)+15,1,0)),M200-$H200),0)))</f>
        <v xml:space="preserve"> </v>
      </c>
      <c r="W200" s="406" t="str">
        <f t="shared" si="511"/>
        <v xml:space="preserve"> </v>
      </c>
      <c r="X200" s="405" t="str">
        <f>IF($A200="N/A"," ",IF(Pricetype=2,MAX(O200-$H200,0),IF(O200&lt;&gt;0,IF(Pricetype=1,(_xll.xSPRDOPT(O200,$E200,$CI200,0,($CD200+IF(Smile=TRUE,VLOOKUP(MAX(-5,$H200-O200),Volsmile,2),0)),$CG200,$CH200,($A200-DateToday)+15,1,0)),O200-$H200),0)))</f>
        <v xml:space="preserve"> </v>
      </c>
      <c r="Y200" s="405" t="str">
        <f>IF($A200="N/A"," ",IF(Pricetype=2,MAX(P200-$H200,0),IF(P200&lt;&gt;0,IF(Pricetype=1,(_xll.xSPRDOPT(P200,$E200,$CI200,0,($CD200+IF(Smile=TRUE,VLOOKUP(MAX(-5,$H200-P200),Volsmile,2),0)),$CG200,$CH200,($A200-DateToday)+15,1,0)),P200-$H200),0)))</f>
        <v xml:space="preserve"> </v>
      </c>
      <c r="Z200" s="406" t="str">
        <f t="shared" si="512"/>
        <v xml:space="preserve"> </v>
      </c>
      <c r="AA200" s="254" t="str">
        <f>IF($A200="N/A"," ",IF(VLOOKUP(MONTH(A200),ManualTable,2)=1,(IF(0&lt;&gt;R200,IF(Pricetype=1,(_xll.xSPRDOPT(I200,$E200,$CI200,0,($CD200+IF(Smile=TRUE,VLOOKUP(MAX(-5,$H200-I200),Volsmile,2),0)),$CG200,$CH200,($A200-DateToday)+15,1,1))*(8*$HD200),8*$HD200),0)),0))</f>
        <v xml:space="preserve"> </v>
      </c>
      <c r="AB200" s="254" t="str">
        <f>IF($A200="N/A"," ",IF(VLOOKUP(MONTH(A200),ManualTable,3)=1,(IF(S200&lt;&gt;0,IF(Pricetype=1,(_xll.xSPRDOPT(J200,$E200,$CI200,0,($CD200+IF(Smile=TRUE,VLOOKUP(MAX(-5,$H200-J200),Volsmile,2),0)),$CG200,$CH200,($A200-DateToday)+15,1,1))*(8*$HD200),8*$HD200),0)),0))</f>
        <v xml:space="preserve"> </v>
      </c>
      <c r="AC200" s="254" t="str">
        <f t="shared" si="561"/>
        <v xml:space="preserve"> </v>
      </c>
      <c r="AD200" s="254" t="str">
        <f>IF($A200="N/A"," ",IF(VLOOKUP(MONTH(A200),ManualTable,5)=1,(IF(U200&lt;&gt;0,IF(Pricetype=1,(_xll.xSPRDOPT(L200,$E200,$CI200,0,($CD200+IF(Smile=TRUE,VLOOKUP(MAX(-5,$H200-L200),Volsmile,2),0)),$CG200,$CH200,($A200-DateToday)+15,1,1))*(8*$HE200),8*$HE200),0)),0))</f>
        <v xml:space="preserve"> </v>
      </c>
      <c r="AE200" s="254" t="str">
        <f>IF($A200="N/A"," ",IF(VLOOKUP(MONTH(A200),ManualTable,6)=1,(IF(V200&lt;&gt;0,IF(Pricetype=1,(_xll.xSPRDOPT(M200,$E200,$CI200,0,($CD200+IF(Smile=TRUE,VLOOKUP(MAX(-5,$H200-M200),Volsmile,2),0)),$CG200,$CH200,($A200-DateToday)+15,1,1))*(8*$HE200),8*$HE200),0)),0))</f>
        <v xml:space="preserve"> </v>
      </c>
      <c r="AF200" s="254" t="str">
        <f t="shared" si="562"/>
        <v xml:space="preserve"> </v>
      </c>
      <c r="AG200" s="254" t="str">
        <f>IF($A200="N/A"," ",IF(VLOOKUP(MONTH(A200),ManualTable,8)=1,(IF(X200&lt;&gt;0,IF(Pricetype=1,(_xll.xSPRDOPT(O200,$E200,$CI200,0,($CD200+IF(Smile=TRUE,VLOOKUP(MAX(-5,$H200-O200),Volsmile,2),0)),$CG200,$CH200,($A200-DateToday)+15,1,1))*(8*$HF200),8*$HF200),0)),0))</f>
        <v xml:space="preserve"> </v>
      </c>
      <c r="AH200" s="254" t="str">
        <f>IF($A200="N/A"," ",IF(VLOOKUP(MONTH(A200),ManualTable,9)=1,(IF(Y200&lt;&gt;0,IF(Pricetype=1,(_xll.xSPRDOPT(P200,$E200,$CI200,0,($CD200+IF(Smile=TRUE,VLOOKUP(MAX(-5,$H200-P200),Volsmile,2),0)),$CG200,$CH200,($A200-DateToday)+15,1,1))*(8*$HF200),8*$HF200),0)),0))</f>
        <v xml:space="preserve"> </v>
      </c>
      <c r="AI200" s="254" t="str">
        <f t="shared" si="563"/>
        <v xml:space="preserve"> </v>
      </c>
      <c r="AJ200" s="227" t="str">
        <f t="shared" si="564"/>
        <v xml:space="preserve"> </v>
      </c>
      <c r="AK200" s="228" t="str">
        <f t="shared" si="565"/>
        <v xml:space="preserve"> </v>
      </c>
      <c r="AL200" s="228" t="str">
        <f t="shared" si="565"/>
        <v xml:space="preserve"> </v>
      </c>
      <c r="AM200" s="228" t="str">
        <f t="shared" si="566"/>
        <v xml:space="preserve"> </v>
      </c>
      <c r="AN200" s="228" t="str">
        <f t="shared" si="567"/>
        <v xml:space="preserve"> </v>
      </c>
      <c r="AO200" s="228" t="str">
        <f t="shared" si="567"/>
        <v xml:space="preserve"> </v>
      </c>
      <c r="AP200" s="228" t="str">
        <f t="shared" si="568"/>
        <v xml:space="preserve"> </v>
      </c>
      <c r="AQ200" s="228" t="str">
        <f t="shared" si="569"/>
        <v xml:space="preserve"> </v>
      </c>
      <c r="AR200" s="229" t="str">
        <f t="shared" si="570"/>
        <v xml:space="preserve"> </v>
      </c>
      <c r="AS200" s="262" t="str">
        <f t="shared" si="433"/>
        <v xml:space="preserve"> </v>
      </c>
      <c r="AT200" s="263" t="str">
        <f t="shared" si="434"/>
        <v xml:space="preserve"> </v>
      </c>
      <c r="AU200" s="263" t="str">
        <f t="shared" si="434"/>
        <v xml:space="preserve"> </v>
      </c>
      <c r="AV200" s="263" t="str">
        <f t="shared" si="435"/>
        <v xml:space="preserve"> </v>
      </c>
      <c r="AW200" s="263" t="str">
        <f t="shared" si="436"/>
        <v xml:space="preserve"> </v>
      </c>
      <c r="AX200" s="263" t="str">
        <f t="shared" si="436"/>
        <v xml:space="preserve"> </v>
      </c>
      <c r="AY200" s="263" t="str">
        <f t="shared" si="437"/>
        <v xml:space="preserve"> </v>
      </c>
      <c r="AZ200" s="263" t="str">
        <f t="shared" si="438"/>
        <v xml:space="preserve"> </v>
      </c>
      <c r="BA200" s="263" t="str">
        <f t="shared" si="439"/>
        <v xml:space="preserve"> </v>
      </c>
      <c r="BB200" s="229"/>
      <c r="BC200" s="266" t="str">
        <f t="shared" si="514"/>
        <v xml:space="preserve"> </v>
      </c>
      <c r="BD200" s="269" t="str">
        <f t="shared" si="515"/>
        <v xml:space="preserve"> </v>
      </c>
      <c r="BE200" s="269" t="str">
        <f t="shared" si="515"/>
        <v xml:space="preserve"> </v>
      </c>
      <c r="BF200" s="269" t="str">
        <f t="shared" si="516"/>
        <v xml:space="preserve"> </v>
      </c>
      <c r="BG200" s="269" t="str">
        <f t="shared" si="517"/>
        <v xml:space="preserve"> </v>
      </c>
      <c r="BH200" s="269" t="str">
        <f t="shared" si="517"/>
        <v xml:space="preserve"> </v>
      </c>
      <c r="BI200" s="269" t="str">
        <f t="shared" si="518"/>
        <v xml:space="preserve"> </v>
      </c>
      <c r="BJ200" s="269" t="str">
        <f t="shared" si="519"/>
        <v xml:space="preserve"> </v>
      </c>
      <c r="BK200" s="269" t="str">
        <f t="shared" si="520"/>
        <v xml:space="preserve"> </v>
      </c>
      <c r="BL200" s="229"/>
      <c r="BM200" s="220" t="str">
        <f>IF($A200="N/A"," ",(IF(MONTH(A200)&gt;=4,IF(MONTH(A200)&lt;=10,Inputs!$F$13-Inputs!$G$13,Inputs!$F$14-Inputs!$G$14),Inputs!$F$14-Inputs!$G$14))*$CK200*Availability)</f>
        <v xml:space="preserve"> </v>
      </c>
      <c r="BN200" s="221" t="str">
        <f t="shared" si="571"/>
        <v xml:space="preserve"> </v>
      </c>
      <c r="BO200" s="221" t="str">
        <f t="shared" si="572"/>
        <v xml:space="preserve"> </v>
      </c>
      <c r="BP200" s="221" t="str">
        <f t="shared" si="573"/>
        <v xml:space="preserve"> </v>
      </c>
      <c r="BQ200" s="221" t="str">
        <f t="shared" si="574"/>
        <v xml:space="preserve"> </v>
      </c>
      <c r="BR200" s="221" t="str">
        <f t="shared" si="575"/>
        <v xml:space="preserve"> </v>
      </c>
      <c r="BS200" s="221" t="str">
        <f t="shared" si="576"/>
        <v xml:space="preserve"> </v>
      </c>
      <c r="BT200" s="221" t="str">
        <f t="shared" si="577"/>
        <v xml:space="preserve"> </v>
      </c>
      <c r="BU200" s="221" t="str">
        <f t="shared" si="578"/>
        <v xml:space="preserve"> </v>
      </c>
      <c r="BV200" s="221" t="str">
        <f t="shared" si="579"/>
        <v xml:space="preserve"> </v>
      </c>
      <c r="BW200" s="221" t="str">
        <f t="shared" si="580"/>
        <v xml:space="preserve"> </v>
      </c>
      <c r="BX200" s="421" t="str">
        <f t="shared" si="581"/>
        <v xml:space="preserve"> </v>
      </c>
      <c r="BY200" s="417" t="str">
        <f t="shared" si="582"/>
        <v xml:space="preserve"> </v>
      </c>
      <c r="BZ200" s="417" t="str">
        <f t="shared" si="583"/>
        <v xml:space="preserve"> </v>
      </c>
      <c r="CA200" s="422" t="str">
        <f t="shared" si="584"/>
        <v xml:space="preserve"> </v>
      </c>
      <c r="CB200" s="347" t="str">
        <f t="shared" si="521"/>
        <v xml:space="preserve"> </v>
      </c>
      <c r="CC200" s="347" t="str">
        <f t="shared" si="585"/>
        <v xml:space="preserve"> </v>
      </c>
      <c r="CD200" s="348" t="str">
        <f t="shared" si="522"/>
        <v xml:space="preserve"> </v>
      </c>
      <c r="CE200" s="347" t="str">
        <f t="shared" si="523"/>
        <v xml:space="preserve"> </v>
      </c>
      <c r="CF200" s="347" t="str">
        <f t="shared" si="524"/>
        <v xml:space="preserve"> </v>
      </c>
      <c r="CG200" s="348" t="str">
        <f t="shared" si="525"/>
        <v xml:space="preserve"> </v>
      </c>
      <c r="CH200" s="347" t="str">
        <f t="shared" si="586"/>
        <v xml:space="preserve"> </v>
      </c>
      <c r="CI200" s="349" t="str">
        <f>IF($A200="N/A"," ",F200+G200+(D200*('Pricing Inputs'!T233)))</f>
        <v xml:space="preserve"> </v>
      </c>
      <c r="CJ200" s="347" t="str">
        <f>IF($A200="N/A"," ",IF(PV=1,0,'Pricing Inputs'!U233))</f>
        <v xml:space="preserve"> </v>
      </c>
      <c r="CK200" s="350" t="str">
        <f t="shared" si="526"/>
        <v xml:space="preserve"> </v>
      </c>
      <c r="CL200" s="365" t="str">
        <f t="shared" si="527"/>
        <v xml:space="preserve"> </v>
      </c>
      <c r="CM200" s="380" t="str">
        <f t="shared" si="587"/>
        <v xml:space="preserve"> </v>
      </c>
      <c r="CN200" s="378" t="str">
        <f t="shared" si="528"/>
        <v xml:space="preserve"> </v>
      </c>
      <c r="CO200" s="378" t="str">
        <f t="shared" si="529"/>
        <v xml:space="preserve"> </v>
      </c>
      <c r="CP200" s="378" t="str">
        <f t="shared" si="530"/>
        <v xml:space="preserve"> </v>
      </c>
      <c r="CQ200" s="378" t="str">
        <f t="shared" si="531"/>
        <v xml:space="preserve"> </v>
      </c>
      <c r="CR200" s="378" t="str">
        <f t="shared" si="532"/>
        <v xml:space="preserve"> </v>
      </c>
      <c r="CS200" s="378" t="str">
        <f t="shared" si="533"/>
        <v xml:space="preserve"> </v>
      </c>
      <c r="CT200" s="378" t="str">
        <f t="shared" si="534"/>
        <v xml:space="preserve"> </v>
      </c>
      <c r="CU200" s="378" t="str">
        <f t="shared" si="535"/>
        <v xml:space="preserve"> </v>
      </c>
      <c r="CV200" s="378" t="str">
        <f t="shared" si="536"/>
        <v xml:space="preserve"> </v>
      </c>
      <c r="CW200" s="254" t="str">
        <f t="shared" si="537"/>
        <v xml:space="preserve"> </v>
      </c>
      <c r="CX200" s="254" t="str">
        <f t="shared" si="538"/>
        <v xml:space="preserve"> </v>
      </c>
      <c r="CY200" s="254" t="str">
        <f t="shared" si="539"/>
        <v xml:space="preserve"> </v>
      </c>
      <c r="CZ200" s="254" t="str">
        <f t="shared" si="540"/>
        <v xml:space="preserve"> </v>
      </c>
      <c r="DA200" s="254" t="str">
        <f t="shared" si="541"/>
        <v xml:space="preserve"> </v>
      </c>
      <c r="DB200" s="254" t="str">
        <f t="shared" si="542"/>
        <v xml:space="preserve"> </v>
      </c>
      <c r="DC200" s="254" t="str">
        <f t="shared" si="543"/>
        <v xml:space="preserve"> </v>
      </c>
      <c r="DD200" s="254" t="str">
        <f t="shared" si="544"/>
        <v xml:space="preserve"> </v>
      </c>
      <c r="DE200" s="254" t="str">
        <f t="shared" si="545"/>
        <v xml:space="preserve"> </v>
      </c>
      <c r="DF200" s="374" t="str">
        <f>IF($A200="N/A"," ",IF(CC=2,(IF(MONTH(A200)&gt;=4,IF(MONTH(A200)&lt;=10,Inputs!$G$13,Inputs!$G$14),Inputs!$G$14))*$CK200,0))</f>
        <v xml:space="preserve"> </v>
      </c>
      <c r="DG200" s="373" t="str">
        <f t="shared" si="546"/>
        <v xml:space="preserve"> </v>
      </c>
      <c r="DH200" s="373" t="str">
        <f t="shared" si="547"/>
        <v xml:space="preserve"> </v>
      </c>
      <c r="DI200" s="373" t="str">
        <f t="shared" si="548"/>
        <v xml:space="preserve"> </v>
      </c>
      <c r="DJ200" s="373" t="str">
        <f t="shared" si="549"/>
        <v xml:space="preserve"> </v>
      </c>
      <c r="DK200" s="373" t="str">
        <f t="shared" si="550"/>
        <v xml:space="preserve"> </v>
      </c>
      <c r="DL200" s="373" t="str">
        <f t="shared" si="551"/>
        <v xml:space="preserve"> </v>
      </c>
      <c r="DM200" s="373" t="str">
        <f t="shared" si="552"/>
        <v xml:space="preserve"> </v>
      </c>
      <c r="DN200" s="373" t="str">
        <f t="shared" si="553"/>
        <v xml:space="preserve"> </v>
      </c>
      <c r="DO200" s="373" t="str">
        <f t="shared" si="554"/>
        <v xml:space="preserve"> </v>
      </c>
      <c r="DP200" s="375" t="str">
        <f t="shared" si="555"/>
        <v xml:space="preserve"> </v>
      </c>
      <c r="DQ200" t="str">
        <f t="shared" si="588"/>
        <v xml:space="preserve"> </v>
      </c>
      <c r="HD200" t="str">
        <f t="shared" si="589"/>
        <v xml:space="preserve"> </v>
      </c>
      <c r="HE200" t="str">
        <f t="shared" si="590"/>
        <v xml:space="preserve"> </v>
      </c>
      <c r="HF200" t="str">
        <f t="shared" si="591"/>
        <v xml:space="preserve"> </v>
      </c>
    </row>
    <row r="201" spans="1:214">
      <c r="A201" s="415" t="str">
        <f>IF(A200="N/A","N/A",IF(EDATE(A200,1)&gt;Inputs!$K$3,"N/A",EDATE(A200,1)))</f>
        <v>N/A</v>
      </c>
      <c r="B201" s="410" t="str">
        <f t="shared" si="556"/>
        <v xml:space="preserve"> </v>
      </c>
      <c r="C201" s="411" t="str">
        <f t="shared" si="557"/>
        <v xml:space="preserve"> </v>
      </c>
      <c r="D201" s="412" t="str">
        <f t="shared" si="558"/>
        <v xml:space="preserve"> </v>
      </c>
      <c r="E201" s="413" t="str">
        <f>IF($A201="N/A"," ",(C201-'Pricing Inputs'!T234)*D201)</f>
        <v xml:space="preserve"> </v>
      </c>
      <c r="F201" s="414" t="str">
        <f t="shared" si="440"/>
        <v xml:space="preserve"> </v>
      </c>
      <c r="G201" s="414" t="str">
        <f t="shared" si="559"/>
        <v xml:space="preserve"> </v>
      </c>
      <c r="H201" s="416" t="str">
        <f t="shared" si="560"/>
        <v xml:space="preserve"> </v>
      </c>
      <c r="I201" s="213" t="str">
        <f t="shared" si="501"/>
        <v xml:space="preserve"> </v>
      </c>
      <c r="J201" s="213" t="str">
        <f t="shared" si="502"/>
        <v xml:space="preserve"> </v>
      </c>
      <c r="K201" s="213" t="str">
        <f t="shared" si="503"/>
        <v xml:space="preserve"> </v>
      </c>
      <c r="L201" s="213" t="str">
        <f t="shared" si="504"/>
        <v xml:space="preserve"> </v>
      </c>
      <c r="M201" s="213" t="str">
        <f t="shared" si="505"/>
        <v xml:space="preserve"> </v>
      </c>
      <c r="N201" s="213" t="str">
        <f t="shared" si="506"/>
        <v xml:space="preserve"> </v>
      </c>
      <c r="O201" s="213" t="str">
        <f t="shared" si="507"/>
        <v xml:space="preserve"> </v>
      </c>
      <c r="P201" s="213" t="str">
        <f t="shared" si="508"/>
        <v xml:space="preserve"> </v>
      </c>
      <c r="Q201" s="213" t="str">
        <f t="shared" si="509"/>
        <v xml:space="preserve"> </v>
      </c>
      <c r="R201" s="405" t="str">
        <f>IF($A201="N/A"," ",IF(Pricetype=2,MAX(I201-$H201,0),IF(Pricetype=1,(_xll.xSPRDOPT(I201,$E201,$CI201,0,($CD201+IF(Smile=TRUE,VLOOKUP(MAX(-5,$H201-I201),Volsmile,2),0)),$CG201,$CH201,($A201-DateToday)+15,1,0)),I201-$H201)))</f>
        <v xml:space="preserve"> </v>
      </c>
      <c r="S201" s="405" t="str">
        <f>IF($A201="N/A"," ",IF(Pricetype=2,MAX(J201-$H201,0),IF(Pricetype=1,(_xll.xSPRDOPT(J201,$E201,$CI201,0,($CD201+IF(Smile=TRUE,VLOOKUP(MAX(-5,$H201-J201),Volsmile,2),0)),$CG201,$CH201,($A201-DateToday)+15,1,0)),J201-$H201)))</f>
        <v xml:space="preserve"> </v>
      </c>
      <c r="T201" s="406" t="str">
        <f t="shared" si="510"/>
        <v xml:space="preserve"> </v>
      </c>
      <c r="U201" s="405" t="str">
        <f>IF($A201="N/A"," ",IF(Pricetype=2,MAX(L201-$H201,0),IF(L201&lt;&gt;0,IF(Pricetype=1,(_xll.xSPRDOPT(L201,$E201,$CI201,0,($CD201+IF(Smile=TRUE,VLOOKUP(MAX(-5,$H201-L201),Volsmile,2),0)),$CG201,$CH201,($A201-DateToday)+15,1,0)),L201-$H201),0)))</f>
        <v xml:space="preserve"> </v>
      </c>
      <c r="V201" s="405" t="str">
        <f>IF($A201="N/A"," ",IF(Pricetype=2,MAX(M201-$H201,0),IF(M201&lt;&gt;0,IF(Pricetype=1,(_xll.xSPRDOPT(M201,$E201,$CI201,0,($CD201+IF(Smile=TRUE,VLOOKUP(MAX(-5,$H201-M201),Volsmile,2),0)),$CG201,$CH201,($A201-DateToday)+15,1,0)),M201-$H201),0)))</f>
        <v xml:space="preserve"> </v>
      </c>
      <c r="W201" s="406" t="str">
        <f t="shared" si="511"/>
        <v xml:space="preserve"> </v>
      </c>
      <c r="X201" s="405" t="str">
        <f>IF($A201="N/A"," ",IF(Pricetype=2,MAX(O201-$H201,0),IF(O201&lt;&gt;0,IF(Pricetype=1,(_xll.xSPRDOPT(O201,$E201,$CI201,0,($CD201+IF(Smile=TRUE,VLOOKUP(MAX(-5,$H201-O201),Volsmile,2),0)),$CG201,$CH201,($A201-DateToday)+15,1,0)),O201-$H201),0)))</f>
        <v xml:space="preserve"> </v>
      </c>
      <c r="Y201" s="405" t="str">
        <f>IF($A201="N/A"," ",IF(Pricetype=2,MAX(P201-$H201,0),IF(P201&lt;&gt;0,IF(Pricetype=1,(_xll.xSPRDOPT(P201,$E201,$CI201,0,($CD201+IF(Smile=TRUE,VLOOKUP(MAX(-5,$H201-P201),Volsmile,2),0)),$CG201,$CH201,($A201-DateToday)+15,1,0)),P201-$H201),0)))</f>
        <v xml:space="preserve"> </v>
      </c>
      <c r="Z201" s="406" t="str">
        <f t="shared" si="512"/>
        <v xml:space="preserve"> </v>
      </c>
      <c r="AA201" s="254" t="str">
        <f>IF($A201="N/A"," ",IF(VLOOKUP(MONTH(A201),ManualTable,2)=1,(IF(0&lt;&gt;R201,IF(Pricetype=1,(_xll.xSPRDOPT(I201,$E201,$CI201,0,($CD201+IF(Smile=TRUE,VLOOKUP(MAX(-5,$H201-I201),Volsmile,2),0)),$CG201,$CH201,($A201-DateToday)+15,1,1))*(8*$HD201),8*$HD201),0)),0))</f>
        <v xml:space="preserve"> </v>
      </c>
      <c r="AB201" s="254" t="str">
        <f>IF($A201="N/A"," ",IF(VLOOKUP(MONTH(A201),ManualTable,3)=1,(IF(S201&lt;&gt;0,IF(Pricetype=1,(_xll.xSPRDOPT(J201,$E201,$CI201,0,($CD201+IF(Smile=TRUE,VLOOKUP(MAX(-5,$H201-J201),Volsmile,2),0)),$CG201,$CH201,($A201-DateToday)+15,1,1))*(8*$HD201),8*$HD201),0)),0))</f>
        <v xml:space="preserve"> </v>
      </c>
      <c r="AC201" s="254" t="str">
        <f t="shared" si="561"/>
        <v xml:space="preserve"> </v>
      </c>
      <c r="AD201" s="254" t="str">
        <f>IF($A201="N/A"," ",IF(VLOOKUP(MONTH(A201),ManualTable,5)=1,(IF(U201&lt;&gt;0,IF(Pricetype=1,(_xll.xSPRDOPT(L201,$E201,$CI201,0,($CD201+IF(Smile=TRUE,VLOOKUP(MAX(-5,$H201-L201),Volsmile,2),0)),$CG201,$CH201,($A201-DateToday)+15,1,1))*(8*$HE201),8*$HE201),0)),0))</f>
        <v xml:space="preserve"> </v>
      </c>
      <c r="AE201" s="254" t="str">
        <f>IF($A201="N/A"," ",IF(VLOOKUP(MONTH(A201),ManualTable,6)=1,(IF(V201&lt;&gt;0,IF(Pricetype=1,(_xll.xSPRDOPT(M201,$E201,$CI201,0,($CD201+IF(Smile=TRUE,VLOOKUP(MAX(-5,$H201-M201),Volsmile,2),0)),$CG201,$CH201,($A201-DateToday)+15,1,1))*(8*$HE201),8*$HE201),0)),0))</f>
        <v xml:space="preserve"> </v>
      </c>
      <c r="AF201" s="254" t="str">
        <f t="shared" si="562"/>
        <v xml:space="preserve"> </v>
      </c>
      <c r="AG201" s="254" t="str">
        <f>IF($A201="N/A"," ",IF(VLOOKUP(MONTH(A201),ManualTable,8)=1,(IF(X201&lt;&gt;0,IF(Pricetype=1,(_xll.xSPRDOPT(O201,$E201,$CI201,0,($CD201+IF(Smile=TRUE,VLOOKUP(MAX(-5,$H201-O201),Volsmile,2),0)),$CG201,$CH201,($A201-DateToday)+15,1,1))*(8*$HF201),8*$HF201),0)),0))</f>
        <v xml:space="preserve"> </v>
      </c>
      <c r="AH201" s="254" t="str">
        <f>IF($A201="N/A"," ",IF(VLOOKUP(MONTH(A201),ManualTable,9)=1,(IF(Y201&lt;&gt;0,IF(Pricetype=1,(_xll.xSPRDOPT(P201,$E201,$CI201,0,($CD201+IF(Smile=TRUE,VLOOKUP(MAX(-5,$H201-P201),Volsmile,2),0)),$CG201,$CH201,($A201-DateToday)+15,1,1))*(8*$HF201),8*$HF201),0)),0))</f>
        <v xml:space="preserve"> </v>
      </c>
      <c r="AI201" s="254" t="str">
        <f t="shared" si="563"/>
        <v xml:space="preserve"> </v>
      </c>
      <c r="AJ201" s="227" t="str">
        <f t="shared" si="564"/>
        <v xml:space="preserve"> </v>
      </c>
      <c r="AK201" s="228" t="str">
        <f t="shared" si="565"/>
        <v xml:space="preserve"> </v>
      </c>
      <c r="AL201" s="228" t="str">
        <f t="shared" si="565"/>
        <v xml:space="preserve"> </v>
      </c>
      <c r="AM201" s="228" t="str">
        <f t="shared" si="566"/>
        <v xml:space="preserve"> </v>
      </c>
      <c r="AN201" s="228" t="str">
        <f t="shared" si="567"/>
        <v xml:space="preserve"> </v>
      </c>
      <c r="AO201" s="228" t="str">
        <f t="shared" si="567"/>
        <v xml:space="preserve"> </v>
      </c>
      <c r="AP201" s="228" t="str">
        <f t="shared" si="568"/>
        <v xml:space="preserve"> </v>
      </c>
      <c r="AQ201" s="228" t="str">
        <f t="shared" si="569"/>
        <v xml:space="preserve"> </v>
      </c>
      <c r="AR201" s="229" t="str">
        <f t="shared" si="570"/>
        <v xml:space="preserve"> </v>
      </c>
      <c r="AS201" s="262" t="str">
        <f t="shared" si="433"/>
        <v xml:space="preserve"> </v>
      </c>
      <c r="AT201" s="263" t="str">
        <f t="shared" si="434"/>
        <v xml:space="preserve"> </v>
      </c>
      <c r="AU201" s="263" t="str">
        <f t="shared" si="434"/>
        <v xml:space="preserve"> </v>
      </c>
      <c r="AV201" s="263" t="str">
        <f t="shared" si="435"/>
        <v xml:space="preserve"> </v>
      </c>
      <c r="AW201" s="263" t="str">
        <f t="shared" si="436"/>
        <v xml:space="preserve"> </v>
      </c>
      <c r="AX201" s="263" t="str">
        <f t="shared" si="436"/>
        <v xml:space="preserve"> </v>
      </c>
      <c r="AY201" s="263" t="str">
        <f t="shared" si="437"/>
        <v xml:space="preserve"> </v>
      </c>
      <c r="AZ201" s="263" t="str">
        <f t="shared" si="438"/>
        <v xml:space="preserve"> </v>
      </c>
      <c r="BA201" s="263" t="str">
        <f t="shared" si="439"/>
        <v xml:space="preserve"> </v>
      </c>
      <c r="BB201" s="229"/>
      <c r="BC201" s="266" t="str">
        <f t="shared" si="514"/>
        <v xml:space="preserve"> </v>
      </c>
      <c r="BD201" s="269" t="str">
        <f t="shared" si="515"/>
        <v xml:space="preserve"> </v>
      </c>
      <c r="BE201" s="269" t="str">
        <f t="shared" si="515"/>
        <v xml:space="preserve"> </v>
      </c>
      <c r="BF201" s="269" t="str">
        <f t="shared" si="516"/>
        <v xml:space="preserve"> </v>
      </c>
      <c r="BG201" s="269" t="str">
        <f t="shared" si="517"/>
        <v xml:space="preserve"> </v>
      </c>
      <c r="BH201" s="269" t="str">
        <f t="shared" si="517"/>
        <v xml:space="preserve"> </v>
      </c>
      <c r="BI201" s="269" t="str">
        <f t="shared" si="518"/>
        <v xml:space="preserve"> </v>
      </c>
      <c r="BJ201" s="269" t="str">
        <f t="shared" si="519"/>
        <v xml:space="preserve"> </v>
      </c>
      <c r="BK201" s="269" t="str">
        <f t="shared" si="520"/>
        <v xml:space="preserve"> </v>
      </c>
      <c r="BL201" s="229"/>
      <c r="BM201" s="220" t="str">
        <f>IF($A201="N/A"," ",(IF(MONTH(A201)&gt;=4,IF(MONTH(A201)&lt;=10,Inputs!$F$13-Inputs!$G$13,Inputs!$F$14-Inputs!$G$14),Inputs!$F$14-Inputs!$G$14))*$CK201*Availability)</f>
        <v xml:space="preserve"> </v>
      </c>
      <c r="BN201" s="221" t="str">
        <f t="shared" si="571"/>
        <v xml:space="preserve"> </v>
      </c>
      <c r="BO201" s="221" t="str">
        <f t="shared" si="572"/>
        <v xml:space="preserve"> </v>
      </c>
      <c r="BP201" s="221" t="str">
        <f t="shared" si="573"/>
        <v xml:space="preserve"> </v>
      </c>
      <c r="BQ201" s="221" t="str">
        <f t="shared" si="574"/>
        <v xml:space="preserve"> </v>
      </c>
      <c r="BR201" s="221" t="str">
        <f t="shared" si="575"/>
        <v xml:space="preserve"> </v>
      </c>
      <c r="BS201" s="221" t="str">
        <f t="shared" si="576"/>
        <v xml:space="preserve"> </v>
      </c>
      <c r="BT201" s="221" t="str">
        <f t="shared" si="577"/>
        <v xml:space="preserve"> </v>
      </c>
      <c r="BU201" s="221" t="str">
        <f t="shared" si="578"/>
        <v xml:space="preserve"> </v>
      </c>
      <c r="BV201" s="221" t="str">
        <f t="shared" si="579"/>
        <v xml:space="preserve"> </v>
      </c>
      <c r="BW201" s="221" t="str">
        <f t="shared" si="580"/>
        <v xml:space="preserve"> </v>
      </c>
      <c r="BX201" s="421" t="str">
        <f t="shared" si="581"/>
        <v xml:space="preserve"> </v>
      </c>
      <c r="BY201" s="417" t="str">
        <f t="shared" si="582"/>
        <v xml:space="preserve"> </v>
      </c>
      <c r="BZ201" s="417" t="str">
        <f t="shared" si="583"/>
        <v xml:space="preserve"> </v>
      </c>
      <c r="CA201" s="422" t="str">
        <f t="shared" si="584"/>
        <v xml:space="preserve"> </v>
      </c>
      <c r="CB201" s="347" t="str">
        <f t="shared" si="521"/>
        <v xml:space="preserve"> </v>
      </c>
      <c r="CC201" s="347" t="str">
        <f t="shared" si="585"/>
        <v xml:space="preserve"> </v>
      </c>
      <c r="CD201" s="348" t="str">
        <f t="shared" si="522"/>
        <v xml:space="preserve"> </v>
      </c>
      <c r="CE201" s="347" t="str">
        <f t="shared" si="523"/>
        <v xml:space="preserve"> </v>
      </c>
      <c r="CF201" s="347" t="str">
        <f t="shared" si="524"/>
        <v xml:space="preserve"> </v>
      </c>
      <c r="CG201" s="348" t="str">
        <f t="shared" si="525"/>
        <v xml:space="preserve"> </v>
      </c>
      <c r="CH201" s="347" t="str">
        <f t="shared" si="586"/>
        <v xml:space="preserve"> </v>
      </c>
      <c r="CI201" s="349" t="str">
        <f>IF($A201="N/A"," ",F201+G201+(D201*('Pricing Inputs'!T234)))</f>
        <v xml:space="preserve"> </v>
      </c>
      <c r="CJ201" s="347" t="str">
        <f>IF($A201="N/A"," ",IF(PV=1,0,'Pricing Inputs'!U234))</f>
        <v xml:space="preserve"> </v>
      </c>
      <c r="CK201" s="350" t="str">
        <f t="shared" si="526"/>
        <v xml:space="preserve"> </v>
      </c>
      <c r="CL201" s="365" t="str">
        <f t="shared" si="527"/>
        <v xml:space="preserve"> </v>
      </c>
      <c r="CM201" s="380" t="str">
        <f t="shared" si="587"/>
        <v xml:space="preserve"> </v>
      </c>
      <c r="CN201" s="378" t="str">
        <f t="shared" si="528"/>
        <v xml:space="preserve"> </v>
      </c>
      <c r="CO201" s="378" t="str">
        <f t="shared" si="529"/>
        <v xml:space="preserve"> </v>
      </c>
      <c r="CP201" s="378" t="str">
        <f t="shared" si="530"/>
        <v xml:space="preserve"> </v>
      </c>
      <c r="CQ201" s="378" t="str">
        <f t="shared" si="531"/>
        <v xml:space="preserve"> </v>
      </c>
      <c r="CR201" s="378" t="str">
        <f t="shared" si="532"/>
        <v xml:space="preserve"> </v>
      </c>
      <c r="CS201" s="378" t="str">
        <f t="shared" si="533"/>
        <v xml:space="preserve"> </v>
      </c>
      <c r="CT201" s="378" t="str">
        <f t="shared" si="534"/>
        <v xml:space="preserve"> </v>
      </c>
      <c r="CU201" s="378" t="str">
        <f t="shared" si="535"/>
        <v xml:space="preserve"> </v>
      </c>
      <c r="CV201" s="378" t="str">
        <f t="shared" si="536"/>
        <v xml:space="preserve"> </v>
      </c>
      <c r="CW201" s="254" t="str">
        <f t="shared" si="537"/>
        <v xml:space="preserve"> </v>
      </c>
      <c r="CX201" s="254" t="str">
        <f t="shared" si="538"/>
        <v xml:space="preserve"> </v>
      </c>
      <c r="CY201" s="254" t="str">
        <f t="shared" si="539"/>
        <v xml:space="preserve"> </v>
      </c>
      <c r="CZ201" s="254" t="str">
        <f t="shared" si="540"/>
        <v xml:space="preserve"> </v>
      </c>
      <c r="DA201" s="254" t="str">
        <f t="shared" si="541"/>
        <v xml:space="preserve"> </v>
      </c>
      <c r="DB201" s="254" t="str">
        <f t="shared" si="542"/>
        <v xml:space="preserve"> </v>
      </c>
      <c r="DC201" s="254" t="str">
        <f t="shared" si="543"/>
        <v xml:space="preserve"> </v>
      </c>
      <c r="DD201" s="254" t="str">
        <f t="shared" si="544"/>
        <v xml:space="preserve"> </v>
      </c>
      <c r="DE201" s="254" t="str">
        <f t="shared" si="545"/>
        <v xml:space="preserve"> </v>
      </c>
      <c r="DF201" s="374" t="str">
        <f>IF($A201="N/A"," ",IF(CC=2,(IF(MONTH(A201)&gt;=4,IF(MONTH(A201)&lt;=10,Inputs!$G$13,Inputs!$G$14),Inputs!$G$14))*$CK201,0))</f>
        <v xml:space="preserve"> </v>
      </c>
      <c r="DG201" s="373" t="str">
        <f t="shared" si="546"/>
        <v xml:space="preserve"> </v>
      </c>
      <c r="DH201" s="373" t="str">
        <f t="shared" si="547"/>
        <v xml:space="preserve"> </v>
      </c>
      <c r="DI201" s="373" t="str">
        <f t="shared" si="548"/>
        <v xml:space="preserve"> </v>
      </c>
      <c r="DJ201" s="373" t="str">
        <f t="shared" si="549"/>
        <v xml:space="preserve"> </v>
      </c>
      <c r="DK201" s="373" t="str">
        <f t="shared" si="550"/>
        <v xml:space="preserve"> </v>
      </c>
      <c r="DL201" s="373" t="str">
        <f t="shared" si="551"/>
        <v xml:space="preserve"> </v>
      </c>
      <c r="DM201" s="373" t="str">
        <f t="shared" si="552"/>
        <v xml:space="preserve"> </v>
      </c>
      <c r="DN201" s="373" t="str">
        <f t="shared" si="553"/>
        <v xml:space="preserve"> </v>
      </c>
      <c r="DO201" s="373" t="str">
        <f t="shared" si="554"/>
        <v xml:space="preserve"> </v>
      </c>
      <c r="DP201" s="375" t="str">
        <f t="shared" si="555"/>
        <v xml:space="preserve"> </v>
      </c>
      <c r="DQ201" t="str">
        <f t="shared" si="588"/>
        <v xml:space="preserve"> </v>
      </c>
      <c r="HD201" t="str">
        <f t="shared" si="589"/>
        <v xml:space="preserve"> </v>
      </c>
      <c r="HE201" t="str">
        <f t="shared" si="590"/>
        <v xml:space="preserve"> </v>
      </c>
      <c r="HF201" t="str">
        <f t="shared" si="591"/>
        <v xml:space="preserve"> </v>
      </c>
    </row>
    <row r="202" spans="1:214">
      <c r="A202" s="415" t="str">
        <f>IF(A201="N/A","N/A",IF(EDATE(A201,1)&gt;Inputs!$K$3,"N/A",EDATE(A201,1)))</f>
        <v>N/A</v>
      </c>
      <c r="B202" s="410" t="str">
        <f t="shared" si="556"/>
        <v xml:space="preserve"> </v>
      </c>
      <c r="C202" s="411" t="str">
        <f t="shared" si="557"/>
        <v xml:space="preserve"> </v>
      </c>
      <c r="D202" s="412" t="str">
        <f t="shared" si="558"/>
        <v xml:space="preserve"> </v>
      </c>
      <c r="E202" s="413" t="str">
        <f>IF($A202="N/A"," ",(C202-'Pricing Inputs'!T235)*D202)</f>
        <v xml:space="preserve"> </v>
      </c>
      <c r="F202" s="414" t="str">
        <f t="shared" si="440"/>
        <v xml:space="preserve"> </v>
      </c>
      <c r="G202" s="414" t="str">
        <f t="shared" si="559"/>
        <v xml:space="preserve"> </v>
      </c>
      <c r="H202" s="416" t="str">
        <f t="shared" si="560"/>
        <v xml:space="preserve"> </v>
      </c>
      <c r="I202" s="213" t="str">
        <f t="shared" si="501"/>
        <v xml:space="preserve"> </v>
      </c>
      <c r="J202" s="213" t="str">
        <f t="shared" si="502"/>
        <v xml:space="preserve"> </v>
      </c>
      <c r="K202" s="213" t="str">
        <f t="shared" si="503"/>
        <v xml:space="preserve"> </v>
      </c>
      <c r="L202" s="213" t="str">
        <f t="shared" si="504"/>
        <v xml:space="preserve"> </v>
      </c>
      <c r="M202" s="213" t="str">
        <f t="shared" si="505"/>
        <v xml:space="preserve"> </v>
      </c>
      <c r="N202" s="213" t="str">
        <f t="shared" si="506"/>
        <v xml:space="preserve"> </v>
      </c>
      <c r="O202" s="213" t="str">
        <f t="shared" si="507"/>
        <v xml:space="preserve"> </v>
      </c>
      <c r="P202" s="213" t="str">
        <f t="shared" si="508"/>
        <v xml:space="preserve"> </v>
      </c>
      <c r="Q202" s="213" t="str">
        <f t="shared" si="509"/>
        <v xml:space="preserve"> </v>
      </c>
      <c r="R202" s="405" t="str">
        <f>IF($A202="N/A"," ",IF(Pricetype=2,MAX(I202-$H202,0),IF(Pricetype=1,(_xll.xSPRDOPT(I202,$E202,$CI202,0,($CD202+IF(Smile=TRUE,VLOOKUP(MAX(-5,$H202-I202),Volsmile,2),0)),$CG202,$CH202,($A202-DateToday)+15,1,0)),I202-$H202)))</f>
        <v xml:space="preserve"> </v>
      </c>
      <c r="S202" s="405" t="str">
        <f>IF($A202="N/A"," ",IF(Pricetype=2,MAX(J202-$H202,0),IF(Pricetype=1,(_xll.xSPRDOPT(J202,$E202,$CI202,0,($CD202+IF(Smile=TRUE,VLOOKUP(MAX(-5,$H202-J202),Volsmile,2),0)),$CG202,$CH202,($A202-DateToday)+15,1,0)),J202-$H202)))</f>
        <v xml:space="preserve"> </v>
      </c>
      <c r="T202" s="406" t="str">
        <f t="shared" si="510"/>
        <v xml:space="preserve"> </v>
      </c>
      <c r="U202" s="405" t="str">
        <f>IF($A202="N/A"," ",IF(Pricetype=2,MAX(L202-$H202,0),IF(L202&lt;&gt;0,IF(Pricetype=1,(_xll.xSPRDOPT(L202,$E202,$CI202,0,($CD202+IF(Smile=TRUE,VLOOKUP(MAX(-5,$H202-L202),Volsmile,2),0)),$CG202,$CH202,($A202-DateToday)+15,1,0)),L202-$H202),0)))</f>
        <v xml:space="preserve"> </v>
      </c>
      <c r="V202" s="405" t="str">
        <f>IF($A202="N/A"," ",IF(Pricetype=2,MAX(M202-$H202,0),IF(M202&lt;&gt;0,IF(Pricetype=1,(_xll.xSPRDOPT(M202,$E202,$CI202,0,($CD202+IF(Smile=TRUE,VLOOKUP(MAX(-5,$H202-M202),Volsmile,2),0)),$CG202,$CH202,($A202-DateToday)+15,1,0)),M202-$H202),0)))</f>
        <v xml:space="preserve"> </v>
      </c>
      <c r="W202" s="406" t="str">
        <f t="shared" si="511"/>
        <v xml:space="preserve"> </v>
      </c>
      <c r="X202" s="405" t="str">
        <f>IF($A202="N/A"," ",IF(Pricetype=2,MAX(O202-$H202,0),IF(O202&lt;&gt;0,IF(Pricetype=1,(_xll.xSPRDOPT(O202,$E202,$CI202,0,($CD202+IF(Smile=TRUE,VLOOKUP(MAX(-5,$H202-O202),Volsmile,2),0)),$CG202,$CH202,($A202-DateToday)+15,1,0)),O202-$H202),0)))</f>
        <v xml:space="preserve"> </v>
      </c>
      <c r="Y202" s="405" t="str">
        <f>IF($A202="N/A"," ",IF(Pricetype=2,MAX(P202-$H202,0),IF(P202&lt;&gt;0,IF(Pricetype=1,(_xll.xSPRDOPT(P202,$E202,$CI202,0,($CD202+IF(Smile=TRUE,VLOOKUP(MAX(-5,$H202-P202),Volsmile,2),0)),$CG202,$CH202,($A202-DateToday)+15,1,0)),P202-$H202),0)))</f>
        <v xml:space="preserve"> </v>
      </c>
      <c r="Z202" s="406" t="str">
        <f t="shared" si="512"/>
        <v xml:space="preserve"> </v>
      </c>
      <c r="AA202" s="254" t="str">
        <f>IF($A202="N/A"," ",IF(VLOOKUP(MONTH(A202),ManualTable,2)=1,(IF(0&lt;&gt;R202,IF(Pricetype=1,(_xll.xSPRDOPT(I202,$E202,$CI202,0,($CD202+IF(Smile=TRUE,VLOOKUP(MAX(-5,$H202-I202),Volsmile,2),0)),$CG202,$CH202,($A202-DateToday)+15,1,1))*(8*$HD202),8*$HD202),0)),0))</f>
        <v xml:space="preserve"> </v>
      </c>
      <c r="AB202" s="254" t="str">
        <f>IF($A202="N/A"," ",IF(VLOOKUP(MONTH(A202),ManualTable,3)=1,(IF(S202&lt;&gt;0,IF(Pricetype=1,(_xll.xSPRDOPT(J202,$E202,$CI202,0,($CD202+IF(Smile=TRUE,VLOOKUP(MAX(-5,$H202-J202),Volsmile,2),0)),$CG202,$CH202,($A202-DateToday)+15,1,1))*(8*$HD202),8*$HD202),0)),0))</f>
        <v xml:space="preserve"> </v>
      </c>
      <c r="AC202" s="254" t="str">
        <f t="shared" si="561"/>
        <v xml:space="preserve"> </v>
      </c>
      <c r="AD202" s="254" t="str">
        <f>IF($A202="N/A"," ",IF(VLOOKUP(MONTH(A202),ManualTable,5)=1,(IF(U202&lt;&gt;0,IF(Pricetype=1,(_xll.xSPRDOPT(L202,$E202,$CI202,0,($CD202+IF(Smile=TRUE,VLOOKUP(MAX(-5,$H202-L202),Volsmile,2),0)),$CG202,$CH202,($A202-DateToday)+15,1,1))*(8*$HE202),8*$HE202),0)),0))</f>
        <v xml:space="preserve"> </v>
      </c>
      <c r="AE202" s="254" t="str">
        <f>IF($A202="N/A"," ",IF(VLOOKUP(MONTH(A202),ManualTable,6)=1,(IF(V202&lt;&gt;0,IF(Pricetype=1,(_xll.xSPRDOPT(M202,$E202,$CI202,0,($CD202+IF(Smile=TRUE,VLOOKUP(MAX(-5,$H202-M202),Volsmile,2),0)),$CG202,$CH202,($A202-DateToday)+15,1,1))*(8*$HE202),8*$HE202),0)),0))</f>
        <v xml:space="preserve"> </v>
      </c>
      <c r="AF202" s="254" t="str">
        <f t="shared" si="562"/>
        <v xml:space="preserve"> </v>
      </c>
      <c r="AG202" s="254" t="str">
        <f>IF($A202="N/A"," ",IF(VLOOKUP(MONTH(A202),ManualTable,8)=1,(IF(X202&lt;&gt;0,IF(Pricetype=1,(_xll.xSPRDOPT(O202,$E202,$CI202,0,($CD202+IF(Smile=TRUE,VLOOKUP(MAX(-5,$H202-O202),Volsmile,2),0)),$CG202,$CH202,($A202-DateToday)+15,1,1))*(8*$HF202),8*$HF202),0)),0))</f>
        <v xml:space="preserve"> </v>
      </c>
      <c r="AH202" s="254" t="str">
        <f>IF($A202="N/A"," ",IF(VLOOKUP(MONTH(A202),ManualTable,9)=1,(IF(Y202&lt;&gt;0,IF(Pricetype=1,(_xll.xSPRDOPT(P202,$E202,$CI202,0,($CD202+IF(Smile=TRUE,VLOOKUP(MAX(-5,$H202-P202),Volsmile,2),0)),$CG202,$CH202,($A202-DateToday)+15,1,1))*(8*$HF202),8*$HF202),0)),0))</f>
        <v xml:space="preserve"> </v>
      </c>
      <c r="AI202" s="254" t="str">
        <f t="shared" si="563"/>
        <v xml:space="preserve"> </v>
      </c>
      <c r="AJ202" s="227" t="str">
        <f t="shared" si="564"/>
        <v xml:space="preserve"> </v>
      </c>
      <c r="AK202" s="228" t="str">
        <f t="shared" si="565"/>
        <v xml:space="preserve"> </v>
      </c>
      <c r="AL202" s="228" t="str">
        <f t="shared" si="565"/>
        <v xml:space="preserve"> </v>
      </c>
      <c r="AM202" s="228" t="str">
        <f t="shared" si="566"/>
        <v xml:space="preserve"> </v>
      </c>
      <c r="AN202" s="228" t="str">
        <f t="shared" si="567"/>
        <v xml:space="preserve"> </v>
      </c>
      <c r="AO202" s="228" t="str">
        <f t="shared" si="567"/>
        <v xml:space="preserve"> </v>
      </c>
      <c r="AP202" s="228" t="str">
        <f t="shared" si="568"/>
        <v xml:space="preserve"> </v>
      </c>
      <c r="AQ202" s="228" t="str">
        <f t="shared" si="569"/>
        <v xml:space="preserve"> </v>
      </c>
      <c r="AR202" s="229" t="str">
        <f t="shared" si="570"/>
        <v xml:space="preserve"> </v>
      </c>
      <c r="AS202" s="262" t="str">
        <f t="shared" si="433"/>
        <v xml:space="preserve"> </v>
      </c>
      <c r="AT202" s="263" t="str">
        <f t="shared" si="434"/>
        <v xml:space="preserve"> </v>
      </c>
      <c r="AU202" s="263" t="str">
        <f t="shared" si="434"/>
        <v xml:space="preserve"> </v>
      </c>
      <c r="AV202" s="263" t="str">
        <f t="shared" si="435"/>
        <v xml:space="preserve"> </v>
      </c>
      <c r="AW202" s="263" t="str">
        <f t="shared" si="436"/>
        <v xml:space="preserve"> </v>
      </c>
      <c r="AX202" s="263" t="str">
        <f t="shared" si="436"/>
        <v xml:space="preserve"> </v>
      </c>
      <c r="AY202" s="263" t="str">
        <f t="shared" si="437"/>
        <v xml:space="preserve"> </v>
      </c>
      <c r="AZ202" s="263" t="str">
        <f t="shared" si="438"/>
        <v xml:space="preserve"> </v>
      </c>
      <c r="BA202" s="263" t="str">
        <f t="shared" si="439"/>
        <v xml:space="preserve"> </v>
      </c>
      <c r="BB202" s="229"/>
      <c r="BC202" s="266" t="str">
        <f t="shared" si="514"/>
        <v xml:space="preserve"> </v>
      </c>
      <c r="BD202" s="269" t="str">
        <f t="shared" si="515"/>
        <v xml:space="preserve"> </v>
      </c>
      <c r="BE202" s="269" t="str">
        <f t="shared" si="515"/>
        <v xml:space="preserve"> </v>
      </c>
      <c r="BF202" s="269" t="str">
        <f t="shared" si="516"/>
        <v xml:space="preserve"> </v>
      </c>
      <c r="BG202" s="269" t="str">
        <f t="shared" si="517"/>
        <v xml:space="preserve"> </v>
      </c>
      <c r="BH202" s="269" t="str">
        <f t="shared" si="517"/>
        <v xml:space="preserve"> </v>
      </c>
      <c r="BI202" s="269" t="str">
        <f t="shared" si="518"/>
        <v xml:space="preserve"> </v>
      </c>
      <c r="BJ202" s="269" t="str">
        <f t="shared" si="519"/>
        <v xml:space="preserve"> </v>
      </c>
      <c r="BK202" s="269" t="str">
        <f t="shared" si="520"/>
        <v xml:space="preserve"> </v>
      </c>
      <c r="BL202" s="229"/>
      <c r="BM202" s="220" t="str">
        <f>IF($A202="N/A"," ",(IF(MONTH(A202)&gt;=4,IF(MONTH(A202)&lt;=10,Inputs!$F$13-Inputs!$G$13,Inputs!$F$14-Inputs!$G$14),Inputs!$F$14-Inputs!$G$14))*$CK202*Availability)</f>
        <v xml:space="preserve"> </v>
      </c>
      <c r="BN202" s="221" t="str">
        <f t="shared" si="571"/>
        <v xml:space="preserve"> </v>
      </c>
      <c r="BO202" s="221" t="str">
        <f t="shared" si="572"/>
        <v xml:space="preserve"> </v>
      </c>
      <c r="BP202" s="221" t="str">
        <f t="shared" si="573"/>
        <v xml:space="preserve"> </v>
      </c>
      <c r="BQ202" s="221" t="str">
        <f t="shared" si="574"/>
        <v xml:space="preserve"> </v>
      </c>
      <c r="BR202" s="221" t="str">
        <f t="shared" si="575"/>
        <v xml:space="preserve"> </v>
      </c>
      <c r="BS202" s="221" t="str">
        <f t="shared" si="576"/>
        <v xml:space="preserve"> </v>
      </c>
      <c r="BT202" s="221" t="str">
        <f t="shared" si="577"/>
        <v xml:space="preserve"> </v>
      </c>
      <c r="BU202" s="221" t="str">
        <f t="shared" si="578"/>
        <v xml:space="preserve"> </v>
      </c>
      <c r="BV202" s="221" t="str">
        <f t="shared" si="579"/>
        <v xml:space="preserve"> </v>
      </c>
      <c r="BW202" s="221" t="str">
        <f t="shared" si="580"/>
        <v xml:space="preserve"> </v>
      </c>
      <c r="BX202" s="421" t="str">
        <f t="shared" si="581"/>
        <v xml:space="preserve"> </v>
      </c>
      <c r="BY202" s="417" t="str">
        <f t="shared" si="582"/>
        <v xml:space="preserve"> </v>
      </c>
      <c r="BZ202" s="417" t="str">
        <f t="shared" si="583"/>
        <v xml:space="preserve"> </v>
      </c>
      <c r="CA202" s="422" t="str">
        <f t="shared" si="584"/>
        <v xml:space="preserve"> </v>
      </c>
      <c r="CB202" s="347" t="str">
        <f t="shared" si="521"/>
        <v xml:space="preserve"> </v>
      </c>
      <c r="CC202" s="347" t="str">
        <f t="shared" si="585"/>
        <v xml:space="preserve"> </v>
      </c>
      <c r="CD202" s="348" t="str">
        <f t="shared" si="522"/>
        <v xml:space="preserve"> </v>
      </c>
      <c r="CE202" s="347" t="str">
        <f t="shared" si="523"/>
        <v xml:space="preserve"> </v>
      </c>
      <c r="CF202" s="347" t="str">
        <f t="shared" si="524"/>
        <v xml:space="preserve"> </v>
      </c>
      <c r="CG202" s="348" t="str">
        <f t="shared" si="525"/>
        <v xml:space="preserve"> </v>
      </c>
      <c r="CH202" s="347" t="str">
        <f t="shared" si="586"/>
        <v xml:space="preserve"> </v>
      </c>
      <c r="CI202" s="349" t="str">
        <f>IF($A202="N/A"," ",F202+G202+(D202*('Pricing Inputs'!T235)))</f>
        <v xml:space="preserve"> </v>
      </c>
      <c r="CJ202" s="347" t="str">
        <f>IF($A202="N/A"," ",IF(PV=1,0,'Pricing Inputs'!U235))</f>
        <v xml:space="preserve"> </v>
      </c>
      <c r="CK202" s="350" t="str">
        <f t="shared" si="526"/>
        <v xml:space="preserve"> </v>
      </c>
      <c r="CL202" s="365" t="str">
        <f t="shared" si="527"/>
        <v xml:space="preserve"> </v>
      </c>
      <c r="CM202" s="380" t="str">
        <f t="shared" si="587"/>
        <v xml:space="preserve"> </v>
      </c>
      <c r="CN202" s="378" t="str">
        <f t="shared" si="528"/>
        <v xml:space="preserve"> </v>
      </c>
      <c r="CO202" s="378" t="str">
        <f t="shared" si="529"/>
        <v xml:space="preserve"> </v>
      </c>
      <c r="CP202" s="378" t="str">
        <f t="shared" si="530"/>
        <v xml:space="preserve"> </v>
      </c>
      <c r="CQ202" s="378" t="str">
        <f t="shared" si="531"/>
        <v xml:space="preserve"> </v>
      </c>
      <c r="CR202" s="378" t="str">
        <f t="shared" si="532"/>
        <v xml:space="preserve"> </v>
      </c>
      <c r="CS202" s="378" t="str">
        <f t="shared" si="533"/>
        <v xml:space="preserve"> </v>
      </c>
      <c r="CT202" s="378" t="str">
        <f t="shared" si="534"/>
        <v xml:space="preserve"> </v>
      </c>
      <c r="CU202" s="378" t="str">
        <f t="shared" si="535"/>
        <v xml:space="preserve"> </v>
      </c>
      <c r="CV202" s="378" t="str">
        <f t="shared" si="536"/>
        <v xml:space="preserve"> </v>
      </c>
      <c r="CW202" s="254" t="str">
        <f t="shared" si="537"/>
        <v xml:space="preserve"> </v>
      </c>
      <c r="CX202" s="254" t="str">
        <f t="shared" si="538"/>
        <v xml:space="preserve"> </v>
      </c>
      <c r="CY202" s="254" t="str">
        <f t="shared" si="539"/>
        <v xml:space="preserve"> </v>
      </c>
      <c r="CZ202" s="254" t="str">
        <f t="shared" si="540"/>
        <v xml:space="preserve"> </v>
      </c>
      <c r="DA202" s="254" t="str">
        <f t="shared" si="541"/>
        <v xml:space="preserve"> </v>
      </c>
      <c r="DB202" s="254" t="str">
        <f t="shared" si="542"/>
        <v xml:space="preserve"> </v>
      </c>
      <c r="DC202" s="254" t="str">
        <f t="shared" si="543"/>
        <v xml:space="preserve"> </v>
      </c>
      <c r="DD202" s="254" t="str">
        <f t="shared" si="544"/>
        <v xml:space="preserve"> </v>
      </c>
      <c r="DE202" s="254" t="str">
        <f t="shared" si="545"/>
        <v xml:space="preserve"> </v>
      </c>
      <c r="DF202" s="374" t="str">
        <f>IF($A202="N/A"," ",IF(CC=2,(IF(MONTH(A202)&gt;=4,IF(MONTH(A202)&lt;=10,Inputs!$G$13,Inputs!$G$14),Inputs!$G$14))*$CK202,0))</f>
        <v xml:space="preserve"> </v>
      </c>
      <c r="DG202" s="373" t="str">
        <f t="shared" si="546"/>
        <v xml:space="preserve"> </v>
      </c>
      <c r="DH202" s="373" t="str">
        <f t="shared" si="547"/>
        <v xml:space="preserve"> </v>
      </c>
      <c r="DI202" s="373" t="str">
        <f t="shared" si="548"/>
        <v xml:space="preserve"> </v>
      </c>
      <c r="DJ202" s="373" t="str">
        <f t="shared" si="549"/>
        <v xml:space="preserve"> </v>
      </c>
      <c r="DK202" s="373" t="str">
        <f t="shared" si="550"/>
        <v xml:space="preserve"> </v>
      </c>
      <c r="DL202" s="373" t="str">
        <f t="shared" si="551"/>
        <v xml:space="preserve"> </v>
      </c>
      <c r="DM202" s="373" t="str">
        <f t="shared" si="552"/>
        <v xml:space="preserve"> </v>
      </c>
      <c r="DN202" s="373" t="str">
        <f t="shared" si="553"/>
        <v xml:space="preserve"> </v>
      </c>
      <c r="DO202" s="373" t="str">
        <f t="shared" si="554"/>
        <v xml:space="preserve"> </v>
      </c>
      <c r="DP202" s="375" t="str">
        <f t="shared" si="555"/>
        <v xml:space="preserve"> </v>
      </c>
      <c r="DQ202" t="str">
        <f t="shared" si="588"/>
        <v xml:space="preserve"> </v>
      </c>
      <c r="HD202" t="str">
        <f t="shared" si="589"/>
        <v xml:space="preserve"> </v>
      </c>
      <c r="HE202" t="str">
        <f t="shared" si="590"/>
        <v xml:space="preserve"> </v>
      </c>
      <c r="HF202" t="str">
        <f t="shared" si="591"/>
        <v xml:space="preserve"> </v>
      </c>
    </row>
    <row r="203" spans="1:214">
      <c r="A203" s="415" t="str">
        <f>IF(A202="N/A","N/A",IF(EDATE(A202,1)&gt;Inputs!$K$3,"N/A",EDATE(A202,1)))</f>
        <v>N/A</v>
      </c>
      <c r="B203" s="410" t="str">
        <f t="shared" si="556"/>
        <v xml:space="preserve"> </v>
      </c>
      <c r="C203" s="411" t="str">
        <f t="shared" si="557"/>
        <v xml:space="preserve"> </v>
      </c>
      <c r="D203" s="412" t="str">
        <f t="shared" si="558"/>
        <v xml:space="preserve"> </v>
      </c>
      <c r="E203" s="413" t="str">
        <f>IF($A203="N/A"," ",(C203-'Pricing Inputs'!T236)*D203)</f>
        <v xml:space="preserve"> </v>
      </c>
      <c r="F203" s="414" t="str">
        <f t="shared" si="440"/>
        <v xml:space="preserve"> </v>
      </c>
      <c r="G203" s="414" t="str">
        <f t="shared" si="559"/>
        <v xml:space="preserve"> </v>
      </c>
      <c r="H203" s="416" t="str">
        <f t="shared" si="560"/>
        <v xml:space="preserve"> </v>
      </c>
      <c r="I203" s="213" t="str">
        <f t="shared" si="501"/>
        <v xml:space="preserve"> </v>
      </c>
      <c r="J203" s="213" t="str">
        <f t="shared" si="502"/>
        <v xml:space="preserve"> </v>
      </c>
      <c r="K203" s="213" t="str">
        <f t="shared" si="503"/>
        <v xml:space="preserve"> </v>
      </c>
      <c r="L203" s="213" t="str">
        <f t="shared" si="504"/>
        <v xml:space="preserve"> </v>
      </c>
      <c r="M203" s="213" t="str">
        <f t="shared" si="505"/>
        <v xml:space="preserve"> </v>
      </c>
      <c r="N203" s="213" t="str">
        <f t="shared" si="506"/>
        <v xml:space="preserve"> </v>
      </c>
      <c r="O203" s="213" t="str">
        <f t="shared" si="507"/>
        <v xml:space="preserve"> </v>
      </c>
      <c r="P203" s="213" t="str">
        <f t="shared" si="508"/>
        <v xml:space="preserve"> </v>
      </c>
      <c r="Q203" s="213" t="str">
        <f t="shared" si="509"/>
        <v xml:space="preserve"> </v>
      </c>
      <c r="R203" s="405" t="str">
        <f>IF($A203="N/A"," ",IF(Pricetype=2,MAX(I203-$H203,0),IF(Pricetype=1,(_xll.xSPRDOPT(I203,$E203,$CI203,0,($CD203+IF(Smile=TRUE,VLOOKUP(MAX(-5,$H203-I203),Volsmile,2),0)),$CG203,$CH203,($A203-DateToday)+15,1,0)),I203-$H203)))</f>
        <v xml:space="preserve"> </v>
      </c>
      <c r="S203" s="405" t="str">
        <f>IF($A203="N/A"," ",IF(Pricetype=2,MAX(J203-$H203,0),IF(Pricetype=1,(_xll.xSPRDOPT(J203,$E203,$CI203,0,($CD203+IF(Smile=TRUE,VLOOKUP(MAX(-5,$H203-J203),Volsmile,2),0)),$CG203,$CH203,($A203-DateToday)+15,1,0)),J203-$H203)))</f>
        <v xml:space="preserve"> </v>
      </c>
      <c r="T203" s="406" t="str">
        <f t="shared" si="510"/>
        <v xml:space="preserve"> </v>
      </c>
      <c r="U203" s="405" t="str">
        <f>IF($A203="N/A"," ",IF(Pricetype=2,MAX(L203-$H203,0),IF(L203&lt;&gt;0,IF(Pricetype=1,(_xll.xSPRDOPT(L203,$E203,$CI203,0,($CD203+IF(Smile=TRUE,VLOOKUP(MAX(-5,$H203-L203),Volsmile,2),0)),$CG203,$CH203,($A203-DateToday)+15,1,0)),L203-$H203),0)))</f>
        <v xml:space="preserve"> </v>
      </c>
      <c r="V203" s="405" t="str">
        <f>IF($A203="N/A"," ",IF(Pricetype=2,MAX(M203-$H203,0),IF(M203&lt;&gt;0,IF(Pricetype=1,(_xll.xSPRDOPT(M203,$E203,$CI203,0,($CD203+IF(Smile=TRUE,VLOOKUP(MAX(-5,$H203-M203),Volsmile,2),0)),$CG203,$CH203,($A203-DateToday)+15,1,0)),M203-$H203),0)))</f>
        <v xml:space="preserve"> </v>
      </c>
      <c r="W203" s="406" t="str">
        <f t="shared" si="511"/>
        <v xml:space="preserve"> </v>
      </c>
      <c r="X203" s="405" t="str">
        <f>IF($A203="N/A"," ",IF(Pricetype=2,MAX(O203-$H203,0),IF(O203&lt;&gt;0,IF(Pricetype=1,(_xll.xSPRDOPT(O203,$E203,$CI203,0,($CD203+IF(Smile=TRUE,VLOOKUP(MAX(-5,$H203-O203),Volsmile,2),0)),$CG203,$CH203,($A203-DateToday)+15,1,0)),O203-$H203),0)))</f>
        <v xml:space="preserve"> </v>
      </c>
      <c r="Y203" s="405" t="str">
        <f>IF($A203="N/A"," ",IF(Pricetype=2,MAX(P203-$H203,0),IF(P203&lt;&gt;0,IF(Pricetype=1,(_xll.xSPRDOPT(P203,$E203,$CI203,0,($CD203+IF(Smile=TRUE,VLOOKUP(MAX(-5,$H203-P203),Volsmile,2),0)),$CG203,$CH203,($A203-DateToday)+15,1,0)),P203-$H203),0)))</f>
        <v xml:space="preserve"> </v>
      </c>
      <c r="Z203" s="406" t="str">
        <f t="shared" si="512"/>
        <v xml:space="preserve"> </v>
      </c>
      <c r="AA203" s="254" t="str">
        <f>IF($A203="N/A"," ",IF(VLOOKUP(MONTH(A203),ManualTable,2)=1,(IF(0&lt;&gt;R203,IF(Pricetype=1,(_xll.xSPRDOPT(I203,$E203,$CI203,0,($CD203+IF(Smile=TRUE,VLOOKUP(MAX(-5,$H203-I203),Volsmile,2),0)),$CG203,$CH203,($A203-DateToday)+15,1,1))*(8*$HD203),8*$HD203),0)),0))</f>
        <v xml:space="preserve"> </v>
      </c>
      <c r="AB203" s="254" t="str">
        <f>IF($A203="N/A"," ",IF(VLOOKUP(MONTH(A203),ManualTable,3)=1,(IF(S203&lt;&gt;0,IF(Pricetype=1,(_xll.xSPRDOPT(J203,$E203,$CI203,0,($CD203+IF(Smile=TRUE,VLOOKUP(MAX(-5,$H203-J203),Volsmile,2),0)),$CG203,$CH203,($A203-DateToday)+15,1,1))*(8*$HD203),8*$HD203),0)),0))</f>
        <v xml:space="preserve"> </v>
      </c>
      <c r="AC203" s="254" t="str">
        <f t="shared" si="561"/>
        <v xml:space="preserve"> </v>
      </c>
      <c r="AD203" s="254" t="str">
        <f>IF($A203="N/A"," ",IF(VLOOKUP(MONTH(A203),ManualTable,5)=1,(IF(U203&lt;&gt;0,IF(Pricetype=1,(_xll.xSPRDOPT(L203,$E203,$CI203,0,($CD203+IF(Smile=TRUE,VLOOKUP(MAX(-5,$H203-L203),Volsmile,2),0)),$CG203,$CH203,($A203-DateToday)+15,1,1))*(8*$HE203),8*$HE203),0)),0))</f>
        <v xml:space="preserve"> </v>
      </c>
      <c r="AE203" s="254" t="str">
        <f>IF($A203="N/A"," ",IF(VLOOKUP(MONTH(A203),ManualTable,6)=1,(IF(V203&lt;&gt;0,IF(Pricetype=1,(_xll.xSPRDOPT(M203,$E203,$CI203,0,($CD203+IF(Smile=TRUE,VLOOKUP(MAX(-5,$H203-M203),Volsmile,2),0)),$CG203,$CH203,($A203-DateToday)+15,1,1))*(8*$HE203),8*$HE203),0)),0))</f>
        <v xml:space="preserve"> </v>
      </c>
      <c r="AF203" s="254" t="str">
        <f t="shared" si="562"/>
        <v xml:space="preserve"> </v>
      </c>
      <c r="AG203" s="254" t="str">
        <f>IF($A203="N/A"," ",IF(VLOOKUP(MONTH(A203),ManualTable,8)=1,(IF(X203&lt;&gt;0,IF(Pricetype=1,(_xll.xSPRDOPT(O203,$E203,$CI203,0,($CD203+IF(Smile=TRUE,VLOOKUP(MAX(-5,$H203-O203),Volsmile,2),0)),$CG203,$CH203,($A203-DateToday)+15,1,1))*(8*$HF203),8*$HF203),0)),0))</f>
        <v xml:space="preserve"> </v>
      </c>
      <c r="AH203" s="254" t="str">
        <f>IF($A203="N/A"," ",IF(VLOOKUP(MONTH(A203),ManualTable,9)=1,(IF(Y203&lt;&gt;0,IF(Pricetype=1,(_xll.xSPRDOPT(P203,$E203,$CI203,0,($CD203+IF(Smile=TRUE,VLOOKUP(MAX(-5,$H203-P203),Volsmile,2),0)),$CG203,$CH203,($A203-DateToday)+15,1,1))*(8*$HF203),8*$HF203),0)),0))</f>
        <v xml:space="preserve"> </v>
      </c>
      <c r="AI203" s="254" t="str">
        <f t="shared" si="563"/>
        <v xml:space="preserve"> </v>
      </c>
      <c r="AJ203" s="227" t="str">
        <f t="shared" si="564"/>
        <v xml:space="preserve"> </v>
      </c>
      <c r="AK203" s="228" t="str">
        <f t="shared" si="565"/>
        <v xml:space="preserve"> </v>
      </c>
      <c r="AL203" s="228" t="str">
        <f t="shared" si="565"/>
        <v xml:space="preserve"> </v>
      </c>
      <c r="AM203" s="228" t="str">
        <f t="shared" si="566"/>
        <v xml:space="preserve"> </v>
      </c>
      <c r="AN203" s="228" t="str">
        <f t="shared" si="567"/>
        <v xml:space="preserve"> </v>
      </c>
      <c r="AO203" s="228" t="str">
        <f t="shared" si="567"/>
        <v xml:space="preserve"> </v>
      </c>
      <c r="AP203" s="228" t="str">
        <f t="shared" si="568"/>
        <v xml:space="preserve"> </v>
      </c>
      <c r="AQ203" s="228" t="str">
        <f t="shared" si="569"/>
        <v xml:space="preserve"> </v>
      </c>
      <c r="AR203" s="229" t="str">
        <f t="shared" si="570"/>
        <v xml:space="preserve"> </v>
      </c>
      <c r="AS203" s="262" t="str">
        <f t="shared" si="433"/>
        <v xml:space="preserve"> </v>
      </c>
      <c r="AT203" s="263" t="str">
        <f t="shared" si="434"/>
        <v xml:space="preserve"> </v>
      </c>
      <c r="AU203" s="263" t="str">
        <f t="shared" si="434"/>
        <v xml:space="preserve"> </v>
      </c>
      <c r="AV203" s="263" t="str">
        <f t="shared" si="435"/>
        <v xml:space="preserve"> </v>
      </c>
      <c r="AW203" s="263" t="str">
        <f t="shared" si="436"/>
        <v xml:space="preserve"> </v>
      </c>
      <c r="AX203" s="263" t="str">
        <f t="shared" si="436"/>
        <v xml:space="preserve"> </v>
      </c>
      <c r="AY203" s="263" t="str">
        <f t="shared" si="437"/>
        <v xml:space="preserve"> </v>
      </c>
      <c r="AZ203" s="263" t="str">
        <f t="shared" si="438"/>
        <v xml:space="preserve"> </v>
      </c>
      <c r="BA203" s="263" t="str">
        <f t="shared" si="439"/>
        <v xml:space="preserve"> </v>
      </c>
      <c r="BB203" s="229"/>
      <c r="BC203" s="266" t="str">
        <f t="shared" si="514"/>
        <v xml:space="preserve"> </v>
      </c>
      <c r="BD203" s="269" t="str">
        <f t="shared" si="515"/>
        <v xml:space="preserve"> </v>
      </c>
      <c r="BE203" s="269" t="str">
        <f t="shared" si="515"/>
        <v xml:space="preserve"> </v>
      </c>
      <c r="BF203" s="269" t="str">
        <f t="shared" si="516"/>
        <v xml:space="preserve"> </v>
      </c>
      <c r="BG203" s="269" t="str">
        <f t="shared" si="517"/>
        <v xml:space="preserve"> </v>
      </c>
      <c r="BH203" s="269" t="str">
        <f t="shared" si="517"/>
        <v xml:space="preserve"> </v>
      </c>
      <c r="BI203" s="269" t="str">
        <f t="shared" si="518"/>
        <v xml:space="preserve"> </v>
      </c>
      <c r="BJ203" s="269" t="str">
        <f t="shared" si="519"/>
        <v xml:space="preserve"> </v>
      </c>
      <c r="BK203" s="269" t="str">
        <f t="shared" si="520"/>
        <v xml:space="preserve"> </v>
      </c>
      <c r="BL203" s="229"/>
      <c r="BM203" s="220" t="str">
        <f>IF($A203="N/A"," ",(IF(MONTH(A203)&gt;=4,IF(MONTH(A203)&lt;=10,Inputs!$F$13-Inputs!$G$13,Inputs!$F$14-Inputs!$G$14),Inputs!$F$14-Inputs!$G$14))*$CK203*Availability)</f>
        <v xml:space="preserve"> </v>
      </c>
      <c r="BN203" s="221" t="str">
        <f t="shared" si="571"/>
        <v xml:space="preserve"> </v>
      </c>
      <c r="BO203" s="221" t="str">
        <f t="shared" si="572"/>
        <v xml:space="preserve"> </v>
      </c>
      <c r="BP203" s="221" t="str">
        <f t="shared" si="573"/>
        <v xml:space="preserve"> </v>
      </c>
      <c r="BQ203" s="221" t="str">
        <f t="shared" si="574"/>
        <v xml:space="preserve"> </v>
      </c>
      <c r="BR203" s="221" t="str">
        <f t="shared" si="575"/>
        <v xml:space="preserve"> </v>
      </c>
      <c r="BS203" s="221" t="str">
        <f t="shared" si="576"/>
        <v xml:space="preserve"> </v>
      </c>
      <c r="BT203" s="221" t="str">
        <f t="shared" si="577"/>
        <v xml:space="preserve"> </v>
      </c>
      <c r="BU203" s="221" t="str">
        <f t="shared" si="578"/>
        <v xml:space="preserve"> </v>
      </c>
      <c r="BV203" s="221" t="str">
        <f t="shared" si="579"/>
        <v xml:space="preserve"> </v>
      </c>
      <c r="BW203" s="221" t="str">
        <f t="shared" si="580"/>
        <v xml:space="preserve"> </v>
      </c>
      <c r="BX203" s="421" t="str">
        <f t="shared" si="581"/>
        <v xml:space="preserve"> </v>
      </c>
      <c r="BY203" s="417" t="str">
        <f t="shared" si="582"/>
        <v xml:space="preserve"> </v>
      </c>
      <c r="BZ203" s="417" t="str">
        <f t="shared" si="583"/>
        <v xml:space="preserve"> </v>
      </c>
      <c r="CA203" s="422" t="str">
        <f t="shared" si="584"/>
        <v xml:space="preserve"> </v>
      </c>
      <c r="CB203" s="347" t="str">
        <f t="shared" si="521"/>
        <v xml:space="preserve"> </v>
      </c>
      <c r="CC203" s="347" t="str">
        <f t="shared" si="585"/>
        <v xml:space="preserve"> </v>
      </c>
      <c r="CD203" s="348" t="str">
        <f t="shared" si="522"/>
        <v xml:space="preserve"> </v>
      </c>
      <c r="CE203" s="347" t="str">
        <f t="shared" si="523"/>
        <v xml:space="preserve"> </v>
      </c>
      <c r="CF203" s="347" t="str">
        <f t="shared" si="524"/>
        <v xml:space="preserve"> </v>
      </c>
      <c r="CG203" s="348" t="str">
        <f t="shared" si="525"/>
        <v xml:space="preserve"> </v>
      </c>
      <c r="CH203" s="347" t="str">
        <f t="shared" si="586"/>
        <v xml:space="preserve"> </v>
      </c>
      <c r="CI203" s="349" t="str">
        <f>IF($A203="N/A"," ",F203+G203+(D203*('Pricing Inputs'!T236)))</f>
        <v xml:space="preserve"> </v>
      </c>
      <c r="CJ203" s="347" t="str">
        <f>IF($A203="N/A"," ",IF(PV=1,0,'Pricing Inputs'!U236))</f>
        <v xml:space="preserve"> </v>
      </c>
      <c r="CK203" s="350" t="str">
        <f t="shared" si="526"/>
        <v xml:space="preserve"> </v>
      </c>
      <c r="CL203" s="365" t="str">
        <f t="shared" si="527"/>
        <v xml:space="preserve"> </v>
      </c>
      <c r="CM203" s="380" t="str">
        <f t="shared" si="587"/>
        <v xml:space="preserve"> </v>
      </c>
      <c r="CN203" s="378" t="str">
        <f t="shared" si="528"/>
        <v xml:space="preserve"> </v>
      </c>
      <c r="CO203" s="378" t="str">
        <f t="shared" si="529"/>
        <v xml:space="preserve"> </v>
      </c>
      <c r="CP203" s="378" t="str">
        <f t="shared" si="530"/>
        <v xml:space="preserve"> </v>
      </c>
      <c r="CQ203" s="378" t="str">
        <f t="shared" si="531"/>
        <v xml:space="preserve"> </v>
      </c>
      <c r="CR203" s="378" t="str">
        <f t="shared" si="532"/>
        <v xml:space="preserve"> </v>
      </c>
      <c r="CS203" s="378" t="str">
        <f t="shared" si="533"/>
        <v xml:space="preserve"> </v>
      </c>
      <c r="CT203" s="378" t="str">
        <f t="shared" si="534"/>
        <v xml:space="preserve"> </v>
      </c>
      <c r="CU203" s="378" t="str">
        <f t="shared" si="535"/>
        <v xml:space="preserve"> </v>
      </c>
      <c r="CV203" s="378" t="str">
        <f t="shared" si="536"/>
        <v xml:space="preserve"> </v>
      </c>
      <c r="CW203" s="254" t="str">
        <f t="shared" si="537"/>
        <v xml:space="preserve"> </v>
      </c>
      <c r="CX203" s="254" t="str">
        <f t="shared" si="538"/>
        <v xml:space="preserve"> </v>
      </c>
      <c r="CY203" s="254" t="str">
        <f t="shared" si="539"/>
        <v xml:space="preserve"> </v>
      </c>
      <c r="CZ203" s="254" t="str">
        <f t="shared" si="540"/>
        <v xml:space="preserve"> </v>
      </c>
      <c r="DA203" s="254" t="str">
        <f t="shared" si="541"/>
        <v xml:space="preserve"> </v>
      </c>
      <c r="DB203" s="254" t="str">
        <f t="shared" si="542"/>
        <v xml:space="preserve"> </v>
      </c>
      <c r="DC203" s="254" t="str">
        <f t="shared" si="543"/>
        <v xml:space="preserve"> </v>
      </c>
      <c r="DD203" s="254" t="str">
        <f t="shared" si="544"/>
        <v xml:space="preserve"> </v>
      </c>
      <c r="DE203" s="254" t="str">
        <f t="shared" si="545"/>
        <v xml:space="preserve"> </v>
      </c>
      <c r="DF203" s="374" t="str">
        <f>IF($A203="N/A"," ",IF(CC=2,(IF(MONTH(A203)&gt;=4,IF(MONTH(A203)&lt;=10,Inputs!$G$13,Inputs!$G$14),Inputs!$G$14))*$CK203,0))</f>
        <v xml:space="preserve"> </v>
      </c>
      <c r="DG203" s="373" t="str">
        <f t="shared" si="546"/>
        <v xml:space="preserve"> </v>
      </c>
      <c r="DH203" s="373" t="str">
        <f t="shared" si="547"/>
        <v xml:space="preserve"> </v>
      </c>
      <c r="DI203" s="373" t="str">
        <f t="shared" si="548"/>
        <v xml:space="preserve"> </v>
      </c>
      <c r="DJ203" s="373" t="str">
        <f t="shared" si="549"/>
        <v xml:space="preserve"> </v>
      </c>
      <c r="DK203" s="373" t="str">
        <f t="shared" si="550"/>
        <v xml:space="preserve"> </v>
      </c>
      <c r="DL203" s="373" t="str">
        <f t="shared" si="551"/>
        <v xml:space="preserve"> </v>
      </c>
      <c r="DM203" s="373" t="str">
        <f t="shared" si="552"/>
        <v xml:space="preserve"> </v>
      </c>
      <c r="DN203" s="373" t="str">
        <f t="shared" si="553"/>
        <v xml:space="preserve"> </v>
      </c>
      <c r="DO203" s="373" t="str">
        <f t="shared" si="554"/>
        <v xml:space="preserve"> </v>
      </c>
      <c r="DP203" s="375" t="str">
        <f t="shared" si="555"/>
        <v xml:space="preserve"> </v>
      </c>
      <c r="DQ203" t="str">
        <f t="shared" si="588"/>
        <v xml:space="preserve"> </v>
      </c>
      <c r="HD203" t="str">
        <f t="shared" si="589"/>
        <v xml:space="preserve"> </v>
      </c>
      <c r="HE203" t="str">
        <f t="shared" si="590"/>
        <v xml:space="preserve"> </v>
      </c>
      <c r="HF203" t="str">
        <f t="shared" si="591"/>
        <v xml:space="preserve"> </v>
      </c>
    </row>
    <row r="204" spans="1:214">
      <c r="A204" s="415" t="str">
        <f>IF(A203="N/A","N/A",IF(EDATE(A203,1)&gt;Inputs!$K$3,"N/A",EDATE(A203,1)))</f>
        <v>N/A</v>
      </c>
      <c r="B204" s="410" t="str">
        <f t="shared" si="556"/>
        <v xml:space="preserve"> </v>
      </c>
      <c r="C204" s="411" t="str">
        <f t="shared" si="557"/>
        <v xml:space="preserve"> </v>
      </c>
      <c r="D204" s="412" t="str">
        <f t="shared" si="558"/>
        <v xml:space="preserve"> </v>
      </c>
      <c r="E204" s="413" t="str">
        <f>IF($A204="N/A"," ",(C204-'Pricing Inputs'!T237)*D204)</f>
        <v xml:space="preserve"> </v>
      </c>
      <c r="F204" s="414" t="str">
        <f t="shared" si="440"/>
        <v xml:space="preserve"> </v>
      </c>
      <c r="G204" s="414" t="str">
        <f t="shared" si="559"/>
        <v xml:space="preserve"> </v>
      </c>
      <c r="H204" s="416" t="str">
        <f t="shared" si="560"/>
        <v xml:space="preserve"> </v>
      </c>
      <c r="I204" s="213" t="str">
        <f t="shared" si="501"/>
        <v xml:space="preserve"> </v>
      </c>
      <c r="J204" s="213" t="str">
        <f t="shared" si="502"/>
        <v xml:space="preserve"> </v>
      </c>
      <c r="K204" s="213" t="str">
        <f t="shared" si="503"/>
        <v xml:space="preserve"> </v>
      </c>
      <c r="L204" s="213" t="str">
        <f t="shared" si="504"/>
        <v xml:space="preserve"> </v>
      </c>
      <c r="M204" s="213" t="str">
        <f t="shared" si="505"/>
        <v xml:space="preserve"> </v>
      </c>
      <c r="N204" s="213" t="str">
        <f t="shared" si="506"/>
        <v xml:space="preserve"> </v>
      </c>
      <c r="O204" s="213" t="str">
        <f t="shared" si="507"/>
        <v xml:space="preserve"> </v>
      </c>
      <c r="P204" s="213" t="str">
        <f t="shared" si="508"/>
        <v xml:space="preserve"> </v>
      </c>
      <c r="Q204" s="213" t="str">
        <f t="shared" si="509"/>
        <v xml:space="preserve"> </v>
      </c>
      <c r="R204" s="405" t="str">
        <f>IF($A204="N/A"," ",IF(Pricetype=2,MAX(I204-$H204,0),IF(Pricetype=1,(_xll.xSPRDOPT(I204,$E204,$CI204,0,($CD204+IF(Smile=TRUE,VLOOKUP(MAX(-5,$H204-I204),Volsmile,2),0)),$CG204,$CH204,($A204-DateToday)+15,1,0)),I204-$H204)))</f>
        <v xml:space="preserve"> </v>
      </c>
      <c r="S204" s="405" t="str">
        <f>IF($A204="N/A"," ",IF(Pricetype=2,MAX(J204-$H204,0),IF(Pricetype=1,(_xll.xSPRDOPT(J204,$E204,$CI204,0,($CD204+IF(Smile=TRUE,VLOOKUP(MAX(-5,$H204-J204),Volsmile,2),0)),$CG204,$CH204,($A204-DateToday)+15,1,0)),J204-$H204)))</f>
        <v xml:space="preserve"> </v>
      </c>
      <c r="T204" s="406" t="str">
        <f t="shared" si="510"/>
        <v xml:space="preserve"> </v>
      </c>
      <c r="U204" s="405" t="str">
        <f>IF($A204="N/A"," ",IF(Pricetype=2,MAX(L204-$H204,0),IF(L204&lt;&gt;0,IF(Pricetype=1,(_xll.xSPRDOPT(L204,$E204,$CI204,0,($CD204+IF(Smile=TRUE,VLOOKUP(MAX(-5,$H204-L204),Volsmile,2),0)),$CG204,$CH204,($A204-DateToday)+15,1,0)),L204-$H204),0)))</f>
        <v xml:space="preserve"> </v>
      </c>
      <c r="V204" s="405" t="str">
        <f>IF($A204="N/A"," ",IF(Pricetype=2,MAX(M204-$H204,0),IF(M204&lt;&gt;0,IF(Pricetype=1,(_xll.xSPRDOPT(M204,$E204,$CI204,0,($CD204+IF(Smile=TRUE,VLOOKUP(MAX(-5,$H204-M204),Volsmile,2),0)),$CG204,$CH204,($A204-DateToday)+15,1,0)),M204-$H204),0)))</f>
        <v xml:space="preserve"> </v>
      </c>
      <c r="W204" s="406" t="str">
        <f t="shared" si="511"/>
        <v xml:space="preserve"> </v>
      </c>
      <c r="X204" s="405" t="str">
        <f>IF($A204="N/A"," ",IF(Pricetype=2,MAX(O204-$H204,0),IF(O204&lt;&gt;0,IF(Pricetype=1,(_xll.xSPRDOPT(O204,$E204,$CI204,0,($CD204+IF(Smile=TRUE,VLOOKUP(MAX(-5,$H204-O204),Volsmile,2),0)),$CG204,$CH204,($A204-DateToday)+15,1,0)),O204-$H204),0)))</f>
        <v xml:space="preserve"> </v>
      </c>
      <c r="Y204" s="405" t="str">
        <f>IF($A204="N/A"," ",IF(Pricetype=2,MAX(P204-$H204,0),IF(P204&lt;&gt;0,IF(Pricetype=1,(_xll.xSPRDOPT(P204,$E204,$CI204,0,($CD204+IF(Smile=TRUE,VLOOKUP(MAX(-5,$H204-P204),Volsmile,2),0)),$CG204,$CH204,($A204-DateToday)+15,1,0)),P204-$H204),0)))</f>
        <v xml:space="preserve"> </v>
      </c>
      <c r="Z204" s="406" t="str">
        <f t="shared" si="512"/>
        <v xml:space="preserve"> </v>
      </c>
      <c r="AA204" s="254" t="str">
        <f>IF($A204="N/A"," ",IF(VLOOKUP(MONTH(A204),ManualTable,2)=1,(IF(0&lt;&gt;R204,IF(Pricetype=1,(_xll.xSPRDOPT(I204,$E204,$CI204,0,($CD204+IF(Smile=TRUE,VLOOKUP(MAX(-5,$H204-I204),Volsmile,2),0)),$CG204,$CH204,($A204-DateToday)+15,1,1))*(8*$HD204),8*$HD204),0)),0))</f>
        <v xml:space="preserve"> </v>
      </c>
      <c r="AB204" s="254" t="str">
        <f>IF($A204="N/A"," ",IF(VLOOKUP(MONTH(A204),ManualTable,3)=1,(IF(S204&lt;&gt;0,IF(Pricetype=1,(_xll.xSPRDOPT(J204,$E204,$CI204,0,($CD204+IF(Smile=TRUE,VLOOKUP(MAX(-5,$H204-J204),Volsmile,2),0)),$CG204,$CH204,($A204-DateToday)+15,1,1))*(8*$HD204),8*$HD204),0)),0))</f>
        <v xml:space="preserve"> </v>
      </c>
      <c r="AC204" s="254" t="str">
        <f t="shared" si="561"/>
        <v xml:space="preserve"> </v>
      </c>
      <c r="AD204" s="254" t="str">
        <f>IF($A204="N/A"," ",IF(VLOOKUP(MONTH(A204),ManualTable,5)=1,(IF(U204&lt;&gt;0,IF(Pricetype=1,(_xll.xSPRDOPT(L204,$E204,$CI204,0,($CD204+IF(Smile=TRUE,VLOOKUP(MAX(-5,$H204-L204),Volsmile,2),0)),$CG204,$CH204,($A204-DateToday)+15,1,1))*(8*$HE204),8*$HE204),0)),0))</f>
        <v xml:space="preserve"> </v>
      </c>
      <c r="AE204" s="254" t="str">
        <f>IF($A204="N/A"," ",IF(VLOOKUP(MONTH(A204),ManualTable,6)=1,(IF(V204&lt;&gt;0,IF(Pricetype=1,(_xll.xSPRDOPT(M204,$E204,$CI204,0,($CD204+IF(Smile=TRUE,VLOOKUP(MAX(-5,$H204-M204),Volsmile,2),0)),$CG204,$CH204,($A204-DateToday)+15,1,1))*(8*$HE204),8*$HE204),0)),0))</f>
        <v xml:space="preserve"> </v>
      </c>
      <c r="AF204" s="254" t="str">
        <f t="shared" si="562"/>
        <v xml:space="preserve"> </v>
      </c>
      <c r="AG204" s="254" t="str">
        <f>IF($A204="N/A"," ",IF(VLOOKUP(MONTH(A204),ManualTable,8)=1,(IF(X204&lt;&gt;0,IF(Pricetype=1,(_xll.xSPRDOPT(O204,$E204,$CI204,0,($CD204+IF(Smile=TRUE,VLOOKUP(MAX(-5,$H204-O204),Volsmile,2),0)),$CG204,$CH204,($A204-DateToday)+15,1,1))*(8*$HF204),8*$HF204),0)),0))</f>
        <v xml:space="preserve"> </v>
      </c>
      <c r="AH204" s="254" t="str">
        <f>IF($A204="N/A"," ",IF(VLOOKUP(MONTH(A204),ManualTable,9)=1,(IF(Y204&lt;&gt;0,IF(Pricetype=1,(_xll.xSPRDOPT(P204,$E204,$CI204,0,($CD204+IF(Smile=TRUE,VLOOKUP(MAX(-5,$H204-P204),Volsmile,2),0)),$CG204,$CH204,($A204-DateToday)+15,1,1))*(8*$HF204),8*$HF204),0)),0))</f>
        <v xml:space="preserve"> </v>
      </c>
      <c r="AI204" s="254" t="str">
        <f t="shared" si="563"/>
        <v xml:space="preserve"> </v>
      </c>
      <c r="AJ204" s="227" t="str">
        <f t="shared" si="564"/>
        <v xml:space="preserve"> </v>
      </c>
      <c r="AK204" s="228" t="str">
        <f t="shared" si="565"/>
        <v xml:space="preserve"> </v>
      </c>
      <c r="AL204" s="228" t="str">
        <f t="shared" si="565"/>
        <v xml:space="preserve"> </v>
      </c>
      <c r="AM204" s="228" t="str">
        <f t="shared" si="566"/>
        <v xml:space="preserve"> </v>
      </c>
      <c r="AN204" s="228" t="str">
        <f t="shared" si="567"/>
        <v xml:space="preserve"> </v>
      </c>
      <c r="AO204" s="228" t="str">
        <f t="shared" si="567"/>
        <v xml:space="preserve"> </v>
      </c>
      <c r="AP204" s="228" t="str">
        <f t="shared" si="568"/>
        <v xml:space="preserve"> </v>
      </c>
      <c r="AQ204" s="228" t="str">
        <f t="shared" si="569"/>
        <v xml:space="preserve"> </v>
      </c>
      <c r="AR204" s="229" t="str">
        <f t="shared" si="570"/>
        <v xml:space="preserve"> </v>
      </c>
      <c r="AS204" s="262" t="str">
        <f t="shared" si="433"/>
        <v xml:space="preserve"> </v>
      </c>
      <c r="AT204" s="263" t="str">
        <f t="shared" si="434"/>
        <v xml:space="preserve"> </v>
      </c>
      <c r="AU204" s="263" t="str">
        <f t="shared" si="434"/>
        <v xml:space="preserve"> </v>
      </c>
      <c r="AV204" s="263" t="str">
        <f t="shared" si="435"/>
        <v xml:space="preserve"> </v>
      </c>
      <c r="AW204" s="263" t="str">
        <f t="shared" si="436"/>
        <v xml:space="preserve"> </v>
      </c>
      <c r="AX204" s="263" t="str">
        <f t="shared" si="436"/>
        <v xml:space="preserve"> </v>
      </c>
      <c r="AY204" s="263" t="str">
        <f t="shared" si="437"/>
        <v xml:space="preserve"> </v>
      </c>
      <c r="AZ204" s="263" t="str">
        <f t="shared" si="438"/>
        <v xml:space="preserve"> </v>
      </c>
      <c r="BA204" s="263" t="str">
        <f t="shared" si="439"/>
        <v xml:space="preserve"> </v>
      </c>
      <c r="BB204" s="229"/>
      <c r="BC204" s="266" t="str">
        <f t="shared" si="514"/>
        <v xml:space="preserve"> </v>
      </c>
      <c r="BD204" s="269" t="str">
        <f t="shared" si="515"/>
        <v xml:space="preserve"> </v>
      </c>
      <c r="BE204" s="269" t="str">
        <f t="shared" si="515"/>
        <v xml:space="preserve"> </v>
      </c>
      <c r="BF204" s="269" t="str">
        <f t="shared" si="516"/>
        <v xml:space="preserve"> </v>
      </c>
      <c r="BG204" s="269" t="str">
        <f t="shared" si="517"/>
        <v xml:space="preserve"> </v>
      </c>
      <c r="BH204" s="269" t="str">
        <f t="shared" si="517"/>
        <v xml:space="preserve"> </v>
      </c>
      <c r="BI204" s="269" t="str">
        <f t="shared" si="518"/>
        <v xml:space="preserve"> </v>
      </c>
      <c r="BJ204" s="269" t="str">
        <f t="shared" si="519"/>
        <v xml:space="preserve"> </v>
      </c>
      <c r="BK204" s="269" t="str">
        <f t="shared" si="520"/>
        <v xml:space="preserve"> </v>
      </c>
      <c r="BL204" s="229"/>
      <c r="BM204" s="220" t="str">
        <f>IF($A204="N/A"," ",(IF(MONTH(A204)&gt;=4,IF(MONTH(A204)&lt;=10,Inputs!$F$13-Inputs!$G$13,Inputs!$F$14-Inputs!$G$14),Inputs!$F$14-Inputs!$G$14))*$CK204*Availability)</f>
        <v xml:space="preserve"> </v>
      </c>
      <c r="BN204" s="221" t="str">
        <f t="shared" si="571"/>
        <v xml:space="preserve"> </v>
      </c>
      <c r="BO204" s="221" t="str">
        <f t="shared" si="572"/>
        <v xml:space="preserve"> </v>
      </c>
      <c r="BP204" s="221" t="str">
        <f t="shared" si="573"/>
        <v xml:space="preserve"> </v>
      </c>
      <c r="BQ204" s="221" t="str">
        <f t="shared" si="574"/>
        <v xml:space="preserve"> </v>
      </c>
      <c r="BR204" s="221" t="str">
        <f t="shared" si="575"/>
        <v xml:space="preserve"> </v>
      </c>
      <c r="BS204" s="221" t="str">
        <f t="shared" si="576"/>
        <v xml:space="preserve"> </v>
      </c>
      <c r="BT204" s="221" t="str">
        <f t="shared" si="577"/>
        <v xml:space="preserve"> </v>
      </c>
      <c r="BU204" s="221" t="str">
        <f t="shared" si="578"/>
        <v xml:space="preserve"> </v>
      </c>
      <c r="BV204" s="221" t="str">
        <f t="shared" si="579"/>
        <v xml:space="preserve"> </v>
      </c>
      <c r="BW204" s="221" t="str">
        <f t="shared" si="580"/>
        <v xml:space="preserve"> </v>
      </c>
      <c r="BX204" s="421" t="str">
        <f t="shared" si="581"/>
        <v xml:space="preserve"> </v>
      </c>
      <c r="BY204" s="417" t="str">
        <f t="shared" si="582"/>
        <v xml:space="preserve"> </v>
      </c>
      <c r="BZ204" s="417" t="str">
        <f t="shared" si="583"/>
        <v xml:space="preserve"> </v>
      </c>
      <c r="CA204" s="422" t="str">
        <f t="shared" si="584"/>
        <v xml:space="preserve"> </v>
      </c>
      <c r="CB204" s="347" t="str">
        <f t="shared" si="521"/>
        <v xml:space="preserve"> </v>
      </c>
      <c r="CC204" s="347" t="str">
        <f t="shared" si="585"/>
        <v xml:space="preserve"> </v>
      </c>
      <c r="CD204" s="348" t="str">
        <f t="shared" si="522"/>
        <v xml:space="preserve"> </v>
      </c>
      <c r="CE204" s="347" t="str">
        <f t="shared" si="523"/>
        <v xml:space="preserve"> </v>
      </c>
      <c r="CF204" s="347" t="str">
        <f t="shared" si="524"/>
        <v xml:space="preserve"> </v>
      </c>
      <c r="CG204" s="348" t="str">
        <f t="shared" si="525"/>
        <v xml:space="preserve"> </v>
      </c>
      <c r="CH204" s="347" t="str">
        <f t="shared" si="586"/>
        <v xml:space="preserve"> </v>
      </c>
      <c r="CI204" s="349" t="str">
        <f>IF($A204="N/A"," ",F204+G204+(D204*('Pricing Inputs'!T237)))</f>
        <v xml:space="preserve"> </v>
      </c>
      <c r="CJ204" s="347" t="str">
        <f>IF($A204="N/A"," ",IF(PV=1,0,'Pricing Inputs'!U237))</f>
        <v xml:space="preserve"> </v>
      </c>
      <c r="CK204" s="350" t="str">
        <f t="shared" si="526"/>
        <v xml:space="preserve"> </v>
      </c>
      <c r="CL204" s="365" t="str">
        <f t="shared" si="527"/>
        <v xml:space="preserve"> </v>
      </c>
      <c r="CM204" s="380" t="str">
        <f t="shared" si="587"/>
        <v xml:space="preserve"> </v>
      </c>
      <c r="CN204" s="378" t="str">
        <f t="shared" si="528"/>
        <v xml:space="preserve"> </v>
      </c>
      <c r="CO204" s="378" t="str">
        <f t="shared" si="529"/>
        <v xml:space="preserve"> </v>
      </c>
      <c r="CP204" s="378" t="str">
        <f t="shared" si="530"/>
        <v xml:space="preserve"> </v>
      </c>
      <c r="CQ204" s="378" t="str">
        <f t="shared" si="531"/>
        <v xml:space="preserve"> </v>
      </c>
      <c r="CR204" s="378" t="str">
        <f t="shared" si="532"/>
        <v xml:space="preserve"> </v>
      </c>
      <c r="CS204" s="378" t="str">
        <f t="shared" si="533"/>
        <v xml:space="preserve"> </v>
      </c>
      <c r="CT204" s="378" t="str">
        <f t="shared" si="534"/>
        <v xml:space="preserve"> </v>
      </c>
      <c r="CU204" s="378" t="str">
        <f t="shared" si="535"/>
        <v xml:space="preserve"> </v>
      </c>
      <c r="CV204" s="378" t="str">
        <f t="shared" si="536"/>
        <v xml:space="preserve"> </v>
      </c>
      <c r="CW204" s="254" t="str">
        <f t="shared" si="537"/>
        <v xml:space="preserve"> </v>
      </c>
      <c r="CX204" s="254" t="str">
        <f t="shared" si="538"/>
        <v xml:space="preserve"> </v>
      </c>
      <c r="CY204" s="254" t="str">
        <f t="shared" si="539"/>
        <v xml:space="preserve"> </v>
      </c>
      <c r="CZ204" s="254" t="str">
        <f t="shared" si="540"/>
        <v xml:space="preserve"> </v>
      </c>
      <c r="DA204" s="254" t="str">
        <f t="shared" si="541"/>
        <v xml:space="preserve"> </v>
      </c>
      <c r="DB204" s="254" t="str">
        <f t="shared" si="542"/>
        <v xml:space="preserve"> </v>
      </c>
      <c r="DC204" s="254" t="str">
        <f t="shared" si="543"/>
        <v xml:space="preserve"> </v>
      </c>
      <c r="DD204" s="254" t="str">
        <f t="shared" si="544"/>
        <v xml:space="preserve"> </v>
      </c>
      <c r="DE204" s="254" t="str">
        <f t="shared" si="545"/>
        <v xml:space="preserve"> </v>
      </c>
      <c r="DF204" s="374" t="str">
        <f>IF($A204="N/A"," ",IF(CC=2,(IF(MONTH(A204)&gt;=4,IF(MONTH(A204)&lt;=10,Inputs!$G$13,Inputs!$G$14),Inputs!$G$14))*$CK204,0))</f>
        <v xml:space="preserve"> </v>
      </c>
      <c r="DG204" s="373" t="str">
        <f t="shared" si="546"/>
        <v xml:space="preserve"> </v>
      </c>
      <c r="DH204" s="373" t="str">
        <f t="shared" si="547"/>
        <v xml:space="preserve"> </v>
      </c>
      <c r="DI204" s="373" t="str">
        <f t="shared" si="548"/>
        <v xml:space="preserve"> </v>
      </c>
      <c r="DJ204" s="373" t="str">
        <f t="shared" si="549"/>
        <v xml:space="preserve"> </v>
      </c>
      <c r="DK204" s="373" t="str">
        <f t="shared" si="550"/>
        <v xml:space="preserve"> </v>
      </c>
      <c r="DL204" s="373" t="str">
        <f t="shared" si="551"/>
        <v xml:space="preserve"> </v>
      </c>
      <c r="DM204" s="373" t="str">
        <f t="shared" si="552"/>
        <v xml:space="preserve"> </v>
      </c>
      <c r="DN204" s="373" t="str">
        <f t="shared" si="553"/>
        <v xml:space="preserve"> </v>
      </c>
      <c r="DO204" s="373" t="str">
        <f t="shared" si="554"/>
        <v xml:space="preserve"> </v>
      </c>
      <c r="DP204" s="375" t="str">
        <f t="shared" si="555"/>
        <v xml:space="preserve"> </v>
      </c>
      <c r="DQ204" t="str">
        <f t="shared" si="588"/>
        <v xml:space="preserve"> </v>
      </c>
      <c r="HD204" t="str">
        <f t="shared" si="589"/>
        <v xml:space="preserve"> </v>
      </c>
      <c r="HE204" t="str">
        <f t="shared" si="590"/>
        <v xml:space="preserve"> </v>
      </c>
      <c r="HF204" t="str">
        <f t="shared" si="591"/>
        <v xml:space="preserve"> </v>
      </c>
    </row>
    <row r="205" spans="1:214">
      <c r="A205" s="415" t="str">
        <f>IF(A204="N/A","N/A",IF(EDATE(A204,1)&gt;Inputs!$K$3,"N/A",EDATE(A204,1)))</f>
        <v>N/A</v>
      </c>
      <c r="B205" s="410" t="str">
        <f t="shared" si="556"/>
        <v xml:space="preserve"> </v>
      </c>
      <c r="C205" s="411" t="str">
        <f t="shared" si="557"/>
        <v xml:space="preserve"> </v>
      </c>
      <c r="D205" s="412" t="str">
        <f t="shared" si="558"/>
        <v xml:space="preserve"> </v>
      </c>
      <c r="E205" s="413" t="str">
        <f>IF($A205="N/A"," ",(C205-'Pricing Inputs'!T238)*D205)</f>
        <v xml:space="preserve"> </v>
      </c>
      <c r="F205" s="414" t="str">
        <f t="shared" si="440"/>
        <v xml:space="preserve"> </v>
      </c>
      <c r="G205" s="414" t="str">
        <f t="shared" si="559"/>
        <v xml:space="preserve"> </v>
      </c>
      <c r="H205" s="416" t="str">
        <f t="shared" si="560"/>
        <v xml:space="preserve"> </v>
      </c>
      <c r="I205" s="213" t="str">
        <f t="shared" si="501"/>
        <v xml:space="preserve"> </v>
      </c>
      <c r="J205" s="213" t="str">
        <f t="shared" si="502"/>
        <v xml:space="preserve"> </v>
      </c>
      <c r="K205" s="213" t="str">
        <f t="shared" si="503"/>
        <v xml:space="preserve"> </v>
      </c>
      <c r="L205" s="213" t="str">
        <f t="shared" si="504"/>
        <v xml:space="preserve"> </v>
      </c>
      <c r="M205" s="213" t="str">
        <f t="shared" si="505"/>
        <v xml:space="preserve"> </v>
      </c>
      <c r="N205" s="213" t="str">
        <f t="shared" si="506"/>
        <v xml:space="preserve"> </v>
      </c>
      <c r="O205" s="213" t="str">
        <f t="shared" si="507"/>
        <v xml:space="preserve"> </v>
      </c>
      <c r="P205" s="213" t="str">
        <f t="shared" si="508"/>
        <v xml:space="preserve"> </v>
      </c>
      <c r="Q205" s="213" t="str">
        <f t="shared" si="509"/>
        <v xml:space="preserve"> </v>
      </c>
      <c r="R205" s="405" t="str">
        <f>IF($A205="N/A"," ",IF(Pricetype=2,MAX(I205-$H205,0),IF(Pricetype=1,(_xll.xSPRDOPT(I205,$E205,$CI205,0,($CD205+IF(Smile=TRUE,VLOOKUP(MAX(-5,$H205-I205),Volsmile,2),0)),$CG205,$CH205,($A205-DateToday)+15,1,0)),I205-$H205)))</f>
        <v xml:space="preserve"> </v>
      </c>
      <c r="S205" s="405" t="str">
        <f>IF($A205="N/A"," ",IF(Pricetype=2,MAX(J205-$H205,0),IF(Pricetype=1,(_xll.xSPRDOPT(J205,$E205,$CI205,0,($CD205+IF(Smile=TRUE,VLOOKUP(MAX(-5,$H205-J205),Volsmile,2),0)),$CG205,$CH205,($A205-DateToday)+15,1,0)),J205-$H205)))</f>
        <v xml:space="preserve"> </v>
      </c>
      <c r="T205" s="406" t="str">
        <f t="shared" si="510"/>
        <v xml:space="preserve"> </v>
      </c>
      <c r="U205" s="405" t="str">
        <f>IF($A205="N/A"," ",IF(Pricetype=2,MAX(L205-$H205,0),IF(L205&lt;&gt;0,IF(Pricetype=1,(_xll.xSPRDOPT(L205,$E205,$CI205,0,($CD205+IF(Smile=TRUE,VLOOKUP(MAX(-5,$H205-L205),Volsmile,2),0)),$CG205,$CH205,($A205-DateToday)+15,1,0)),L205-$H205),0)))</f>
        <v xml:space="preserve"> </v>
      </c>
      <c r="V205" s="405" t="str">
        <f>IF($A205="N/A"," ",IF(Pricetype=2,MAX(M205-$H205,0),IF(M205&lt;&gt;0,IF(Pricetype=1,(_xll.xSPRDOPT(M205,$E205,$CI205,0,($CD205+IF(Smile=TRUE,VLOOKUP(MAX(-5,$H205-M205),Volsmile,2),0)),$CG205,$CH205,($A205-DateToday)+15,1,0)),M205-$H205),0)))</f>
        <v xml:space="preserve"> </v>
      </c>
      <c r="W205" s="406" t="str">
        <f t="shared" si="511"/>
        <v xml:space="preserve"> </v>
      </c>
      <c r="X205" s="405" t="str">
        <f>IF($A205="N/A"," ",IF(Pricetype=2,MAX(O205-$H205,0),IF(O205&lt;&gt;0,IF(Pricetype=1,(_xll.xSPRDOPT(O205,$E205,$CI205,0,($CD205+IF(Smile=TRUE,VLOOKUP(MAX(-5,$H205-O205),Volsmile,2),0)),$CG205,$CH205,($A205-DateToday)+15,1,0)),O205-$H205),0)))</f>
        <v xml:space="preserve"> </v>
      </c>
      <c r="Y205" s="405" t="str">
        <f>IF($A205="N/A"," ",IF(Pricetype=2,MAX(P205-$H205,0),IF(P205&lt;&gt;0,IF(Pricetype=1,(_xll.xSPRDOPT(P205,$E205,$CI205,0,($CD205+IF(Smile=TRUE,VLOOKUP(MAX(-5,$H205-P205),Volsmile,2),0)),$CG205,$CH205,($A205-DateToday)+15,1,0)),P205-$H205),0)))</f>
        <v xml:space="preserve"> </v>
      </c>
      <c r="Z205" s="406" t="str">
        <f t="shared" si="512"/>
        <v xml:space="preserve"> </v>
      </c>
      <c r="AA205" s="254" t="str">
        <f>IF($A205="N/A"," ",IF(VLOOKUP(MONTH(A205),ManualTable,2)=1,(IF(0&lt;&gt;R205,IF(Pricetype=1,(_xll.xSPRDOPT(I205,$E205,$CI205,0,($CD205+IF(Smile=TRUE,VLOOKUP(MAX(-5,$H205-I205),Volsmile,2),0)),$CG205,$CH205,($A205-DateToday)+15,1,1))*(8*$HD205),8*$HD205),0)),0))</f>
        <v xml:space="preserve"> </v>
      </c>
      <c r="AB205" s="254" t="str">
        <f>IF($A205="N/A"," ",IF(VLOOKUP(MONTH(A205),ManualTable,3)=1,(IF(S205&lt;&gt;0,IF(Pricetype=1,(_xll.xSPRDOPT(J205,$E205,$CI205,0,($CD205+IF(Smile=TRUE,VLOOKUP(MAX(-5,$H205-J205),Volsmile,2),0)),$CG205,$CH205,($A205-DateToday)+15,1,1))*(8*$HD205),8*$HD205),0)),0))</f>
        <v xml:space="preserve"> </v>
      </c>
      <c r="AC205" s="254" t="str">
        <f t="shared" si="561"/>
        <v xml:space="preserve"> </v>
      </c>
      <c r="AD205" s="254" t="str">
        <f>IF($A205="N/A"," ",IF(VLOOKUP(MONTH(A205),ManualTable,5)=1,(IF(U205&lt;&gt;0,IF(Pricetype=1,(_xll.xSPRDOPT(L205,$E205,$CI205,0,($CD205+IF(Smile=TRUE,VLOOKUP(MAX(-5,$H205-L205),Volsmile,2),0)),$CG205,$CH205,($A205-DateToday)+15,1,1))*(8*$HE205),8*$HE205),0)),0))</f>
        <v xml:space="preserve"> </v>
      </c>
      <c r="AE205" s="254" t="str">
        <f>IF($A205="N/A"," ",IF(VLOOKUP(MONTH(A205),ManualTable,6)=1,(IF(V205&lt;&gt;0,IF(Pricetype=1,(_xll.xSPRDOPT(M205,$E205,$CI205,0,($CD205+IF(Smile=TRUE,VLOOKUP(MAX(-5,$H205-M205),Volsmile,2),0)),$CG205,$CH205,($A205-DateToday)+15,1,1))*(8*$HE205),8*$HE205),0)),0))</f>
        <v xml:space="preserve"> </v>
      </c>
      <c r="AF205" s="254" t="str">
        <f t="shared" si="562"/>
        <v xml:space="preserve"> </v>
      </c>
      <c r="AG205" s="254" t="str">
        <f>IF($A205="N/A"," ",IF(VLOOKUP(MONTH(A205),ManualTable,8)=1,(IF(X205&lt;&gt;0,IF(Pricetype=1,(_xll.xSPRDOPT(O205,$E205,$CI205,0,($CD205+IF(Smile=TRUE,VLOOKUP(MAX(-5,$H205-O205),Volsmile,2),0)),$CG205,$CH205,($A205-DateToday)+15,1,1))*(8*$HF205),8*$HF205),0)),0))</f>
        <v xml:space="preserve"> </v>
      </c>
      <c r="AH205" s="254" t="str">
        <f>IF($A205="N/A"," ",IF(VLOOKUP(MONTH(A205),ManualTable,9)=1,(IF(Y205&lt;&gt;0,IF(Pricetype=1,(_xll.xSPRDOPT(P205,$E205,$CI205,0,($CD205+IF(Smile=TRUE,VLOOKUP(MAX(-5,$H205-P205),Volsmile,2),0)),$CG205,$CH205,($A205-DateToday)+15,1,1))*(8*$HF205),8*$HF205),0)),0))</f>
        <v xml:space="preserve"> </v>
      </c>
      <c r="AI205" s="254" t="str">
        <f t="shared" si="563"/>
        <v xml:space="preserve"> </v>
      </c>
      <c r="AJ205" s="227" t="str">
        <f t="shared" si="564"/>
        <v xml:space="preserve"> </v>
      </c>
      <c r="AK205" s="228" t="str">
        <f t="shared" si="565"/>
        <v xml:space="preserve"> </v>
      </c>
      <c r="AL205" s="228" t="str">
        <f t="shared" si="565"/>
        <v xml:space="preserve"> </v>
      </c>
      <c r="AM205" s="228" t="str">
        <f t="shared" si="566"/>
        <v xml:space="preserve"> </v>
      </c>
      <c r="AN205" s="228" t="str">
        <f t="shared" si="567"/>
        <v xml:space="preserve"> </v>
      </c>
      <c r="AO205" s="228" t="str">
        <f t="shared" si="567"/>
        <v xml:space="preserve"> </v>
      </c>
      <c r="AP205" s="228" t="str">
        <f t="shared" si="568"/>
        <v xml:space="preserve"> </v>
      </c>
      <c r="AQ205" s="228" t="str">
        <f t="shared" si="569"/>
        <v xml:space="preserve"> </v>
      </c>
      <c r="AR205" s="229" t="str">
        <f t="shared" si="570"/>
        <v xml:space="preserve"> </v>
      </c>
      <c r="AS205" s="262" t="str">
        <f t="shared" si="433"/>
        <v xml:space="preserve"> </v>
      </c>
      <c r="AT205" s="263" t="str">
        <f t="shared" si="434"/>
        <v xml:space="preserve"> </v>
      </c>
      <c r="AU205" s="263" t="str">
        <f t="shared" si="434"/>
        <v xml:space="preserve"> </v>
      </c>
      <c r="AV205" s="263" t="str">
        <f t="shared" si="435"/>
        <v xml:space="preserve"> </v>
      </c>
      <c r="AW205" s="263" t="str">
        <f t="shared" si="436"/>
        <v xml:space="preserve"> </v>
      </c>
      <c r="AX205" s="263" t="str">
        <f t="shared" si="436"/>
        <v xml:space="preserve"> </v>
      </c>
      <c r="AY205" s="263" t="str">
        <f t="shared" si="437"/>
        <v xml:space="preserve"> </v>
      </c>
      <c r="AZ205" s="263" t="str">
        <f t="shared" si="438"/>
        <v xml:space="preserve"> </v>
      </c>
      <c r="BA205" s="263" t="str">
        <f t="shared" si="439"/>
        <v xml:space="preserve"> </v>
      </c>
      <c r="BB205" s="234" t="s">
        <v>1271</v>
      </c>
      <c r="BC205" s="266" t="str">
        <f t="shared" si="514"/>
        <v xml:space="preserve"> </v>
      </c>
      <c r="BD205" s="269" t="str">
        <f t="shared" si="515"/>
        <v xml:space="preserve"> </v>
      </c>
      <c r="BE205" s="269" t="str">
        <f t="shared" si="515"/>
        <v xml:space="preserve"> </v>
      </c>
      <c r="BF205" s="269" t="str">
        <f t="shared" si="516"/>
        <v xml:space="preserve"> </v>
      </c>
      <c r="BG205" s="269" t="str">
        <f t="shared" si="517"/>
        <v xml:space="preserve"> </v>
      </c>
      <c r="BH205" s="269" t="str">
        <f t="shared" si="517"/>
        <v xml:space="preserve"> </v>
      </c>
      <c r="BI205" s="269" t="str">
        <f t="shared" si="518"/>
        <v xml:space="preserve"> </v>
      </c>
      <c r="BJ205" s="269" t="str">
        <f t="shared" si="519"/>
        <v xml:space="preserve"> </v>
      </c>
      <c r="BK205" s="269" t="str">
        <f t="shared" si="520"/>
        <v xml:space="preserve"> </v>
      </c>
      <c r="BL205" s="233" t="s">
        <v>1283</v>
      </c>
      <c r="BM205" s="220" t="str">
        <f>IF($A205="N/A"," ",(IF(MONTH(A205)&gt;=4,IF(MONTH(A205)&lt;=10,Inputs!$F$13-Inputs!$G$13,Inputs!$F$14-Inputs!$G$14),Inputs!$F$14-Inputs!$G$14))*$CK205*Availability)</f>
        <v xml:space="preserve"> </v>
      </c>
      <c r="BN205" s="221" t="str">
        <f t="shared" si="571"/>
        <v xml:space="preserve"> </v>
      </c>
      <c r="BO205" s="221" t="str">
        <f t="shared" si="572"/>
        <v xml:space="preserve"> </v>
      </c>
      <c r="BP205" s="221" t="str">
        <f t="shared" si="573"/>
        <v xml:space="preserve"> </v>
      </c>
      <c r="BQ205" s="221" t="str">
        <f t="shared" si="574"/>
        <v xml:space="preserve"> </v>
      </c>
      <c r="BR205" s="221" t="str">
        <f t="shared" si="575"/>
        <v xml:space="preserve"> </v>
      </c>
      <c r="BS205" s="221" t="str">
        <f t="shared" si="576"/>
        <v xml:space="preserve"> </v>
      </c>
      <c r="BT205" s="221" t="str">
        <f t="shared" si="577"/>
        <v xml:space="preserve"> </v>
      </c>
      <c r="BU205" s="221" t="str">
        <f t="shared" si="578"/>
        <v xml:space="preserve"> </v>
      </c>
      <c r="BV205" s="221" t="str">
        <f t="shared" si="579"/>
        <v xml:space="preserve"> </v>
      </c>
      <c r="BW205" s="221" t="str">
        <f t="shared" si="580"/>
        <v xml:space="preserve"> </v>
      </c>
      <c r="BX205" s="421" t="str">
        <f t="shared" si="581"/>
        <v xml:space="preserve"> </v>
      </c>
      <c r="BY205" s="417" t="str">
        <f t="shared" si="582"/>
        <v xml:space="preserve"> </v>
      </c>
      <c r="BZ205" s="417" t="str">
        <f t="shared" si="583"/>
        <v xml:space="preserve"> </v>
      </c>
      <c r="CA205" s="422" t="str">
        <f t="shared" si="584"/>
        <v xml:space="preserve"> </v>
      </c>
      <c r="CB205" s="347" t="str">
        <f t="shared" si="521"/>
        <v xml:space="preserve"> </v>
      </c>
      <c r="CC205" s="347" t="str">
        <f t="shared" si="585"/>
        <v xml:space="preserve"> </v>
      </c>
      <c r="CD205" s="348" t="str">
        <f t="shared" si="522"/>
        <v xml:space="preserve"> </v>
      </c>
      <c r="CE205" s="347" t="str">
        <f t="shared" si="523"/>
        <v xml:space="preserve"> </v>
      </c>
      <c r="CF205" s="347" t="str">
        <f t="shared" si="524"/>
        <v xml:space="preserve"> </v>
      </c>
      <c r="CG205" s="348" t="str">
        <f t="shared" si="525"/>
        <v xml:space="preserve"> </v>
      </c>
      <c r="CH205" s="347" t="str">
        <f t="shared" si="586"/>
        <v xml:space="preserve"> </v>
      </c>
      <c r="CI205" s="349" t="str">
        <f>IF($A205="N/A"," ",F205+G205+(D205*('Pricing Inputs'!T238)))</f>
        <v xml:space="preserve"> </v>
      </c>
      <c r="CJ205" s="347" t="str">
        <f>IF($A205="N/A"," ",IF(PV=1,0,'Pricing Inputs'!U238))</f>
        <v xml:space="preserve"> </v>
      </c>
      <c r="CK205" s="350" t="str">
        <f t="shared" si="526"/>
        <v xml:space="preserve"> </v>
      </c>
      <c r="CL205" s="365" t="str">
        <f t="shared" si="527"/>
        <v xml:space="preserve"> </v>
      </c>
      <c r="CM205" s="380" t="str">
        <f t="shared" si="587"/>
        <v xml:space="preserve"> </v>
      </c>
      <c r="CN205" s="378" t="str">
        <f t="shared" si="528"/>
        <v xml:space="preserve"> </v>
      </c>
      <c r="CO205" s="378" t="str">
        <f t="shared" si="529"/>
        <v xml:space="preserve"> </v>
      </c>
      <c r="CP205" s="378" t="str">
        <f t="shared" si="530"/>
        <v xml:space="preserve"> </v>
      </c>
      <c r="CQ205" s="378" t="str">
        <f t="shared" si="531"/>
        <v xml:space="preserve"> </v>
      </c>
      <c r="CR205" s="378" t="str">
        <f t="shared" si="532"/>
        <v xml:space="preserve"> </v>
      </c>
      <c r="CS205" s="378" t="str">
        <f t="shared" si="533"/>
        <v xml:space="preserve"> </v>
      </c>
      <c r="CT205" s="378" t="str">
        <f t="shared" si="534"/>
        <v xml:space="preserve"> </v>
      </c>
      <c r="CU205" s="378" t="str">
        <f t="shared" si="535"/>
        <v xml:space="preserve"> </v>
      </c>
      <c r="CV205" s="378" t="str">
        <f t="shared" si="536"/>
        <v xml:space="preserve"> </v>
      </c>
      <c r="CW205" s="254" t="str">
        <f t="shared" si="537"/>
        <v xml:space="preserve"> </v>
      </c>
      <c r="CX205" s="254" t="str">
        <f t="shared" si="538"/>
        <v xml:space="preserve"> </v>
      </c>
      <c r="CY205" s="254" t="str">
        <f t="shared" si="539"/>
        <v xml:space="preserve"> </v>
      </c>
      <c r="CZ205" s="254" t="str">
        <f t="shared" si="540"/>
        <v xml:space="preserve"> </v>
      </c>
      <c r="DA205" s="254" t="str">
        <f t="shared" si="541"/>
        <v xml:space="preserve"> </v>
      </c>
      <c r="DB205" s="254" t="str">
        <f t="shared" si="542"/>
        <v xml:space="preserve"> </v>
      </c>
      <c r="DC205" s="254" t="str">
        <f t="shared" si="543"/>
        <v xml:space="preserve"> </v>
      </c>
      <c r="DD205" s="254" t="str">
        <f t="shared" si="544"/>
        <v xml:space="preserve"> </v>
      </c>
      <c r="DE205" s="254" t="str">
        <f t="shared" si="545"/>
        <v xml:space="preserve"> </v>
      </c>
      <c r="DF205" s="374" t="str">
        <f>IF($A205="N/A"," ",IF(CC=2,(IF(MONTH(A205)&gt;=4,IF(MONTH(A205)&lt;=10,Inputs!$G$13,Inputs!$G$14),Inputs!$G$14))*$CK205,0))</f>
        <v xml:space="preserve"> </v>
      </c>
      <c r="DG205" s="373" t="str">
        <f t="shared" si="546"/>
        <v xml:space="preserve"> </v>
      </c>
      <c r="DH205" s="373" t="str">
        <f t="shared" si="547"/>
        <v xml:space="preserve"> </v>
      </c>
      <c r="DI205" s="373" t="str">
        <f t="shared" si="548"/>
        <v xml:space="preserve"> </v>
      </c>
      <c r="DJ205" s="373" t="str">
        <f t="shared" si="549"/>
        <v xml:space="preserve"> </v>
      </c>
      <c r="DK205" s="373" t="str">
        <f t="shared" si="550"/>
        <v xml:space="preserve"> </v>
      </c>
      <c r="DL205" s="373" t="str">
        <f t="shared" si="551"/>
        <v xml:space="preserve"> </v>
      </c>
      <c r="DM205" s="373" t="str">
        <f t="shared" si="552"/>
        <v xml:space="preserve"> </v>
      </c>
      <c r="DN205" s="373" t="str">
        <f t="shared" si="553"/>
        <v xml:space="preserve"> </v>
      </c>
      <c r="DO205" s="373" t="str">
        <f t="shared" si="554"/>
        <v xml:space="preserve"> </v>
      </c>
      <c r="DP205" s="375" t="str">
        <f t="shared" si="555"/>
        <v xml:space="preserve"> </v>
      </c>
      <c r="DQ205" t="str">
        <f t="shared" si="588"/>
        <v xml:space="preserve"> </v>
      </c>
      <c r="HD205" t="str">
        <f t="shared" si="589"/>
        <v xml:space="preserve"> </v>
      </c>
      <c r="HE205" t="str">
        <f t="shared" si="590"/>
        <v xml:space="preserve"> </v>
      </c>
      <c r="HF205" t="str">
        <f t="shared" si="591"/>
        <v xml:space="preserve"> </v>
      </c>
    </row>
    <row r="206" spans="1:214">
      <c r="A206" s="415" t="str">
        <f>IF(A205="N/A","N/A",IF(EDATE(A205,1)&gt;Inputs!$K$3,"N/A",EDATE(A205,1)))</f>
        <v>N/A</v>
      </c>
      <c r="B206" s="410" t="str">
        <f t="shared" si="556"/>
        <v xml:space="preserve"> </v>
      </c>
      <c r="C206" s="411" t="str">
        <f t="shared" si="557"/>
        <v xml:space="preserve"> </v>
      </c>
      <c r="D206" s="412" t="str">
        <f t="shared" si="558"/>
        <v xml:space="preserve"> </v>
      </c>
      <c r="E206" s="413" t="str">
        <f>IF($A206="N/A"," ",(C206-'Pricing Inputs'!T239)*D206)</f>
        <v xml:space="preserve"> </v>
      </c>
      <c r="F206" s="414" t="str">
        <f t="shared" si="440"/>
        <v xml:space="preserve"> </v>
      </c>
      <c r="G206" s="414" t="str">
        <f t="shared" si="559"/>
        <v xml:space="preserve"> </v>
      </c>
      <c r="H206" s="416" t="str">
        <f t="shared" si="560"/>
        <v xml:space="preserve"> </v>
      </c>
      <c r="I206" s="213" t="str">
        <f t="shared" si="501"/>
        <v xml:space="preserve"> </v>
      </c>
      <c r="J206" s="213" t="str">
        <f t="shared" si="502"/>
        <v xml:space="preserve"> </v>
      </c>
      <c r="K206" s="213" t="str">
        <f t="shared" si="503"/>
        <v xml:space="preserve"> </v>
      </c>
      <c r="L206" s="213" t="str">
        <f t="shared" si="504"/>
        <v xml:space="preserve"> </v>
      </c>
      <c r="M206" s="213" t="str">
        <f t="shared" si="505"/>
        <v xml:space="preserve"> </v>
      </c>
      <c r="N206" s="213" t="str">
        <f t="shared" si="506"/>
        <v xml:space="preserve"> </v>
      </c>
      <c r="O206" s="213" t="str">
        <f t="shared" si="507"/>
        <v xml:space="preserve"> </v>
      </c>
      <c r="P206" s="213" t="str">
        <f t="shared" si="508"/>
        <v xml:space="preserve"> </v>
      </c>
      <c r="Q206" s="213" t="str">
        <f t="shared" si="509"/>
        <v xml:space="preserve"> </v>
      </c>
      <c r="R206" s="405" t="str">
        <f>IF($A206="N/A"," ",IF(Pricetype=2,MAX(I206-$H206,0),IF(Pricetype=1,(_xll.xSPRDOPT(I206,$E206,$CI206,0,($CD206+IF(Smile=TRUE,VLOOKUP(MAX(-5,$H206-I206),Volsmile,2),0)),$CG206,$CH206,($A206-DateToday)+15,1,0)),I206-$H206)))</f>
        <v xml:space="preserve"> </v>
      </c>
      <c r="S206" s="405" t="str">
        <f>IF($A206="N/A"," ",IF(Pricetype=2,MAX(J206-$H206,0),IF(Pricetype=1,(_xll.xSPRDOPT(J206,$E206,$CI206,0,($CD206+IF(Smile=TRUE,VLOOKUP(MAX(-5,$H206-J206),Volsmile,2),0)),$CG206,$CH206,($A206-DateToday)+15,1,0)),J206-$H206)))</f>
        <v xml:space="preserve"> </v>
      </c>
      <c r="T206" s="406" t="str">
        <f t="shared" si="510"/>
        <v xml:space="preserve"> </v>
      </c>
      <c r="U206" s="405" t="str">
        <f>IF($A206="N/A"," ",IF(Pricetype=2,MAX(L206-$H206,0),IF(L206&lt;&gt;0,IF(Pricetype=1,(_xll.xSPRDOPT(L206,$E206,$CI206,0,($CD206+IF(Smile=TRUE,VLOOKUP(MAX(-5,$H206-L206),Volsmile,2),0)),$CG206,$CH206,($A206-DateToday)+15,1,0)),L206-$H206),0)))</f>
        <v xml:space="preserve"> </v>
      </c>
      <c r="V206" s="405" t="str">
        <f>IF($A206="N/A"," ",IF(Pricetype=2,MAX(M206-$H206,0),IF(M206&lt;&gt;0,IF(Pricetype=1,(_xll.xSPRDOPT(M206,$E206,$CI206,0,($CD206+IF(Smile=TRUE,VLOOKUP(MAX(-5,$H206-M206),Volsmile,2),0)),$CG206,$CH206,($A206-DateToday)+15,1,0)),M206-$H206),0)))</f>
        <v xml:space="preserve"> </v>
      </c>
      <c r="W206" s="406" t="str">
        <f t="shared" si="511"/>
        <v xml:space="preserve"> </v>
      </c>
      <c r="X206" s="405" t="str">
        <f>IF($A206="N/A"," ",IF(Pricetype=2,MAX(O206-$H206,0),IF(O206&lt;&gt;0,IF(Pricetype=1,(_xll.xSPRDOPT(O206,$E206,$CI206,0,($CD206+IF(Smile=TRUE,VLOOKUP(MAX(-5,$H206-O206),Volsmile,2),0)),$CG206,$CH206,($A206-DateToday)+15,1,0)),O206-$H206),0)))</f>
        <v xml:space="preserve"> </v>
      </c>
      <c r="Y206" s="405" t="str">
        <f>IF($A206="N/A"," ",IF(Pricetype=2,MAX(P206-$H206,0),IF(P206&lt;&gt;0,IF(Pricetype=1,(_xll.xSPRDOPT(P206,$E206,$CI206,0,($CD206+IF(Smile=TRUE,VLOOKUP(MAX(-5,$H206-P206),Volsmile,2),0)),$CG206,$CH206,($A206-DateToday)+15,1,0)),P206-$H206),0)))</f>
        <v xml:space="preserve"> </v>
      </c>
      <c r="Z206" s="406" t="str">
        <f t="shared" si="512"/>
        <v xml:space="preserve"> </v>
      </c>
      <c r="AA206" s="254" t="str">
        <f>IF($A206="N/A"," ",IF(VLOOKUP(MONTH(A206),ManualTable,2)=1,(IF(0&lt;&gt;R206,IF(Pricetype=1,(_xll.xSPRDOPT(I206,$E206,$CI206,0,($CD206+IF(Smile=TRUE,VLOOKUP(MAX(-5,$H206-I206),Volsmile,2),0)),$CG206,$CH206,($A206-DateToday)+15,1,1))*(8*$HD206),8*$HD206),0)),0))</f>
        <v xml:space="preserve"> </v>
      </c>
      <c r="AB206" s="254" t="str">
        <f>IF($A206="N/A"," ",IF(VLOOKUP(MONTH(A206),ManualTable,3)=1,(IF(S206&lt;&gt;0,IF(Pricetype=1,(_xll.xSPRDOPT(J206,$E206,$CI206,0,($CD206+IF(Smile=TRUE,VLOOKUP(MAX(-5,$H206-J206),Volsmile,2),0)),$CG206,$CH206,($A206-DateToday)+15,1,1))*(8*$HD206),8*$HD206),0)),0))</f>
        <v xml:space="preserve"> </v>
      </c>
      <c r="AC206" s="254" t="str">
        <f t="shared" si="561"/>
        <v xml:space="preserve"> </v>
      </c>
      <c r="AD206" s="254" t="str">
        <f>IF($A206="N/A"," ",IF(VLOOKUP(MONTH(A206),ManualTable,5)=1,(IF(U206&lt;&gt;0,IF(Pricetype=1,(_xll.xSPRDOPT(L206,$E206,$CI206,0,($CD206+IF(Smile=TRUE,VLOOKUP(MAX(-5,$H206-L206),Volsmile,2),0)),$CG206,$CH206,($A206-DateToday)+15,1,1))*(8*$HE206),8*$HE206),0)),0))</f>
        <v xml:space="preserve"> </v>
      </c>
      <c r="AE206" s="254" t="str">
        <f>IF($A206="N/A"," ",IF(VLOOKUP(MONTH(A206),ManualTable,6)=1,(IF(V206&lt;&gt;0,IF(Pricetype=1,(_xll.xSPRDOPT(M206,$E206,$CI206,0,($CD206+IF(Smile=TRUE,VLOOKUP(MAX(-5,$H206-M206),Volsmile,2),0)),$CG206,$CH206,($A206-DateToday)+15,1,1))*(8*$HE206),8*$HE206),0)),0))</f>
        <v xml:space="preserve"> </v>
      </c>
      <c r="AF206" s="254" t="str">
        <f t="shared" si="562"/>
        <v xml:space="preserve"> </v>
      </c>
      <c r="AG206" s="254" t="str">
        <f>IF($A206="N/A"," ",IF(VLOOKUP(MONTH(A206),ManualTable,8)=1,(IF(X206&lt;&gt;0,IF(Pricetype=1,(_xll.xSPRDOPT(O206,$E206,$CI206,0,($CD206+IF(Smile=TRUE,VLOOKUP(MAX(-5,$H206-O206),Volsmile,2),0)),$CG206,$CH206,($A206-DateToday)+15,1,1))*(8*$HF206),8*$HF206),0)),0))</f>
        <v xml:space="preserve"> </v>
      </c>
      <c r="AH206" s="254" t="str">
        <f>IF($A206="N/A"," ",IF(VLOOKUP(MONTH(A206),ManualTable,9)=1,(IF(Y206&lt;&gt;0,IF(Pricetype=1,(_xll.xSPRDOPT(P206,$E206,$CI206,0,($CD206+IF(Smile=TRUE,VLOOKUP(MAX(-5,$H206-P206),Volsmile,2),0)),$CG206,$CH206,($A206-DateToday)+15,1,1))*(8*$HF206),8*$HF206),0)),0))</f>
        <v xml:space="preserve"> </v>
      </c>
      <c r="AI206" s="254" t="str">
        <f t="shared" si="563"/>
        <v xml:space="preserve"> </v>
      </c>
      <c r="AJ206" s="227" t="str">
        <f t="shared" si="564"/>
        <v xml:space="preserve"> </v>
      </c>
      <c r="AK206" s="228" t="str">
        <f t="shared" si="565"/>
        <v xml:space="preserve"> </v>
      </c>
      <c r="AL206" s="228" t="str">
        <f t="shared" si="565"/>
        <v xml:space="preserve"> </v>
      </c>
      <c r="AM206" s="228" t="str">
        <f t="shared" si="566"/>
        <v xml:space="preserve"> </v>
      </c>
      <c r="AN206" s="228" t="str">
        <f t="shared" si="567"/>
        <v xml:space="preserve"> </v>
      </c>
      <c r="AO206" s="228" t="str">
        <f t="shared" si="567"/>
        <v xml:space="preserve"> </v>
      </c>
      <c r="AP206" s="228" t="str">
        <f t="shared" si="568"/>
        <v xml:space="preserve"> </v>
      </c>
      <c r="AQ206" s="228" t="str">
        <f t="shared" si="569"/>
        <v xml:space="preserve"> </v>
      </c>
      <c r="AR206" s="229" t="str">
        <f t="shared" si="570"/>
        <v xml:space="preserve"> </v>
      </c>
      <c r="AS206" s="262" t="str">
        <f t="shared" si="433"/>
        <v xml:space="preserve"> </v>
      </c>
      <c r="AT206" s="263" t="str">
        <f t="shared" si="434"/>
        <v xml:space="preserve"> </v>
      </c>
      <c r="AU206" s="263" t="str">
        <f t="shared" si="434"/>
        <v xml:space="preserve"> </v>
      </c>
      <c r="AV206" s="263" t="str">
        <f t="shared" si="435"/>
        <v xml:space="preserve"> </v>
      </c>
      <c r="AW206" s="263" t="str">
        <f t="shared" si="436"/>
        <v xml:space="preserve"> </v>
      </c>
      <c r="AX206" s="263" t="str">
        <f t="shared" si="436"/>
        <v xml:space="preserve"> </v>
      </c>
      <c r="AY206" s="263" t="str">
        <f t="shared" si="437"/>
        <v xml:space="preserve"> </v>
      </c>
      <c r="AZ206" s="263" t="str">
        <f t="shared" si="438"/>
        <v xml:space="preserve"> </v>
      </c>
      <c r="BA206" s="263" t="str">
        <f t="shared" si="439"/>
        <v xml:space="preserve"> </v>
      </c>
      <c r="BB206" s="229">
        <f>SUM(AS196:BA207)</f>
        <v>0</v>
      </c>
      <c r="BC206" s="266" t="str">
        <f t="shared" si="514"/>
        <v xml:space="preserve"> </v>
      </c>
      <c r="BD206" s="269" t="str">
        <f t="shared" si="515"/>
        <v xml:space="preserve"> </v>
      </c>
      <c r="BE206" s="269" t="str">
        <f t="shared" si="515"/>
        <v xml:space="preserve"> </v>
      </c>
      <c r="BF206" s="269" t="str">
        <f t="shared" si="516"/>
        <v xml:space="preserve"> </v>
      </c>
      <c r="BG206" s="269" t="str">
        <f t="shared" si="517"/>
        <v xml:space="preserve"> </v>
      </c>
      <c r="BH206" s="269" t="str">
        <f t="shared" si="517"/>
        <v xml:space="preserve"> </v>
      </c>
      <c r="BI206" s="269" t="str">
        <f t="shared" si="518"/>
        <v xml:space="preserve"> </v>
      </c>
      <c r="BJ206" s="269" t="str">
        <f t="shared" si="519"/>
        <v xml:space="preserve"> </v>
      </c>
      <c r="BK206" s="269" t="str">
        <f t="shared" si="520"/>
        <v xml:space="preserve"> </v>
      </c>
      <c r="BL206" s="229">
        <f>SUM(BC196:BK207)</f>
        <v>0</v>
      </c>
      <c r="BM206" s="220" t="str">
        <f>IF($A206="N/A"," ",(IF(MONTH(A206)&gt;=4,IF(MONTH(A206)&lt;=10,Inputs!$F$13-Inputs!$G$13,Inputs!$F$14-Inputs!$G$14),Inputs!$F$14-Inputs!$G$14))*$CK206*Availability)</f>
        <v xml:space="preserve"> </v>
      </c>
      <c r="BN206" s="221" t="str">
        <f t="shared" si="571"/>
        <v xml:space="preserve"> </v>
      </c>
      <c r="BO206" s="221" t="str">
        <f t="shared" si="572"/>
        <v xml:space="preserve"> </v>
      </c>
      <c r="BP206" s="221" t="str">
        <f t="shared" si="573"/>
        <v xml:space="preserve"> </v>
      </c>
      <c r="BQ206" s="221" t="str">
        <f t="shared" si="574"/>
        <v xml:space="preserve"> </v>
      </c>
      <c r="BR206" s="221" t="str">
        <f t="shared" si="575"/>
        <v xml:space="preserve"> </v>
      </c>
      <c r="BS206" s="221" t="str">
        <f t="shared" si="576"/>
        <v xml:space="preserve"> </v>
      </c>
      <c r="BT206" s="221" t="str">
        <f t="shared" si="577"/>
        <v xml:space="preserve"> </v>
      </c>
      <c r="BU206" s="221" t="str">
        <f t="shared" si="578"/>
        <v xml:space="preserve"> </v>
      </c>
      <c r="BV206" s="221" t="str">
        <f t="shared" si="579"/>
        <v xml:space="preserve"> </v>
      </c>
      <c r="BW206" s="221" t="str">
        <f t="shared" si="580"/>
        <v xml:space="preserve"> </v>
      </c>
      <c r="BX206" s="421" t="str">
        <f t="shared" si="581"/>
        <v xml:space="preserve"> </v>
      </c>
      <c r="BY206" s="417" t="str">
        <f t="shared" si="582"/>
        <v xml:space="preserve"> </v>
      </c>
      <c r="BZ206" s="417" t="str">
        <f t="shared" si="583"/>
        <v xml:space="preserve"> </v>
      </c>
      <c r="CA206" s="422" t="str">
        <f t="shared" si="584"/>
        <v xml:space="preserve"> </v>
      </c>
      <c r="CB206" s="347" t="str">
        <f t="shared" si="521"/>
        <v xml:space="preserve"> </v>
      </c>
      <c r="CC206" s="347" t="str">
        <f t="shared" si="585"/>
        <v xml:space="preserve"> </v>
      </c>
      <c r="CD206" s="348" t="str">
        <f t="shared" si="522"/>
        <v xml:space="preserve"> </v>
      </c>
      <c r="CE206" s="347" t="str">
        <f t="shared" si="523"/>
        <v xml:space="preserve"> </v>
      </c>
      <c r="CF206" s="347" t="str">
        <f t="shared" si="524"/>
        <v xml:space="preserve"> </v>
      </c>
      <c r="CG206" s="348" t="str">
        <f t="shared" si="525"/>
        <v xml:space="preserve"> </v>
      </c>
      <c r="CH206" s="347" t="str">
        <f t="shared" si="586"/>
        <v xml:space="preserve"> </v>
      </c>
      <c r="CI206" s="349" t="str">
        <f>IF($A206="N/A"," ",F206+G206+(D206*('Pricing Inputs'!T239)))</f>
        <v xml:space="preserve"> </v>
      </c>
      <c r="CJ206" s="347" t="str">
        <f>IF($A206="N/A"," ",IF(PV=1,0,'Pricing Inputs'!U239))</f>
        <v xml:space="preserve"> </v>
      </c>
      <c r="CK206" s="350" t="str">
        <f t="shared" si="526"/>
        <v xml:space="preserve"> </v>
      </c>
      <c r="CL206" s="365" t="str">
        <f t="shared" si="527"/>
        <v xml:space="preserve"> </v>
      </c>
      <c r="CM206" s="380" t="str">
        <f t="shared" si="587"/>
        <v xml:space="preserve"> </v>
      </c>
      <c r="CN206" s="378" t="str">
        <f t="shared" si="528"/>
        <v xml:space="preserve"> </v>
      </c>
      <c r="CO206" s="378" t="str">
        <f t="shared" si="529"/>
        <v xml:space="preserve"> </v>
      </c>
      <c r="CP206" s="378" t="str">
        <f t="shared" si="530"/>
        <v xml:space="preserve"> </v>
      </c>
      <c r="CQ206" s="378" t="str">
        <f t="shared" si="531"/>
        <v xml:space="preserve"> </v>
      </c>
      <c r="CR206" s="378" t="str">
        <f t="shared" si="532"/>
        <v xml:space="preserve"> </v>
      </c>
      <c r="CS206" s="378" t="str">
        <f t="shared" si="533"/>
        <v xml:space="preserve"> </v>
      </c>
      <c r="CT206" s="378" t="str">
        <f t="shared" si="534"/>
        <v xml:space="preserve"> </v>
      </c>
      <c r="CU206" s="378" t="str">
        <f t="shared" si="535"/>
        <v xml:space="preserve"> </v>
      </c>
      <c r="CV206" s="378" t="str">
        <f t="shared" si="536"/>
        <v xml:space="preserve"> </v>
      </c>
      <c r="CW206" s="254" t="str">
        <f t="shared" si="537"/>
        <v xml:space="preserve"> </v>
      </c>
      <c r="CX206" s="254" t="str">
        <f t="shared" si="538"/>
        <v xml:space="preserve"> </v>
      </c>
      <c r="CY206" s="254" t="str">
        <f t="shared" si="539"/>
        <v xml:space="preserve"> </v>
      </c>
      <c r="CZ206" s="254" t="str">
        <f t="shared" si="540"/>
        <v xml:space="preserve"> </v>
      </c>
      <c r="DA206" s="254" t="str">
        <f t="shared" si="541"/>
        <v xml:space="preserve"> </v>
      </c>
      <c r="DB206" s="254" t="str">
        <f t="shared" si="542"/>
        <v xml:space="preserve"> </v>
      </c>
      <c r="DC206" s="254" t="str">
        <f t="shared" si="543"/>
        <v xml:space="preserve"> </v>
      </c>
      <c r="DD206" s="254" t="str">
        <f t="shared" si="544"/>
        <v xml:space="preserve"> </v>
      </c>
      <c r="DE206" s="254" t="str">
        <f t="shared" si="545"/>
        <v xml:space="preserve"> </v>
      </c>
      <c r="DF206" s="374" t="str">
        <f>IF($A206="N/A"," ",IF(CC=2,(IF(MONTH(A206)&gt;=4,IF(MONTH(A206)&lt;=10,Inputs!$G$13,Inputs!$G$14),Inputs!$G$14))*$CK206,0))</f>
        <v xml:space="preserve"> </v>
      </c>
      <c r="DG206" s="373" t="str">
        <f t="shared" si="546"/>
        <v xml:space="preserve"> </v>
      </c>
      <c r="DH206" s="373" t="str">
        <f t="shared" si="547"/>
        <v xml:space="preserve"> </v>
      </c>
      <c r="DI206" s="373" t="str">
        <f t="shared" si="548"/>
        <v xml:space="preserve"> </v>
      </c>
      <c r="DJ206" s="373" t="str">
        <f t="shared" si="549"/>
        <v xml:space="preserve"> </v>
      </c>
      <c r="DK206" s="373" t="str">
        <f t="shared" si="550"/>
        <v xml:space="preserve"> </v>
      </c>
      <c r="DL206" s="373" t="str">
        <f t="shared" si="551"/>
        <v xml:space="preserve"> </v>
      </c>
      <c r="DM206" s="373" t="str">
        <f t="shared" si="552"/>
        <v xml:space="preserve"> </v>
      </c>
      <c r="DN206" s="373" t="str">
        <f t="shared" si="553"/>
        <v xml:space="preserve"> </v>
      </c>
      <c r="DO206" s="373" t="str">
        <f t="shared" si="554"/>
        <v xml:space="preserve"> </v>
      </c>
      <c r="DP206" s="375" t="str">
        <f t="shared" si="555"/>
        <v xml:space="preserve"> </v>
      </c>
      <c r="DQ206" t="str">
        <f t="shared" si="588"/>
        <v xml:space="preserve"> </v>
      </c>
      <c r="HD206" t="str">
        <f t="shared" si="589"/>
        <v xml:space="preserve"> </v>
      </c>
      <c r="HE206" t="str">
        <f t="shared" si="590"/>
        <v xml:space="preserve"> </v>
      </c>
      <c r="HF206" t="str">
        <f t="shared" si="591"/>
        <v xml:space="preserve"> </v>
      </c>
    </row>
    <row r="207" spans="1:214">
      <c r="A207" s="415" t="str">
        <f>IF(A206="N/A","N/A",IF(EDATE(A206,1)&gt;Inputs!$K$3,"N/A",EDATE(A206,1)))</f>
        <v>N/A</v>
      </c>
      <c r="B207" s="410" t="str">
        <f t="shared" si="556"/>
        <v xml:space="preserve"> </v>
      </c>
      <c r="C207" s="411" t="str">
        <f t="shared" si="557"/>
        <v xml:space="preserve"> </v>
      </c>
      <c r="D207" s="412" t="str">
        <f t="shared" si="558"/>
        <v xml:space="preserve"> </v>
      </c>
      <c r="E207" s="413" t="str">
        <f>IF($A207="N/A"," ",(C207-'Pricing Inputs'!T240)*D207)</f>
        <v xml:space="preserve"> </v>
      </c>
      <c r="F207" s="414" t="str">
        <f t="shared" si="440"/>
        <v xml:space="preserve"> </v>
      </c>
      <c r="G207" s="414" t="str">
        <f t="shared" si="559"/>
        <v xml:space="preserve"> </v>
      </c>
      <c r="H207" s="416" t="str">
        <f t="shared" si="560"/>
        <v xml:space="preserve"> </v>
      </c>
      <c r="I207" s="213" t="str">
        <f t="shared" si="501"/>
        <v xml:space="preserve"> </v>
      </c>
      <c r="J207" s="213" t="str">
        <f t="shared" si="502"/>
        <v xml:space="preserve"> </v>
      </c>
      <c r="K207" s="213" t="str">
        <f t="shared" si="503"/>
        <v xml:space="preserve"> </v>
      </c>
      <c r="L207" s="213" t="str">
        <f t="shared" si="504"/>
        <v xml:space="preserve"> </v>
      </c>
      <c r="M207" s="213" t="str">
        <f t="shared" si="505"/>
        <v xml:space="preserve"> </v>
      </c>
      <c r="N207" s="213" t="str">
        <f t="shared" si="506"/>
        <v xml:space="preserve"> </v>
      </c>
      <c r="O207" s="213" t="str">
        <f t="shared" si="507"/>
        <v xml:space="preserve"> </v>
      </c>
      <c r="P207" s="213" t="str">
        <f t="shared" si="508"/>
        <v xml:space="preserve"> </v>
      </c>
      <c r="Q207" s="213" t="str">
        <f t="shared" si="509"/>
        <v xml:space="preserve"> </v>
      </c>
      <c r="R207" s="405" t="str">
        <f>IF($A207="N/A"," ",IF(Pricetype=2,MAX(I207-$H207,0),IF(Pricetype=1,(_xll.xSPRDOPT(I207,$E207,$CI207,0,($CD207+IF(Smile=TRUE,VLOOKUP(MAX(-5,$H207-I207),Volsmile,2),0)),$CG207,$CH207,($A207-DateToday)+15,1,0)),I207-$H207)))</f>
        <v xml:space="preserve"> </v>
      </c>
      <c r="S207" s="405" t="str">
        <f>IF($A207="N/A"," ",IF(Pricetype=2,MAX(J207-$H207,0),IF(Pricetype=1,(_xll.xSPRDOPT(J207,$E207,$CI207,0,($CD207+IF(Smile=TRUE,VLOOKUP(MAX(-5,$H207-J207),Volsmile,2),0)),$CG207,$CH207,($A207-DateToday)+15,1,0)),J207-$H207)))</f>
        <v xml:space="preserve"> </v>
      </c>
      <c r="T207" s="406" t="str">
        <f t="shared" si="510"/>
        <v xml:space="preserve"> </v>
      </c>
      <c r="U207" s="405" t="str">
        <f>IF($A207="N/A"," ",IF(Pricetype=2,MAX(L207-$H207,0),IF(L207&lt;&gt;0,IF(Pricetype=1,(_xll.xSPRDOPT(L207,$E207,$CI207,0,($CD207+IF(Smile=TRUE,VLOOKUP(MAX(-5,$H207-L207),Volsmile,2),0)),$CG207,$CH207,($A207-DateToday)+15,1,0)),L207-$H207),0)))</f>
        <v xml:space="preserve"> </v>
      </c>
      <c r="V207" s="405" t="str">
        <f>IF($A207="N/A"," ",IF(Pricetype=2,MAX(M207-$H207,0),IF(M207&lt;&gt;0,IF(Pricetype=1,(_xll.xSPRDOPT(M207,$E207,$CI207,0,($CD207+IF(Smile=TRUE,VLOOKUP(MAX(-5,$H207-M207),Volsmile,2),0)),$CG207,$CH207,($A207-DateToday)+15,1,0)),M207-$H207),0)))</f>
        <v xml:space="preserve"> </v>
      </c>
      <c r="W207" s="406" t="str">
        <f t="shared" si="511"/>
        <v xml:space="preserve"> </v>
      </c>
      <c r="X207" s="405" t="str">
        <f>IF($A207="N/A"," ",IF(Pricetype=2,MAX(O207-$H207,0),IF(O207&lt;&gt;0,IF(Pricetype=1,(_xll.xSPRDOPT(O207,$E207,$CI207,0,($CD207+IF(Smile=TRUE,VLOOKUP(MAX(-5,$H207-O207),Volsmile,2),0)),$CG207,$CH207,($A207-DateToday)+15,1,0)),O207-$H207),0)))</f>
        <v xml:space="preserve"> </v>
      </c>
      <c r="Y207" s="405" t="str">
        <f>IF($A207="N/A"," ",IF(Pricetype=2,MAX(P207-$H207,0),IF(P207&lt;&gt;0,IF(Pricetype=1,(_xll.xSPRDOPT(P207,$E207,$CI207,0,($CD207+IF(Smile=TRUE,VLOOKUP(MAX(-5,$H207-P207),Volsmile,2),0)),$CG207,$CH207,($A207-DateToday)+15,1,0)),P207-$H207),0)))</f>
        <v xml:space="preserve"> </v>
      </c>
      <c r="Z207" s="406" t="str">
        <f t="shared" si="512"/>
        <v xml:space="preserve"> </v>
      </c>
      <c r="AA207" s="254" t="str">
        <f>IF($A207="N/A"," ",IF(VLOOKUP(MONTH(A207),ManualTable,2)=1,(IF(0&lt;&gt;R207,IF(Pricetype=1,(_xll.xSPRDOPT(I207,$E207,$CI207,0,($CD207+IF(Smile=TRUE,VLOOKUP(MAX(-5,$H207-I207),Volsmile,2),0)),$CG207,$CH207,($A207-DateToday)+15,1,1))*(8*$HD207),8*$HD207),0)),0))</f>
        <v xml:space="preserve"> </v>
      </c>
      <c r="AB207" s="254" t="str">
        <f>IF($A207="N/A"," ",IF(VLOOKUP(MONTH(A207),ManualTable,3)=1,(IF(S207&lt;&gt;0,IF(Pricetype=1,(_xll.xSPRDOPT(J207,$E207,$CI207,0,($CD207+IF(Smile=TRUE,VLOOKUP(MAX(-5,$H207-J207),Volsmile,2),0)),$CG207,$CH207,($A207-DateToday)+15,1,1))*(8*$HD207),8*$HD207),0)),0))</f>
        <v xml:space="preserve"> </v>
      </c>
      <c r="AC207" s="254" t="str">
        <f t="shared" si="561"/>
        <v xml:space="preserve"> </v>
      </c>
      <c r="AD207" s="254" t="str">
        <f>IF($A207="N/A"," ",IF(VLOOKUP(MONTH(A207),ManualTable,5)=1,(IF(U207&lt;&gt;0,IF(Pricetype=1,(_xll.xSPRDOPT(L207,$E207,$CI207,0,($CD207+IF(Smile=TRUE,VLOOKUP(MAX(-5,$H207-L207),Volsmile,2),0)),$CG207,$CH207,($A207-DateToday)+15,1,1))*(8*$HE207),8*$HE207),0)),0))</f>
        <v xml:space="preserve"> </v>
      </c>
      <c r="AE207" s="254" t="str">
        <f>IF($A207="N/A"," ",IF(VLOOKUP(MONTH(A207),ManualTable,6)=1,(IF(V207&lt;&gt;0,IF(Pricetype=1,(_xll.xSPRDOPT(M207,$E207,$CI207,0,($CD207+IF(Smile=TRUE,VLOOKUP(MAX(-5,$H207-M207),Volsmile,2),0)),$CG207,$CH207,($A207-DateToday)+15,1,1))*(8*$HE207),8*$HE207),0)),0))</f>
        <v xml:space="preserve"> </v>
      </c>
      <c r="AF207" s="254" t="str">
        <f t="shared" si="562"/>
        <v xml:space="preserve"> </v>
      </c>
      <c r="AG207" s="254" t="str">
        <f>IF($A207="N/A"," ",IF(VLOOKUP(MONTH(A207),ManualTable,8)=1,(IF(X207&lt;&gt;0,IF(Pricetype=1,(_xll.xSPRDOPT(O207,$E207,$CI207,0,($CD207+IF(Smile=TRUE,VLOOKUP(MAX(-5,$H207-O207),Volsmile,2),0)),$CG207,$CH207,($A207-DateToday)+15,1,1))*(8*$HF207),8*$HF207),0)),0))</f>
        <v xml:space="preserve"> </v>
      </c>
      <c r="AH207" s="254" t="str">
        <f>IF($A207="N/A"," ",IF(VLOOKUP(MONTH(A207),ManualTable,9)=1,(IF(Y207&lt;&gt;0,IF(Pricetype=1,(_xll.xSPRDOPT(P207,$E207,$CI207,0,($CD207+IF(Smile=TRUE,VLOOKUP(MAX(-5,$H207-P207),Volsmile,2),0)),$CG207,$CH207,($A207-DateToday)+15,1,1))*(8*$HF207),8*$HF207),0)),0))</f>
        <v xml:space="preserve"> </v>
      </c>
      <c r="AI207" s="254" t="str">
        <f t="shared" si="563"/>
        <v xml:space="preserve"> </v>
      </c>
      <c r="AJ207" s="230" t="str">
        <f t="shared" si="564"/>
        <v xml:space="preserve"> </v>
      </c>
      <c r="AK207" s="231" t="str">
        <f t="shared" si="565"/>
        <v xml:space="preserve"> </v>
      </c>
      <c r="AL207" s="231" t="str">
        <f t="shared" si="565"/>
        <v xml:space="preserve"> </v>
      </c>
      <c r="AM207" s="231" t="str">
        <f t="shared" si="566"/>
        <v xml:space="preserve"> </v>
      </c>
      <c r="AN207" s="231" t="str">
        <f t="shared" si="567"/>
        <v xml:space="preserve"> </v>
      </c>
      <c r="AO207" s="231" t="str">
        <f t="shared" si="567"/>
        <v xml:space="preserve"> </v>
      </c>
      <c r="AP207" s="231" t="str">
        <f t="shared" si="568"/>
        <v xml:space="preserve"> </v>
      </c>
      <c r="AQ207" s="231" t="str">
        <f t="shared" si="569"/>
        <v xml:space="preserve"> </v>
      </c>
      <c r="AR207" s="232" t="str">
        <f t="shared" si="570"/>
        <v xml:space="preserve"> </v>
      </c>
      <c r="AS207" s="264" t="str">
        <f t="shared" si="433"/>
        <v xml:space="preserve"> </v>
      </c>
      <c r="AT207" s="265" t="str">
        <f t="shared" si="434"/>
        <v xml:space="preserve"> </v>
      </c>
      <c r="AU207" s="265" t="str">
        <f t="shared" si="434"/>
        <v xml:space="preserve"> </v>
      </c>
      <c r="AV207" s="265" t="str">
        <f t="shared" si="435"/>
        <v xml:space="preserve"> </v>
      </c>
      <c r="AW207" s="265" t="str">
        <f t="shared" si="436"/>
        <v xml:space="preserve"> </v>
      </c>
      <c r="AX207" s="265" t="str">
        <f t="shared" si="436"/>
        <v xml:space="preserve"> </v>
      </c>
      <c r="AY207" s="265" t="str">
        <f t="shared" si="437"/>
        <v xml:space="preserve"> </v>
      </c>
      <c r="AZ207" s="265" t="str">
        <f t="shared" si="438"/>
        <v xml:space="preserve"> </v>
      </c>
      <c r="BA207" s="265" t="str">
        <f t="shared" si="439"/>
        <v xml:space="preserve"> </v>
      </c>
      <c r="BB207" s="232">
        <f>IF(($AZ$2-BB206)&gt;=0,$AZ$2-BB206,0)</f>
        <v>980</v>
      </c>
      <c r="BC207" s="270" t="str">
        <f t="shared" si="514"/>
        <v xml:space="preserve"> </v>
      </c>
      <c r="BD207" s="271" t="str">
        <f t="shared" si="515"/>
        <v xml:space="preserve"> </v>
      </c>
      <c r="BE207" s="269" t="str">
        <f t="shared" si="515"/>
        <v xml:space="preserve"> </v>
      </c>
      <c r="BF207" s="271" t="str">
        <f t="shared" si="516"/>
        <v xml:space="preserve"> </v>
      </c>
      <c r="BG207" s="271" t="str">
        <f t="shared" si="517"/>
        <v xml:space="preserve"> </v>
      </c>
      <c r="BH207" s="269" t="str">
        <f t="shared" si="517"/>
        <v xml:space="preserve"> </v>
      </c>
      <c r="BI207" s="271" t="str">
        <f t="shared" si="518"/>
        <v xml:space="preserve"> </v>
      </c>
      <c r="BJ207" s="271" t="str">
        <f t="shared" si="519"/>
        <v xml:space="preserve"> </v>
      </c>
      <c r="BK207" s="271" t="str">
        <f t="shared" si="520"/>
        <v xml:space="preserve"> </v>
      </c>
      <c r="BL207" s="235">
        <f>BB206+BL206</f>
        <v>0</v>
      </c>
      <c r="BM207" s="220" t="str">
        <f>IF($A207="N/A"," ",(IF(MONTH(A207)&gt;=4,IF(MONTH(A207)&lt;=10,Inputs!$F$13-Inputs!$G$13,Inputs!$F$14-Inputs!$G$14),Inputs!$F$14-Inputs!$G$14))*$CK207*Availability)</f>
        <v xml:space="preserve"> </v>
      </c>
      <c r="BN207" s="221" t="str">
        <f t="shared" si="571"/>
        <v xml:space="preserve"> </v>
      </c>
      <c r="BO207" s="221" t="str">
        <f t="shared" si="572"/>
        <v xml:space="preserve"> </v>
      </c>
      <c r="BP207" s="221" t="str">
        <f t="shared" si="573"/>
        <v xml:space="preserve"> </v>
      </c>
      <c r="BQ207" s="221" t="str">
        <f t="shared" si="574"/>
        <v xml:space="preserve"> </v>
      </c>
      <c r="BR207" s="221" t="str">
        <f t="shared" si="575"/>
        <v xml:space="preserve"> </v>
      </c>
      <c r="BS207" s="221" t="str">
        <f t="shared" si="576"/>
        <v xml:space="preserve"> </v>
      </c>
      <c r="BT207" s="221" t="str">
        <f t="shared" si="577"/>
        <v xml:space="preserve"> </v>
      </c>
      <c r="BU207" s="221" t="str">
        <f t="shared" si="578"/>
        <v xml:space="preserve"> </v>
      </c>
      <c r="BV207" s="221" t="str">
        <f t="shared" si="579"/>
        <v xml:space="preserve"> </v>
      </c>
      <c r="BW207" s="221" t="str">
        <f t="shared" si="580"/>
        <v xml:space="preserve"> </v>
      </c>
      <c r="BX207" s="421" t="str">
        <f t="shared" si="581"/>
        <v xml:space="preserve"> </v>
      </c>
      <c r="BY207" s="417" t="str">
        <f t="shared" si="582"/>
        <v xml:space="preserve"> </v>
      </c>
      <c r="BZ207" s="417" t="str">
        <f t="shared" si="583"/>
        <v xml:space="preserve"> </v>
      </c>
      <c r="CA207" s="422" t="str">
        <f t="shared" si="584"/>
        <v xml:space="preserve"> </v>
      </c>
      <c r="CB207" s="347" t="str">
        <f t="shared" si="521"/>
        <v xml:space="preserve"> </v>
      </c>
      <c r="CC207" s="347" t="str">
        <f t="shared" si="585"/>
        <v xml:space="preserve"> </v>
      </c>
      <c r="CD207" s="348" t="str">
        <f t="shared" si="522"/>
        <v xml:space="preserve"> </v>
      </c>
      <c r="CE207" s="347" t="str">
        <f t="shared" si="523"/>
        <v xml:space="preserve"> </v>
      </c>
      <c r="CF207" s="347" t="str">
        <f t="shared" si="524"/>
        <v xml:space="preserve"> </v>
      </c>
      <c r="CG207" s="348" t="str">
        <f t="shared" si="525"/>
        <v xml:space="preserve"> </v>
      </c>
      <c r="CH207" s="347" t="str">
        <f t="shared" si="586"/>
        <v xml:space="preserve"> </v>
      </c>
      <c r="CI207" s="349" t="str">
        <f>IF($A207="N/A"," ",F207+G207+(D207*('Pricing Inputs'!T240)))</f>
        <v xml:space="preserve"> </v>
      </c>
      <c r="CJ207" s="347" t="str">
        <f>IF($A207="N/A"," ",IF(PV=1,0,'Pricing Inputs'!U240))</f>
        <v xml:space="preserve"> </v>
      </c>
      <c r="CK207" s="350" t="str">
        <f t="shared" si="526"/>
        <v xml:space="preserve"> </v>
      </c>
      <c r="CL207" s="365" t="str">
        <f t="shared" si="527"/>
        <v xml:space="preserve"> </v>
      </c>
      <c r="CM207" s="380" t="str">
        <f t="shared" si="587"/>
        <v xml:space="preserve"> </v>
      </c>
      <c r="CN207" s="378" t="str">
        <f t="shared" si="528"/>
        <v xml:space="preserve"> </v>
      </c>
      <c r="CO207" s="378" t="str">
        <f t="shared" si="529"/>
        <v xml:space="preserve"> </v>
      </c>
      <c r="CP207" s="378" t="str">
        <f t="shared" si="530"/>
        <v xml:space="preserve"> </v>
      </c>
      <c r="CQ207" s="378" t="str">
        <f t="shared" si="531"/>
        <v xml:space="preserve"> </v>
      </c>
      <c r="CR207" s="378" t="str">
        <f t="shared" si="532"/>
        <v xml:space="preserve"> </v>
      </c>
      <c r="CS207" s="378" t="str">
        <f t="shared" si="533"/>
        <v xml:space="preserve"> </v>
      </c>
      <c r="CT207" s="378" t="str">
        <f t="shared" si="534"/>
        <v xml:space="preserve"> </v>
      </c>
      <c r="CU207" s="378" t="str">
        <f t="shared" si="535"/>
        <v xml:space="preserve"> </v>
      </c>
      <c r="CV207" s="378" t="str">
        <f t="shared" si="536"/>
        <v xml:space="preserve"> </v>
      </c>
      <c r="CW207" s="254" t="str">
        <f t="shared" si="537"/>
        <v xml:space="preserve"> </v>
      </c>
      <c r="CX207" s="254" t="str">
        <f t="shared" si="538"/>
        <v xml:space="preserve"> </v>
      </c>
      <c r="CY207" s="254" t="str">
        <f t="shared" si="539"/>
        <v xml:space="preserve"> </v>
      </c>
      <c r="CZ207" s="254" t="str">
        <f t="shared" si="540"/>
        <v xml:space="preserve"> </v>
      </c>
      <c r="DA207" s="254" t="str">
        <f t="shared" si="541"/>
        <v xml:space="preserve"> </v>
      </c>
      <c r="DB207" s="254" t="str">
        <f t="shared" si="542"/>
        <v xml:space="preserve"> </v>
      </c>
      <c r="DC207" s="254" t="str">
        <f t="shared" si="543"/>
        <v xml:space="preserve"> </v>
      </c>
      <c r="DD207" s="254" t="str">
        <f t="shared" si="544"/>
        <v xml:space="preserve"> </v>
      </c>
      <c r="DE207" s="254" t="str">
        <f t="shared" si="545"/>
        <v xml:space="preserve"> </v>
      </c>
      <c r="DF207" s="374" t="str">
        <f>IF($A207="N/A"," ",IF(CC=2,(IF(MONTH(A207)&gt;=4,IF(MONTH(A207)&lt;=10,Inputs!$G$13,Inputs!$G$14),Inputs!$G$14))*$CK207,0))</f>
        <v xml:space="preserve"> </v>
      </c>
      <c r="DG207" s="373" t="str">
        <f t="shared" si="546"/>
        <v xml:space="preserve"> </v>
      </c>
      <c r="DH207" s="373" t="str">
        <f t="shared" si="547"/>
        <v xml:space="preserve"> </v>
      </c>
      <c r="DI207" s="373" t="str">
        <f t="shared" si="548"/>
        <v xml:space="preserve"> </v>
      </c>
      <c r="DJ207" s="373" t="str">
        <f t="shared" si="549"/>
        <v xml:space="preserve"> </v>
      </c>
      <c r="DK207" s="373" t="str">
        <f t="shared" si="550"/>
        <v xml:space="preserve"> </v>
      </c>
      <c r="DL207" s="373" t="str">
        <f t="shared" si="551"/>
        <v xml:space="preserve"> </v>
      </c>
      <c r="DM207" s="373" t="str">
        <f t="shared" si="552"/>
        <v xml:space="preserve"> </v>
      </c>
      <c r="DN207" s="373" t="str">
        <f t="shared" si="553"/>
        <v xml:space="preserve"> </v>
      </c>
      <c r="DO207" s="373" t="str">
        <f t="shared" si="554"/>
        <v xml:space="preserve"> </v>
      </c>
      <c r="DP207" s="375" t="str">
        <f t="shared" si="555"/>
        <v xml:space="preserve"> </v>
      </c>
      <c r="DQ207" t="str">
        <f t="shared" si="588"/>
        <v xml:space="preserve"> </v>
      </c>
      <c r="HD207" t="str">
        <f t="shared" si="589"/>
        <v xml:space="preserve"> </v>
      </c>
      <c r="HE207" t="str">
        <f t="shared" si="590"/>
        <v xml:space="preserve"> </v>
      </c>
      <c r="HF207" t="str">
        <f t="shared" si="591"/>
        <v xml:space="preserve"> </v>
      </c>
    </row>
    <row r="208" spans="1:214">
      <c r="A208" s="415" t="str">
        <f>IF(A207="N/A","N/A",IF(EDATE(A207,1)&gt;Inputs!$K$3,"N/A",EDATE(A207,1)))</f>
        <v>N/A</v>
      </c>
      <c r="B208" s="410" t="str">
        <f t="shared" si="556"/>
        <v xml:space="preserve"> </v>
      </c>
      <c r="C208" s="411" t="str">
        <f t="shared" si="557"/>
        <v xml:space="preserve"> </v>
      </c>
      <c r="D208" s="412" t="str">
        <f t="shared" si="558"/>
        <v xml:space="preserve"> </v>
      </c>
      <c r="E208" s="413" t="str">
        <f>IF($A208="N/A"," ",(C208-'Pricing Inputs'!T241)*D208)</f>
        <v xml:space="preserve"> </v>
      </c>
      <c r="F208" s="414" t="str">
        <f t="shared" si="440"/>
        <v xml:space="preserve"> </v>
      </c>
      <c r="G208" s="414" t="str">
        <f t="shared" si="559"/>
        <v xml:space="preserve"> </v>
      </c>
      <c r="H208" s="416" t="str">
        <f t="shared" si="560"/>
        <v xml:space="preserve"> </v>
      </c>
      <c r="I208" s="213" t="str">
        <f t="shared" si="501"/>
        <v xml:space="preserve"> </v>
      </c>
      <c r="J208" s="213" t="str">
        <f t="shared" si="502"/>
        <v xml:space="preserve"> </v>
      </c>
      <c r="K208" s="213" t="str">
        <f t="shared" si="503"/>
        <v xml:space="preserve"> </v>
      </c>
      <c r="L208" s="213" t="str">
        <f t="shared" si="504"/>
        <v xml:space="preserve"> </v>
      </c>
      <c r="M208" s="213" t="str">
        <f t="shared" si="505"/>
        <v xml:space="preserve"> </v>
      </c>
      <c r="N208" s="213" t="str">
        <f t="shared" si="506"/>
        <v xml:space="preserve"> </v>
      </c>
      <c r="O208" s="213" t="str">
        <f t="shared" si="507"/>
        <v xml:space="preserve"> </v>
      </c>
      <c r="P208" s="213" t="str">
        <f t="shared" si="508"/>
        <v xml:space="preserve"> </v>
      </c>
      <c r="Q208" s="213" t="str">
        <f t="shared" si="509"/>
        <v xml:space="preserve"> </v>
      </c>
      <c r="R208" s="405" t="str">
        <f>IF($A208="N/A"," ",IF(Pricetype=2,MAX(I208-$H208,0),IF(Pricetype=1,(_xll.xSPRDOPT(I208,$E208,$CI208,0,($CD208+IF(Smile=TRUE,VLOOKUP(MAX(-5,$H208-I208),Volsmile,2),0)),$CG208,$CH208,($A208-DateToday)+15,1,0)),I208-$H208)))</f>
        <v xml:space="preserve"> </v>
      </c>
      <c r="S208" s="405" t="str">
        <f>IF($A208="N/A"," ",IF(Pricetype=2,MAX(J208-$H208,0),IF(Pricetype=1,(_xll.xSPRDOPT(J208,$E208,$CI208,0,($CD208+IF(Smile=TRUE,VLOOKUP(MAX(-5,$H208-J208),Volsmile,2),0)),$CG208,$CH208,($A208-DateToday)+15,1,0)),J208-$H208)))</f>
        <v xml:space="preserve"> </v>
      </c>
      <c r="T208" s="406" t="str">
        <f t="shared" si="510"/>
        <v xml:space="preserve"> </v>
      </c>
      <c r="U208" s="405" t="str">
        <f>IF($A208="N/A"," ",IF(Pricetype=2,MAX(L208-$H208,0),IF(L208&lt;&gt;0,IF(Pricetype=1,(_xll.xSPRDOPT(L208,$E208,$CI208,0,($CD208+IF(Smile=TRUE,VLOOKUP(MAX(-5,$H208-L208),Volsmile,2),0)),$CG208,$CH208,($A208-DateToday)+15,1,0)),L208-$H208),0)))</f>
        <v xml:space="preserve"> </v>
      </c>
      <c r="V208" s="405" t="str">
        <f>IF($A208="N/A"," ",IF(Pricetype=2,MAX(M208-$H208,0),IF(M208&lt;&gt;0,IF(Pricetype=1,(_xll.xSPRDOPT(M208,$E208,$CI208,0,($CD208+IF(Smile=TRUE,VLOOKUP(MAX(-5,$H208-M208),Volsmile,2),0)),$CG208,$CH208,($A208-DateToday)+15,1,0)),M208-$H208),0)))</f>
        <v xml:space="preserve"> </v>
      </c>
      <c r="W208" s="406" t="str">
        <f t="shared" si="511"/>
        <v xml:space="preserve"> </v>
      </c>
      <c r="X208" s="405" t="str">
        <f>IF($A208="N/A"," ",IF(Pricetype=2,MAX(O208-$H208,0),IF(O208&lt;&gt;0,IF(Pricetype=1,(_xll.xSPRDOPT(O208,$E208,$CI208,0,($CD208+IF(Smile=TRUE,VLOOKUP(MAX(-5,$H208-O208),Volsmile,2),0)),$CG208,$CH208,($A208-DateToday)+15,1,0)),O208-$H208),0)))</f>
        <v xml:space="preserve"> </v>
      </c>
      <c r="Y208" s="405" t="str">
        <f>IF($A208="N/A"," ",IF(Pricetype=2,MAX(P208-$H208,0),IF(P208&lt;&gt;0,IF(Pricetype=1,(_xll.xSPRDOPT(P208,$E208,$CI208,0,($CD208+IF(Smile=TRUE,VLOOKUP(MAX(-5,$H208-P208),Volsmile,2),0)),$CG208,$CH208,($A208-DateToday)+15,1,0)),P208-$H208),0)))</f>
        <v xml:space="preserve"> </v>
      </c>
      <c r="Z208" s="406" t="str">
        <f t="shared" si="512"/>
        <v xml:space="preserve"> </v>
      </c>
      <c r="AA208" s="254" t="str">
        <f>IF($A208="N/A"," ",IF(VLOOKUP(MONTH(A208),ManualTable,2)=1,(IF(0&lt;&gt;R208,IF(Pricetype=1,(_xll.xSPRDOPT(I208,$E208,$CI208,0,($CD208+IF(Smile=TRUE,VLOOKUP(MAX(-5,$H208-I208),Volsmile,2),0)),$CG208,$CH208,($A208-DateToday)+15,1,1))*(8*$HD208),8*$HD208),0)),0))</f>
        <v xml:space="preserve"> </v>
      </c>
      <c r="AB208" s="254" t="str">
        <f>IF($A208="N/A"," ",IF(VLOOKUP(MONTH(A208),ManualTable,3)=1,(IF(S208&lt;&gt;0,IF(Pricetype=1,(_xll.xSPRDOPT(J208,$E208,$CI208,0,($CD208+IF(Smile=TRUE,VLOOKUP(MAX(-5,$H208-J208),Volsmile,2),0)),$CG208,$CH208,($A208-DateToday)+15,1,1))*(8*$HD208),8*$HD208),0)),0))</f>
        <v xml:space="preserve"> </v>
      </c>
      <c r="AC208" s="254" t="str">
        <f t="shared" si="561"/>
        <v xml:space="preserve"> </v>
      </c>
      <c r="AD208" s="254" t="str">
        <f>IF($A208="N/A"," ",IF(VLOOKUP(MONTH(A208),ManualTable,5)=1,(IF(U208&lt;&gt;0,IF(Pricetype=1,(_xll.xSPRDOPT(L208,$E208,$CI208,0,($CD208+IF(Smile=TRUE,VLOOKUP(MAX(-5,$H208-L208),Volsmile,2),0)),$CG208,$CH208,($A208-DateToday)+15,1,1))*(8*$HE208),8*$HE208),0)),0))</f>
        <v xml:space="preserve"> </v>
      </c>
      <c r="AE208" s="254" t="str">
        <f>IF($A208="N/A"," ",IF(VLOOKUP(MONTH(A208),ManualTable,6)=1,(IF(V208&lt;&gt;0,IF(Pricetype=1,(_xll.xSPRDOPT(M208,$E208,$CI208,0,($CD208+IF(Smile=TRUE,VLOOKUP(MAX(-5,$H208-M208),Volsmile,2),0)),$CG208,$CH208,($A208-DateToday)+15,1,1))*(8*$HE208),8*$HE208),0)),0))</f>
        <v xml:space="preserve"> </v>
      </c>
      <c r="AF208" s="254" t="str">
        <f t="shared" si="562"/>
        <v xml:space="preserve"> </v>
      </c>
      <c r="AG208" s="254" t="str">
        <f>IF($A208="N/A"," ",IF(VLOOKUP(MONTH(A208),ManualTable,8)=1,(IF(X208&lt;&gt;0,IF(Pricetype=1,(_xll.xSPRDOPT(O208,$E208,$CI208,0,($CD208+IF(Smile=TRUE,VLOOKUP(MAX(-5,$H208-O208),Volsmile,2),0)),$CG208,$CH208,($A208-DateToday)+15,1,1))*(8*$HF208),8*$HF208),0)),0))</f>
        <v xml:space="preserve"> </v>
      </c>
      <c r="AH208" s="254" t="str">
        <f>IF($A208="N/A"," ",IF(VLOOKUP(MONTH(A208),ManualTable,9)=1,(IF(Y208&lt;&gt;0,IF(Pricetype=1,(_xll.xSPRDOPT(P208,$E208,$CI208,0,($CD208+IF(Smile=TRUE,VLOOKUP(MAX(-5,$H208-P208),Volsmile,2),0)),$CG208,$CH208,($A208-DateToday)+15,1,1))*(8*$HF208),8*$HF208),0)),0))</f>
        <v xml:space="preserve"> </v>
      </c>
      <c r="AI208" s="254" t="str">
        <f t="shared" si="563"/>
        <v xml:space="preserve"> </v>
      </c>
      <c r="AJ208" s="224" t="str">
        <f t="shared" ref="AJ208:AR208" si="592">IF($A208="N/A"," ",RANK(R208,$R$208:$Z$219))</f>
        <v xml:space="preserve"> </v>
      </c>
      <c r="AK208" s="225" t="str">
        <f t="shared" si="592"/>
        <v xml:space="preserve"> </v>
      </c>
      <c r="AL208" s="225" t="str">
        <f t="shared" si="592"/>
        <v xml:space="preserve"> </v>
      </c>
      <c r="AM208" s="225" t="str">
        <f t="shared" si="592"/>
        <v xml:space="preserve"> </v>
      </c>
      <c r="AN208" s="225" t="str">
        <f t="shared" si="592"/>
        <v xml:space="preserve"> </v>
      </c>
      <c r="AO208" s="225" t="str">
        <f t="shared" si="592"/>
        <v xml:space="preserve"> </v>
      </c>
      <c r="AP208" s="225" t="str">
        <f t="shared" si="592"/>
        <v xml:space="preserve"> </v>
      </c>
      <c r="AQ208" s="225" t="str">
        <f t="shared" si="592"/>
        <v xml:space="preserve"> </v>
      </c>
      <c r="AR208" s="226" t="str">
        <f t="shared" si="592"/>
        <v xml:space="preserve"> </v>
      </c>
      <c r="AS208" s="260" t="str">
        <f t="shared" ref="AS208:AS255" si="593">IF($A208="N/A"," ",IF(AJ208&lt;=$AR$2,AA208,0))</f>
        <v xml:space="preserve"> </v>
      </c>
      <c r="AT208" s="261" t="str">
        <f t="shared" ref="AT208:AU255" si="594">IF($A208="N/A"," ",IF(AK208&lt;=$AR$2,AB208,0))</f>
        <v xml:space="preserve"> </v>
      </c>
      <c r="AU208" s="263" t="str">
        <f t="shared" si="594"/>
        <v xml:space="preserve"> </v>
      </c>
      <c r="AV208" s="263" t="str">
        <f t="shared" ref="AV208:AV255" si="595">IF($A208="N/A"," ",IF(AM208&lt;=$AR$2,AD208,0))</f>
        <v xml:space="preserve"> </v>
      </c>
      <c r="AW208" s="263" t="str">
        <f t="shared" ref="AW208:AX255" si="596">IF($A208="N/A"," ",IF(AN208&lt;=$AR$2,AE208,0))</f>
        <v xml:space="preserve"> </v>
      </c>
      <c r="AX208" s="263" t="str">
        <f t="shared" si="596"/>
        <v xml:space="preserve"> </v>
      </c>
      <c r="AY208" s="261" t="str">
        <f t="shared" ref="AY208:AY255" si="597">IF($A208="N/A"," ",IF(AP208&lt;=$AR$2,AG208,0))</f>
        <v xml:space="preserve"> </v>
      </c>
      <c r="AZ208" s="261" t="str">
        <f t="shared" ref="AZ208:AZ255" si="598">IF($A208="N/A"," ",IF(AQ208&lt;=$AR$2,AH208,0))</f>
        <v xml:space="preserve"> </v>
      </c>
      <c r="BA208" s="261" t="str">
        <f t="shared" ref="BA208:BA255" si="599">IF($A208="N/A"," ",IF(AR208&lt;=$AR$2,AI208,0))</f>
        <v xml:space="preserve"> </v>
      </c>
      <c r="BB208" s="226"/>
      <c r="BC208" s="272" t="str">
        <f t="shared" ref="BC208:BC219" si="600">IF($A208="N/A"," ",IF(AND(AJ208=$AR$2+1,AS208=0),MIN($BB$219,AA208),0))</f>
        <v xml:space="preserve"> </v>
      </c>
      <c r="BD208" s="267" t="str">
        <f t="shared" ref="BD208:BE219" si="601">IF($A208="N/A"," ",IF(AND(AK208=$AR$2+1,AT208=0),MIN($BB$219,AB208),0))</f>
        <v xml:space="preserve"> </v>
      </c>
      <c r="BE208" s="267" t="str">
        <f t="shared" si="601"/>
        <v xml:space="preserve"> </v>
      </c>
      <c r="BF208" s="267" t="str">
        <f t="shared" ref="BF208:BF219" si="602">IF($A208="N/A"," ",IF(AND(AM208=$AR$2+1,AV208=0),MIN($BB$219,AD208),0))</f>
        <v xml:space="preserve"> </v>
      </c>
      <c r="BG208" s="267" t="str">
        <f t="shared" ref="BG208:BH219" si="603">IF($A208="N/A"," ",IF(AND(AN208=$AR$2+1,AW208=0),MIN($BB$219,AE208),0))</f>
        <v xml:space="preserve"> </v>
      </c>
      <c r="BH208" s="267" t="str">
        <f t="shared" si="603"/>
        <v xml:space="preserve"> </v>
      </c>
      <c r="BI208" s="267" t="str">
        <f t="shared" ref="BI208:BI219" si="604">IF($A208="N/A"," ",IF(AND(AP208=$AR$2+1,AY208=0),MIN($BB$219,AG208),0))</f>
        <v xml:space="preserve"> </v>
      </c>
      <c r="BJ208" s="267" t="str">
        <f t="shared" ref="BJ208:BJ219" si="605">IF($A208="N/A"," ",IF(AND(AQ208=$AR$2+1,AZ208=0),MIN($BB$219,AH208),0))</f>
        <v xml:space="preserve"> </v>
      </c>
      <c r="BK208" s="267" t="str">
        <f t="shared" ref="BK208:BK219" si="606">IF($A208="N/A"," ",IF(AND(AR208=$AR$2+1,BA208=0),MIN($BB$219,AI208),0))</f>
        <v xml:space="preserve"> </v>
      </c>
      <c r="BL208" s="226"/>
      <c r="BM208" s="220" t="str">
        <f>IF($A208="N/A"," ",(IF(MONTH(A208)&gt;=4,IF(MONTH(A208)&lt;=10,Inputs!$F$13-Inputs!$G$13,Inputs!$F$14-Inputs!$G$14),Inputs!$F$14-Inputs!$G$14))*$CK208*Availability)</f>
        <v xml:space="preserve"> </v>
      </c>
      <c r="BN208" s="221" t="str">
        <f t="shared" si="571"/>
        <v xml:space="preserve"> </v>
      </c>
      <c r="BO208" s="221" t="str">
        <f t="shared" si="572"/>
        <v xml:space="preserve"> </v>
      </c>
      <c r="BP208" s="221" t="str">
        <f t="shared" si="573"/>
        <v xml:space="preserve"> </v>
      </c>
      <c r="BQ208" s="221" t="str">
        <f t="shared" si="574"/>
        <v xml:space="preserve"> </v>
      </c>
      <c r="BR208" s="221" t="str">
        <f t="shared" si="575"/>
        <v xml:space="preserve"> </v>
      </c>
      <c r="BS208" s="221" t="str">
        <f t="shared" si="576"/>
        <v xml:space="preserve"> </v>
      </c>
      <c r="BT208" s="221" t="str">
        <f t="shared" si="577"/>
        <v xml:space="preserve"> </v>
      </c>
      <c r="BU208" s="221" t="str">
        <f t="shared" si="578"/>
        <v xml:space="preserve"> </v>
      </c>
      <c r="BV208" s="221" t="str">
        <f t="shared" si="579"/>
        <v xml:space="preserve"> </v>
      </c>
      <c r="BW208" s="221" t="str">
        <f t="shared" si="580"/>
        <v xml:space="preserve"> </v>
      </c>
      <c r="BX208" s="421" t="str">
        <f t="shared" si="581"/>
        <v xml:space="preserve"> </v>
      </c>
      <c r="BY208" s="417" t="str">
        <f t="shared" si="582"/>
        <v xml:space="preserve"> </v>
      </c>
      <c r="BZ208" s="417" t="str">
        <f t="shared" si="583"/>
        <v xml:space="preserve"> </v>
      </c>
      <c r="CA208" s="422" t="str">
        <f t="shared" si="584"/>
        <v xml:space="preserve"> </v>
      </c>
      <c r="CB208" s="347" t="str">
        <f t="shared" si="521"/>
        <v xml:space="preserve"> </v>
      </c>
      <c r="CC208" s="347" t="str">
        <f t="shared" si="585"/>
        <v xml:space="preserve"> </v>
      </c>
      <c r="CD208" s="348" t="str">
        <f t="shared" si="522"/>
        <v xml:space="preserve"> </v>
      </c>
      <c r="CE208" s="347" t="str">
        <f t="shared" si="523"/>
        <v xml:space="preserve"> </v>
      </c>
      <c r="CF208" s="347" t="str">
        <f t="shared" si="524"/>
        <v xml:space="preserve"> </v>
      </c>
      <c r="CG208" s="348" t="str">
        <f t="shared" si="525"/>
        <v xml:space="preserve"> </v>
      </c>
      <c r="CH208" s="347" t="str">
        <f t="shared" si="586"/>
        <v xml:space="preserve"> </v>
      </c>
      <c r="CI208" s="349" t="str">
        <f>IF($A208="N/A"," ",F208+G208+(D208*('Pricing Inputs'!T241)))</f>
        <v xml:space="preserve"> </v>
      </c>
      <c r="CJ208" s="347" t="str">
        <f>IF($A208="N/A"," ",IF(PV=1,0,'Pricing Inputs'!U241))</f>
        <v xml:space="preserve"> </v>
      </c>
      <c r="CK208" s="350" t="str">
        <f t="shared" si="526"/>
        <v xml:space="preserve"> </v>
      </c>
      <c r="CL208" s="365" t="str">
        <f t="shared" si="527"/>
        <v xml:space="preserve"> </v>
      </c>
      <c r="CM208" s="380" t="str">
        <f t="shared" si="587"/>
        <v xml:space="preserve"> </v>
      </c>
      <c r="CN208" s="378" t="str">
        <f t="shared" si="528"/>
        <v xml:space="preserve"> </v>
      </c>
      <c r="CO208" s="378" t="str">
        <f t="shared" si="529"/>
        <v xml:space="preserve"> </v>
      </c>
      <c r="CP208" s="378" t="str">
        <f t="shared" si="530"/>
        <v xml:space="preserve"> </v>
      </c>
      <c r="CQ208" s="378" t="str">
        <f t="shared" si="531"/>
        <v xml:space="preserve"> </v>
      </c>
      <c r="CR208" s="378" t="str">
        <f t="shared" si="532"/>
        <v xml:space="preserve"> </v>
      </c>
      <c r="CS208" s="378" t="str">
        <f t="shared" si="533"/>
        <v xml:space="preserve"> </v>
      </c>
      <c r="CT208" s="378" t="str">
        <f t="shared" si="534"/>
        <v xml:space="preserve"> </v>
      </c>
      <c r="CU208" s="378" t="str">
        <f t="shared" si="535"/>
        <v xml:space="preserve"> </v>
      </c>
      <c r="CV208" s="378" t="str">
        <f t="shared" si="536"/>
        <v xml:space="preserve"> </v>
      </c>
      <c r="CW208" s="254" t="str">
        <f t="shared" si="537"/>
        <v xml:space="preserve"> </v>
      </c>
      <c r="CX208" s="254" t="str">
        <f t="shared" si="538"/>
        <v xml:space="preserve"> </v>
      </c>
      <c r="CY208" s="254" t="str">
        <f t="shared" si="539"/>
        <v xml:space="preserve"> </v>
      </c>
      <c r="CZ208" s="254" t="str">
        <f t="shared" si="540"/>
        <v xml:space="preserve"> </v>
      </c>
      <c r="DA208" s="254" t="str">
        <f t="shared" si="541"/>
        <v xml:space="preserve"> </v>
      </c>
      <c r="DB208" s="254" t="str">
        <f t="shared" si="542"/>
        <v xml:space="preserve"> </v>
      </c>
      <c r="DC208" s="254" t="str">
        <f t="shared" si="543"/>
        <v xml:space="preserve"> </v>
      </c>
      <c r="DD208" s="254" t="str">
        <f t="shared" si="544"/>
        <v xml:space="preserve"> </v>
      </c>
      <c r="DE208" s="254" t="str">
        <f t="shared" si="545"/>
        <v xml:space="preserve"> </v>
      </c>
      <c r="DF208" s="374" t="str">
        <f>IF($A208="N/A"," ",IF(CC=2,(IF(MONTH(A208)&gt;=4,IF(MONTH(A208)&lt;=10,Inputs!$G$13,Inputs!$G$14),Inputs!$G$14))*$CK208,0))</f>
        <v xml:space="preserve"> </v>
      </c>
      <c r="DG208" s="373" t="str">
        <f t="shared" si="546"/>
        <v xml:space="preserve"> </v>
      </c>
      <c r="DH208" s="373" t="str">
        <f t="shared" si="547"/>
        <v xml:space="preserve"> </v>
      </c>
      <c r="DI208" s="373" t="str">
        <f t="shared" si="548"/>
        <v xml:space="preserve"> </v>
      </c>
      <c r="DJ208" s="373" t="str">
        <f t="shared" si="549"/>
        <v xml:space="preserve"> </v>
      </c>
      <c r="DK208" s="373" t="str">
        <f t="shared" si="550"/>
        <v xml:space="preserve"> </v>
      </c>
      <c r="DL208" s="373" t="str">
        <f t="shared" si="551"/>
        <v xml:space="preserve"> </v>
      </c>
      <c r="DM208" s="373" t="str">
        <f t="shared" si="552"/>
        <v xml:space="preserve"> </v>
      </c>
      <c r="DN208" s="373" t="str">
        <f t="shared" si="553"/>
        <v xml:space="preserve"> </v>
      </c>
      <c r="DO208" s="373" t="str">
        <f t="shared" si="554"/>
        <v xml:space="preserve"> </v>
      </c>
      <c r="DP208" s="375" t="str">
        <f t="shared" si="555"/>
        <v xml:space="preserve"> </v>
      </c>
      <c r="DQ208" t="str">
        <f t="shared" si="588"/>
        <v xml:space="preserve"> </v>
      </c>
      <c r="HD208" t="str">
        <f t="shared" si="589"/>
        <v xml:space="preserve"> </v>
      </c>
      <c r="HE208" t="str">
        <f t="shared" si="590"/>
        <v xml:space="preserve"> </v>
      </c>
      <c r="HF208" t="str">
        <f t="shared" si="591"/>
        <v xml:space="preserve"> </v>
      </c>
    </row>
    <row r="209" spans="1:214">
      <c r="A209" s="415" t="str">
        <f>IF(A208="N/A","N/A",IF(EDATE(A208,1)&gt;Inputs!$K$3,"N/A",EDATE(A208,1)))</f>
        <v>N/A</v>
      </c>
      <c r="B209" s="410" t="str">
        <f t="shared" si="556"/>
        <v xml:space="preserve"> </v>
      </c>
      <c r="C209" s="411" t="str">
        <f t="shared" si="557"/>
        <v xml:space="preserve"> </v>
      </c>
      <c r="D209" s="412" t="str">
        <f t="shared" si="558"/>
        <v xml:space="preserve"> </v>
      </c>
      <c r="E209" s="413" t="str">
        <f>IF($A209="N/A"," ",(C209-'Pricing Inputs'!T242)*D209)</f>
        <v xml:space="preserve"> </v>
      </c>
      <c r="F209" s="414" t="str">
        <f t="shared" ref="F209:F255" si="607">IF(A209="N/A"," ",$F197*(1+VOMesc))</f>
        <v xml:space="preserve"> </v>
      </c>
      <c r="G209" s="414" t="str">
        <f t="shared" si="559"/>
        <v xml:space="preserve"> </v>
      </c>
      <c r="H209" s="416" t="str">
        <f t="shared" si="560"/>
        <v xml:space="preserve"> </v>
      </c>
      <c r="I209" s="213" t="str">
        <f t="shared" si="501"/>
        <v xml:space="preserve"> </v>
      </c>
      <c r="J209" s="213" t="str">
        <f t="shared" si="502"/>
        <v xml:space="preserve"> </v>
      </c>
      <c r="K209" s="213" t="str">
        <f t="shared" si="503"/>
        <v xml:space="preserve"> </v>
      </c>
      <c r="L209" s="213" t="str">
        <f t="shared" si="504"/>
        <v xml:space="preserve"> </v>
      </c>
      <c r="M209" s="213" t="str">
        <f t="shared" si="505"/>
        <v xml:space="preserve"> </v>
      </c>
      <c r="N209" s="213" t="str">
        <f t="shared" si="506"/>
        <v xml:space="preserve"> </v>
      </c>
      <c r="O209" s="213" t="str">
        <f t="shared" si="507"/>
        <v xml:space="preserve"> </v>
      </c>
      <c r="P209" s="213" t="str">
        <f t="shared" si="508"/>
        <v xml:space="preserve"> </v>
      </c>
      <c r="Q209" s="213" t="str">
        <f t="shared" si="509"/>
        <v xml:space="preserve"> </v>
      </c>
      <c r="R209" s="405" t="str">
        <f>IF($A209="N/A"," ",IF(Pricetype=2,MAX(I209-$H209,0),IF(Pricetype=1,(_xll.xSPRDOPT(I209,$E209,$CI209,0,($CD209+IF(Smile=TRUE,VLOOKUP(MAX(-5,$H209-I209),Volsmile,2),0)),$CG209,$CH209,($A209-DateToday)+15,1,0)),I209-$H209)))</f>
        <v xml:space="preserve"> </v>
      </c>
      <c r="S209" s="405" t="str">
        <f>IF($A209="N/A"," ",IF(Pricetype=2,MAX(J209-$H209,0),IF(Pricetype=1,(_xll.xSPRDOPT(J209,$E209,$CI209,0,($CD209+IF(Smile=TRUE,VLOOKUP(MAX(-5,$H209-J209),Volsmile,2),0)),$CG209,$CH209,($A209-DateToday)+15,1,0)),J209-$H209)))</f>
        <v xml:space="preserve"> </v>
      </c>
      <c r="T209" s="406" t="str">
        <f t="shared" si="510"/>
        <v xml:space="preserve"> </v>
      </c>
      <c r="U209" s="405" t="str">
        <f>IF($A209="N/A"," ",IF(Pricetype=2,MAX(L209-$H209,0),IF(L209&lt;&gt;0,IF(Pricetype=1,(_xll.xSPRDOPT(L209,$E209,$CI209,0,($CD209+IF(Smile=TRUE,VLOOKUP(MAX(-5,$H209-L209),Volsmile,2),0)),$CG209,$CH209,($A209-DateToday)+15,1,0)),L209-$H209),0)))</f>
        <v xml:space="preserve"> </v>
      </c>
      <c r="V209" s="405" t="str">
        <f>IF($A209="N/A"," ",IF(Pricetype=2,MAX(M209-$H209,0),IF(M209&lt;&gt;0,IF(Pricetype=1,(_xll.xSPRDOPT(M209,$E209,$CI209,0,($CD209+IF(Smile=TRUE,VLOOKUP(MAX(-5,$H209-M209),Volsmile,2),0)),$CG209,$CH209,($A209-DateToday)+15,1,0)),M209-$H209),0)))</f>
        <v xml:space="preserve"> </v>
      </c>
      <c r="W209" s="406" t="str">
        <f t="shared" si="511"/>
        <v xml:space="preserve"> </v>
      </c>
      <c r="X209" s="405" t="str">
        <f>IF($A209="N/A"," ",IF(Pricetype=2,MAX(O209-$H209,0),IF(O209&lt;&gt;0,IF(Pricetype=1,(_xll.xSPRDOPT(O209,$E209,$CI209,0,($CD209+IF(Smile=TRUE,VLOOKUP(MAX(-5,$H209-O209),Volsmile,2),0)),$CG209,$CH209,($A209-DateToday)+15,1,0)),O209-$H209),0)))</f>
        <v xml:space="preserve"> </v>
      </c>
      <c r="Y209" s="405" t="str">
        <f>IF($A209="N/A"," ",IF(Pricetype=2,MAX(P209-$H209,0),IF(P209&lt;&gt;0,IF(Pricetype=1,(_xll.xSPRDOPT(P209,$E209,$CI209,0,($CD209+IF(Smile=TRUE,VLOOKUP(MAX(-5,$H209-P209),Volsmile,2),0)),$CG209,$CH209,($A209-DateToday)+15,1,0)),P209-$H209),0)))</f>
        <v xml:space="preserve"> </v>
      </c>
      <c r="Z209" s="406" t="str">
        <f t="shared" si="512"/>
        <v xml:space="preserve"> </v>
      </c>
      <c r="AA209" s="254" t="str">
        <f>IF($A209="N/A"," ",IF(VLOOKUP(MONTH(A209),ManualTable,2)=1,(IF(0&lt;&gt;R209,IF(Pricetype=1,(_xll.xSPRDOPT(I209,$E209,$CI209,0,($CD209+IF(Smile=TRUE,VLOOKUP(MAX(-5,$H209-I209),Volsmile,2),0)),$CG209,$CH209,($A209-DateToday)+15,1,1))*(8*$HD209),8*$HD209),0)),0))</f>
        <v xml:space="preserve"> </v>
      </c>
      <c r="AB209" s="254" t="str">
        <f>IF($A209="N/A"," ",IF(VLOOKUP(MONTH(A209),ManualTable,3)=1,(IF(S209&lt;&gt;0,IF(Pricetype=1,(_xll.xSPRDOPT(J209,$E209,$CI209,0,($CD209+IF(Smile=TRUE,VLOOKUP(MAX(-5,$H209-J209),Volsmile,2),0)),$CG209,$CH209,($A209-DateToday)+15,1,1))*(8*$HD209),8*$HD209),0)),0))</f>
        <v xml:space="preserve"> </v>
      </c>
      <c r="AC209" s="254" t="str">
        <f t="shared" si="561"/>
        <v xml:space="preserve"> </v>
      </c>
      <c r="AD209" s="254" t="str">
        <f>IF($A209="N/A"," ",IF(VLOOKUP(MONTH(A209),ManualTable,5)=1,(IF(U209&lt;&gt;0,IF(Pricetype=1,(_xll.xSPRDOPT(L209,$E209,$CI209,0,($CD209+IF(Smile=TRUE,VLOOKUP(MAX(-5,$H209-L209),Volsmile,2),0)),$CG209,$CH209,($A209-DateToday)+15,1,1))*(8*$HE209),8*$HE209),0)),0))</f>
        <v xml:space="preserve"> </v>
      </c>
      <c r="AE209" s="254" t="str">
        <f>IF($A209="N/A"," ",IF(VLOOKUP(MONTH(A209),ManualTable,6)=1,(IF(V209&lt;&gt;0,IF(Pricetype=1,(_xll.xSPRDOPT(M209,$E209,$CI209,0,($CD209+IF(Smile=TRUE,VLOOKUP(MAX(-5,$H209-M209),Volsmile,2),0)),$CG209,$CH209,($A209-DateToday)+15,1,1))*(8*$HE209),8*$HE209),0)),0))</f>
        <v xml:space="preserve"> </v>
      </c>
      <c r="AF209" s="254" t="str">
        <f t="shared" si="562"/>
        <v xml:space="preserve"> </v>
      </c>
      <c r="AG209" s="254" t="str">
        <f>IF($A209="N/A"," ",IF(VLOOKUP(MONTH(A209),ManualTable,8)=1,(IF(X209&lt;&gt;0,IF(Pricetype=1,(_xll.xSPRDOPT(O209,$E209,$CI209,0,($CD209+IF(Smile=TRUE,VLOOKUP(MAX(-5,$H209-O209),Volsmile,2),0)),$CG209,$CH209,($A209-DateToday)+15,1,1))*(8*$HF209),8*$HF209),0)),0))</f>
        <v xml:space="preserve"> </v>
      </c>
      <c r="AH209" s="254" t="str">
        <f>IF($A209="N/A"," ",IF(VLOOKUP(MONTH(A209),ManualTable,9)=1,(IF(Y209&lt;&gt;0,IF(Pricetype=1,(_xll.xSPRDOPT(P209,$E209,$CI209,0,($CD209+IF(Smile=TRUE,VLOOKUP(MAX(-5,$H209-P209),Volsmile,2),0)),$CG209,$CH209,($A209-DateToday)+15,1,1))*(8*$HF209),8*$HF209),0)),0))</f>
        <v xml:space="preserve"> </v>
      </c>
      <c r="AI209" s="254" t="str">
        <f t="shared" si="563"/>
        <v xml:space="preserve"> </v>
      </c>
      <c r="AJ209" s="227" t="str">
        <f t="shared" ref="AJ209:AJ219" si="608">IF($A209="N/A"," ",RANK(R209,$R$208:$Z$219))</f>
        <v xml:space="preserve"> </v>
      </c>
      <c r="AK209" s="228" t="str">
        <f t="shared" ref="AK209:AL219" si="609">IF($A209="N/A"," ",RANK(S209,$R$208:$Z$219))</f>
        <v xml:space="preserve"> </v>
      </c>
      <c r="AL209" s="228" t="str">
        <f t="shared" si="609"/>
        <v xml:space="preserve"> </v>
      </c>
      <c r="AM209" s="228" t="str">
        <f t="shared" ref="AM209:AM219" si="610">IF($A209="N/A"," ",RANK(U209,$R$208:$Z$219))</f>
        <v xml:space="preserve"> </v>
      </c>
      <c r="AN209" s="228" t="str">
        <f t="shared" ref="AN209:AO219" si="611">IF($A209="N/A"," ",RANK(V209,$R$208:$Z$219))</f>
        <v xml:space="preserve"> </v>
      </c>
      <c r="AO209" s="228" t="str">
        <f t="shared" si="611"/>
        <v xml:space="preserve"> </v>
      </c>
      <c r="AP209" s="228" t="str">
        <f t="shared" ref="AP209:AP219" si="612">IF($A209="N/A"," ",RANK(X209,$R$208:$Z$219))</f>
        <v xml:space="preserve"> </v>
      </c>
      <c r="AQ209" s="228" t="str">
        <f t="shared" ref="AQ209:AQ219" si="613">IF($A209="N/A"," ",RANK(Y209,$R$208:$Z$219))</f>
        <v xml:space="preserve"> </v>
      </c>
      <c r="AR209" s="229" t="str">
        <f t="shared" ref="AR209:AR219" si="614">IF($A209="N/A"," ",RANK(Z209,$R$208:$Z$219))</f>
        <v xml:space="preserve"> </v>
      </c>
      <c r="AS209" s="262" t="str">
        <f t="shared" si="593"/>
        <v xml:space="preserve"> </v>
      </c>
      <c r="AT209" s="263" t="str">
        <f t="shared" si="594"/>
        <v xml:space="preserve"> </v>
      </c>
      <c r="AU209" s="263" t="str">
        <f t="shared" si="594"/>
        <v xml:space="preserve"> </v>
      </c>
      <c r="AV209" s="263" t="str">
        <f t="shared" si="595"/>
        <v xml:space="preserve"> </v>
      </c>
      <c r="AW209" s="263" t="str">
        <f t="shared" si="596"/>
        <v xml:space="preserve"> </v>
      </c>
      <c r="AX209" s="263" t="str">
        <f t="shared" si="596"/>
        <v xml:space="preserve"> </v>
      </c>
      <c r="AY209" s="263" t="str">
        <f t="shared" si="597"/>
        <v xml:space="preserve"> </v>
      </c>
      <c r="AZ209" s="263" t="str">
        <f t="shared" si="598"/>
        <v xml:space="preserve"> </v>
      </c>
      <c r="BA209" s="263" t="str">
        <f t="shared" si="599"/>
        <v xml:space="preserve"> </v>
      </c>
      <c r="BB209" s="229"/>
      <c r="BC209" s="266" t="str">
        <f t="shared" si="600"/>
        <v xml:space="preserve"> </v>
      </c>
      <c r="BD209" s="269" t="str">
        <f t="shared" si="601"/>
        <v xml:space="preserve"> </v>
      </c>
      <c r="BE209" s="269" t="str">
        <f t="shared" si="601"/>
        <v xml:space="preserve"> </v>
      </c>
      <c r="BF209" s="269" t="str">
        <f t="shared" si="602"/>
        <v xml:space="preserve"> </v>
      </c>
      <c r="BG209" s="269" t="str">
        <f t="shared" si="603"/>
        <v xml:space="preserve"> </v>
      </c>
      <c r="BH209" s="269" t="str">
        <f t="shared" si="603"/>
        <v xml:space="preserve"> </v>
      </c>
      <c r="BI209" s="269" t="str">
        <f t="shared" si="604"/>
        <v xml:space="preserve"> </v>
      </c>
      <c r="BJ209" s="269" t="str">
        <f t="shared" si="605"/>
        <v xml:space="preserve"> </v>
      </c>
      <c r="BK209" s="269" t="str">
        <f t="shared" si="606"/>
        <v xml:space="preserve"> </v>
      </c>
      <c r="BL209" s="229"/>
      <c r="BM209" s="220" t="str">
        <f>IF($A209="N/A"," ",(IF(MONTH(A209)&gt;=4,IF(MONTH(A209)&lt;=10,Inputs!$F$13-Inputs!$G$13,Inputs!$F$14-Inputs!$G$14),Inputs!$F$14-Inputs!$G$14))*$CK209*Availability)</f>
        <v xml:space="preserve"> </v>
      </c>
      <c r="BN209" s="221" t="str">
        <f t="shared" si="571"/>
        <v xml:space="preserve"> </v>
      </c>
      <c r="BO209" s="221" t="str">
        <f t="shared" si="572"/>
        <v xml:space="preserve"> </v>
      </c>
      <c r="BP209" s="221" t="str">
        <f t="shared" si="573"/>
        <v xml:space="preserve"> </v>
      </c>
      <c r="BQ209" s="221" t="str">
        <f t="shared" si="574"/>
        <v xml:space="preserve"> </v>
      </c>
      <c r="BR209" s="221" t="str">
        <f t="shared" si="575"/>
        <v xml:space="preserve"> </v>
      </c>
      <c r="BS209" s="221" t="str">
        <f t="shared" si="576"/>
        <v xml:space="preserve"> </v>
      </c>
      <c r="BT209" s="221" t="str">
        <f t="shared" si="577"/>
        <v xml:space="preserve"> </v>
      </c>
      <c r="BU209" s="221" t="str">
        <f t="shared" si="578"/>
        <v xml:space="preserve"> </v>
      </c>
      <c r="BV209" s="221" t="str">
        <f t="shared" si="579"/>
        <v xml:space="preserve"> </v>
      </c>
      <c r="BW209" s="221" t="str">
        <f t="shared" si="580"/>
        <v xml:space="preserve"> </v>
      </c>
      <c r="BX209" s="421" t="str">
        <f t="shared" si="581"/>
        <v xml:space="preserve"> </v>
      </c>
      <c r="BY209" s="417" t="str">
        <f t="shared" si="582"/>
        <v xml:space="preserve"> </v>
      </c>
      <c r="BZ209" s="417" t="str">
        <f t="shared" si="583"/>
        <v xml:space="preserve"> </v>
      </c>
      <c r="CA209" s="422" t="str">
        <f t="shared" si="584"/>
        <v xml:space="preserve"> </v>
      </c>
      <c r="CB209" s="347" t="str">
        <f t="shared" si="521"/>
        <v xml:space="preserve"> </v>
      </c>
      <c r="CC209" s="347" t="str">
        <f t="shared" si="585"/>
        <v xml:space="preserve"> </v>
      </c>
      <c r="CD209" s="348" t="str">
        <f t="shared" si="522"/>
        <v xml:space="preserve"> </v>
      </c>
      <c r="CE209" s="347" t="str">
        <f t="shared" si="523"/>
        <v xml:space="preserve"> </v>
      </c>
      <c r="CF209" s="347" t="str">
        <f t="shared" si="524"/>
        <v xml:space="preserve"> </v>
      </c>
      <c r="CG209" s="348" t="str">
        <f t="shared" si="525"/>
        <v xml:space="preserve"> </v>
      </c>
      <c r="CH209" s="347" t="str">
        <f t="shared" si="586"/>
        <v xml:space="preserve"> </v>
      </c>
      <c r="CI209" s="349" t="str">
        <f>IF($A209="N/A"," ",F209+G209+(D209*('Pricing Inputs'!T242)))</f>
        <v xml:space="preserve"> </v>
      </c>
      <c r="CJ209" s="347" t="str">
        <f>IF($A209="N/A"," ",IF(PV=1,0,'Pricing Inputs'!U242))</f>
        <v xml:space="preserve"> </v>
      </c>
      <c r="CK209" s="350" t="str">
        <f t="shared" si="526"/>
        <v xml:space="preserve"> </v>
      </c>
      <c r="CL209" s="365" t="str">
        <f t="shared" si="527"/>
        <v xml:space="preserve"> </v>
      </c>
      <c r="CM209" s="380" t="str">
        <f t="shared" si="587"/>
        <v xml:space="preserve"> </v>
      </c>
      <c r="CN209" s="378" t="str">
        <f t="shared" si="528"/>
        <v xml:space="preserve"> </v>
      </c>
      <c r="CO209" s="378" t="str">
        <f t="shared" si="529"/>
        <v xml:space="preserve"> </v>
      </c>
      <c r="CP209" s="378" t="str">
        <f t="shared" si="530"/>
        <v xml:space="preserve"> </v>
      </c>
      <c r="CQ209" s="378" t="str">
        <f t="shared" si="531"/>
        <v xml:space="preserve"> </v>
      </c>
      <c r="CR209" s="378" t="str">
        <f t="shared" si="532"/>
        <v xml:space="preserve"> </v>
      </c>
      <c r="CS209" s="378" t="str">
        <f t="shared" si="533"/>
        <v xml:space="preserve"> </v>
      </c>
      <c r="CT209" s="378" t="str">
        <f t="shared" si="534"/>
        <v xml:space="preserve"> </v>
      </c>
      <c r="CU209" s="378" t="str">
        <f t="shared" si="535"/>
        <v xml:space="preserve"> </v>
      </c>
      <c r="CV209" s="378" t="str">
        <f t="shared" si="536"/>
        <v xml:space="preserve"> </v>
      </c>
      <c r="CW209" s="254" t="str">
        <f t="shared" si="537"/>
        <v xml:space="preserve"> </v>
      </c>
      <c r="CX209" s="254" t="str">
        <f t="shared" si="538"/>
        <v xml:space="preserve"> </v>
      </c>
      <c r="CY209" s="254" t="str">
        <f t="shared" si="539"/>
        <v xml:space="preserve"> </v>
      </c>
      <c r="CZ209" s="254" t="str">
        <f t="shared" si="540"/>
        <v xml:space="preserve"> </v>
      </c>
      <c r="DA209" s="254" t="str">
        <f t="shared" si="541"/>
        <v xml:space="preserve"> </v>
      </c>
      <c r="DB209" s="254" t="str">
        <f t="shared" si="542"/>
        <v xml:space="preserve"> </v>
      </c>
      <c r="DC209" s="254" t="str">
        <f t="shared" si="543"/>
        <v xml:space="preserve"> </v>
      </c>
      <c r="DD209" s="254" t="str">
        <f t="shared" si="544"/>
        <v xml:space="preserve"> </v>
      </c>
      <c r="DE209" s="254" t="str">
        <f t="shared" si="545"/>
        <v xml:space="preserve"> </v>
      </c>
      <c r="DF209" s="374" t="str">
        <f>IF($A209="N/A"," ",IF(CC=2,(IF(MONTH(A209)&gt;=4,IF(MONTH(A209)&lt;=10,Inputs!$G$13,Inputs!$G$14),Inputs!$G$14))*$CK209,0))</f>
        <v xml:space="preserve"> </v>
      </c>
      <c r="DG209" s="373" t="str">
        <f t="shared" si="546"/>
        <v xml:space="preserve"> </v>
      </c>
      <c r="DH209" s="373" t="str">
        <f t="shared" si="547"/>
        <v xml:space="preserve"> </v>
      </c>
      <c r="DI209" s="373" t="str">
        <f t="shared" si="548"/>
        <v xml:space="preserve"> </v>
      </c>
      <c r="DJ209" s="373" t="str">
        <f t="shared" si="549"/>
        <v xml:space="preserve"> </v>
      </c>
      <c r="DK209" s="373" t="str">
        <f t="shared" si="550"/>
        <v xml:space="preserve"> </v>
      </c>
      <c r="DL209" s="373" t="str">
        <f t="shared" si="551"/>
        <v xml:space="preserve"> </v>
      </c>
      <c r="DM209" s="373" t="str">
        <f t="shared" si="552"/>
        <v xml:space="preserve"> </v>
      </c>
      <c r="DN209" s="373" t="str">
        <f t="shared" si="553"/>
        <v xml:space="preserve"> </v>
      </c>
      <c r="DO209" s="373" t="str">
        <f t="shared" si="554"/>
        <v xml:space="preserve"> </v>
      </c>
      <c r="DP209" s="375" t="str">
        <f t="shared" si="555"/>
        <v xml:space="preserve"> </v>
      </c>
      <c r="DQ209" t="str">
        <f t="shared" si="588"/>
        <v xml:space="preserve"> </v>
      </c>
      <c r="HD209" t="str">
        <f t="shared" si="589"/>
        <v xml:space="preserve"> </v>
      </c>
      <c r="HE209" t="str">
        <f t="shared" si="590"/>
        <v xml:space="preserve"> </v>
      </c>
      <c r="HF209" t="str">
        <f t="shared" si="591"/>
        <v xml:space="preserve"> </v>
      </c>
    </row>
    <row r="210" spans="1:214">
      <c r="A210" s="415" t="str">
        <f>IF(A209="N/A","N/A",IF(EDATE(A209,1)&gt;Inputs!$K$3,"N/A",EDATE(A209,1)))</f>
        <v>N/A</v>
      </c>
      <c r="B210" s="410" t="str">
        <f t="shared" si="556"/>
        <v xml:space="preserve"> </v>
      </c>
      <c r="C210" s="411" t="str">
        <f t="shared" si="557"/>
        <v xml:space="preserve"> </v>
      </c>
      <c r="D210" s="412" t="str">
        <f t="shared" si="558"/>
        <v xml:space="preserve"> </v>
      </c>
      <c r="E210" s="413" t="str">
        <f>IF($A210="N/A"," ",(C210-'Pricing Inputs'!T243)*D210)</f>
        <v xml:space="preserve"> </v>
      </c>
      <c r="F210" s="414" t="str">
        <f t="shared" si="607"/>
        <v xml:space="preserve"> </v>
      </c>
      <c r="G210" s="414" t="str">
        <f t="shared" si="559"/>
        <v xml:space="preserve"> </v>
      </c>
      <c r="H210" s="416" t="str">
        <f t="shared" si="560"/>
        <v xml:space="preserve"> </v>
      </c>
      <c r="I210" s="213" t="str">
        <f t="shared" si="501"/>
        <v xml:space="preserve"> </v>
      </c>
      <c r="J210" s="213" t="str">
        <f t="shared" si="502"/>
        <v xml:space="preserve"> </v>
      </c>
      <c r="K210" s="213" t="str">
        <f t="shared" si="503"/>
        <v xml:space="preserve"> </v>
      </c>
      <c r="L210" s="213" t="str">
        <f t="shared" si="504"/>
        <v xml:space="preserve"> </v>
      </c>
      <c r="M210" s="213" t="str">
        <f t="shared" si="505"/>
        <v xml:space="preserve"> </v>
      </c>
      <c r="N210" s="213" t="str">
        <f t="shared" si="506"/>
        <v xml:space="preserve"> </v>
      </c>
      <c r="O210" s="213" t="str">
        <f t="shared" si="507"/>
        <v xml:space="preserve"> </v>
      </c>
      <c r="P210" s="213" t="str">
        <f t="shared" si="508"/>
        <v xml:space="preserve"> </v>
      </c>
      <c r="Q210" s="213" t="str">
        <f t="shared" si="509"/>
        <v xml:space="preserve"> </v>
      </c>
      <c r="R210" s="405" t="str">
        <f>IF($A210="N/A"," ",IF(Pricetype=2,MAX(I210-$H210,0),IF(Pricetype=1,(_xll.xSPRDOPT(I210,$E210,$CI210,0,($CD210+IF(Smile=TRUE,VLOOKUP(MAX(-5,$H210-I210),Volsmile,2),0)),$CG210,$CH210,($A210-DateToday)+15,1,0)),I210-$H210)))</f>
        <v xml:space="preserve"> </v>
      </c>
      <c r="S210" s="405" t="str">
        <f>IF($A210="N/A"," ",IF(Pricetype=2,MAX(J210-$H210,0),IF(Pricetype=1,(_xll.xSPRDOPT(J210,$E210,$CI210,0,($CD210+IF(Smile=TRUE,VLOOKUP(MAX(-5,$H210-J210),Volsmile,2),0)),$CG210,$CH210,($A210-DateToday)+15,1,0)),J210-$H210)))</f>
        <v xml:space="preserve"> </v>
      </c>
      <c r="T210" s="406" t="str">
        <f t="shared" si="510"/>
        <v xml:space="preserve"> </v>
      </c>
      <c r="U210" s="405" t="str">
        <f>IF($A210="N/A"," ",IF(Pricetype=2,MAX(L210-$H210,0),IF(L210&lt;&gt;0,IF(Pricetype=1,(_xll.xSPRDOPT(L210,$E210,$CI210,0,($CD210+IF(Smile=TRUE,VLOOKUP(MAX(-5,$H210-L210),Volsmile,2),0)),$CG210,$CH210,($A210-DateToday)+15,1,0)),L210-$H210),0)))</f>
        <v xml:space="preserve"> </v>
      </c>
      <c r="V210" s="405" t="str">
        <f>IF($A210="N/A"," ",IF(Pricetype=2,MAX(M210-$H210,0),IF(M210&lt;&gt;0,IF(Pricetype=1,(_xll.xSPRDOPT(M210,$E210,$CI210,0,($CD210+IF(Smile=TRUE,VLOOKUP(MAX(-5,$H210-M210),Volsmile,2),0)),$CG210,$CH210,($A210-DateToday)+15,1,0)),M210-$H210),0)))</f>
        <v xml:space="preserve"> </v>
      </c>
      <c r="W210" s="406" t="str">
        <f t="shared" si="511"/>
        <v xml:space="preserve"> </v>
      </c>
      <c r="X210" s="405" t="str">
        <f>IF($A210="N/A"," ",IF(Pricetype=2,MAX(O210-$H210,0),IF(O210&lt;&gt;0,IF(Pricetype=1,(_xll.xSPRDOPT(O210,$E210,$CI210,0,($CD210+IF(Smile=TRUE,VLOOKUP(MAX(-5,$H210-O210),Volsmile,2),0)),$CG210,$CH210,($A210-DateToday)+15,1,0)),O210-$H210),0)))</f>
        <v xml:space="preserve"> </v>
      </c>
      <c r="Y210" s="405" t="str">
        <f>IF($A210="N/A"," ",IF(Pricetype=2,MAX(P210-$H210,0),IF(P210&lt;&gt;0,IF(Pricetype=1,(_xll.xSPRDOPT(P210,$E210,$CI210,0,($CD210+IF(Smile=TRUE,VLOOKUP(MAX(-5,$H210-P210),Volsmile,2),0)),$CG210,$CH210,($A210-DateToday)+15,1,0)),P210-$H210),0)))</f>
        <v xml:space="preserve"> </v>
      </c>
      <c r="Z210" s="406" t="str">
        <f t="shared" si="512"/>
        <v xml:space="preserve"> </v>
      </c>
      <c r="AA210" s="254" t="str">
        <f>IF($A210="N/A"," ",IF(VLOOKUP(MONTH(A210),ManualTable,2)=1,(IF(0&lt;&gt;R210,IF(Pricetype=1,(_xll.xSPRDOPT(I210,$E210,$CI210,0,($CD210+IF(Smile=TRUE,VLOOKUP(MAX(-5,$H210-I210),Volsmile,2),0)),$CG210,$CH210,($A210-DateToday)+15,1,1))*(8*$HD210),8*$HD210),0)),0))</f>
        <v xml:space="preserve"> </v>
      </c>
      <c r="AB210" s="254" t="str">
        <f>IF($A210="N/A"," ",IF(VLOOKUP(MONTH(A210),ManualTable,3)=1,(IF(S210&lt;&gt;0,IF(Pricetype=1,(_xll.xSPRDOPT(J210,$E210,$CI210,0,($CD210+IF(Smile=TRUE,VLOOKUP(MAX(-5,$H210-J210),Volsmile,2),0)),$CG210,$CH210,($A210-DateToday)+15,1,1))*(8*$HD210),8*$HD210),0)),0))</f>
        <v xml:space="preserve"> </v>
      </c>
      <c r="AC210" s="254" t="str">
        <f t="shared" si="561"/>
        <v xml:space="preserve"> </v>
      </c>
      <c r="AD210" s="254" t="str">
        <f>IF($A210="N/A"," ",IF(VLOOKUP(MONTH(A210),ManualTable,5)=1,(IF(U210&lt;&gt;0,IF(Pricetype=1,(_xll.xSPRDOPT(L210,$E210,$CI210,0,($CD210+IF(Smile=TRUE,VLOOKUP(MAX(-5,$H210-L210),Volsmile,2),0)),$CG210,$CH210,($A210-DateToday)+15,1,1))*(8*$HE210),8*$HE210),0)),0))</f>
        <v xml:space="preserve"> </v>
      </c>
      <c r="AE210" s="254" t="str">
        <f>IF($A210="N/A"," ",IF(VLOOKUP(MONTH(A210),ManualTable,6)=1,(IF(V210&lt;&gt;0,IF(Pricetype=1,(_xll.xSPRDOPT(M210,$E210,$CI210,0,($CD210+IF(Smile=TRUE,VLOOKUP(MAX(-5,$H210-M210),Volsmile,2),0)),$CG210,$CH210,($A210-DateToday)+15,1,1))*(8*$HE210),8*$HE210),0)),0))</f>
        <v xml:space="preserve"> </v>
      </c>
      <c r="AF210" s="254" t="str">
        <f t="shared" si="562"/>
        <v xml:space="preserve"> </v>
      </c>
      <c r="AG210" s="254" t="str">
        <f>IF($A210="N/A"," ",IF(VLOOKUP(MONTH(A210),ManualTable,8)=1,(IF(X210&lt;&gt;0,IF(Pricetype=1,(_xll.xSPRDOPT(O210,$E210,$CI210,0,($CD210+IF(Smile=TRUE,VLOOKUP(MAX(-5,$H210-O210),Volsmile,2),0)),$CG210,$CH210,($A210-DateToday)+15,1,1))*(8*$HF210),8*$HF210),0)),0))</f>
        <v xml:space="preserve"> </v>
      </c>
      <c r="AH210" s="254" t="str">
        <f>IF($A210="N/A"," ",IF(VLOOKUP(MONTH(A210),ManualTable,9)=1,(IF(Y210&lt;&gt;0,IF(Pricetype=1,(_xll.xSPRDOPT(P210,$E210,$CI210,0,($CD210+IF(Smile=TRUE,VLOOKUP(MAX(-5,$H210-P210),Volsmile,2),0)),$CG210,$CH210,($A210-DateToday)+15,1,1))*(8*$HF210),8*$HF210),0)),0))</f>
        <v xml:space="preserve"> </v>
      </c>
      <c r="AI210" s="254" t="str">
        <f t="shared" si="563"/>
        <v xml:space="preserve"> </v>
      </c>
      <c r="AJ210" s="227" t="str">
        <f t="shared" si="608"/>
        <v xml:space="preserve"> </v>
      </c>
      <c r="AK210" s="228" t="str">
        <f t="shared" si="609"/>
        <v xml:space="preserve"> </v>
      </c>
      <c r="AL210" s="228" t="str">
        <f t="shared" si="609"/>
        <v xml:space="preserve"> </v>
      </c>
      <c r="AM210" s="228" t="str">
        <f t="shared" si="610"/>
        <v xml:space="preserve"> </v>
      </c>
      <c r="AN210" s="228" t="str">
        <f t="shared" si="611"/>
        <v xml:space="preserve"> </v>
      </c>
      <c r="AO210" s="228" t="str">
        <f t="shared" si="611"/>
        <v xml:space="preserve"> </v>
      </c>
      <c r="AP210" s="228" t="str">
        <f t="shared" si="612"/>
        <v xml:space="preserve"> </v>
      </c>
      <c r="AQ210" s="228" t="str">
        <f t="shared" si="613"/>
        <v xml:space="preserve"> </v>
      </c>
      <c r="AR210" s="229" t="str">
        <f t="shared" si="614"/>
        <v xml:space="preserve"> </v>
      </c>
      <c r="AS210" s="262" t="str">
        <f t="shared" si="593"/>
        <v xml:space="preserve"> </v>
      </c>
      <c r="AT210" s="263" t="str">
        <f t="shared" si="594"/>
        <v xml:space="preserve"> </v>
      </c>
      <c r="AU210" s="263" t="str">
        <f t="shared" si="594"/>
        <v xml:space="preserve"> </v>
      </c>
      <c r="AV210" s="263" t="str">
        <f t="shared" si="595"/>
        <v xml:space="preserve"> </v>
      </c>
      <c r="AW210" s="263" t="str">
        <f t="shared" si="596"/>
        <v xml:space="preserve"> </v>
      </c>
      <c r="AX210" s="263" t="str">
        <f t="shared" si="596"/>
        <v xml:space="preserve"> </v>
      </c>
      <c r="AY210" s="263" t="str">
        <f t="shared" si="597"/>
        <v xml:space="preserve"> </v>
      </c>
      <c r="AZ210" s="263" t="str">
        <f t="shared" si="598"/>
        <v xml:space="preserve"> </v>
      </c>
      <c r="BA210" s="263" t="str">
        <f t="shared" si="599"/>
        <v xml:space="preserve"> </v>
      </c>
      <c r="BB210" s="229"/>
      <c r="BC210" s="266" t="str">
        <f t="shared" si="600"/>
        <v xml:space="preserve"> </v>
      </c>
      <c r="BD210" s="269" t="str">
        <f t="shared" si="601"/>
        <v xml:space="preserve"> </v>
      </c>
      <c r="BE210" s="269" t="str">
        <f t="shared" si="601"/>
        <v xml:space="preserve"> </v>
      </c>
      <c r="BF210" s="269" t="str">
        <f t="shared" si="602"/>
        <v xml:space="preserve"> </v>
      </c>
      <c r="BG210" s="269" t="str">
        <f t="shared" si="603"/>
        <v xml:space="preserve"> </v>
      </c>
      <c r="BH210" s="269" t="str">
        <f t="shared" si="603"/>
        <v xml:space="preserve"> </v>
      </c>
      <c r="BI210" s="269" t="str">
        <f t="shared" si="604"/>
        <v xml:space="preserve"> </v>
      </c>
      <c r="BJ210" s="269" t="str">
        <f t="shared" si="605"/>
        <v xml:space="preserve"> </v>
      </c>
      <c r="BK210" s="269" t="str">
        <f t="shared" si="606"/>
        <v xml:space="preserve"> </v>
      </c>
      <c r="BL210" s="229"/>
      <c r="BM210" s="220" t="str">
        <f>IF($A210="N/A"," ",(IF(MONTH(A210)&gt;=4,IF(MONTH(A210)&lt;=10,Inputs!$F$13-Inputs!$G$13,Inputs!$F$14-Inputs!$G$14),Inputs!$F$14-Inputs!$G$14))*$CK210*Availability)</f>
        <v xml:space="preserve"> </v>
      </c>
      <c r="BN210" s="221" t="str">
        <f t="shared" si="571"/>
        <v xml:space="preserve"> </v>
      </c>
      <c r="BO210" s="221" t="str">
        <f t="shared" si="572"/>
        <v xml:space="preserve"> </v>
      </c>
      <c r="BP210" s="221" t="str">
        <f t="shared" si="573"/>
        <v xml:space="preserve"> </v>
      </c>
      <c r="BQ210" s="221" t="str">
        <f t="shared" si="574"/>
        <v xml:space="preserve"> </v>
      </c>
      <c r="BR210" s="221" t="str">
        <f t="shared" si="575"/>
        <v xml:space="preserve"> </v>
      </c>
      <c r="BS210" s="221" t="str">
        <f t="shared" si="576"/>
        <v xml:space="preserve"> </v>
      </c>
      <c r="BT210" s="221" t="str">
        <f t="shared" si="577"/>
        <v xml:space="preserve"> </v>
      </c>
      <c r="BU210" s="221" t="str">
        <f t="shared" si="578"/>
        <v xml:space="preserve"> </v>
      </c>
      <c r="BV210" s="221" t="str">
        <f t="shared" si="579"/>
        <v xml:space="preserve"> </v>
      </c>
      <c r="BW210" s="221" t="str">
        <f t="shared" si="580"/>
        <v xml:space="preserve"> </v>
      </c>
      <c r="BX210" s="421" t="str">
        <f t="shared" si="581"/>
        <v xml:space="preserve"> </v>
      </c>
      <c r="BY210" s="417" t="str">
        <f t="shared" si="582"/>
        <v xml:space="preserve"> </v>
      </c>
      <c r="BZ210" s="417" t="str">
        <f t="shared" si="583"/>
        <v xml:space="preserve"> </v>
      </c>
      <c r="CA210" s="422" t="str">
        <f t="shared" si="584"/>
        <v xml:space="preserve"> </v>
      </c>
      <c r="CB210" s="347" t="str">
        <f t="shared" si="521"/>
        <v xml:space="preserve"> </v>
      </c>
      <c r="CC210" s="347" t="str">
        <f t="shared" si="585"/>
        <v xml:space="preserve"> </v>
      </c>
      <c r="CD210" s="348" t="str">
        <f t="shared" si="522"/>
        <v xml:space="preserve"> </v>
      </c>
      <c r="CE210" s="347" t="str">
        <f t="shared" si="523"/>
        <v xml:space="preserve"> </v>
      </c>
      <c r="CF210" s="347" t="str">
        <f t="shared" si="524"/>
        <v xml:space="preserve"> </v>
      </c>
      <c r="CG210" s="348" t="str">
        <f t="shared" si="525"/>
        <v xml:space="preserve"> </v>
      </c>
      <c r="CH210" s="347" t="str">
        <f t="shared" si="586"/>
        <v xml:space="preserve"> </v>
      </c>
      <c r="CI210" s="349" t="str">
        <f>IF($A210="N/A"," ",F210+G210+(D210*('Pricing Inputs'!T243)))</f>
        <v xml:space="preserve"> </v>
      </c>
      <c r="CJ210" s="347" t="str">
        <f>IF($A210="N/A"," ",IF(PV=1,0,'Pricing Inputs'!U243))</f>
        <v xml:space="preserve"> </v>
      </c>
      <c r="CK210" s="350" t="str">
        <f t="shared" si="526"/>
        <v xml:space="preserve"> </v>
      </c>
      <c r="CL210" s="365" t="str">
        <f t="shared" si="527"/>
        <v xml:space="preserve"> </v>
      </c>
      <c r="CM210" s="380" t="str">
        <f t="shared" si="587"/>
        <v xml:space="preserve"> </v>
      </c>
      <c r="CN210" s="378" t="str">
        <f t="shared" si="528"/>
        <v xml:space="preserve"> </v>
      </c>
      <c r="CO210" s="378" t="str">
        <f t="shared" si="529"/>
        <v xml:space="preserve"> </v>
      </c>
      <c r="CP210" s="378" t="str">
        <f t="shared" si="530"/>
        <v xml:space="preserve"> </v>
      </c>
      <c r="CQ210" s="378" t="str">
        <f t="shared" si="531"/>
        <v xml:space="preserve"> </v>
      </c>
      <c r="CR210" s="378" t="str">
        <f t="shared" si="532"/>
        <v xml:space="preserve"> </v>
      </c>
      <c r="CS210" s="378" t="str">
        <f t="shared" si="533"/>
        <v xml:space="preserve"> </v>
      </c>
      <c r="CT210" s="378" t="str">
        <f t="shared" si="534"/>
        <v xml:space="preserve"> </v>
      </c>
      <c r="CU210" s="378" t="str">
        <f t="shared" si="535"/>
        <v xml:space="preserve"> </v>
      </c>
      <c r="CV210" s="378" t="str">
        <f t="shared" si="536"/>
        <v xml:space="preserve"> </v>
      </c>
      <c r="CW210" s="254" t="str">
        <f t="shared" si="537"/>
        <v xml:space="preserve"> </v>
      </c>
      <c r="CX210" s="254" t="str">
        <f t="shared" si="538"/>
        <v xml:space="preserve"> </v>
      </c>
      <c r="CY210" s="254" t="str">
        <f t="shared" si="539"/>
        <v xml:space="preserve"> </v>
      </c>
      <c r="CZ210" s="254" t="str">
        <f t="shared" si="540"/>
        <v xml:space="preserve"> </v>
      </c>
      <c r="DA210" s="254" t="str">
        <f t="shared" si="541"/>
        <v xml:space="preserve"> </v>
      </c>
      <c r="DB210" s="254" t="str">
        <f t="shared" si="542"/>
        <v xml:space="preserve"> </v>
      </c>
      <c r="DC210" s="254" t="str">
        <f t="shared" si="543"/>
        <v xml:space="preserve"> </v>
      </c>
      <c r="DD210" s="254" t="str">
        <f t="shared" si="544"/>
        <v xml:space="preserve"> </v>
      </c>
      <c r="DE210" s="254" t="str">
        <f t="shared" si="545"/>
        <v xml:space="preserve"> </v>
      </c>
      <c r="DF210" s="374" t="str">
        <f>IF($A210="N/A"," ",IF(CC=2,(IF(MONTH(A210)&gt;=4,IF(MONTH(A210)&lt;=10,Inputs!$G$13,Inputs!$G$14),Inputs!$G$14))*$CK210,0))</f>
        <v xml:space="preserve"> </v>
      </c>
      <c r="DG210" s="373" t="str">
        <f t="shared" si="546"/>
        <v xml:space="preserve"> </v>
      </c>
      <c r="DH210" s="373" t="str">
        <f t="shared" si="547"/>
        <v xml:space="preserve"> </v>
      </c>
      <c r="DI210" s="373" t="str">
        <f t="shared" si="548"/>
        <v xml:space="preserve"> </v>
      </c>
      <c r="DJ210" s="373" t="str">
        <f t="shared" si="549"/>
        <v xml:space="preserve"> </v>
      </c>
      <c r="DK210" s="373" t="str">
        <f t="shared" si="550"/>
        <v xml:space="preserve"> </v>
      </c>
      <c r="DL210" s="373" t="str">
        <f t="shared" si="551"/>
        <v xml:space="preserve"> </v>
      </c>
      <c r="DM210" s="373" t="str">
        <f t="shared" si="552"/>
        <v xml:space="preserve"> </v>
      </c>
      <c r="DN210" s="373" t="str">
        <f t="shared" si="553"/>
        <v xml:space="preserve"> </v>
      </c>
      <c r="DO210" s="373" t="str">
        <f t="shared" si="554"/>
        <v xml:space="preserve"> </v>
      </c>
      <c r="DP210" s="375" t="str">
        <f t="shared" si="555"/>
        <v xml:space="preserve"> </v>
      </c>
      <c r="DQ210" t="str">
        <f t="shared" si="588"/>
        <v xml:space="preserve"> </v>
      </c>
      <c r="HD210" t="str">
        <f t="shared" si="589"/>
        <v xml:space="preserve"> </v>
      </c>
      <c r="HE210" t="str">
        <f t="shared" si="590"/>
        <v xml:space="preserve"> </v>
      </c>
      <c r="HF210" t="str">
        <f t="shared" si="591"/>
        <v xml:space="preserve"> </v>
      </c>
    </row>
    <row r="211" spans="1:214">
      <c r="A211" s="415" t="str">
        <f>IF(A210="N/A","N/A",IF(EDATE(A210,1)&gt;Inputs!$K$3,"N/A",EDATE(A210,1)))</f>
        <v>N/A</v>
      </c>
      <c r="B211" s="410" t="str">
        <f t="shared" si="556"/>
        <v xml:space="preserve"> </v>
      </c>
      <c r="C211" s="411" t="str">
        <f t="shared" si="557"/>
        <v xml:space="preserve"> </v>
      </c>
      <c r="D211" s="412" t="str">
        <f t="shared" si="558"/>
        <v xml:space="preserve"> </v>
      </c>
      <c r="E211" s="413" t="str">
        <f>IF($A211="N/A"," ",(C211-'Pricing Inputs'!T244)*D211)</f>
        <v xml:space="preserve"> </v>
      </c>
      <c r="F211" s="414" t="str">
        <f t="shared" si="607"/>
        <v xml:space="preserve"> </v>
      </c>
      <c r="G211" s="414" t="str">
        <f t="shared" si="559"/>
        <v xml:space="preserve"> </v>
      </c>
      <c r="H211" s="416" t="str">
        <f t="shared" si="560"/>
        <v xml:space="preserve"> </v>
      </c>
      <c r="I211" s="213" t="str">
        <f t="shared" si="501"/>
        <v xml:space="preserve"> </v>
      </c>
      <c r="J211" s="213" t="str">
        <f t="shared" si="502"/>
        <v xml:space="preserve"> </v>
      </c>
      <c r="K211" s="213" t="str">
        <f t="shared" si="503"/>
        <v xml:space="preserve"> </v>
      </c>
      <c r="L211" s="213" t="str">
        <f t="shared" si="504"/>
        <v xml:space="preserve"> </v>
      </c>
      <c r="M211" s="213" t="str">
        <f t="shared" si="505"/>
        <v xml:space="preserve"> </v>
      </c>
      <c r="N211" s="213" t="str">
        <f t="shared" si="506"/>
        <v xml:space="preserve"> </v>
      </c>
      <c r="O211" s="213" t="str">
        <f t="shared" si="507"/>
        <v xml:space="preserve"> </v>
      </c>
      <c r="P211" s="213" t="str">
        <f t="shared" si="508"/>
        <v xml:space="preserve"> </v>
      </c>
      <c r="Q211" s="213" t="str">
        <f t="shared" si="509"/>
        <v xml:space="preserve"> </v>
      </c>
      <c r="R211" s="405" t="str">
        <f>IF($A211="N/A"," ",IF(Pricetype=2,MAX(I211-$H211,0),IF(Pricetype=1,(_xll.xSPRDOPT(I211,$E211,$CI211,0,($CD211+IF(Smile=TRUE,VLOOKUP(MAX(-5,$H211-I211),Volsmile,2),0)),$CG211,$CH211,($A211-DateToday)+15,1,0)),I211-$H211)))</f>
        <v xml:space="preserve"> </v>
      </c>
      <c r="S211" s="405" t="str">
        <f>IF($A211="N/A"," ",IF(Pricetype=2,MAX(J211-$H211,0),IF(Pricetype=1,(_xll.xSPRDOPT(J211,$E211,$CI211,0,($CD211+IF(Smile=TRUE,VLOOKUP(MAX(-5,$H211-J211),Volsmile,2),0)),$CG211,$CH211,($A211-DateToday)+15,1,0)),J211-$H211)))</f>
        <v xml:space="preserve"> </v>
      </c>
      <c r="T211" s="406" t="str">
        <f t="shared" si="510"/>
        <v xml:space="preserve"> </v>
      </c>
      <c r="U211" s="405" t="str">
        <f>IF($A211="N/A"," ",IF(Pricetype=2,MAX(L211-$H211,0),IF(L211&lt;&gt;0,IF(Pricetype=1,(_xll.xSPRDOPT(L211,$E211,$CI211,0,($CD211+IF(Smile=TRUE,VLOOKUP(MAX(-5,$H211-L211),Volsmile,2),0)),$CG211,$CH211,($A211-DateToday)+15,1,0)),L211-$H211),0)))</f>
        <v xml:space="preserve"> </v>
      </c>
      <c r="V211" s="405" t="str">
        <f>IF($A211="N/A"," ",IF(Pricetype=2,MAX(M211-$H211,0),IF(M211&lt;&gt;0,IF(Pricetype=1,(_xll.xSPRDOPT(M211,$E211,$CI211,0,($CD211+IF(Smile=TRUE,VLOOKUP(MAX(-5,$H211-M211),Volsmile,2),0)),$CG211,$CH211,($A211-DateToday)+15,1,0)),M211-$H211),0)))</f>
        <v xml:space="preserve"> </v>
      </c>
      <c r="W211" s="406" t="str">
        <f t="shared" si="511"/>
        <v xml:space="preserve"> </v>
      </c>
      <c r="X211" s="405" t="str">
        <f>IF($A211="N/A"," ",IF(Pricetype=2,MAX(O211-$H211,0),IF(O211&lt;&gt;0,IF(Pricetype=1,(_xll.xSPRDOPT(O211,$E211,$CI211,0,($CD211+IF(Smile=TRUE,VLOOKUP(MAX(-5,$H211-O211),Volsmile,2),0)),$CG211,$CH211,($A211-DateToday)+15,1,0)),O211-$H211),0)))</f>
        <v xml:space="preserve"> </v>
      </c>
      <c r="Y211" s="405" t="str">
        <f>IF($A211="N/A"," ",IF(Pricetype=2,MAX(P211-$H211,0),IF(P211&lt;&gt;0,IF(Pricetype=1,(_xll.xSPRDOPT(P211,$E211,$CI211,0,($CD211+IF(Smile=TRUE,VLOOKUP(MAX(-5,$H211-P211),Volsmile,2),0)),$CG211,$CH211,($A211-DateToday)+15,1,0)),P211-$H211),0)))</f>
        <v xml:space="preserve"> </v>
      </c>
      <c r="Z211" s="406" t="str">
        <f t="shared" si="512"/>
        <v xml:space="preserve"> </v>
      </c>
      <c r="AA211" s="254" t="str">
        <f>IF($A211="N/A"," ",IF(VLOOKUP(MONTH(A211),ManualTable,2)=1,(IF(0&lt;&gt;R211,IF(Pricetype=1,(_xll.xSPRDOPT(I211,$E211,$CI211,0,($CD211+IF(Smile=TRUE,VLOOKUP(MAX(-5,$H211-I211),Volsmile,2),0)),$CG211,$CH211,($A211-DateToday)+15,1,1))*(8*$HD211),8*$HD211),0)),0))</f>
        <v xml:space="preserve"> </v>
      </c>
      <c r="AB211" s="254" t="str">
        <f>IF($A211="N/A"," ",IF(VLOOKUP(MONTH(A211),ManualTable,3)=1,(IF(S211&lt;&gt;0,IF(Pricetype=1,(_xll.xSPRDOPT(J211,$E211,$CI211,0,($CD211+IF(Smile=TRUE,VLOOKUP(MAX(-5,$H211-J211),Volsmile,2),0)),$CG211,$CH211,($A211-DateToday)+15,1,1))*(8*$HD211),8*$HD211),0)),0))</f>
        <v xml:space="preserve"> </v>
      </c>
      <c r="AC211" s="254" t="str">
        <f t="shared" si="561"/>
        <v xml:space="preserve"> </v>
      </c>
      <c r="AD211" s="254" t="str">
        <f>IF($A211="N/A"," ",IF(VLOOKUP(MONTH(A211),ManualTable,5)=1,(IF(U211&lt;&gt;0,IF(Pricetype=1,(_xll.xSPRDOPT(L211,$E211,$CI211,0,($CD211+IF(Smile=TRUE,VLOOKUP(MAX(-5,$H211-L211),Volsmile,2),0)),$CG211,$CH211,($A211-DateToday)+15,1,1))*(8*$HE211),8*$HE211),0)),0))</f>
        <v xml:space="preserve"> </v>
      </c>
      <c r="AE211" s="254" t="str">
        <f>IF($A211="N/A"," ",IF(VLOOKUP(MONTH(A211),ManualTable,6)=1,(IF(V211&lt;&gt;0,IF(Pricetype=1,(_xll.xSPRDOPT(M211,$E211,$CI211,0,($CD211+IF(Smile=TRUE,VLOOKUP(MAX(-5,$H211-M211),Volsmile,2),0)),$CG211,$CH211,($A211-DateToday)+15,1,1))*(8*$HE211),8*$HE211),0)),0))</f>
        <v xml:space="preserve"> </v>
      </c>
      <c r="AF211" s="254" t="str">
        <f t="shared" si="562"/>
        <v xml:space="preserve"> </v>
      </c>
      <c r="AG211" s="254" t="str">
        <f>IF($A211="N/A"," ",IF(VLOOKUP(MONTH(A211),ManualTable,8)=1,(IF(X211&lt;&gt;0,IF(Pricetype=1,(_xll.xSPRDOPT(O211,$E211,$CI211,0,($CD211+IF(Smile=TRUE,VLOOKUP(MAX(-5,$H211-O211),Volsmile,2),0)),$CG211,$CH211,($A211-DateToday)+15,1,1))*(8*$HF211),8*$HF211),0)),0))</f>
        <v xml:space="preserve"> </v>
      </c>
      <c r="AH211" s="254" t="str">
        <f>IF($A211="N/A"," ",IF(VLOOKUP(MONTH(A211),ManualTable,9)=1,(IF(Y211&lt;&gt;0,IF(Pricetype=1,(_xll.xSPRDOPT(P211,$E211,$CI211,0,($CD211+IF(Smile=TRUE,VLOOKUP(MAX(-5,$H211-P211),Volsmile,2),0)),$CG211,$CH211,($A211-DateToday)+15,1,1))*(8*$HF211),8*$HF211),0)),0))</f>
        <v xml:space="preserve"> </v>
      </c>
      <c r="AI211" s="254" t="str">
        <f t="shared" si="563"/>
        <v xml:space="preserve"> </v>
      </c>
      <c r="AJ211" s="227" t="str">
        <f t="shared" si="608"/>
        <v xml:space="preserve"> </v>
      </c>
      <c r="AK211" s="228" t="str">
        <f t="shared" si="609"/>
        <v xml:space="preserve"> </v>
      </c>
      <c r="AL211" s="228" t="str">
        <f t="shared" si="609"/>
        <v xml:space="preserve"> </v>
      </c>
      <c r="AM211" s="228" t="str">
        <f t="shared" si="610"/>
        <v xml:space="preserve"> </v>
      </c>
      <c r="AN211" s="228" t="str">
        <f t="shared" si="611"/>
        <v xml:space="preserve"> </v>
      </c>
      <c r="AO211" s="228" t="str">
        <f t="shared" si="611"/>
        <v xml:space="preserve"> </v>
      </c>
      <c r="AP211" s="228" t="str">
        <f t="shared" si="612"/>
        <v xml:space="preserve"> </v>
      </c>
      <c r="AQ211" s="228" t="str">
        <f t="shared" si="613"/>
        <v xml:space="preserve"> </v>
      </c>
      <c r="AR211" s="229" t="str">
        <f t="shared" si="614"/>
        <v xml:space="preserve"> </v>
      </c>
      <c r="AS211" s="262" t="str">
        <f t="shared" si="593"/>
        <v xml:space="preserve"> </v>
      </c>
      <c r="AT211" s="263" t="str">
        <f t="shared" si="594"/>
        <v xml:space="preserve"> </v>
      </c>
      <c r="AU211" s="263" t="str">
        <f t="shared" si="594"/>
        <v xml:space="preserve"> </v>
      </c>
      <c r="AV211" s="263" t="str">
        <f t="shared" si="595"/>
        <v xml:space="preserve"> </v>
      </c>
      <c r="AW211" s="263" t="str">
        <f t="shared" si="596"/>
        <v xml:space="preserve"> </v>
      </c>
      <c r="AX211" s="263" t="str">
        <f t="shared" si="596"/>
        <v xml:space="preserve"> </v>
      </c>
      <c r="AY211" s="263" t="str">
        <f t="shared" si="597"/>
        <v xml:space="preserve"> </v>
      </c>
      <c r="AZ211" s="263" t="str">
        <f t="shared" si="598"/>
        <v xml:space="preserve"> </v>
      </c>
      <c r="BA211" s="263" t="str">
        <f t="shared" si="599"/>
        <v xml:space="preserve"> </v>
      </c>
      <c r="BB211" s="229"/>
      <c r="BC211" s="266" t="str">
        <f t="shared" si="600"/>
        <v xml:space="preserve"> </v>
      </c>
      <c r="BD211" s="269" t="str">
        <f t="shared" si="601"/>
        <v xml:space="preserve"> </v>
      </c>
      <c r="BE211" s="269" t="str">
        <f t="shared" si="601"/>
        <v xml:space="preserve"> </v>
      </c>
      <c r="BF211" s="269" t="str">
        <f t="shared" si="602"/>
        <v xml:space="preserve"> </v>
      </c>
      <c r="BG211" s="269" t="str">
        <f t="shared" si="603"/>
        <v xml:space="preserve"> </v>
      </c>
      <c r="BH211" s="269" t="str">
        <f t="shared" si="603"/>
        <v xml:space="preserve"> </v>
      </c>
      <c r="BI211" s="269" t="str">
        <f t="shared" si="604"/>
        <v xml:space="preserve"> </v>
      </c>
      <c r="BJ211" s="269" t="str">
        <f t="shared" si="605"/>
        <v xml:space="preserve"> </v>
      </c>
      <c r="BK211" s="269" t="str">
        <f t="shared" si="606"/>
        <v xml:space="preserve"> </v>
      </c>
      <c r="BL211" s="229"/>
      <c r="BM211" s="220" t="str">
        <f>IF($A211="N/A"," ",(IF(MONTH(A211)&gt;=4,IF(MONTH(A211)&lt;=10,Inputs!$F$13-Inputs!$G$13,Inputs!$F$14-Inputs!$G$14),Inputs!$F$14-Inputs!$G$14))*$CK211*Availability)</f>
        <v xml:space="preserve"> </v>
      </c>
      <c r="BN211" s="221" t="str">
        <f t="shared" si="571"/>
        <v xml:space="preserve"> </v>
      </c>
      <c r="BO211" s="221" t="str">
        <f t="shared" si="572"/>
        <v xml:space="preserve"> </v>
      </c>
      <c r="BP211" s="221" t="str">
        <f t="shared" si="573"/>
        <v xml:space="preserve"> </v>
      </c>
      <c r="BQ211" s="221" t="str">
        <f t="shared" si="574"/>
        <v xml:space="preserve"> </v>
      </c>
      <c r="BR211" s="221" t="str">
        <f t="shared" si="575"/>
        <v xml:space="preserve"> </v>
      </c>
      <c r="BS211" s="221" t="str">
        <f t="shared" si="576"/>
        <v xml:space="preserve"> </v>
      </c>
      <c r="BT211" s="221" t="str">
        <f t="shared" si="577"/>
        <v xml:space="preserve"> </v>
      </c>
      <c r="BU211" s="221" t="str">
        <f t="shared" si="578"/>
        <v xml:space="preserve"> </v>
      </c>
      <c r="BV211" s="221" t="str">
        <f t="shared" si="579"/>
        <v xml:space="preserve"> </v>
      </c>
      <c r="BW211" s="221" t="str">
        <f t="shared" si="580"/>
        <v xml:space="preserve"> </v>
      </c>
      <c r="BX211" s="421" t="str">
        <f t="shared" si="581"/>
        <v xml:space="preserve"> </v>
      </c>
      <c r="BY211" s="417" t="str">
        <f t="shared" si="582"/>
        <v xml:space="preserve"> </v>
      </c>
      <c r="BZ211" s="417" t="str">
        <f t="shared" si="583"/>
        <v xml:space="preserve"> </v>
      </c>
      <c r="CA211" s="422" t="str">
        <f t="shared" si="584"/>
        <v xml:space="preserve"> </v>
      </c>
      <c r="CB211" s="347" t="str">
        <f t="shared" si="521"/>
        <v xml:space="preserve"> </v>
      </c>
      <c r="CC211" s="347" t="str">
        <f t="shared" si="585"/>
        <v xml:space="preserve"> </v>
      </c>
      <c r="CD211" s="348" t="str">
        <f t="shared" si="522"/>
        <v xml:space="preserve"> </v>
      </c>
      <c r="CE211" s="347" t="str">
        <f t="shared" si="523"/>
        <v xml:space="preserve"> </v>
      </c>
      <c r="CF211" s="347" t="str">
        <f t="shared" si="524"/>
        <v xml:space="preserve"> </v>
      </c>
      <c r="CG211" s="348" t="str">
        <f t="shared" si="525"/>
        <v xml:space="preserve"> </v>
      </c>
      <c r="CH211" s="347" t="str">
        <f t="shared" si="586"/>
        <v xml:space="preserve"> </v>
      </c>
      <c r="CI211" s="349" t="str">
        <f>IF($A211="N/A"," ",F211+G211+(D211*('Pricing Inputs'!T244)))</f>
        <v xml:space="preserve"> </v>
      </c>
      <c r="CJ211" s="347" t="str">
        <f>IF($A211="N/A"," ",IF(PV=1,0,'Pricing Inputs'!U244))</f>
        <v xml:space="preserve"> </v>
      </c>
      <c r="CK211" s="350" t="str">
        <f t="shared" si="526"/>
        <v xml:space="preserve"> </v>
      </c>
      <c r="CL211" s="365" t="str">
        <f t="shared" si="527"/>
        <v xml:space="preserve"> </v>
      </c>
      <c r="CM211" s="380" t="str">
        <f t="shared" si="587"/>
        <v xml:space="preserve"> </v>
      </c>
      <c r="CN211" s="378" t="str">
        <f t="shared" si="528"/>
        <v xml:space="preserve"> </v>
      </c>
      <c r="CO211" s="378" t="str">
        <f t="shared" si="529"/>
        <v xml:space="preserve"> </v>
      </c>
      <c r="CP211" s="378" t="str">
        <f t="shared" si="530"/>
        <v xml:space="preserve"> </v>
      </c>
      <c r="CQ211" s="378" t="str">
        <f t="shared" si="531"/>
        <v xml:space="preserve"> </v>
      </c>
      <c r="CR211" s="378" t="str">
        <f t="shared" si="532"/>
        <v xml:space="preserve"> </v>
      </c>
      <c r="CS211" s="378" t="str">
        <f t="shared" si="533"/>
        <v xml:space="preserve"> </v>
      </c>
      <c r="CT211" s="378" t="str">
        <f t="shared" si="534"/>
        <v xml:space="preserve"> </v>
      </c>
      <c r="CU211" s="378" t="str">
        <f t="shared" si="535"/>
        <v xml:space="preserve"> </v>
      </c>
      <c r="CV211" s="378" t="str">
        <f t="shared" si="536"/>
        <v xml:space="preserve"> </v>
      </c>
      <c r="CW211" s="254" t="str">
        <f t="shared" si="537"/>
        <v xml:space="preserve"> </v>
      </c>
      <c r="CX211" s="254" t="str">
        <f t="shared" si="538"/>
        <v xml:space="preserve"> </v>
      </c>
      <c r="CY211" s="254" t="str">
        <f t="shared" si="539"/>
        <v xml:space="preserve"> </v>
      </c>
      <c r="CZ211" s="254" t="str">
        <f t="shared" si="540"/>
        <v xml:space="preserve"> </v>
      </c>
      <c r="DA211" s="254" t="str">
        <f t="shared" si="541"/>
        <v xml:space="preserve"> </v>
      </c>
      <c r="DB211" s="254" t="str">
        <f t="shared" si="542"/>
        <v xml:space="preserve"> </v>
      </c>
      <c r="DC211" s="254" t="str">
        <f t="shared" si="543"/>
        <v xml:space="preserve"> </v>
      </c>
      <c r="DD211" s="254" t="str">
        <f t="shared" si="544"/>
        <v xml:space="preserve"> </v>
      </c>
      <c r="DE211" s="254" t="str">
        <f t="shared" si="545"/>
        <v xml:space="preserve"> </v>
      </c>
      <c r="DF211" s="374" t="str">
        <f>IF($A211="N/A"," ",IF(CC=2,(IF(MONTH(A211)&gt;=4,IF(MONTH(A211)&lt;=10,Inputs!$G$13,Inputs!$G$14),Inputs!$G$14))*$CK211,0))</f>
        <v xml:space="preserve"> </v>
      </c>
      <c r="DG211" s="373" t="str">
        <f t="shared" si="546"/>
        <v xml:space="preserve"> </v>
      </c>
      <c r="DH211" s="373" t="str">
        <f t="shared" si="547"/>
        <v xml:space="preserve"> </v>
      </c>
      <c r="DI211" s="373" t="str">
        <f t="shared" si="548"/>
        <v xml:space="preserve"> </v>
      </c>
      <c r="DJ211" s="373" t="str">
        <f t="shared" si="549"/>
        <v xml:space="preserve"> </v>
      </c>
      <c r="DK211" s="373" t="str">
        <f t="shared" si="550"/>
        <v xml:space="preserve"> </v>
      </c>
      <c r="DL211" s="373" t="str">
        <f t="shared" si="551"/>
        <v xml:space="preserve"> </v>
      </c>
      <c r="DM211" s="373" t="str">
        <f t="shared" si="552"/>
        <v xml:space="preserve"> </v>
      </c>
      <c r="DN211" s="373" t="str">
        <f t="shared" si="553"/>
        <v xml:space="preserve"> </v>
      </c>
      <c r="DO211" s="373" t="str">
        <f t="shared" si="554"/>
        <v xml:space="preserve"> </v>
      </c>
      <c r="DP211" s="375" t="str">
        <f t="shared" si="555"/>
        <v xml:space="preserve"> </v>
      </c>
      <c r="DQ211" t="str">
        <f t="shared" si="588"/>
        <v xml:space="preserve"> </v>
      </c>
      <c r="HD211" t="str">
        <f t="shared" si="589"/>
        <v xml:space="preserve"> </v>
      </c>
      <c r="HE211" t="str">
        <f t="shared" si="590"/>
        <v xml:space="preserve"> </v>
      </c>
      <c r="HF211" t="str">
        <f t="shared" si="591"/>
        <v xml:space="preserve"> </v>
      </c>
    </row>
    <row r="212" spans="1:214">
      <c r="A212" s="415" t="str">
        <f>IF(A211="N/A","N/A",IF(EDATE(A211,1)&gt;Inputs!$K$3,"N/A",EDATE(A211,1)))</f>
        <v>N/A</v>
      </c>
      <c r="B212" s="410" t="str">
        <f t="shared" si="556"/>
        <v xml:space="preserve"> </v>
      </c>
      <c r="C212" s="411" t="str">
        <f t="shared" si="557"/>
        <v xml:space="preserve"> </v>
      </c>
      <c r="D212" s="412" t="str">
        <f t="shared" si="558"/>
        <v xml:space="preserve"> </v>
      </c>
      <c r="E212" s="413" t="str">
        <f>IF($A212="N/A"," ",(C212-'Pricing Inputs'!T245)*D212)</f>
        <v xml:space="preserve"> </v>
      </c>
      <c r="F212" s="414" t="str">
        <f t="shared" si="607"/>
        <v xml:space="preserve"> </v>
      </c>
      <c r="G212" s="414" t="str">
        <f t="shared" si="559"/>
        <v xml:space="preserve"> </v>
      </c>
      <c r="H212" s="416" t="str">
        <f t="shared" si="560"/>
        <v xml:space="preserve"> </v>
      </c>
      <c r="I212" s="213" t="str">
        <f t="shared" si="501"/>
        <v xml:space="preserve"> </v>
      </c>
      <c r="J212" s="213" t="str">
        <f t="shared" si="502"/>
        <v xml:space="preserve"> </v>
      </c>
      <c r="K212" s="213" t="str">
        <f t="shared" si="503"/>
        <v xml:space="preserve"> </v>
      </c>
      <c r="L212" s="213" t="str">
        <f t="shared" si="504"/>
        <v xml:space="preserve"> </v>
      </c>
      <c r="M212" s="213" t="str">
        <f t="shared" si="505"/>
        <v xml:space="preserve"> </v>
      </c>
      <c r="N212" s="213" t="str">
        <f t="shared" si="506"/>
        <v xml:space="preserve"> </v>
      </c>
      <c r="O212" s="213" t="str">
        <f t="shared" si="507"/>
        <v xml:space="preserve"> </v>
      </c>
      <c r="P212" s="213" t="str">
        <f t="shared" si="508"/>
        <v xml:space="preserve"> </v>
      </c>
      <c r="Q212" s="213" t="str">
        <f t="shared" si="509"/>
        <v xml:space="preserve"> </v>
      </c>
      <c r="R212" s="405" t="str">
        <f>IF($A212="N/A"," ",IF(Pricetype=2,MAX(I212-$H212,0),IF(Pricetype=1,(_xll.xSPRDOPT(I212,$E212,$CI212,0,($CD212+IF(Smile=TRUE,VLOOKUP(MAX(-5,$H212-I212),Volsmile,2),0)),$CG212,$CH212,($A212-DateToday)+15,1,0)),I212-$H212)))</f>
        <v xml:space="preserve"> </v>
      </c>
      <c r="S212" s="405" t="str">
        <f>IF($A212="N/A"," ",IF(Pricetype=2,MAX(J212-$H212,0),IF(Pricetype=1,(_xll.xSPRDOPT(J212,$E212,$CI212,0,($CD212+IF(Smile=TRUE,VLOOKUP(MAX(-5,$H212-J212),Volsmile,2),0)),$CG212,$CH212,($A212-DateToday)+15,1,0)),J212-$H212)))</f>
        <v xml:space="preserve"> </v>
      </c>
      <c r="T212" s="406" t="str">
        <f t="shared" si="510"/>
        <v xml:space="preserve"> </v>
      </c>
      <c r="U212" s="405" t="str">
        <f>IF($A212="N/A"," ",IF(Pricetype=2,MAX(L212-$H212,0),IF(L212&lt;&gt;0,IF(Pricetype=1,(_xll.xSPRDOPT(L212,$E212,$CI212,0,($CD212+IF(Smile=TRUE,VLOOKUP(MAX(-5,$H212-L212),Volsmile,2),0)),$CG212,$CH212,($A212-DateToday)+15,1,0)),L212-$H212),0)))</f>
        <v xml:space="preserve"> </v>
      </c>
      <c r="V212" s="405" t="str">
        <f>IF($A212="N/A"," ",IF(Pricetype=2,MAX(M212-$H212,0),IF(M212&lt;&gt;0,IF(Pricetype=1,(_xll.xSPRDOPT(M212,$E212,$CI212,0,($CD212+IF(Smile=TRUE,VLOOKUP(MAX(-5,$H212-M212),Volsmile,2),0)),$CG212,$CH212,($A212-DateToday)+15,1,0)),M212-$H212),0)))</f>
        <v xml:space="preserve"> </v>
      </c>
      <c r="W212" s="406" t="str">
        <f t="shared" si="511"/>
        <v xml:space="preserve"> </v>
      </c>
      <c r="X212" s="405" t="str">
        <f>IF($A212="N/A"," ",IF(Pricetype=2,MAX(O212-$H212,0),IF(O212&lt;&gt;0,IF(Pricetype=1,(_xll.xSPRDOPT(O212,$E212,$CI212,0,($CD212+IF(Smile=TRUE,VLOOKUP(MAX(-5,$H212-O212),Volsmile,2),0)),$CG212,$CH212,($A212-DateToday)+15,1,0)),O212-$H212),0)))</f>
        <v xml:space="preserve"> </v>
      </c>
      <c r="Y212" s="405" t="str">
        <f>IF($A212="N/A"," ",IF(Pricetype=2,MAX(P212-$H212,0),IF(P212&lt;&gt;0,IF(Pricetype=1,(_xll.xSPRDOPT(P212,$E212,$CI212,0,($CD212+IF(Smile=TRUE,VLOOKUP(MAX(-5,$H212-P212),Volsmile,2),0)),$CG212,$CH212,($A212-DateToday)+15,1,0)),P212-$H212),0)))</f>
        <v xml:space="preserve"> </v>
      </c>
      <c r="Z212" s="406" t="str">
        <f t="shared" si="512"/>
        <v xml:space="preserve"> </v>
      </c>
      <c r="AA212" s="254" t="str">
        <f>IF($A212="N/A"," ",IF(VLOOKUP(MONTH(A212),ManualTable,2)=1,(IF(0&lt;&gt;R212,IF(Pricetype=1,(_xll.xSPRDOPT(I212,$E212,$CI212,0,($CD212+IF(Smile=TRUE,VLOOKUP(MAX(-5,$H212-I212),Volsmile,2),0)),$CG212,$CH212,($A212-DateToday)+15,1,1))*(8*$HD212),8*$HD212),0)),0))</f>
        <v xml:space="preserve"> </v>
      </c>
      <c r="AB212" s="254" t="str">
        <f>IF($A212="N/A"," ",IF(VLOOKUP(MONTH(A212),ManualTable,3)=1,(IF(S212&lt;&gt;0,IF(Pricetype=1,(_xll.xSPRDOPT(J212,$E212,$CI212,0,($CD212+IF(Smile=TRUE,VLOOKUP(MAX(-5,$H212-J212),Volsmile,2),0)),$CG212,$CH212,($A212-DateToday)+15,1,1))*(8*$HD212),8*$HD212),0)),0))</f>
        <v xml:space="preserve"> </v>
      </c>
      <c r="AC212" s="254" t="str">
        <f t="shared" si="561"/>
        <v xml:space="preserve"> </v>
      </c>
      <c r="AD212" s="254" t="str">
        <f>IF($A212="N/A"," ",IF(VLOOKUP(MONTH(A212),ManualTable,5)=1,(IF(U212&lt;&gt;0,IF(Pricetype=1,(_xll.xSPRDOPT(L212,$E212,$CI212,0,($CD212+IF(Smile=TRUE,VLOOKUP(MAX(-5,$H212-L212),Volsmile,2),0)),$CG212,$CH212,($A212-DateToday)+15,1,1))*(8*$HE212),8*$HE212),0)),0))</f>
        <v xml:space="preserve"> </v>
      </c>
      <c r="AE212" s="254" t="str">
        <f>IF($A212="N/A"," ",IF(VLOOKUP(MONTH(A212),ManualTable,6)=1,(IF(V212&lt;&gt;0,IF(Pricetype=1,(_xll.xSPRDOPT(M212,$E212,$CI212,0,($CD212+IF(Smile=TRUE,VLOOKUP(MAX(-5,$H212-M212),Volsmile,2),0)),$CG212,$CH212,($A212-DateToday)+15,1,1))*(8*$HE212),8*$HE212),0)),0))</f>
        <v xml:space="preserve"> </v>
      </c>
      <c r="AF212" s="254" t="str">
        <f t="shared" si="562"/>
        <v xml:space="preserve"> </v>
      </c>
      <c r="AG212" s="254" t="str">
        <f>IF($A212="N/A"," ",IF(VLOOKUP(MONTH(A212),ManualTable,8)=1,(IF(X212&lt;&gt;0,IF(Pricetype=1,(_xll.xSPRDOPT(O212,$E212,$CI212,0,($CD212+IF(Smile=TRUE,VLOOKUP(MAX(-5,$H212-O212),Volsmile,2),0)),$CG212,$CH212,($A212-DateToday)+15,1,1))*(8*$HF212),8*$HF212),0)),0))</f>
        <v xml:space="preserve"> </v>
      </c>
      <c r="AH212" s="254" t="str">
        <f>IF($A212="N/A"," ",IF(VLOOKUP(MONTH(A212),ManualTable,9)=1,(IF(Y212&lt;&gt;0,IF(Pricetype=1,(_xll.xSPRDOPT(P212,$E212,$CI212,0,($CD212+IF(Smile=TRUE,VLOOKUP(MAX(-5,$H212-P212),Volsmile,2),0)),$CG212,$CH212,($A212-DateToday)+15,1,1))*(8*$HF212),8*$HF212),0)),0))</f>
        <v xml:space="preserve"> </v>
      </c>
      <c r="AI212" s="254" t="str">
        <f t="shared" si="563"/>
        <v xml:space="preserve"> </v>
      </c>
      <c r="AJ212" s="227" t="str">
        <f t="shared" si="608"/>
        <v xml:space="preserve"> </v>
      </c>
      <c r="AK212" s="228" t="str">
        <f t="shared" si="609"/>
        <v xml:space="preserve"> </v>
      </c>
      <c r="AL212" s="228" t="str">
        <f t="shared" si="609"/>
        <v xml:space="preserve"> </v>
      </c>
      <c r="AM212" s="228" t="str">
        <f t="shared" si="610"/>
        <v xml:space="preserve"> </v>
      </c>
      <c r="AN212" s="228" t="str">
        <f t="shared" si="611"/>
        <v xml:space="preserve"> </v>
      </c>
      <c r="AO212" s="228" t="str">
        <f t="shared" si="611"/>
        <v xml:space="preserve"> </v>
      </c>
      <c r="AP212" s="228" t="str">
        <f t="shared" si="612"/>
        <v xml:space="preserve"> </v>
      </c>
      <c r="AQ212" s="228" t="str">
        <f t="shared" si="613"/>
        <v xml:space="preserve"> </v>
      </c>
      <c r="AR212" s="229" t="str">
        <f t="shared" si="614"/>
        <v xml:space="preserve"> </v>
      </c>
      <c r="AS212" s="262" t="str">
        <f t="shared" si="593"/>
        <v xml:space="preserve"> </v>
      </c>
      <c r="AT212" s="263" t="str">
        <f t="shared" si="594"/>
        <v xml:space="preserve"> </v>
      </c>
      <c r="AU212" s="263" t="str">
        <f t="shared" si="594"/>
        <v xml:space="preserve"> </v>
      </c>
      <c r="AV212" s="263" t="str">
        <f t="shared" si="595"/>
        <v xml:space="preserve"> </v>
      </c>
      <c r="AW212" s="263" t="str">
        <f t="shared" si="596"/>
        <v xml:space="preserve"> </v>
      </c>
      <c r="AX212" s="263" t="str">
        <f t="shared" si="596"/>
        <v xml:space="preserve"> </v>
      </c>
      <c r="AY212" s="263" t="str">
        <f t="shared" si="597"/>
        <v xml:space="preserve"> </v>
      </c>
      <c r="AZ212" s="263" t="str">
        <f t="shared" si="598"/>
        <v xml:space="preserve"> </v>
      </c>
      <c r="BA212" s="263" t="str">
        <f t="shared" si="599"/>
        <v xml:space="preserve"> </v>
      </c>
      <c r="BB212" s="229"/>
      <c r="BC212" s="266" t="str">
        <f t="shared" si="600"/>
        <v xml:space="preserve"> </v>
      </c>
      <c r="BD212" s="269" t="str">
        <f t="shared" si="601"/>
        <v xml:space="preserve"> </v>
      </c>
      <c r="BE212" s="269" t="str">
        <f t="shared" si="601"/>
        <v xml:space="preserve"> </v>
      </c>
      <c r="BF212" s="269" t="str">
        <f t="shared" si="602"/>
        <v xml:space="preserve"> </v>
      </c>
      <c r="BG212" s="269" t="str">
        <f t="shared" si="603"/>
        <v xml:space="preserve"> </v>
      </c>
      <c r="BH212" s="269" t="str">
        <f t="shared" si="603"/>
        <v xml:space="preserve"> </v>
      </c>
      <c r="BI212" s="269" t="str">
        <f t="shared" si="604"/>
        <v xml:space="preserve"> </v>
      </c>
      <c r="BJ212" s="269" t="str">
        <f t="shared" si="605"/>
        <v xml:space="preserve"> </v>
      </c>
      <c r="BK212" s="269" t="str">
        <f t="shared" si="606"/>
        <v xml:space="preserve"> </v>
      </c>
      <c r="BL212" s="229"/>
      <c r="BM212" s="220" t="str">
        <f>IF($A212="N/A"," ",(IF(MONTH(A212)&gt;=4,IF(MONTH(A212)&lt;=10,Inputs!$F$13-Inputs!$G$13,Inputs!$F$14-Inputs!$G$14),Inputs!$F$14-Inputs!$G$14))*$CK212*Availability)</f>
        <v xml:space="preserve"> </v>
      </c>
      <c r="BN212" s="221" t="str">
        <f t="shared" si="571"/>
        <v xml:space="preserve"> </v>
      </c>
      <c r="BO212" s="221" t="str">
        <f t="shared" si="572"/>
        <v xml:space="preserve"> </v>
      </c>
      <c r="BP212" s="221" t="str">
        <f t="shared" si="573"/>
        <v xml:space="preserve"> </v>
      </c>
      <c r="BQ212" s="221" t="str">
        <f t="shared" si="574"/>
        <v xml:space="preserve"> </v>
      </c>
      <c r="BR212" s="221" t="str">
        <f t="shared" si="575"/>
        <v xml:space="preserve"> </v>
      </c>
      <c r="BS212" s="221" t="str">
        <f t="shared" si="576"/>
        <v xml:space="preserve"> </v>
      </c>
      <c r="BT212" s="221" t="str">
        <f t="shared" si="577"/>
        <v xml:space="preserve"> </v>
      </c>
      <c r="BU212" s="221" t="str">
        <f t="shared" si="578"/>
        <v xml:space="preserve"> </v>
      </c>
      <c r="BV212" s="221" t="str">
        <f t="shared" si="579"/>
        <v xml:space="preserve"> </v>
      </c>
      <c r="BW212" s="221" t="str">
        <f t="shared" si="580"/>
        <v xml:space="preserve"> </v>
      </c>
      <c r="BX212" s="421" t="str">
        <f t="shared" si="581"/>
        <v xml:space="preserve"> </v>
      </c>
      <c r="BY212" s="417" t="str">
        <f t="shared" si="582"/>
        <v xml:space="preserve"> </v>
      </c>
      <c r="BZ212" s="417" t="str">
        <f t="shared" si="583"/>
        <v xml:space="preserve"> </v>
      </c>
      <c r="CA212" s="422" t="str">
        <f t="shared" si="584"/>
        <v xml:space="preserve"> </v>
      </c>
      <c r="CB212" s="347" t="str">
        <f t="shared" si="521"/>
        <v xml:space="preserve"> </v>
      </c>
      <c r="CC212" s="347" t="str">
        <f t="shared" si="585"/>
        <v xml:space="preserve"> </v>
      </c>
      <c r="CD212" s="348" t="str">
        <f t="shared" si="522"/>
        <v xml:space="preserve"> </v>
      </c>
      <c r="CE212" s="347" t="str">
        <f t="shared" si="523"/>
        <v xml:space="preserve"> </v>
      </c>
      <c r="CF212" s="347" t="str">
        <f t="shared" si="524"/>
        <v xml:space="preserve"> </v>
      </c>
      <c r="CG212" s="348" t="str">
        <f t="shared" si="525"/>
        <v xml:space="preserve"> </v>
      </c>
      <c r="CH212" s="347" t="str">
        <f t="shared" si="586"/>
        <v xml:space="preserve"> </v>
      </c>
      <c r="CI212" s="349" t="str">
        <f>IF($A212="N/A"," ",F212+G212+(D212*('Pricing Inputs'!T245)))</f>
        <v xml:space="preserve"> </v>
      </c>
      <c r="CJ212" s="347" t="str">
        <f>IF($A212="N/A"," ",IF(PV=1,0,'Pricing Inputs'!U245))</f>
        <v xml:space="preserve"> </v>
      </c>
      <c r="CK212" s="350" t="str">
        <f t="shared" si="526"/>
        <v xml:space="preserve"> </v>
      </c>
      <c r="CL212" s="365" t="str">
        <f t="shared" si="527"/>
        <v xml:space="preserve"> </v>
      </c>
      <c r="CM212" s="380" t="str">
        <f t="shared" si="587"/>
        <v xml:space="preserve"> </v>
      </c>
      <c r="CN212" s="378" t="str">
        <f t="shared" si="528"/>
        <v xml:space="preserve"> </v>
      </c>
      <c r="CO212" s="378" t="str">
        <f t="shared" si="529"/>
        <v xml:space="preserve"> </v>
      </c>
      <c r="CP212" s="378" t="str">
        <f t="shared" si="530"/>
        <v xml:space="preserve"> </v>
      </c>
      <c r="CQ212" s="378" t="str">
        <f t="shared" si="531"/>
        <v xml:space="preserve"> </v>
      </c>
      <c r="CR212" s="378" t="str">
        <f t="shared" si="532"/>
        <v xml:space="preserve"> </v>
      </c>
      <c r="CS212" s="378" t="str">
        <f t="shared" si="533"/>
        <v xml:space="preserve"> </v>
      </c>
      <c r="CT212" s="378" t="str">
        <f t="shared" si="534"/>
        <v xml:space="preserve"> </v>
      </c>
      <c r="CU212" s="378" t="str">
        <f t="shared" si="535"/>
        <v xml:space="preserve"> </v>
      </c>
      <c r="CV212" s="378" t="str">
        <f t="shared" si="536"/>
        <v xml:space="preserve"> </v>
      </c>
      <c r="CW212" s="254" t="str">
        <f t="shared" si="537"/>
        <v xml:space="preserve"> </v>
      </c>
      <c r="CX212" s="254" t="str">
        <f t="shared" si="538"/>
        <v xml:space="preserve"> </v>
      </c>
      <c r="CY212" s="254" t="str">
        <f t="shared" si="539"/>
        <v xml:space="preserve"> </v>
      </c>
      <c r="CZ212" s="254" t="str">
        <f t="shared" si="540"/>
        <v xml:space="preserve"> </v>
      </c>
      <c r="DA212" s="254" t="str">
        <f t="shared" si="541"/>
        <v xml:space="preserve"> </v>
      </c>
      <c r="DB212" s="254" t="str">
        <f t="shared" si="542"/>
        <v xml:space="preserve"> </v>
      </c>
      <c r="DC212" s="254" t="str">
        <f t="shared" si="543"/>
        <v xml:space="preserve"> </v>
      </c>
      <c r="DD212" s="254" t="str">
        <f t="shared" si="544"/>
        <v xml:space="preserve"> </v>
      </c>
      <c r="DE212" s="254" t="str">
        <f t="shared" si="545"/>
        <v xml:space="preserve"> </v>
      </c>
      <c r="DF212" s="374" t="str">
        <f>IF($A212="N/A"," ",IF(CC=2,(IF(MONTH(A212)&gt;=4,IF(MONTH(A212)&lt;=10,Inputs!$G$13,Inputs!$G$14),Inputs!$G$14))*$CK212,0))</f>
        <v xml:space="preserve"> </v>
      </c>
      <c r="DG212" s="373" t="str">
        <f t="shared" si="546"/>
        <v xml:space="preserve"> </v>
      </c>
      <c r="DH212" s="373" t="str">
        <f t="shared" si="547"/>
        <v xml:space="preserve"> </v>
      </c>
      <c r="DI212" s="373" t="str">
        <f t="shared" si="548"/>
        <v xml:space="preserve"> </v>
      </c>
      <c r="DJ212" s="373" t="str">
        <f t="shared" si="549"/>
        <v xml:space="preserve"> </v>
      </c>
      <c r="DK212" s="373" t="str">
        <f t="shared" si="550"/>
        <v xml:space="preserve"> </v>
      </c>
      <c r="DL212" s="373" t="str">
        <f t="shared" si="551"/>
        <v xml:space="preserve"> </v>
      </c>
      <c r="DM212" s="373" t="str">
        <f t="shared" si="552"/>
        <v xml:space="preserve"> </v>
      </c>
      <c r="DN212" s="373" t="str">
        <f t="shared" si="553"/>
        <v xml:space="preserve"> </v>
      </c>
      <c r="DO212" s="373" t="str">
        <f t="shared" si="554"/>
        <v xml:space="preserve"> </v>
      </c>
      <c r="DP212" s="375" t="str">
        <f t="shared" si="555"/>
        <v xml:space="preserve"> </v>
      </c>
      <c r="DQ212" t="str">
        <f t="shared" si="588"/>
        <v xml:space="preserve"> </v>
      </c>
      <c r="HD212" t="str">
        <f t="shared" si="589"/>
        <v xml:space="preserve"> </v>
      </c>
      <c r="HE212" t="str">
        <f t="shared" si="590"/>
        <v xml:space="preserve"> </v>
      </c>
      <c r="HF212" t="str">
        <f t="shared" si="591"/>
        <v xml:space="preserve"> </v>
      </c>
    </row>
    <row r="213" spans="1:214">
      <c r="A213" s="415" t="str">
        <f>IF(A212="N/A","N/A",IF(EDATE(A212,1)&gt;Inputs!$K$3,"N/A",EDATE(A212,1)))</f>
        <v>N/A</v>
      </c>
      <c r="B213" s="410" t="str">
        <f t="shared" si="556"/>
        <v xml:space="preserve"> </v>
      </c>
      <c r="C213" s="411" t="str">
        <f t="shared" si="557"/>
        <v xml:space="preserve"> </v>
      </c>
      <c r="D213" s="412" t="str">
        <f t="shared" si="558"/>
        <v xml:space="preserve"> </v>
      </c>
      <c r="E213" s="413" t="str">
        <f>IF($A213="N/A"," ",(C213-'Pricing Inputs'!T246)*D213)</f>
        <v xml:space="preserve"> </v>
      </c>
      <c r="F213" s="414" t="str">
        <f t="shared" si="607"/>
        <v xml:space="preserve"> </v>
      </c>
      <c r="G213" s="414" t="str">
        <f t="shared" si="559"/>
        <v xml:space="preserve"> </v>
      </c>
      <c r="H213" s="416" t="str">
        <f t="shared" si="560"/>
        <v xml:space="preserve"> </v>
      </c>
      <c r="I213" s="213" t="str">
        <f t="shared" si="501"/>
        <v xml:space="preserve"> </v>
      </c>
      <c r="J213" s="213" t="str">
        <f t="shared" si="502"/>
        <v xml:space="preserve"> </v>
      </c>
      <c r="K213" s="213" t="str">
        <f t="shared" si="503"/>
        <v xml:space="preserve"> </v>
      </c>
      <c r="L213" s="213" t="str">
        <f t="shared" si="504"/>
        <v xml:space="preserve"> </v>
      </c>
      <c r="M213" s="213" t="str">
        <f t="shared" si="505"/>
        <v xml:space="preserve"> </v>
      </c>
      <c r="N213" s="213" t="str">
        <f t="shared" si="506"/>
        <v xml:space="preserve"> </v>
      </c>
      <c r="O213" s="213" t="str">
        <f t="shared" si="507"/>
        <v xml:space="preserve"> </v>
      </c>
      <c r="P213" s="213" t="str">
        <f t="shared" si="508"/>
        <v xml:space="preserve"> </v>
      </c>
      <c r="Q213" s="213" t="str">
        <f t="shared" si="509"/>
        <v xml:space="preserve"> </v>
      </c>
      <c r="R213" s="405" t="str">
        <f>IF($A213="N/A"," ",IF(Pricetype=2,MAX(I213-$H213,0),IF(Pricetype=1,(_xll.xSPRDOPT(I213,$E213,$CI213,0,($CD213+IF(Smile=TRUE,VLOOKUP(MAX(-5,$H213-I213),Volsmile,2),0)),$CG213,$CH213,($A213-DateToday)+15,1,0)),I213-$H213)))</f>
        <v xml:space="preserve"> </v>
      </c>
      <c r="S213" s="405" t="str">
        <f>IF($A213="N/A"," ",IF(Pricetype=2,MAX(J213-$H213,0),IF(Pricetype=1,(_xll.xSPRDOPT(J213,$E213,$CI213,0,($CD213+IF(Smile=TRUE,VLOOKUP(MAX(-5,$H213-J213),Volsmile,2),0)),$CG213,$CH213,($A213-DateToday)+15,1,0)),J213-$H213)))</f>
        <v xml:space="preserve"> </v>
      </c>
      <c r="T213" s="406" t="str">
        <f t="shared" si="510"/>
        <v xml:space="preserve"> </v>
      </c>
      <c r="U213" s="405" t="str">
        <f>IF($A213="N/A"," ",IF(Pricetype=2,MAX(L213-$H213,0),IF(L213&lt;&gt;0,IF(Pricetype=1,(_xll.xSPRDOPT(L213,$E213,$CI213,0,($CD213+IF(Smile=TRUE,VLOOKUP(MAX(-5,$H213-L213),Volsmile,2),0)),$CG213,$CH213,($A213-DateToday)+15,1,0)),L213-$H213),0)))</f>
        <v xml:space="preserve"> </v>
      </c>
      <c r="V213" s="405" t="str">
        <f>IF($A213="N/A"," ",IF(Pricetype=2,MAX(M213-$H213,0),IF(M213&lt;&gt;0,IF(Pricetype=1,(_xll.xSPRDOPT(M213,$E213,$CI213,0,($CD213+IF(Smile=TRUE,VLOOKUP(MAX(-5,$H213-M213),Volsmile,2),0)),$CG213,$CH213,($A213-DateToday)+15,1,0)),M213-$H213),0)))</f>
        <v xml:space="preserve"> </v>
      </c>
      <c r="W213" s="406" t="str">
        <f t="shared" si="511"/>
        <v xml:space="preserve"> </v>
      </c>
      <c r="X213" s="405" t="str">
        <f>IF($A213="N/A"," ",IF(Pricetype=2,MAX(O213-$H213,0),IF(O213&lt;&gt;0,IF(Pricetype=1,(_xll.xSPRDOPT(O213,$E213,$CI213,0,($CD213+IF(Smile=TRUE,VLOOKUP(MAX(-5,$H213-O213),Volsmile,2),0)),$CG213,$CH213,($A213-DateToday)+15,1,0)),O213-$H213),0)))</f>
        <v xml:space="preserve"> </v>
      </c>
      <c r="Y213" s="405" t="str">
        <f>IF($A213="N/A"," ",IF(Pricetype=2,MAX(P213-$H213,0),IF(P213&lt;&gt;0,IF(Pricetype=1,(_xll.xSPRDOPT(P213,$E213,$CI213,0,($CD213+IF(Smile=TRUE,VLOOKUP(MAX(-5,$H213-P213),Volsmile,2),0)),$CG213,$CH213,($A213-DateToday)+15,1,0)),P213-$H213),0)))</f>
        <v xml:space="preserve"> </v>
      </c>
      <c r="Z213" s="406" t="str">
        <f t="shared" si="512"/>
        <v xml:space="preserve"> </v>
      </c>
      <c r="AA213" s="254" t="str">
        <f>IF($A213="N/A"," ",IF(VLOOKUP(MONTH(A213),ManualTable,2)=1,(IF(0&lt;&gt;R213,IF(Pricetype=1,(_xll.xSPRDOPT(I213,$E213,$CI213,0,($CD213+IF(Smile=TRUE,VLOOKUP(MAX(-5,$H213-I213),Volsmile,2),0)),$CG213,$CH213,($A213-DateToday)+15,1,1))*(8*$HD213),8*$HD213),0)),0))</f>
        <v xml:space="preserve"> </v>
      </c>
      <c r="AB213" s="254" t="str">
        <f>IF($A213="N/A"," ",IF(VLOOKUP(MONTH(A213),ManualTable,3)=1,(IF(S213&lt;&gt;0,IF(Pricetype=1,(_xll.xSPRDOPT(J213,$E213,$CI213,0,($CD213+IF(Smile=TRUE,VLOOKUP(MAX(-5,$H213-J213),Volsmile,2),0)),$CG213,$CH213,($A213-DateToday)+15,1,1))*(8*$HD213),8*$HD213),0)),0))</f>
        <v xml:space="preserve"> </v>
      </c>
      <c r="AC213" s="254" t="str">
        <f t="shared" si="561"/>
        <v xml:space="preserve"> </v>
      </c>
      <c r="AD213" s="254" t="str">
        <f>IF($A213="N/A"," ",IF(VLOOKUP(MONTH(A213),ManualTable,5)=1,(IF(U213&lt;&gt;0,IF(Pricetype=1,(_xll.xSPRDOPT(L213,$E213,$CI213,0,($CD213+IF(Smile=TRUE,VLOOKUP(MAX(-5,$H213-L213),Volsmile,2),0)),$CG213,$CH213,($A213-DateToday)+15,1,1))*(8*$HE213),8*$HE213),0)),0))</f>
        <v xml:space="preserve"> </v>
      </c>
      <c r="AE213" s="254" t="str">
        <f>IF($A213="N/A"," ",IF(VLOOKUP(MONTH(A213),ManualTable,6)=1,(IF(V213&lt;&gt;0,IF(Pricetype=1,(_xll.xSPRDOPT(M213,$E213,$CI213,0,($CD213+IF(Smile=TRUE,VLOOKUP(MAX(-5,$H213-M213),Volsmile,2),0)),$CG213,$CH213,($A213-DateToday)+15,1,1))*(8*$HE213),8*$HE213),0)),0))</f>
        <v xml:space="preserve"> </v>
      </c>
      <c r="AF213" s="254" t="str">
        <f t="shared" si="562"/>
        <v xml:space="preserve"> </v>
      </c>
      <c r="AG213" s="254" t="str">
        <f>IF($A213="N/A"," ",IF(VLOOKUP(MONTH(A213),ManualTable,8)=1,(IF(X213&lt;&gt;0,IF(Pricetype=1,(_xll.xSPRDOPT(O213,$E213,$CI213,0,($CD213+IF(Smile=TRUE,VLOOKUP(MAX(-5,$H213-O213),Volsmile,2),0)),$CG213,$CH213,($A213-DateToday)+15,1,1))*(8*$HF213),8*$HF213),0)),0))</f>
        <v xml:space="preserve"> </v>
      </c>
      <c r="AH213" s="254" t="str">
        <f>IF($A213="N/A"," ",IF(VLOOKUP(MONTH(A213),ManualTable,9)=1,(IF(Y213&lt;&gt;0,IF(Pricetype=1,(_xll.xSPRDOPT(P213,$E213,$CI213,0,($CD213+IF(Smile=TRUE,VLOOKUP(MAX(-5,$H213-P213),Volsmile,2),0)),$CG213,$CH213,($A213-DateToday)+15,1,1))*(8*$HF213),8*$HF213),0)),0))</f>
        <v xml:space="preserve"> </v>
      </c>
      <c r="AI213" s="254" t="str">
        <f t="shared" si="563"/>
        <v xml:space="preserve"> </v>
      </c>
      <c r="AJ213" s="227" t="str">
        <f t="shared" si="608"/>
        <v xml:space="preserve"> </v>
      </c>
      <c r="AK213" s="228" t="str">
        <f t="shared" si="609"/>
        <v xml:space="preserve"> </v>
      </c>
      <c r="AL213" s="228" t="str">
        <f t="shared" si="609"/>
        <v xml:space="preserve"> </v>
      </c>
      <c r="AM213" s="228" t="str">
        <f t="shared" si="610"/>
        <v xml:space="preserve"> </v>
      </c>
      <c r="AN213" s="228" t="str">
        <f t="shared" si="611"/>
        <v xml:space="preserve"> </v>
      </c>
      <c r="AO213" s="228" t="str">
        <f t="shared" si="611"/>
        <v xml:space="preserve"> </v>
      </c>
      <c r="AP213" s="228" t="str">
        <f t="shared" si="612"/>
        <v xml:space="preserve"> </v>
      </c>
      <c r="AQ213" s="228" t="str">
        <f t="shared" si="613"/>
        <v xml:space="preserve"> </v>
      </c>
      <c r="AR213" s="229" t="str">
        <f t="shared" si="614"/>
        <v xml:space="preserve"> </v>
      </c>
      <c r="AS213" s="262" t="str">
        <f t="shared" si="593"/>
        <v xml:space="preserve"> </v>
      </c>
      <c r="AT213" s="263" t="str">
        <f t="shared" si="594"/>
        <v xml:space="preserve"> </v>
      </c>
      <c r="AU213" s="263" t="str">
        <f t="shared" si="594"/>
        <v xml:space="preserve"> </v>
      </c>
      <c r="AV213" s="263" t="str">
        <f t="shared" si="595"/>
        <v xml:space="preserve"> </v>
      </c>
      <c r="AW213" s="263" t="str">
        <f t="shared" si="596"/>
        <v xml:space="preserve"> </v>
      </c>
      <c r="AX213" s="263" t="str">
        <f t="shared" si="596"/>
        <v xml:space="preserve"> </v>
      </c>
      <c r="AY213" s="263" t="str">
        <f t="shared" si="597"/>
        <v xml:space="preserve"> </v>
      </c>
      <c r="AZ213" s="263" t="str">
        <f t="shared" si="598"/>
        <v xml:space="preserve"> </v>
      </c>
      <c r="BA213" s="263" t="str">
        <f t="shared" si="599"/>
        <v xml:space="preserve"> </v>
      </c>
      <c r="BB213" s="229"/>
      <c r="BC213" s="266" t="str">
        <f t="shared" si="600"/>
        <v xml:space="preserve"> </v>
      </c>
      <c r="BD213" s="269" t="str">
        <f t="shared" si="601"/>
        <v xml:space="preserve"> </v>
      </c>
      <c r="BE213" s="269" t="str">
        <f t="shared" si="601"/>
        <v xml:space="preserve"> </v>
      </c>
      <c r="BF213" s="269" t="str">
        <f t="shared" si="602"/>
        <v xml:space="preserve"> </v>
      </c>
      <c r="BG213" s="269" t="str">
        <f t="shared" si="603"/>
        <v xml:space="preserve"> </v>
      </c>
      <c r="BH213" s="269" t="str">
        <f t="shared" si="603"/>
        <v xml:space="preserve"> </v>
      </c>
      <c r="BI213" s="269" t="str">
        <f t="shared" si="604"/>
        <v xml:space="preserve"> </v>
      </c>
      <c r="BJ213" s="269" t="str">
        <f t="shared" si="605"/>
        <v xml:space="preserve"> </v>
      </c>
      <c r="BK213" s="269" t="str">
        <f t="shared" si="606"/>
        <v xml:space="preserve"> </v>
      </c>
      <c r="BL213" s="229"/>
      <c r="BM213" s="220" t="str">
        <f>IF($A213="N/A"," ",(IF(MONTH(A213)&gt;=4,IF(MONTH(A213)&lt;=10,Inputs!$F$13-Inputs!$G$13,Inputs!$F$14-Inputs!$G$14),Inputs!$F$14-Inputs!$G$14))*$CK213*Availability)</f>
        <v xml:space="preserve"> </v>
      </c>
      <c r="BN213" s="221" t="str">
        <f t="shared" si="571"/>
        <v xml:space="preserve"> </v>
      </c>
      <c r="BO213" s="221" t="str">
        <f t="shared" si="572"/>
        <v xml:space="preserve"> </v>
      </c>
      <c r="BP213" s="221" t="str">
        <f t="shared" si="573"/>
        <v xml:space="preserve"> </v>
      </c>
      <c r="BQ213" s="221" t="str">
        <f t="shared" si="574"/>
        <v xml:space="preserve"> </v>
      </c>
      <c r="BR213" s="221" t="str">
        <f t="shared" si="575"/>
        <v xml:space="preserve"> </v>
      </c>
      <c r="BS213" s="221" t="str">
        <f t="shared" si="576"/>
        <v xml:space="preserve"> </v>
      </c>
      <c r="BT213" s="221" t="str">
        <f t="shared" si="577"/>
        <v xml:space="preserve"> </v>
      </c>
      <c r="BU213" s="221" t="str">
        <f t="shared" si="578"/>
        <v xml:space="preserve"> </v>
      </c>
      <c r="BV213" s="221" t="str">
        <f t="shared" si="579"/>
        <v xml:space="preserve"> </v>
      </c>
      <c r="BW213" s="221" t="str">
        <f t="shared" si="580"/>
        <v xml:space="preserve"> </v>
      </c>
      <c r="BX213" s="421" t="str">
        <f t="shared" si="581"/>
        <v xml:space="preserve"> </v>
      </c>
      <c r="BY213" s="417" t="str">
        <f t="shared" si="582"/>
        <v xml:space="preserve"> </v>
      </c>
      <c r="BZ213" s="417" t="str">
        <f t="shared" si="583"/>
        <v xml:space="preserve"> </v>
      </c>
      <c r="CA213" s="422" t="str">
        <f t="shared" si="584"/>
        <v xml:space="preserve"> </v>
      </c>
      <c r="CB213" s="347" t="str">
        <f t="shared" si="521"/>
        <v xml:space="preserve"> </v>
      </c>
      <c r="CC213" s="347" t="str">
        <f t="shared" si="585"/>
        <v xml:space="preserve"> </v>
      </c>
      <c r="CD213" s="348" t="str">
        <f t="shared" si="522"/>
        <v xml:space="preserve"> </v>
      </c>
      <c r="CE213" s="347" t="str">
        <f t="shared" si="523"/>
        <v xml:space="preserve"> </v>
      </c>
      <c r="CF213" s="347" t="str">
        <f t="shared" si="524"/>
        <v xml:space="preserve"> </v>
      </c>
      <c r="CG213" s="348" t="str">
        <f t="shared" si="525"/>
        <v xml:space="preserve"> </v>
      </c>
      <c r="CH213" s="347" t="str">
        <f t="shared" si="586"/>
        <v xml:space="preserve"> </v>
      </c>
      <c r="CI213" s="349" t="str">
        <f>IF($A213="N/A"," ",F213+G213+(D213*('Pricing Inputs'!T246)))</f>
        <v xml:space="preserve"> </v>
      </c>
      <c r="CJ213" s="347" t="str">
        <f>IF($A213="N/A"," ",IF(PV=1,0,'Pricing Inputs'!U246))</f>
        <v xml:space="preserve"> </v>
      </c>
      <c r="CK213" s="350" t="str">
        <f t="shared" si="526"/>
        <v xml:space="preserve"> </v>
      </c>
      <c r="CL213" s="365" t="str">
        <f t="shared" si="527"/>
        <v xml:space="preserve"> </v>
      </c>
      <c r="CM213" s="380" t="str">
        <f t="shared" si="587"/>
        <v xml:space="preserve"> </v>
      </c>
      <c r="CN213" s="378" t="str">
        <f t="shared" si="528"/>
        <v xml:space="preserve"> </v>
      </c>
      <c r="CO213" s="378" t="str">
        <f t="shared" si="529"/>
        <v xml:space="preserve"> </v>
      </c>
      <c r="CP213" s="378" t="str">
        <f t="shared" si="530"/>
        <v xml:space="preserve"> </v>
      </c>
      <c r="CQ213" s="378" t="str">
        <f t="shared" si="531"/>
        <v xml:space="preserve"> </v>
      </c>
      <c r="CR213" s="378" t="str">
        <f t="shared" si="532"/>
        <v xml:space="preserve"> </v>
      </c>
      <c r="CS213" s="378" t="str">
        <f t="shared" si="533"/>
        <v xml:space="preserve"> </v>
      </c>
      <c r="CT213" s="378" t="str">
        <f t="shared" si="534"/>
        <v xml:space="preserve"> </v>
      </c>
      <c r="CU213" s="378" t="str">
        <f t="shared" si="535"/>
        <v xml:space="preserve"> </v>
      </c>
      <c r="CV213" s="378" t="str">
        <f t="shared" si="536"/>
        <v xml:space="preserve"> </v>
      </c>
      <c r="CW213" s="254" t="str">
        <f t="shared" si="537"/>
        <v xml:space="preserve"> </v>
      </c>
      <c r="CX213" s="254" t="str">
        <f t="shared" si="538"/>
        <v xml:space="preserve"> </v>
      </c>
      <c r="CY213" s="254" t="str">
        <f t="shared" si="539"/>
        <v xml:space="preserve"> </v>
      </c>
      <c r="CZ213" s="254" t="str">
        <f t="shared" si="540"/>
        <v xml:space="preserve"> </v>
      </c>
      <c r="DA213" s="254" t="str">
        <f t="shared" si="541"/>
        <v xml:space="preserve"> </v>
      </c>
      <c r="DB213" s="254" t="str">
        <f t="shared" si="542"/>
        <v xml:space="preserve"> </v>
      </c>
      <c r="DC213" s="254" t="str">
        <f t="shared" si="543"/>
        <v xml:space="preserve"> </v>
      </c>
      <c r="DD213" s="254" t="str">
        <f t="shared" si="544"/>
        <v xml:space="preserve"> </v>
      </c>
      <c r="DE213" s="254" t="str">
        <f t="shared" si="545"/>
        <v xml:space="preserve"> </v>
      </c>
      <c r="DF213" s="374" t="str">
        <f>IF($A213="N/A"," ",IF(CC=2,(IF(MONTH(A213)&gt;=4,IF(MONTH(A213)&lt;=10,Inputs!$G$13,Inputs!$G$14),Inputs!$G$14))*$CK213,0))</f>
        <v xml:space="preserve"> </v>
      </c>
      <c r="DG213" s="373" t="str">
        <f t="shared" si="546"/>
        <v xml:space="preserve"> </v>
      </c>
      <c r="DH213" s="373" t="str">
        <f t="shared" si="547"/>
        <v xml:space="preserve"> </v>
      </c>
      <c r="DI213" s="373" t="str">
        <f t="shared" si="548"/>
        <v xml:space="preserve"> </v>
      </c>
      <c r="DJ213" s="373" t="str">
        <f t="shared" si="549"/>
        <v xml:space="preserve"> </v>
      </c>
      <c r="DK213" s="373" t="str">
        <f t="shared" si="550"/>
        <v xml:space="preserve"> </v>
      </c>
      <c r="DL213" s="373" t="str">
        <f t="shared" si="551"/>
        <v xml:space="preserve"> </v>
      </c>
      <c r="DM213" s="373" t="str">
        <f t="shared" si="552"/>
        <v xml:space="preserve"> </v>
      </c>
      <c r="DN213" s="373" t="str">
        <f t="shared" si="553"/>
        <v xml:space="preserve"> </v>
      </c>
      <c r="DO213" s="373" t="str">
        <f t="shared" si="554"/>
        <v xml:space="preserve"> </v>
      </c>
      <c r="DP213" s="375" t="str">
        <f t="shared" si="555"/>
        <v xml:space="preserve"> </v>
      </c>
      <c r="DQ213" t="str">
        <f t="shared" si="588"/>
        <v xml:space="preserve"> </v>
      </c>
      <c r="HD213" t="str">
        <f t="shared" si="589"/>
        <v xml:space="preserve"> </v>
      </c>
      <c r="HE213" t="str">
        <f t="shared" si="590"/>
        <v xml:space="preserve"> </v>
      </c>
      <c r="HF213" t="str">
        <f t="shared" si="591"/>
        <v xml:space="preserve"> </v>
      </c>
    </row>
    <row r="214" spans="1:214">
      <c r="A214" s="415" t="str">
        <f>IF(A213="N/A","N/A",IF(EDATE(A213,1)&gt;Inputs!$K$3,"N/A",EDATE(A213,1)))</f>
        <v>N/A</v>
      </c>
      <c r="B214" s="410" t="str">
        <f t="shared" si="556"/>
        <v xml:space="preserve"> </v>
      </c>
      <c r="C214" s="411" t="str">
        <f t="shared" si="557"/>
        <v xml:space="preserve"> </v>
      </c>
      <c r="D214" s="412" t="str">
        <f t="shared" si="558"/>
        <v xml:space="preserve"> </v>
      </c>
      <c r="E214" s="413" t="str">
        <f>IF($A214="N/A"," ",(C214-'Pricing Inputs'!T247)*D214)</f>
        <v xml:space="preserve"> </v>
      </c>
      <c r="F214" s="414" t="str">
        <f t="shared" si="607"/>
        <v xml:space="preserve"> </v>
      </c>
      <c r="G214" s="414" t="str">
        <f t="shared" si="559"/>
        <v xml:space="preserve"> </v>
      </c>
      <c r="H214" s="416" t="str">
        <f t="shared" si="560"/>
        <v xml:space="preserve"> </v>
      </c>
      <c r="I214" s="213" t="str">
        <f t="shared" si="501"/>
        <v xml:space="preserve"> </v>
      </c>
      <c r="J214" s="213" t="str">
        <f t="shared" si="502"/>
        <v xml:space="preserve"> </v>
      </c>
      <c r="K214" s="213" t="str">
        <f t="shared" si="503"/>
        <v xml:space="preserve"> </v>
      </c>
      <c r="L214" s="213" t="str">
        <f t="shared" si="504"/>
        <v xml:space="preserve"> </v>
      </c>
      <c r="M214" s="213" t="str">
        <f t="shared" si="505"/>
        <v xml:space="preserve"> </v>
      </c>
      <c r="N214" s="213" t="str">
        <f t="shared" si="506"/>
        <v xml:space="preserve"> </v>
      </c>
      <c r="O214" s="213" t="str">
        <f t="shared" si="507"/>
        <v xml:space="preserve"> </v>
      </c>
      <c r="P214" s="213" t="str">
        <f t="shared" si="508"/>
        <v xml:space="preserve"> </v>
      </c>
      <c r="Q214" s="213" t="str">
        <f t="shared" si="509"/>
        <v xml:space="preserve"> </v>
      </c>
      <c r="R214" s="405" t="str">
        <f>IF($A214="N/A"," ",IF(Pricetype=2,MAX(I214-$H214,0),IF(Pricetype=1,(_xll.xSPRDOPT(I214,$E214,$CI214,0,($CD214+IF(Smile=TRUE,VLOOKUP(MAX(-5,$H214-I214),Volsmile,2),0)),$CG214,$CH214,($A214-DateToday)+15,1,0)),I214-$H214)))</f>
        <v xml:space="preserve"> </v>
      </c>
      <c r="S214" s="405" t="str">
        <f>IF($A214="N/A"," ",IF(Pricetype=2,MAX(J214-$H214,0),IF(Pricetype=1,(_xll.xSPRDOPT(J214,$E214,$CI214,0,($CD214+IF(Smile=TRUE,VLOOKUP(MAX(-5,$H214-J214),Volsmile,2),0)),$CG214,$CH214,($A214-DateToday)+15,1,0)),J214-$H214)))</f>
        <v xml:space="preserve"> </v>
      </c>
      <c r="T214" s="406" t="str">
        <f t="shared" si="510"/>
        <v xml:space="preserve"> </v>
      </c>
      <c r="U214" s="405" t="str">
        <f>IF($A214="N/A"," ",IF(Pricetype=2,MAX(L214-$H214,0),IF(L214&lt;&gt;0,IF(Pricetype=1,(_xll.xSPRDOPT(L214,$E214,$CI214,0,($CD214+IF(Smile=TRUE,VLOOKUP(MAX(-5,$H214-L214),Volsmile,2),0)),$CG214,$CH214,($A214-DateToday)+15,1,0)),L214-$H214),0)))</f>
        <v xml:space="preserve"> </v>
      </c>
      <c r="V214" s="405" t="str">
        <f>IF($A214="N/A"," ",IF(Pricetype=2,MAX(M214-$H214,0),IF(M214&lt;&gt;0,IF(Pricetype=1,(_xll.xSPRDOPT(M214,$E214,$CI214,0,($CD214+IF(Smile=TRUE,VLOOKUP(MAX(-5,$H214-M214),Volsmile,2),0)),$CG214,$CH214,($A214-DateToday)+15,1,0)),M214-$H214),0)))</f>
        <v xml:space="preserve"> </v>
      </c>
      <c r="W214" s="406" t="str">
        <f t="shared" si="511"/>
        <v xml:space="preserve"> </v>
      </c>
      <c r="X214" s="405" t="str">
        <f>IF($A214="N/A"," ",IF(Pricetype=2,MAX(O214-$H214,0),IF(O214&lt;&gt;0,IF(Pricetype=1,(_xll.xSPRDOPT(O214,$E214,$CI214,0,($CD214+IF(Smile=TRUE,VLOOKUP(MAX(-5,$H214-O214),Volsmile,2),0)),$CG214,$CH214,($A214-DateToday)+15,1,0)),O214-$H214),0)))</f>
        <v xml:space="preserve"> </v>
      </c>
      <c r="Y214" s="405" t="str">
        <f>IF($A214="N/A"," ",IF(Pricetype=2,MAX(P214-$H214,0),IF(P214&lt;&gt;0,IF(Pricetype=1,(_xll.xSPRDOPT(P214,$E214,$CI214,0,($CD214+IF(Smile=TRUE,VLOOKUP(MAX(-5,$H214-P214),Volsmile,2),0)),$CG214,$CH214,($A214-DateToday)+15,1,0)),P214-$H214),0)))</f>
        <v xml:space="preserve"> </v>
      </c>
      <c r="Z214" s="406" t="str">
        <f t="shared" si="512"/>
        <v xml:space="preserve"> </v>
      </c>
      <c r="AA214" s="254" t="str">
        <f>IF($A214="N/A"," ",IF(VLOOKUP(MONTH(A214),ManualTable,2)=1,(IF(0&lt;&gt;R214,IF(Pricetype=1,(_xll.xSPRDOPT(I214,$E214,$CI214,0,($CD214+IF(Smile=TRUE,VLOOKUP(MAX(-5,$H214-I214),Volsmile,2),0)),$CG214,$CH214,($A214-DateToday)+15,1,1))*(8*$HD214),8*$HD214),0)),0))</f>
        <v xml:space="preserve"> </v>
      </c>
      <c r="AB214" s="254" t="str">
        <f>IF($A214="N/A"," ",IF(VLOOKUP(MONTH(A214),ManualTable,3)=1,(IF(S214&lt;&gt;0,IF(Pricetype=1,(_xll.xSPRDOPT(J214,$E214,$CI214,0,($CD214+IF(Smile=TRUE,VLOOKUP(MAX(-5,$H214-J214),Volsmile,2),0)),$CG214,$CH214,($A214-DateToday)+15,1,1))*(8*$HD214),8*$HD214),0)),0))</f>
        <v xml:space="preserve"> </v>
      </c>
      <c r="AC214" s="254" t="str">
        <f t="shared" si="561"/>
        <v xml:space="preserve"> </v>
      </c>
      <c r="AD214" s="254" t="str">
        <f>IF($A214="N/A"," ",IF(VLOOKUP(MONTH(A214),ManualTable,5)=1,(IF(U214&lt;&gt;0,IF(Pricetype=1,(_xll.xSPRDOPT(L214,$E214,$CI214,0,($CD214+IF(Smile=TRUE,VLOOKUP(MAX(-5,$H214-L214),Volsmile,2),0)),$CG214,$CH214,($A214-DateToday)+15,1,1))*(8*$HE214),8*$HE214),0)),0))</f>
        <v xml:space="preserve"> </v>
      </c>
      <c r="AE214" s="254" t="str">
        <f>IF($A214="N/A"," ",IF(VLOOKUP(MONTH(A214),ManualTable,6)=1,(IF(V214&lt;&gt;0,IF(Pricetype=1,(_xll.xSPRDOPT(M214,$E214,$CI214,0,($CD214+IF(Smile=TRUE,VLOOKUP(MAX(-5,$H214-M214),Volsmile,2),0)),$CG214,$CH214,($A214-DateToday)+15,1,1))*(8*$HE214),8*$HE214),0)),0))</f>
        <v xml:space="preserve"> </v>
      </c>
      <c r="AF214" s="254" t="str">
        <f t="shared" si="562"/>
        <v xml:space="preserve"> </v>
      </c>
      <c r="AG214" s="254" t="str">
        <f>IF($A214="N/A"," ",IF(VLOOKUP(MONTH(A214),ManualTable,8)=1,(IF(X214&lt;&gt;0,IF(Pricetype=1,(_xll.xSPRDOPT(O214,$E214,$CI214,0,($CD214+IF(Smile=TRUE,VLOOKUP(MAX(-5,$H214-O214),Volsmile,2),0)),$CG214,$CH214,($A214-DateToday)+15,1,1))*(8*$HF214),8*$HF214),0)),0))</f>
        <v xml:space="preserve"> </v>
      </c>
      <c r="AH214" s="254" t="str">
        <f>IF($A214="N/A"," ",IF(VLOOKUP(MONTH(A214),ManualTable,9)=1,(IF(Y214&lt;&gt;0,IF(Pricetype=1,(_xll.xSPRDOPT(P214,$E214,$CI214,0,($CD214+IF(Smile=TRUE,VLOOKUP(MAX(-5,$H214-P214),Volsmile,2),0)),$CG214,$CH214,($A214-DateToday)+15,1,1))*(8*$HF214),8*$HF214),0)),0))</f>
        <v xml:space="preserve"> </v>
      </c>
      <c r="AI214" s="254" t="str">
        <f t="shared" si="563"/>
        <v xml:space="preserve"> </v>
      </c>
      <c r="AJ214" s="227" t="str">
        <f t="shared" si="608"/>
        <v xml:space="preserve"> </v>
      </c>
      <c r="AK214" s="228" t="str">
        <f t="shared" si="609"/>
        <v xml:space="preserve"> </v>
      </c>
      <c r="AL214" s="228" t="str">
        <f t="shared" si="609"/>
        <v xml:space="preserve"> </v>
      </c>
      <c r="AM214" s="228" t="str">
        <f t="shared" si="610"/>
        <v xml:space="preserve"> </v>
      </c>
      <c r="AN214" s="228" t="str">
        <f t="shared" si="611"/>
        <v xml:space="preserve"> </v>
      </c>
      <c r="AO214" s="228" t="str">
        <f t="shared" si="611"/>
        <v xml:space="preserve"> </v>
      </c>
      <c r="AP214" s="228" t="str">
        <f t="shared" si="612"/>
        <v xml:space="preserve"> </v>
      </c>
      <c r="AQ214" s="228" t="str">
        <f t="shared" si="613"/>
        <v xml:space="preserve"> </v>
      </c>
      <c r="AR214" s="229" t="str">
        <f t="shared" si="614"/>
        <v xml:space="preserve"> </v>
      </c>
      <c r="AS214" s="262" t="str">
        <f t="shared" si="593"/>
        <v xml:space="preserve"> </v>
      </c>
      <c r="AT214" s="263" t="str">
        <f t="shared" si="594"/>
        <v xml:space="preserve"> </v>
      </c>
      <c r="AU214" s="263" t="str">
        <f t="shared" si="594"/>
        <v xml:space="preserve"> </v>
      </c>
      <c r="AV214" s="263" t="str">
        <f t="shared" si="595"/>
        <v xml:space="preserve"> </v>
      </c>
      <c r="AW214" s="263" t="str">
        <f t="shared" si="596"/>
        <v xml:space="preserve"> </v>
      </c>
      <c r="AX214" s="263" t="str">
        <f t="shared" si="596"/>
        <v xml:space="preserve"> </v>
      </c>
      <c r="AY214" s="263" t="str">
        <f t="shared" si="597"/>
        <v xml:space="preserve"> </v>
      </c>
      <c r="AZ214" s="263" t="str">
        <f t="shared" si="598"/>
        <v xml:space="preserve"> </v>
      </c>
      <c r="BA214" s="263" t="str">
        <f t="shared" si="599"/>
        <v xml:space="preserve"> </v>
      </c>
      <c r="BB214" s="229"/>
      <c r="BC214" s="266" t="str">
        <f t="shared" si="600"/>
        <v xml:space="preserve"> </v>
      </c>
      <c r="BD214" s="269" t="str">
        <f t="shared" si="601"/>
        <v xml:space="preserve"> </v>
      </c>
      <c r="BE214" s="269" t="str">
        <f t="shared" si="601"/>
        <v xml:space="preserve"> </v>
      </c>
      <c r="BF214" s="269" t="str">
        <f t="shared" si="602"/>
        <v xml:space="preserve"> </v>
      </c>
      <c r="BG214" s="269" t="str">
        <f t="shared" si="603"/>
        <v xml:space="preserve"> </v>
      </c>
      <c r="BH214" s="269" t="str">
        <f t="shared" si="603"/>
        <v xml:space="preserve"> </v>
      </c>
      <c r="BI214" s="269" t="str">
        <f t="shared" si="604"/>
        <v xml:space="preserve"> </v>
      </c>
      <c r="BJ214" s="269" t="str">
        <f t="shared" si="605"/>
        <v xml:space="preserve"> </v>
      </c>
      <c r="BK214" s="269" t="str">
        <f t="shared" si="606"/>
        <v xml:space="preserve"> </v>
      </c>
      <c r="BL214" s="229"/>
      <c r="BM214" s="220" t="str">
        <f>IF($A214="N/A"," ",(IF(MONTH(A214)&gt;=4,IF(MONTH(A214)&lt;=10,Inputs!$F$13-Inputs!$G$13,Inputs!$F$14-Inputs!$G$14),Inputs!$F$14-Inputs!$G$14))*$CK214*Availability)</f>
        <v xml:space="preserve"> </v>
      </c>
      <c r="BN214" s="221" t="str">
        <f t="shared" si="571"/>
        <v xml:space="preserve"> </v>
      </c>
      <c r="BO214" s="221" t="str">
        <f t="shared" si="572"/>
        <v xml:space="preserve"> </v>
      </c>
      <c r="BP214" s="221" t="str">
        <f t="shared" si="573"/>
        <v xml:space="preserve"> </v>
      </c>
      <c r="BQ214" s="221" t="str">
        <f t="shared" si="574"/>
        <v xml:space="preserve"> </v>
      </c>
      <c r="BR214" s="221" t="str">
        <f t="shared" si="575"/>
        <v xml:space="preserve"> </v>
      </c>
      <c r="BS214" s="221" t="str">
        <f t="shared" si="576"/>
        <v xml:space="preserve"> </v>
      </c>
      <c r="BT214" s="221" t="str">
        <f t="shared" si="577"/>
        <v xml:space="preserve"> </v>
      </c>
      <c r="BU214" s="221" t="str">
        <f t="shared" si="578"/>
        <v xml:space="preserve"> </v>
      </c>
      <c r="BV214" s="221" t="str">
        <f t="shared" si="579"/>
        <v xml:space="preserve"> </v>
      </c>
      <c r="BW214" s="221" t="str">
        <f t="shared" si="580"/>
        <v xml:space="preserve"> </v>
      </c>
      <c r="BX214" s="421" t="str">
        <f t="shared" si="581"/>
        <v xml:space="preserve"> </v>
      </c>
      <c r="BY214" s="417" t="str">
        <f t="shared" si="582"/>
        <v xml:space="preserve"> </v>
      </c>
      <c r="BZ214" s="417" t="str">
        <f t="shared" si="583"/>
        <v xml:space="preserve"> </v>
      </c>
      <c r="CA214" s="422" t="str">
        <f t="shared" si="584"/>
        <v xml:space="preserve"> </v>
      </c>
      <c r="CB214" s="347" t="str">
        <f t="shared" si="521"/>
        <v xml:space="preserve"> </v>
      </c>
      <c r="CC214" s="347" t="str">
        <f t="shared" si="585"/>
        <v xml:space="preserve"> </v>
      </c>
      <c r="CD214" s="348" t="str">
        <f t="shared" si="522"/>
        <v xml:space="preserve"> </v>
      </c>
      <c r="CE214" s="347" t="str">
        <f t="shared" si="523"/>
        <v xml:space="preserve"> </v>
      </c>
      <c r="CF214" s="347" t="str">
        <f t="shared" si="524"/>
        <v xml:space="preserve"> </v>
      </c>
      <c r="CG214" s="348" t="str">
        <f t="shared" si="525"/>
        <v xml:space="preserve"> </v>
      </c>
      <c r="CH214" s="347" t="str">
        <f t="shared" si="586"/>
        <v xml:space="preserve"> </v>
      </c>
      <c r="CI214" s="349" t="str">
        <f>IF($A214="N/A"," ",F214+G214+(D214*('Pricing Inputs'!T247)))</f>
        <v xml:space="preserve"> </v>
      </c>
      <c r="CJ214" s="347" t="str">
        <f>IF($A214="N/A"," ",IF(PV=1,0,'Pricing Inputs'!U247))</f>
        <v xml:space="preserve"> </v>
      </c>
      <c r="CK214" s="350" t="str">
        <f t="shared" si="526"/>
        <v xml:space="preserve"> </v>
      </c>
      <c r="CL214" s="365" t="str">
        <f t="shared" si="527"/>
        <v xml:space="preserve"> </v>
      </c>
      <c r="CM214" s="380" t="str">
        <f t="shared" si="587"/>
        <v xml:space="preserve"> </v>
      </c>
      <c r="CN214" s="378" t="str">
        <f t="shared" si="528"/>
        <v xml:space="preserve"> </v>
      </c>
      <c r="CO214" s="378" t="str">
        <f t="shared" si="529"/>
        <v xml:space="preserve"> </v>
      </c>
      <c r="CP214" s="378" t="str">
        <f t="shared" si="530"/>
        <v xml:space="preserve"> </v>
      </c>
      <c r="CQ214" s="378" t="str">
        <f t="shared" si="531"/>
        <v xml:space="preserve"> </v>
      </c>
      <c r="CR214" s="378" t="str">
        <f t="shared" si="532"/>
        <v xml:space="preserve"> </v>
      </c>
      <c r="CS214" s="378" t="str">
        <f t="shared" si="533"/>
        <v xml:space="preserve"> </v>
      </c>
      <c r="CT214" s="378" t="str">
        <f t="shared" si="534"/>
        <v xml:space="preserve"> </v>
      </c>
      <c r="CU214" s="378" t="str">
        <f t="shared" si="535"/>
        <v xml:space="preserve"> </v>
      </c>
      <c r="CV214" s="378" t="str">
        <f t="shared" si="536"/>
        <v xml:space="preserve"> </v>
      </c>
      <c r="CW214" s="254" t="str">
        <f t="shared" si="537"/>
        <v xml:space="preserve"> </v>
      </c>
      <c r="CX214" s="254" t="str">
        <f t="shared" si="538"/>
        <v xml:space="preserve"> </v>
      </c>
      <c r="CY214" s="254" t="str">
        <f t="shared" si="539"/>
        <v xml:space="preserve"> </v>
      </c>
      <c r="CZ214" s="254" t="str">
        <f t="shared" si="540"/>
        <v xml:space="preserve"> </v>
      </c>
      <c r="DA214" s="254" t="str">
        <f t="shared" si="541"/>
        <v xml:space="preserve"> </v>
      </c>
      <c r="DB214" s="254" t="str">
        <f t="shared" si="542"/>
        <v xml:space="preserve"> </v>
      </c>
      <c r="DC214" s="254" t="str">
        <f t="shared" si="543"/>
        <v xml:space="preserve"> </v>
      </c>
      <c r="DD214" s="254" t="str">
        <f t="shared" si="544"/>
        <v xml:space="preserve"> </v>
      </c>
      <c r="DE214" s="254" t="str">
        <f t="shared" si="545"/>
        <v xml:space="preserve"> </v>
      </c>
      <c r="DF214" s="374" t="str">
        <f>IF($A214="N/A"," ",IF(CC=2,(IF(MONTH(A214)&gt;=4,IF(MONTH(A214)&lt;=10,Inputs!$G$13,Inputs!$G$14),Inputs!$G$14))*$CK214,0))</f>
        <v xml:space="preserve"> </v>
      </c>
      <c r="DG214" s="373" t="str">
        <f t="shared" si="546"/>
        <v xml:space="preserve"> </v>
      </c>
      <c r="DH214" s="373" t="str">
        <f t="shared" si="547"/>
        <v xml:space="preserve"> </v>
      </c>
      <c r="DI214" s="373" t="str">
        <f t="shared" si="548"/>
        <v xml:space="preserve"> </v>
      </c>
      <c r="DJ214" s="373" t="str">
        <f t="shared" si="549"/>
        <v xml:space="preserve"> </v>
      </c>
      <c r="DK214" s="373" t="str">
        <f t="shared" si="550"/>
        <v xml:space="preserve"> </v>
      </c>
      <c r="DL214" s="373" t="str">
        <f t="shared" si="551"/>
        <v xml:space="preserve"> </v>
      </c>
      <c r="DM214" s="373" t="str">
        <f t="shared" si="552"/>
        <v xml:space="preserve"> </v>
      </c>
      <c r="DN214" s="373" t="str">
        <f t="shared" si="553"/>
        <v xml:space="preserve"> </v>
      </c>
      <c r="DO214" s="373" t="str">
        <f t="shared" si="554"/>
        <v xml:space="preserve"> </v>
      </c>
      <c r="DP214" s="375" t="str">
        <f t="shared" si="555"/>
        <v xml:space="preserve"> </v>
      </c>
      <c r="DQ214" t="str">
        <f t="shared" si="588"/>
        <v xml:space="preserve"> </v>
      </c>
      <c r="HD214" t="str">
        <f t="shared" si="589"/>
        <v xml:space="preserve"> </v>
      </c>
      <c r="HE214" t="str">
        <f t="shared" si="590"/>
        <v xml:space="preserve"> </v>
      </c>
      <c r="HF214" t="str">
        <f t="shared" si="591"/>
        <v xml:space="preserve"> </v>
      </c>
    </row>
    <row r="215" spans="1:214">
      <c r="A215" s="415" t="str">
        <f>IF(A214="N/A","N/A",IF(EDATE(A214,1)&gt;Inputs!$K$3,"N/A",EDATE(A214,1)))</f>
        <v>N/A</v>
      </c>
      <c r="B215" s="410" t="str">
        <f t="shared" si="556"/>
        <v xml:space="preserve"> </v>
      </c>
      <c r="C215" s="411" t="str">
        <f t="shared" si="557"/>
        <v xml:space="preserve"> </v>
      </c>
      <c r="D215" s="412" t="str">
        <f t="shared" si="558"/>
        <v xml:space="preserve"> </v>
      </c>
      <c r="E215" s="413" t="str">
        <f>IF($A215="N/A"," ",(C215-'Pricing Inputs'!T248)*D215)</f>
        <v xml:space="preserve"> </v>
      </c>
      <c r="F215" s="414" t="str">
        <f t="shared" si="607"/>
        <v xml:space="preserve"> </v>
      </c>
      <c r="G215" s="414" t="str">
        <f t="shared" si="559"/>
        <v xml:space="preserve"> </v>
      </c>
      <c r="H215" s="416" t="str">
        <f t="shared" si="560"/>
        <v xml:space="preserve"> </v>
      </c>
      <c r="I215" s="213" t="str">
        <f t="shared" si="501"/>
        <v xml:space="preserve"> </v>
      </c>
      <c r="J215" s="213" t="str">
        <f t="shared" si="502"/>
        <v xml:space="preserve"> </v>
      </c>
      <c r="K215" s="213" t="str">
        <f t="shared" si="503"/>
        <v xml:space="preserve"> </v>
      </c>
      <c r="L215" s="213" t="str">
        <f t="shared" si="504"/>
        <v xml:space="preserve"> </v>
      </c>
      <c r="M215" s="213" t="str">
        <f t="shared" si="505"/>
        <v xml:space="preserve"> </v>
      </c>
      <c r="N215" s="213" t="str">
        <f t="shared" si="506"/>
        <v xml:space="preserve"> </v>
      </c>
      <c r="O215" s="213" t="str">
        <f t="shared" si="507"/>
        <v xml:space="preserve"> </v>
      </c>
      <c r="P215" s="213" t="str">
        <f t="shared" si="508"/>
        <v xml:space="preserve"> </v>
      </c>
      <c r="Q215" s="213" t="str">
        <f t="shared" si="509"/>
        <v xml:space="preserve"> </v>
      </c>
      <c r="R215" s="405" t="str">
        <f>IF($A215="N/A"," ",IF(Pricetype=2,MAX(I215-$H215,0),IF(Pricetype=1,(_xll.xSPRDOPT(I215,$E215,$CI215,0,($CD215+IF(Smile=TRUE,VLOOKUP(MAX(-5,$H215-I215),Volsmile,2),0)),$CG215,$CH215,($A215-DateToday)+15,1,0)),I215-$H215)))</f>
        <v xml:space="preserve"> </v>
      </c>
      <c r="S215" s="405" t="str">
        <f>IF($A215="N/A"," ",IF(Pricetype=2,MAX(J215-$H215,0),IF(Pricetype=1,(_xll.xSPRDOPT(J215,$E215,$CI215,0,($CD215+IF(Smile=TRUE,VLOOKUP(MAX(-5,$H215-J215),Volsmile,2),0)),$CG215,$CH215,($A215-DateToday)+15,1,0)),J215-$H215)))</f>
        <v xml:space="preserve"> </v>
      </c>
      <c r="T215" s="406" t="str">
        <f t="shared" si="510"/>
        <v xml:space="preserve"> </v>
      </c>
      <c r="U215" s="405" t="str">
        <f>IF($A215="N/A"," ",IF(Pricetype=2,MAX(L215-$H215,0),IF(L215&lt;&gt;0,IF(Pricetype=1,(_xll.xSPRDOPT(L215,$E215,$CI215,0,($CD215+IF(Smile=TRUE,VLOOKUP(MAX(-5,$H215-L215),Volsmile,2),0)),$CG215,$CH215,($A215-DateToday)+15,1,0)),L215-$H215),0)))</f>
        <v xml:space="preserve"> </v>
      </c>
      <c r="V215" s="405" t="str">
        <f>IF($A215="N/A"," ",IF(Pricetype=2,MAX(M215-$H215,0),IF(M215&lt;&gt;0,IF(Pricetype=1,(_xll.xSPRDOPT(M215,$E215,$CI215,0,($CD215+IF(Smile=TRUE,VLOOKUP(MAX(-5,$H215-M215),Volsmile,2),0)),$CG215,$CH215,($A215-DateToday)+15,1,0)),M215-$H215),0)))</f>
        <v xml:space="preserve"> </v>
      </c>
      <c r="W215" s="406" t="str">
        <f t="shared" si="511"/>
        <v xml:space="preserve"> </v>
      </c>
      <c r="X215" s="405" t="str">
        <f>IF($A215="N/A"," ",IF(Pricetype=2,MAX(O215-$H215,0),IF(O215&lt;&gt;0,IF(Pricetype=1,(_xll.xSPRDOPT(O215,$E215,$CI215,0,($CD215+IF(Smile=TRUE,VLOOKUP(MAX(-5,$H215-O215),Volsmile,2),0)),$CG215,$CH215,($A215-DateToday)+15,1,0)),O215-$H215),0)))</f>
        <v xml:space="preserve"> </v>
      </c>
      <c r="Y215" s="405" t="str">
        <f>IF($A215="N/A"," ",IF(Pricetype=2,MAX(P215-$H215,0),IF(P215&lt;&gt;0,IF(Pricetype=1,(_xll.xSPRDOPT(P215,$E215,$CI215,0,($CD215+IF(Smile=TRUE,VLOOKUP(MAX(-5,$H215-P215),Volsmile,2),0)),$CG215,$CH215,($A215-DateToday)+15,1,0)),P215-$H215),0)))</f>
        <v xml:space="preserve"> </v>
      </c>
      <c r="Z215" s="406" t="str">
        <f t="shared" si="512"/>
        <v xml:space="preserve"> </v>
      </c>
      <c r="AA215" s="254" t="str">
        <f>IF($A215="N/A"," ",IF(VLOOKUP(MONTH(A215),ManualTable,2)=1,(IF(0&lt;&gt;R215,IF(Pricetype=1,(_xll.xSPRDOPT(I215,$E215,$CI215,0,($CD215+IF(Smile=TRUE,VLOOKUP(MAX(-5,$H215-I215),Volsmile,2),0)),$CG215,$CH215,($A215-DateToday)+15,1,1))*(8*$HD215),8*$HD215),0)),0))</f>
        <v xml:space="preserve"> </v>
      </c>
      <c r="AB215" s="254" t="str">
        <f>IF($A215="N/A"," ",IF(VLOOKUP(MONTH(A215),ManualTable,3)=1,(IF(S215&lt;&gt;0,IF(Pricetype=1,(_xll.xSPRDOPT(J215,$E215,$CI215,0,($CD215+IF(Smile=TRUE,VLOOKUP(MAX(-5,$H215-J215),Volsmile,2),0)),$CG215,$CH215,($A215-DateToday)+15,1,1))*(8*$HD215),8*$HD215),0)),0))</f>
        <v xml:space="preserve"> </v>
      </c>
      <c r="AC215" s="254" t="str">
        <f t="shared" si="561"/>
        <v xml:space="preserve"> </v>
      </c>
      <c r="AD215" s="254" t="str">
        <f>IF($A215="N/A"," ",IF(VLOOKUP(MONTH(A215),ManualTable,5)=1,(IF(U215&lt;&gt;0,IF(Pricetype=1,(_xll.xSPRDOPT(L215,$E215,$CI215,0,($CD215+IF(Smile=TRUE,VLOOKUP(MAX(-5,$H215-L215),Volsmile,2),0)),$CG215,$CH215,($A215-DateToday)+15,1,1))*(8*$HE215),8*$HE215),0)),0))</f>
        <v xml:space="preserve"> </v>
      </c>
      <c r="AE215" s="254" t="str">
        <f>IF($A215="N/A"," ",IF(VLOOKUP(MONTH(A215),ManualTable,6)=1,(IF(V215&lt;&gt;0,IF(Pricetype=1,(_xll.xSPRDOPT(M215,$E215,$CI215,0,($CD215+IF(Smile=TRUE,VLOOKUP(MAX(-5,$H215-M215),Volsmile,2),0)),$CG215,$CH215,($A215-DateToday)+15,1,1))*(8*$HE215),8*$HE215),0)),0))</f>
        <v xml:space="preserve"> </v>
      </c>
      <c r="AF215" s="254" t="str">
        <f t="shared" si="562"/>
        <v xml:space="preserve"> </v>
      </c>
      <c r="AG215" s="254" t="str">
        <f>IF($A215="N/A"," ",IF(VLOOKUP(MONTH(A215),ManualTable,8)=1,(IF(X215&lt;&gt;0,IF(Pricetype=1,(_xll.xSPRDOPT(O215,$E215,$CI215,0,($CD215+IF(Smile=TRUE,VLOOKUP(MAX(-5,$H215-O215),Volsmile,2),0)),$CG215,$CH215,($A215-DateToday)+15,1,1))*(8*$HF215),8*$HF215),0)),0))</f>
        <v xml:space="preserve"> </v>
      </c>
      <c r="AH215" s="254" t="str">
        <f>IF($A215="N/A"," ",IF(VLOOKUP(MONTH(A215),ManualTable,9)=1,(IF(Y215&lt;&gt;0,IF(Pricetype=1,(_xll.xSPRDOPT(P215,$E215,$CI215,0,($CD215+IF(Smile=TRUE,VLOOKUP(MAX(-5,$H215-P215),Volsmile,2),0)),$CG215,$CH215,($A215-DateToday)+15,1,1))*(8*$HF215),8*$HF215),0)),0))</f>
        <v xml:space="preserve"> </v>
      </c>
      <c r="AI215" s="254" t="str">
        <f t="shared" si="563"/>
        <v xml:space="preserve"> </v>
      </c>
      <c r="AJ215" s="227" t="str">
        <f t="shared" si="608"/>
        <v xml:space="preserve"> </v>
      </c>
      <c r="AK215" s="228" t="str">
        <f t="shared" si="609"/>
        <v xml:space="preserve"> </v>
      </c>
      <c r="AL215" s="228" t="str">
        <f t="shared" si="609"/>
        <v xml:space="preserve"> </v>
      </c>
      <c r="AM215" s="228" t="str">
        <f t="shared" si="610"/>
        <v xml:space="preserve"> </v>
      </c>
      <c r="AN215" s="228" t="str">
        <f t="shared" si="611"/>
        <v xml:space="preserve"> </v>
      </c>
      <c r="AO215" s="228" t="str">
        <f t="shared" si="611"/>
        <v xml:space="preserve"> </v>
      </c>
      <c r="AP215" s="228" t="str">
        <f t="shared" si="612"/>
        <v xml:space="preserve"> </v>
      </c>
      <c r="AQ215" s="228" t="str">
        <f t="shared" si="613"/>
        <v xml:space="preserve"> </v>
      </c>
      <c r="AR215" s="229" t="str">
        <f t="shared" si="614"/>
        <v xml:space="preserve"> </v>
      </c>
      <c r="AS215" s="262" t="str">
        <f t="shared" si="593"/>
        <v xml:space="preserve"> </v>
      </c>
      <c r="AT215" s="263" t="str">
        <f t="shared" si="594"/>
        <v xml:space="preserve"> </v>
      </c>
      <c r="AU215" s="263" t="str">
        <f t="shared" si="594"/>
        <v xml:space="preserve"> </v>
      </c>
      <c r="AV215" s="263" t="str">
        <f t="shared" si="595"/>
        <v xml:space="preserve"> </v>
      </c>
      <c r="AW215" s="263" t="str">
        <f t="shared" si="596"/>
        <v xml:space="preserve"> </v>
      </c>
      <c r="AX215" s="263" t="str">
        <f t="shared" si="596"/>
        <v xml:space="preserve"> </v>
      </c>
      <c r="AY215" s="263" t="str">
        <f t="shared" si="597"/>
        <v xml:space="preserve"> </v>
      </c>
      <c r="AZ215" s="263" t="str">
        <f t="shared" si="598"/>
        <v xml:space="preserve"> </v>
      </c>
      <c r="BA215" s="263" t="str">
        <f t="shared" si="599"/>
        <v xml:space="preserve"> </v>
      </c>
      <c r="BB215" s="229"/>
      <c r="BC215" s="266" t="str">
        <f t="shared" si="600"/>
        <v xml:space="preserve"> </v>
      </c>
      <c r="BD215" s="269" t="str">
        <f t="shared" si="601"/>
        <v xml:space="preserve"> </v>
      </c>
      <c r="BE215" s="269" t="str">
        <f t="shared" si="601"/>
        <v xml:space="preserve"> </v>
      </c>
      <c r="BF215" s="269" t="str">
        <f t="shared" si="602"/>
        <v xml:space="preserve"> </v>
      </c>
      <c r="BG215" s="269" t="str">
        <f t="shared" si="603"/>
        <v xml:space="preserve"> </v>
      </c>
      <c r="BH215" s="269" t="str">
        <f t="shared" si="603"/>
        <v xml:space="preserve"> </v>
      </c>
      <c r="BI215" s="269" t="str">
        <f t="shared" si="604"/>
        <v xml:space="preserve"> </v>
      </c>
      <c r="BJ215" s="269" t="str">
        <f t="shared" si="605"/>
        <v xml:space="preserve"> </v>
      </c>
      <c r="BK215" s="269" t="str">
        <f t="shared" si="606"/>
        <v xml:space="preserve"> </v>
      </c>
      <c r="BL215" s="229"/>
      <c r="BM215" s="220" t="str">
        <f>IF($A215="N/A"," ",(IF(MONTH(A215)&gt;=4,IF(MONTH(A215)&lt;=10,Inputs!$F$13-Inputs!$G$13,Inputs!$F$14-Inputs!$G$14),Inputs!$F$14-Inputs!$G$14))*$CK215*Availability)</f>
        <v xml:space="preserve"> </v>
      </c>
      <c r="BN215" s="221" t="str">
        <f t="shared" si="571"/>
        <v xml:space="preserve"> </v>
      </c>
      <c r="BO215" s="221" t="str">
        <f t="shared" si="572"/>
        <v xml:space="preserve"> </v>
      </c>
      <c r="BP215" s="221" t="str">
        <f t="shared" si="573"/>
        <v xml:space="preserve"> </v>
      </c>
      <c r="BQ215" s="221" t="str">
        <f t="shared" si="574"/>
        <v xml:space="preserve"> </v>
      </c>
      <c r="BR215" s="221" t="str">
        <f t="shared" si="575"/>
        <v xml:space="preserve"> </v>
      </c>
      <c r="BS215" s="221" t="str">
        <f t="shared" si="576"/>
        <v xml:space="preserve"> </v>
      </c>
      <c r="BT215" s="221" t="str">
        <f t="shared" si="577"/>
        <v xml:space="preserve"> </v>
      </c>
      <c r="BU215" s="221" t="str">
        <f t="shared" si="578"/>
        <v xml:space="preserve"> </v>
      </c>
      <c r="BV215" s="221" t="str">
        <f t="shared" si="579"/>
        <v xml:space="preserve"> </v>
      </c>
      <c r="BW215" s="221" t="str">
        <f t="shared" si="580"/>
        <v xml:space="preserve"> </v>
      </c>
      <c r="BX215" s="421" t="str">
        <f t="shared" si="581"/>
        <v xml:space="preserve"> </v>
      </c>
      <c r="BY215" s="417" t="str">
        <f t="shared" si="582"/>
        <v xml:space="preserve"> </v>
      </c>
      <c r="BZ215" s="417" t="str">
        <f t="shared" si="583"/>
        <v xml:space="preserve"> </v>
      </c>
      <c r="CA215" s="422" t="str">
        <f t="shared" si="584"/>
        <v xml:space="preserve"> </v>
      </c>
      <c r="CB215" s="347" t="str">
        <f t="shared" si="521"/>
        <v xml:space="preserve"> </v>
      </c>
      <c r="CC215" s="347" t="str">
        <f t="shared" si="585"/>
        <v xml:space="preserve"> </v>
      </c>
      <c r="CD215" s="348" t="str">
        <f t="shared" si="522"/>
        <v xml:space="preserve"> </v>
      </c>
      <c r="CE215" s="347" t="str">
        <f t="shared" si="523"/>
        <v xml:space="preserve"> </v>
      </c>
      <c r="CF215" s="347" t="str">
        <f t="shared" si="524"/>
        <v xml:space="preserve"> </v>
      </c>
      <c r="CG215" s="348" t="str">
        <f t="shared" si="525"/>
        <v xml:space="preserve"> </v>
      </c>
      <c r="CH215" s="347" t="str">
        <f t="shared" si="586"/>
        <v xml:space="preserve"> </v>
      </c>
      <c r="CI215" s="349" t="str">
        <f>IF($A215="N/A"," ",F215+G215+(D215*('Pricing Inputs'!T248)))</f>
        <v xml:space="preserve"> </v>
      </c>
      <c r="CJ215" s="347" t="str">
        <f>IF($A215="N/A"," ",IF(PV=1,0,'Pricing Inputs'!U248))</f>
        <v xml:space="preserve"> </v>
      </c>
      <c r="CK215" s="350" t="str">
        <f t="shared" si="526"/>
        <v xml:space="preserve"> </v>
      </c>
      <c r="CL215" s="365" t="str">
        <f t="shared" si="527"/>
        <v xml:space="preserve"> </v>
      </c>
      <c r="CM215" s="380" t="str">
        <f t="shared" si="587"/>
        <v xml:space="preserve"> </v>
      </c>
      <c r="CN215" s="378" t="str">
        <f t="shared" si="528"/>
        <v xml:space="preserve"> </v>
      </c>
      <c r="CO215" s="378" t="str">
        <f t="shared" si="529"/>
        <v xml:space="preserve"> </v>
      </c>
      <c r="CP215" s="378" t="str">
        <f t="shared" si="530"/>
        <v xml:space="preserve"> </v>
      </c>
      <c r="CQ215" s="378" t="str">
        <f t="shared" si="531"/>
        <v xml:space="preserve"> </v>
      </c>
      <c r="CR215" s="378" t="str">
        <f t="shared" si="532"/>
        <v xml:space="preserve"> </v>
      </c>
      <c r="CS215" s="378" t="str">
        <f t="shared" si="533"/>
        <v xml:space="preserve"> </v>
      </c>
      <c r="CT215" s="378" t="str">
        <f t="shared" si="534"/>
        <v xml:space="preserve"> </v>
      </c>
      <c r="CU215" s="378" t="str">
        <f t="shared" si="535"/>
        <v xml:space="preserve"> </v>
      </c>
      <c r="CV215" s="378" t="str">
        <f t="shared" si="536"/>
        <v xml:space="preserve"> </v>
      </c>
      <c r="CW215" s="254" t="str">
        <f t="shared" si="537"/>
        <v xml:space="preserve"> </v>
      </c>
      <c r="CX215" s="254" t="str">
        <f t="shared" si="538"/>
        <v xml:space="preserve"> </v>
      </c>
      <c r="CY215" s="254" t="str">
        <f t="shared" si="539"/>
        <v xml:space="preserve"> </v>
      </c>
      <c r="CZ215" s="254" t="str">
        <f t="shared" si="540"/>
        <v xml:space="preserve"> </v>
      </c>
      <c r="DA215" s="254" t="str">
        <f t="shared" si="541"/>
        <v xml:space="preserve"> </v>
      </c>
      <c r="DB215" s="254" t="str">
        <f t="shared" si="542"/>
        <v xml:space="preserve"> </v>
      </c>
      <c r="DC215" s="254" t="str">
        <f t="shared" si="543"/>
        <v xml:space="preserve"> </v>
      </c>
      <c r="DD215" s="254" t="str">
        <f t="shared" si="544"/>
        <v xml:space="preserve"> </v>
      </c>
      <c r="DE215" s="254" t="str">
        <f t="shared" si="545"/>
        <v xml:space="preserve"> </v>
      </c>
      <c r="DF215" s="374" t="str">
        <f>IF($A215="N/A"," ",IF(CC=2,(IF(MONTH(A215)&gt;=4,IF(MONTH(A215)&lt;=10,Inputs!$G$13,Inputs!$G$14),Inputs!$G$14))*$CK215,0))</f>
        <v xml:space="preserve"> </v>
      </c>
      <c r="DG215" s="373" t="str">
        <f t="shared" si="546"/>
        <v xml:space="preserve"> </v>
      </c>
      <c r="DH215" s="373" t="str">
        <f t="shared" si="547"/>
        <v xml:space="preserve"> </v>
      </c>
      <c r="DI215" s="373" t="str">
        <f t="shared" si="548"/>
        <v xml:space="preserve"> </v>
      </c>
      <c r="DJ215" s="373" t="str">
        <f t="shared" si="549"/>
        <v xml:space="preserve"> </v>
      </c>
      <c r="DK215" s="373" t="str">
        <f t="shared" si="550"/>
        <v xml:space="preserve"> </v>
      </c>
      <c r="DL215" s="373" t="str">
        <f t="shared" si="551"/>
        <v xml:space="preserve"> </v>
      </c>
      <c r="DM215" s="373" t="str">
        <f t="shared" si="552"/>
        <v xml:space="preserve"> </v>
      </c>
      <c r="DN215" s="373" t="str">
        <f t="shared" si="553"/>
        <v xml:space="preserve"> </v>
      </c>
      <c r="DO215" s="373" t="str">
        <f t="shared" si="554"/>
        <v xml:space="preserve"> </v>
      </c>
      <c r="DP215" s="375" t="str">
        <f t="shared" si="555"/>
        <v xml:space="preserve"> </v>
      </c>
      <c r="DQ215" t="str">
        <f t="shared" si="588"/>
        <v xml:space="preserve"> </v>
      </c>
      <c r="HD215" t="str">
        <f t="shared" si="589"/>
        <v xml:space="preserve"> </v>
      </c>
      <c r="HE215" t="str">
        <f t="shared" si="590"/>
        <v xml:space="preserve"> </v>
      </c>
      <c r="HF215" t="str">
        <f t="shared" si="591"/>
        <v xml:space="preserve"> </v>
      </c>
    </row>
    <row r="216" spans="1:214">
      <c r="A216" s="415" t="str">
        <f>IF(A215="N/A","N/A",IF(EDATE(A215,1)&gt;Inputs!$K$3,"N/A",EDATE(A215,1)))</f>
        <v>N/A</v>
      </c>
      <c r="B216" s="410" t="str">
        <f t="shared" si="556"/>
        <v xml:space="preserve"> </v>
      </c>
      <c r="C216" s="411" t="str">
        <f t="shared" si="557"/>
        <v xml:space="preserve"> </v>
      </c>
      <c r="D216" s="412" t="str">
        <f t="shared" si="558"/>
        <v xml:space="preserve"> </v>
      </c>
      <c r="E216" s="413" t="str">
        <f>IF($A216="N/A"," ",(C216-'Pricing Inputs'!T249)*D216)</f>
        <v xml:space="preserve"> </v>
      </c>
      <c r="F216" s="414" t="str">
        <f t="shared" si="607"/>
        <v xml:space="preserve"> </v>
      </c>
      <c r="G216" s="414" t="str">
        <f t="shared" si="559"/>
        <v xml:space="preserve"> </v>
      </c>
      <c r="H216" s="416" t="str">
        <f t="shared" si="560"/>
        <v xml:space="preserve"> </v>
      </c>
      <c r="I216" s="213" t="str">
        <f t="shared" si="501"/>
        <v xml:space="preserve"> </v>
      </c>
      <c r="J216" s="213" t="str">
        <f t="shared" si="502"/>
        <v xml:space="preserve"> </v>
      </c>
      <c r="K216" s="213" t="str">
        <f t="shared" si="503"/>
        <v xml:space="preserve"> </v>
      </c>
      <c r="L216" s="213" t="str">
        <f t="shared" si="504"/>
        <v xml:space="preserve"> </v>
      </c>
      <c r="M216" s="213" t="str">
        <f t="shared" si="505"/>
        <v xml:space="preserve"> </v>
      </c>
      <c r="N216" s="213" t="str">
        <f t="shared" si="506"/>
        <v xml:space="preserve"> </v>
      </c>
      <c r="O216" s="213" t="str">
        <f t="shared" si="507"/>
        <v xml:space="preserve"> </v>
      </c>
      <c r="P216" s="213" t="str">
        <f t="shared" si="508"/>
        <v xml:space="preserve"> </v>
      </c>
      <c r="Q216" s="213" t="str">
        <f t="shared" si="509"/>
        <v xml:space="preserve"> </v>
      </c>
      <c r="R216" s="405" t="str">
        <f>IF($A216="N/A"," ",IF(Pricetype=2,MAX(I216-$H216,0),IF(Pricetype=1,(_xll.xSPRDOPT(I216,$E216,$CI216,0,($CD216+IF(Smile=TRUE,VLOOKUP(MAX(-5,$H216-I216),Volsmile,2),0)),$CG216,$CH216,($A216-DateToday)+15,1,0)),I216-$H216)))</f>
        <v xml:space="preserve"> </v>
      </c>
      <c r="S216" s="405" t="str">
        <f>IF($A216="N/A"," ",IF(Pricetype=2,MAX(J216-$H216,0),IF(Pricetype=1,(_xll.xSPRDOPT(J216,$E216,$CI216,0,($CD216+IF(Smile=TRUE,VLOOKUP(MAX(-5,$H216-J216),Volsmile,2),0)),$CG216,$CH216,($A216-DateToday)+15,1,0)),J216-$H216)))</f>
        <v xml:space="preserve"> </v>
      </c>
      <c r="T216" s="406" t="str">
        <f t="shared" si="510"/>
        <v xml:space="preserve"> </v>
      </c>
      <c r="U216" s="405" t="str">
        <f>IF($A216="N/A"," ",IF(Pricetype=2,MAX(L216-$H216,0),IF(L216&lt;&gt;0,IF(Pricetype=1,(_xll.xSPRDOPT(L216,$E216,$CI216,0,($CD216+IF(Smile=TRUE,VLOOKUP(MAX(-5,$H216-L216),Volsmile,2),0)),$CG216,$CH216,($A216-DateToday)+15,1,0)),L216-$H216),0)))</f>
        <v xml:space="preserve"> </v>
      </c>
      <c r="V216" s="405" t="str">
        <f>IF($A216="N/A"," ",IF(Pricetype=2,MAX(M216-$H216,0),IF(M216&lt;&gt;0,IF(Pricetype=1,(_xll.xSPRDOPT(M216,$E216,$CI216,0,($CD216+IF(Smile=TRUE,VLOOKUP(MAX(-5,$H216-M216),Volsmile,2),0)),$CG216,$CH216,($A216-DateToday)+15,1,0)),M216-$H216),0)))</f>
        <v xml:space="preserve"> </v>
      </c>
      <c r="W216" s="406" t="str">
        <f t="shared" si="511"/>
        <v xml:space="preserve"> </v>
      </c>
      <c r="X216" s="405" t="str">
        <f>IF($A216="N/A"," ",IF(Pricetype=2,MAX(O216-$H216,0),IF(O216&lt;&gt;0,IF(Pricetype=1,(_xll.xSPRDOPT(O216,$E216,$CI216,0,($CD216+IF(Smile=TRUE,VLOOKUP(MAX(-5,$H216-O216),Volsmile,2),0)),$CG216,$CH216,($A216-DateToday)+15,1,0)),O216-$H216),0)))</f>
        <v xml:space="preserve"> </v>
      </c>
      <c r="Y216" s="405" t="str">
        <f>IF($A216="N/A"," ",IF(Pricetype=2,MAX(P216-$H216,0),IF(P216&lt;&gt;0,IF(Pricetype=1,(_xll.xSPRDOPT(P216,$E216,$CI216,0,($CD216+IF(Smile=TRUE,VLOOKUP(MAX(-5,$H216-P216),Volsmile,2),0)),$CG216,$CH216,($A216-DateToday)+15,1,0)),P216-$H216),0)))</f>
        <v xml:space="preserve"> </v>
      </c>
      <c r="Z216" s="406" t="str">
        <f t="shared" si="512"/>
        <v xml:space="preserve"> </v>
      </c>
      <c r="AA216" s="254" t="str">
        <f>IF($A216="N/A"," ",IF(VLOOKUP(MONTH(A216),ManualTable,2)=1,(IF(0&lt;&gt;R216,IF(Pricetype=1,(_xll.xSPRDOPT(I216,$E216,$CI216,0,($CD216+IF(Smile=TRUE,VLOOKUP(MAX(-5,$H216-I216),Volsmile,2),0)),$CG216,$CH216,($A216-DateToday)+15,1,1))*(8*$HD216),8*$HD216),0)),0))</f>
        <v xml:space="preserve"> </v>
      </c>
      <c r="AB216" s="254" t="str">
        <f>IF($A216="N/A"," ",IF(VLOOKUP(MONTH(A216),ManualTable,3)=1,(IF(S216&lt;&gt;0,IF(Pricetype=1,(_xll.xSPRDOPT(J216,$E216,$CI216,0,($CD216+IF(Smile=TRUE,VLOOKUP(MAX(-5,$H216-J216),Volsmile,2),0)),$CG216,$CH216,($A216-DateToday)+15,1,1))*(8*$HD216),8*$HD216),0)),0))</f>
        <v xml:space="preserve"> </v>
      </c>
      <c r="AC216" s="254" t="str">
        <f t="shared" si="561"/>
        <v xml:space="preserve"> </v>
      </c>
      <c r="AD216" s="254" t="str">
        <f>IF($A216="N/A"," ",IF(VLOOKUP(MONTH(A216),ManualTable,5)=1,(IF(U216&lt;&gt;0,IF(Pricetype=1,(_xll.xSPRDOPT(L216,$E216,$CI216,0,($CD216+IF(Smile=TRUE,VLOOKUP(MAX(-5,$H216-L216),Volsmile,2),0)),$CG216,$CH216,($A216-DateToday)+15,1,1))*(8*$HE216),8*$HE216),0)),0))</f>
        <v xml:space="preserve"> </v>
      </c>
      <c r="AE216" s="254" t="str">
        <f>IF($A216="N/A"," ",IF(VLOOKUP(MONTH(A216),ManualTable,6)=1,(IF(V216&lt;&gt;0,IF(Pricetype=1,(_xll.xSPRDOPT(M216,$E216,$CI216,0,($CD216+IF(Smile=TRUE,VLOOKUP(MAX(-5,$H216-M216),Volsmile,2),0)),$CG216,$CH216,($A216-DateToday)+15,1,1))*(8*$HE216),8*$HE216),0)),0))</f>
        <v xml:space="preserve"> </v>
      </c>
      <c r="AF216" s="254" t="str">
        <f t="shared" si="562"/>
        <v xml:space="preserve"> </v>
      </c>
      <c r="AG216" s="254" t="str">
        <f>IF($A216="N/A"," ",IF(VLOOKUP(MONTH(A216),ManualTable,8)=1,(IF(X216&lt;&gt;0,IF(Pricetype=1,(_xll.xSPRDOPT(O216,$E216,$CI216,0,($CD216+IF(Smile=TRUE,VLOOKUP(MAX(-5,$H216-O216),Volsmile,2),0)),$CG216,$CH216,($A216-DateToday)+15,1,1))*(8*$HF216),8*$HF216),0)),0))</f>
        <v xml:space="preserve"> </v>
      </c>
      <c r="AH216" s="254" t="str">
        <f>IF($A216="N/A"," ",IF(VLOOKUP(MONTH(A216),ManualTable,9)=1,(IF(Y216&lt;&gt;0,IF(Pricetype=1,(_xll.xSPRDOPT(P216,$E216,$CI216,0,($CD216+IF(Smile=TRUE,VLOOKUP(MAX(-5,$H216-P216),Volsmile,2),0)),$CG216,$CH216,($A216-DateToday)+15,1,1))*(8*$HF216),8*$HF216),0)),0))</f>
        <v xml:space="preserve"> </v>
      </c>
      <c r="AI216" s="254" t="str">
        <f t="shared" si="563"/>
        <v xml:space="preserve"> </v>
      </c>
      <c r="AJ216" s="227" t="str">
        <f t="shared" si="608"/>
        <v xml:space="preserve"> </v>
      </c>
      <c r="AK216" s="228" t="str">
        <f t="shared" si="609"/>
        <v xml:space="preserve"> </v>
      </c>
      <c r="AL216" s="228" t="str">
        <f t="shared" si="609"/>
        <v xml:space="preserve"> </v>
      </c>
      <c r="AM216" s="228" t="str">
        <f t="shared" si="610"/>
        <v xml:space="preserve"> </v>
      </c>
      <c r="AN216" s="228" t="str">
        <f t="shared" si="611"/>
        <v xml:space="preserve"> </v>
      </c>
      <c r="AO216" s="228" t="str">
        <f t="shared" si="611"/>
        <v xml:space="preserve"> </v>
      </c>
      <c r="AP216" s="228" t="str">
        <f t="shared" si="612"/>
        <v xml:space="preserve"> </v>
      </c>
      <c r="AQ216" s="228" t="str">
        <f t="shared" si="613"/>
        <v xml:space="preserve"> </v>
      </c>
      <c r="AR216" s="229" t="str">
        <f t="shared" si="614"/>
        <v xml:space="preserve"> </v>
      </c>
      <c r="AS216" s="262" t="str">
        <f t="shared" si="593"/>
        <v xml:space="preserve"> </v>
      </c>
      <c r="AT216" s="263" t="str">
        <f t="shared" si="594"/>
        <v xml:space="preserve"> </v>
      </c>
      <c r="AU216" s="263" t="str">
        <f t="shared" si="594"/>
        <v xml:space="preserve"> </v>
      </c>
      <c r="AV216" s="263" t="str">
        <f t="shared" si="595"/>
        <v xml:space="preserve"> </v>
      </c>
      <c r="AW216" s="263" t="str">
        <f t="shared" si="596"/>
        <v xml:space="preserve"> </v>
      </c>
      <c r="AX216" s="263" t="str">
        <f t="shared" si="596"/>
        <v xml:space="preserve"> </v>
      </c>
      <c r="AY216" s="263" t="str">
        <f t="shared" si="597"/>
        <v xml:space="preserve"> </v>
      </c>
      <c r="AZ216" s="263" t="str">
        <f t="shared" si="598"/>
        <v xml:space="preserve"> </v>
      </c>
      <c r="BA216" s="263" t="str">
        <f t="shared" si="599"/>
        <v xml:space="preserve"> </v>
      </c>
      <c r="BB216" s="229"/>
      <c r="BC216" s="266" t="str">
        <f t="shared" si="600"/>
        <v xml:space="preserve"> </v>
      </c>
      <c r="BD216" s="269" t="str">
        <f t="shared" si="601"/>
        <v xml:space="preserve"> </v>
      </c>
      <c r="BE216" s="269" t="str">
        <f t="shared" si="601"/>
        <v xml:space="preserve"> </v>
      </c>
      <c r="BF216" s="269" t="str">
        <f t="shared" si="602"/>
        <v xml:space="preserve"> </v>
      </c>
      <c r="BG216" s="269" t="str">
        <f t="shared" si="603"/>
        <v xml:space="preserve"> </v>
      </c>
      <c r="BH216" s="269" t="str">
        <f t="shared" si="603"/>
        <v xml:space="preserve"> </v>
      </c>
      <c r="BI216" s="269" t="str">
        <f t="shared" si="604"/>
        <v xml:space="preserve"> </v>
      </c>
      <c r="BJ216" s="269" t="str">
        <f t="shared" si="605"/>
        <v xml:space="preserve"> </v>
      </c>
      <c r="BK216" s="269" t="str">
        <f t="shared" si="606"/>
        <v xml:space="preserve"> </v>
      </c>
      <c r="BL216" s="229"/>
      <c r="BM216" s="220" t="str">
        <f>IF($A216="N/A"," ",(IF(MONTH(A216)&gt;=4,IF(MONTH(A216)&lt;=10,Inputs!$F$13-Inputs!$G$13,Inputs!$F$14-Inputs!$G$14),Inputs!$F$14-Inputs!$G$14))*$CK216*Availability)</f>
        <v xml:space="preserve"> </v>
      </c>
      <c r="BN216" s="221" t="str">
        <f t="shared" si="571"/>
        <v xml:space="preserve"> </v>
      </c>
      <c r="BO216" s="221" t="str">
        <f t="shared" si="572"/>
        <v xml:space="preserve"> </v>
      </c>
      <c r="BP216" s="221" t="str">
        <f t="shared" si="573"/>
        <v xml:space="preserve"> </v>
      </c>
      <c r="BQ216" s="221" t="str">
        <f t="shared" si="574"/>
        <v xml:space="preserve"> </v>
      </c>
      <c r="BR216" s="221" t="str">
        <f t="shared" si="575"/>
        <v xml:space="preserve"> </v>
      </c>
      <c r="BS216" s="221" t="str">
        <f t="shared" si="576"/>
        <v xml:space="preserve"> </v>
      </c>
      <c r="BT216" s="221" t="str">
        <f t="shared" si="577"/>
        <v xml:space="preserve"> </v>
      </c>
      <c r="BU216" s="221" t="str">
        <f t="shared" si="578"/>
        <v xml:space="preserve"> </v>
      </c>
      <c r="BV216" s="221" t="str">
        <f t="shared" si="579"/>
        <v xml:space="preserve"> </v>
      </c>
      <c r="BW216" s="221" t="str">
        <f t="shared" si="580"/>
        <v xml:space="preserve"> </v>
      </c>
      <c r="BX216" s="421" t="str">
        <f t="shared" si="581"/>
        <v xml:space="preserve"> </v>
      </c>
      <c r="BY216" s="417" t="str">
        <f t="shared" si="582"/>
        <v xml:space="preserve"> </v>
      </c>
      <c r="BZ216" s="417" t="str">
        <f t="shared" si="583"/>
        <v xml:space="preserve"> </v>
      </c>
      <c r="CA216" s="422" t="str">
        <f t="shared" si="584"/>
        <v xml:space="preserve"> </v>
      </c>
      <c r="CB216" s="347" t="str">
        <f t="shared" si="521"/>
        <v xml:space="preserve"> </v>
      </c>
      <c r="CC216" s="347" t="str">
        <f t="shared" si="585"/>
        <v xml:space="preserve"> </v>
      </c>
      <c r="CD216" s="348" t="str">
        <f t="shared" si="522"/>
        <v xml:space="preserve"> </v>
      </c>
      <c r="CE216" s="347" t="str">
        <f t="shared" si="523"/>
        <v xml:space="preserve"> </v>
      </c>
      <c r="CF216" s="347" t="str">
        <f t="shared" si="524"/>
        <v xml:space="preserve"> </v>
      </c>
      <c r="CG216" s="348" t="str">
        <f t="shared" si="525"/>
        <v xml:space="preserve"> </v>
      </c>
      <c r="CH216" s="347" t="str">
        <f t="shared" si="586"/>
        <v xml:space="preserve"> </v>
      </c>
      <c r="CI216" s="349" t="str">
        <f>IF($A216="N/A"," ",F216+G216+(D216*('Pricing Inputs'!T249)))</f>
        <v xml:space="preserve"> </v>
      </c>
      <c r="CJ216" s="347" t="str">
        <f>IF($A216="N/A"," ",IF(PV=1,0,'Pricing Inputs'!U249))</f>
        <v xml:space="preserve"> </v>
      </c>
      <c r="CK216" s="350" t="str">
        <f t="shared" si="526"/>
        <v xml:space="preserve"> </v>
      </c>
      <c r="CL216" s="365" t="str">
        <f t="shared" si="527"/>
        <v xml:space="preserve"> </v>
      </c>
      <c r="CM216" s="380" t="str">
        <f t="shared" si="587"/>
        <v xml:space="preserve"> </v>
      </c>
      <c r="CN216" s="378" t="str">
        <f t="shared" si="528"/>
        <v xml:space="preserve"> </v>
      </c>
      <c r="CO216" s="378" t="str">
        <f t="shared" si="529"/>
        <v xml:space="preserve"> </v>
      </c>
      <c r="CP216" s="378" t="str">
        <f t="shared" si="530"/>
        <v xml:space="preserve"> </v>
      </c>
      <c r="CQ216" s="378" t="str">
        <f t="shared" si="531"/>
        <v xml:space="preserve"> </v>
      </c>
      <c r="CR216" s="378" t="str">
        <f t="shared" si="532"/>
        <v xml:space="preserve"> </v>
      </c>
      <c r="CS216" s="378" t="str">
        <f t="shared" si="533"/>
        <v xml:space="preserve"> </v>
      </c>
      <c r="CT216" s="378" t="str">
        <f t="shared" si="534"/>
        <v xml:space="preserve"> </v>
      </c>
      <c r="CU216" s="378" t="str">
        <f t="shared" si="535"/>
        <v xml:space="preserve"> </v>
      </c>
      <c r="CV216" s="378" t="str">
        <f t="shared" si="536"/>
        <v xml:space="preserve"> </v>
      </c>
      <c r="CW216" s="254" t="str">
        <f t="shared" si="537"/>
        <v xml:space="preserve"> </v>
      </c>
      <c r="CX216" s="254" t="str">
        <f t="shared" si="538"/>
        <v xml:space="preserve"> </v>
      </c>
      <c r="CY216" s="254" t="str">
        <f t="shared" si="539"/>
        <v xml:space="preserve"> </v>
      </c>
      <c r="CZ216" s="254" t="str">
        <f t="shared" si="540"/>
        <v xml:space="preserve"> </v>
      </c>
      <c r="DA216" s="254" t="str">
        <f t="shared" si="541"/>
        <v xml:space="preserve"> </v>
      </c>
      <c r="DB216" s="254" t="str">
        <f t="shared" si="542"/>
        <v xml:space="preserve"> </v>
      </c>
      <c r="DC216" s="254" t="str">
        <f t="shared" si="543"/>
        <v xml:space="preserve"> </v>
      </c>
      <c r="DD216" s="254" t="str">
        <f t="shared" si="544"/>
        <v xml:space="preserve"> </v>
      </c>
      <c r="DE216" s="254" t="str">
        <f t="shared" si="545"/>
        <v xml:space="preserve"> </v>
      </c>
      <c r="DF216" s="374" t="str">
        <f>IF($A216="N/A"," ",IF(CC=2,(IF(MONTH(A216)&gt;=4,IF(MONTH(A216)&lt;=10,Inputs!$G$13,Inputs!$G$14),Inputs!$G$14))*$CK216,0))</f>
        <v xml:space="preserve"> </v>
      </c>
      <c r="DG216" s="373" t="str">
        <f t="shared" si="546"/>
        <v xml:space="preserve"> </v>
      </c>
      <c r="DH216" s="373" t="str">
        <f t="shared" si="547"/>
        <v xml:space="preserve"> </v>
      </c>
      <c r="DI216" s="373" t="str">
        <f t="shared" si="548"/>
        <v xml:space="preserve"> </v>
      </c>
      <c r="DJ216" s="373" t="str">
        <f t="shared" si="549"/>
        <v xml:space="preserve"> </v>
      </c>
      <c r="DK216" s="373" t="str">
        <f t="shared" si="550"/>
        <v xml:space="preserve"> </v>
      </c>
      <c r="DL216" s="373" t="str">
        <f t="shared" si="551"/>
        <v xml:space="preserve"> </v>
      </c>
      <c r="DM216" s="373" t="str">
        <f t="shared" si="552"/>
        <v xml:space="preserve"> </v>
      </c>
      <c r="DN216" s="373" t="str">
        <f t="shared" si="553"/>
        <v xml:space="preserve"> </v>
      </c>
      <c r="DO216" s="373" t="str">
        <f t="shared" si="554"/>
        <v xml:space="preserve"> </v>
      </c>
      <c r="DP216" s="375" t="str">
        <f t="shared" si="555"/>
        <v xml:space="preserve"> </v>
      </c>
      <c r="DQ216" t="str">
        <f t="shared" si="588"/>
        <v xml:space="preserve"> </v>
      </c>
      <c r="HD216" t="str">
        <f t="shared" si="589"/>
        <v xml:space="preserve"> </v>
      </c>
      <c r="HE216" t="str">
        <f t="shared" si="590"/>
        <v xml:space="preserve"> </v>
      </c>
      <c r="HF216" t="str">
        <f t="shared" si="591"/>
        <v xml:space="preserve"> </v>
      </c>
    </row>
    <row r="217" spans="1:214">
      <c r="A217" s="415" t="str">
        <f>IF(A216="N/A","N/A",IF(EDATE(A216,1)&gt;Inputs!$K$3,"N/A",EDATE(A216,1)))</f>
        <v>N/A</v>
      </c>
      <c r="B217" s="410" t="str">
        <f t="shared" si="556"/>
        <v xml:space="preserve"> </v>
      </c>
      <c r="C217" s="411" t="str">
        <f t="shared" si="557"/>
        <v xml:space="preserve"> </v>
      </c>
      <c r="D217" s="412" t="str">
        <f t="shared" si="558"/>
        <v xml:space="preserve"> </v>
      </c>
      <c r="E217" s="413" t="str">
        <f>IF($A217="N/A"," ",(C217-'Pricing Inputs'!T250)*D217)</f>
        <v xml:space="preserve"> </v>
      </c>
      <c r="F217" s="414" t="str">
        <f t="shared" si="607"/>
        <v xml:space="preserve"> </v>
      </c>
      <c r="G217" s="414" t="str">
        <f t="shared" si="559"/>
        <v xml:space="preserve"> </v>
      </c>
      <c r="H217" s="416" t="str">
        <f t="shared" si="560"/>
        <v xml:space="preserve"> </v>
      </c>
      <c r="I217" s="213" t="str">
        <f t="shared" si="501"/>
        <v xml:space="preserve"> </v>
      </c>
      <c r="J217" s="213" t="str">
        <f t="shared" si="502"/>
        <v xml:space="preserve"> </v>
      </c>
      <c r="K217" s="213" t="str">
        <f t="shared" si="503"/>
        <v xml:space="preserve"> </v>
      </c>
      <c r="L217" s="213" t="str">
        <f t="shared" si="504"/>
        <v xml:space="preserve"> </v>
      </c>
      <c r="M217" s="213" t="str">
        <f t="shared" si="505"/>
        <v xml:space="preserve"> </v>
      </c>
      <c r="N217" s="213" t="str">
        <f t="shared" si="506"/>
        <v xml:space="preserve"> </v>
      </c>
      <c r="O217" s="213" t="str">
        <f t="shared" si="507"/>
        <v xml:space="preserve"> </v>
      </c>
      <c r="P217" s="213" t="str">
        <f t="shared" si="508"/>
        <v xml:space="preserve"> </v>
      </c>
      <c r="Q217" s="213" t="str">
        <f t="shared" si="509"/>
        <v xml:space="preserve"> </v>
      </c>
      <c r="R217" s="405" t="str">
        <f>IF($A217="N/A"," ",IF(Pricetype=2,MAX(I217-$H217,0),IF(Pricetype=1,(_xll.xSPRDOPT(I217,$E217,$CI217,0,($CD217+IF(Smile=TRUE,VLOOKUP(MAX(-5,$H217-I217),Volsmile,2),0)),$CG217,$CH217,($A217-DateToday)+15,1,0)),I217-$H217)))</f>
        <v xml:space="preserve"> </v>
      </c>
      <c r="S217" s="405" t="str">
        <f>IF($A217="N/A"," ",IF(Pricetype=2,MAX(J217-$H217,0),IF(Pricetype=1,(_xll.xSPRDOPT(J217,$E217,$CI217,0,($CD217+IF(Smile=TRUE,VLOOKUP(MAX(-5,$H217-J217),Volsmile,2),0)),$CG217,$CH217,($A217-DateToday)+15,1,0)),J217-$H217)))</f>
        <v xml:space="preserve"> </v>
      </c>
      <c r="T217" s="406" t="str">
        <f t="shared" si="510"/>
        <v xml:space="preserve"> </v>
      </c>
      <c r="U217" s="405" t="str">
        <f>IF($A217="N/A"," ",IF(Pricetype=2,MAX(L217-$H217,0),IF(L217&lt;&gt;0,IF(Pricetype=1,(_xll.xSPRDOPT(L217,$E217,$CI217,0,($CD217+IF(Smile=TRUE,VLOOKUP(MAX(-5,$H217-L217),Volsmile,2),0)),$CG217,$CH217,($A217-DateToday)+15,1,0)),L217-$H217),0)))</f>
        <v xml:space="preserve"> </v>
      </c>
      <c r="V217" s="405" t="str">
        <f>IF($A217="N/A"," ",IF(Pricetype=2,MAX(M217-$H217,0),IF(M217&lt;&gt;0,IF(Pricetype=1,(_xll.xSPRDOPT(M217,$E217,$CI217,0,($CD217+IF(Smile=TRUE,VLOOKUP(MAX(-5,$H217-M217),Volsmile,2),0)),$CG217,$CH217,($A217-DateToday)+15,1,0)),M217-$H217),0)))</f>
        <v xml:space="preserve"> </v>
      </c>
      <c r="W217" s="406" t="str">
        <f t="shared" si="511"/>
        <v xml:space="preserve"> </v>
      </c>
      <c r="X217" s="405" t="str">
        <f>IF($A217="N/A"," ",IF(Pricetype=2,MAX(O217-$H217,0),IF(O217&lt;&gt;0,IF(Pricetype=1,(_xll.xSPRDOPT(O217,$E217,$CI217,0,($CD217+IF(Smile=TRUE,VLOOKUP(MAX(-5,$H217-O217),Volsmile,2),0)),$CG217,$CH217,($A217-DateToday)+15,1,0)),O217-$H217),0)))</f>
        <v xml:space="preserve"> </v>
      </c>
      <c r="Y217" s="405" t="str">
        <f>IF($A217="N/A"," ",IF(Pricetype=2,MAX(P217-$H217,0),IF(P217&lt;&gt;0,IF(Pricetype=1,(_xll.xSPRDOPT(P217,$E217,$CI217,0,($CD217+IF(Smile=TRUE,VLOOKUP(MAX(-5,$H217-P217),Volsmile,2),0)),$CG217,$CH217,($A217-DateToday)+15,1,0)),P217-$H217),0)))</f>
        <v xml:space="preserve"> </v>
      </c>
      <c r="Z217" s="406" t="str">
        <f t="shared" si="512"/>
        <v xml:space="preserve"> </v>
      </c>
      <c r="AA217" s="254" t="str">
        <f>IF($A217="N/A"," ",IF(VLOOKUP(MONTH(A217),ManualTable,2)=1,(IF(0&lt;&gt;R217,IF(Pricetype=1,(_xll.xSPRDOPT(I217,$E217,$CI217,0,($CD217+IF(Smile=TRUE,VLOOKUP(MAX(-5,$H217-I217),Volsmile,2),0)),$CG217,$CH217,($A217-DateToday)+15,1,1))*(8*$HD217),8*$HD217),0)),0))</f>
        <v xml:space="preserve"> </v>
      </c>
      <c r="AB217" s="254" t="str">
        <f>IF($A217="N/A"," ",IF(VLOOKUP(MONTH(A217),ManualTable,3)=1,(IF(S217&lt;&gt;0,IF(Pricetype=1,(_xll.xSPRDOPT(J217,$E217,$CI217,0,($CD217+IF(Smile=TRUE,VLOOKUP(MAX(-5,$H217-J217),Volsmile,2),0)),$CG217,$CH217,($A217-DateToday)+15,1,1))*(8*$HD217),8*$HD217),0)),0))</f>
        <v xml:space="preserve"> </v>
      </c>
      <c r="AC217" s="254" t="str">
        <f t="shared" si="561"/>
        <v xml:space="preserve"> </v>
      </c>
      <c r="AD217" s="254" t="str">
        <f>IF($A217="N/A"," ",IF(VLOOKUP(MONTH(A217),ManualTable,5)=1,(IF(U217&lt;&gt;0,IF(Pricetype=1,(_xll.xSPRDOPT(L217,$E217,$CI217,0,($CD217+IF(Smile=TRUE,VLOOKUP(MAX(-5,$H217-L217),Volsmile,2),0)),$CG217,$CH217,($A217-DateToday)+15,1,1))*(8*$HE217),8*$HE217),0)),0))</f>
        <v xml:space="preserve"> </v>
      </c>
      <c r="AE217" s="254" t="str">
        <f>IF($A217="N/A"," ",IF(VLOOKUP(MONTH(A217),ManualTable,6)=1,(IF(V217&lt;&gt;0,IF(Pricetype=1,(_xll.xSPRDOPT(M217,$E217,$CI217,0,($CD217+IF(Smile=TRUE,VLOOKUP(MAX(-5,$H217-M217),Volsmile,2),0)),$CG217,$CH217,($A217-DateToday)+15,1,1))*(8*$HE217),8*$HE217),0)),0))</f>
        <v xml:space="preserve"> </v>
      </c>
      <c r="AF217" s="254" t="str">
        <f t="shared" si="562"/>
        <v xml:space="preserve"> </v>
      </c>
      <c r="AG217" s="254" t="str">
        <f>IF($A217="N/A"," ",IF(VLOOKUP(MONTH(A217),ManualTable,8)=1,(IF(X217&lt;&gt;0,IF(Pricetype=1,(_xll.xSPRDOPT(O217,$E217,$CI217,0,($CD217+IF(Smile=TRUE,VLOOKUP(MAX(-5,$H217-O217),Volsmile,2),0)),$CG217,$CH217,($A217-DateToday)+15,1,1))*(8*$HF217),8*$HF217),0)),0))</f>
        <v xml:space="preserve"> </v>
      </c>
      <c r="AH217" s="254" t="str">
        <f>IF($A217="N/A"," ",IF(VLOOKUP(MONTH(A217),ManualTable,9)=1,(IF(Y217&lt;&gt;0,IF(Pricetype=1,(_xll.xSPRDOPT(P217,$E217,$CI217,0,($CD217+IF(Smile=TRUE,VLOOKUP(MAX(-5,$H217-P217),Volsmile,2),0)),$CG217,$CH217,($A217-DateToday)+15,1,1))*(8*$HF217),8*$HF217),0)),0))</f>
        <v xml:space="preserve"> </v>
      </c>
      <c r="AI217" s="254" t="str">
        <f t="shared" si="563"/>
        <v xml:space="preserve"> </v>
      </c>
      <c r="AJ217" s="227" t="str">
        <f t="shared" si="608"/>
        <v xml:space="preserve"> </v>
      </c>
      <c r="AK217" s="228" t="str">
        <f t="shared" si="609"/>
        <v xml:space="preserve"> </v>
      </c>
      <c r="AL217" s="228" t="str">
        <f t="shared" si="609"/>
        <v xml:space="preserve"> </v>
      </c>
      <c r="AM217" s="228" t="str">
        <f t="shared" si="610"/>
        <v xml:space="preserve"> </v>
      </c>
      <c r="AN217" s="228" t="str">
        <f t="shared" si="611"/>
        <v xml:space="preserve"> </v>
      </c>
      <c r="AO217" s="228" t="str">
        <f t="shared" si="611"/>
        <v xml:space="preserve"> </v>
      </c>
      <c r="AP217" s="228" t="str">
        <f t="shared" si="612"/>
        <v xml:space="preserve"> </v>
      </c>
      <c r="AQ217" s="228" t="str">
        <f t="shared" si="613"/>
        <v xml:space="preserve"> </v>
      </c>
      <c r="AR217" s="229" t="str">
        <f t="shared" si="614"/>
        <v xml:space="preserve"> </v>
      </c>
      <c r="AS217" s="262" t="str">
        <f t="shared" si="593"/>
        <v xml:space="preserve"> </v>
      </c>
      <c r="AT217" s="263" t="str">
        <f t="shared" si="594"/>
        <v xml:space="preserve"> </v>
      </c>
      <c r="AU217" s="263" t="str">
        <f t="shared" si="594"/>
        <v xml:space="preserve"> </v>
      </c>
      <c r="AV217" s="263" t="str">
        <f t="shared" si="595"/>
        <v xml:space="preserve"> </v>
      </c>
      <c r="AW217" s="263" t="str">
        <f t="shared" si="596"/>
        <v xml:space="preserve"> </v>
      </c>
      <c r="AX217" s="263" t="str">
        <f t="shared" si="596"/>
        <v xml:space="preserve"> </v>
      </c>
      <c r="AY217" s="263" t="str">
        <f t="shared" si="597"/>
        <v xml:space="preserve"> </v>
      </c>
      <c r="AZ217" s="263" t="str">
        <f t="shared" si="598"/>
        <v xml:space="preserve"> </v>
      </c>
      <c r="BA217" s="263" t="str">
        <f t="shared" si="599"/>
        <v xml:space="preserve"> </v>
      </c>
      <c r="BB217" s="234" t="s">
        <v>1271</v>
      </c>
      <c r="BC217" s="266" t="str">
        <f t="shared" si="600"/>
        <v xml:space="preserve"> </v>
      </c>
      <c r="BD217" s="269" t="str">
        <f t="shared" si="601"/>
        <v xml:space="preserve"> </v>
      </c>
      <c r="BE217" s="269" t="str">
        <f t="shared" si="601"/>
        <v xml:space="preserve"> </v>
      </c>
      <c r="BF217" s="269" t="str">
        <f t="shared" si="602"/>
        <v xml:space="preserve"> </v>
      </c>
      <c r="BG217" s="269" t="str">
        <f t="shared" si="603"/>
        <v xml:space="preserve"> </v>
      </c>
      <c r="BH217" s="269" t="str">
        <f t="shared" si="603"/>
        <v xml:space="preserve"> </v>
      </c>
      <c r="BI217" s="269" t="str">
        <f t="shared" si="604"/>
        <v xml:space="preserve"> </v>
      </c>
      <c r="BJ217" s="269" t="str">
        <f t="shared" si="605"/>
        <v xml:space="preserve"> </v>
      </c>
      <c r="BK217" s="269" t="str">
        <f t="shared" si="606"/>
        <v xml:space="preserve"> </v>
      </c>
      <c r="BL217" s="233" t="s">
        <v>1283</v>
      </c>
      <c r="BM217" s="220" t="str">
        <f>IF($A217="N/A"," ",(IF(MONTH(A217)&gt;=4,IF(MONTH(A217)&lt;=10,Inputs!$F$13-Inputs!$G$13,Inputs!$F$14-Inputs!$G$14),Inputs!$F$14-Inputs!$G$14))*$CK217*Availability)</f>
        <v xml:space="preserve"> </v>
      </c>
      <c r="BN217" s="221" t="str">
        <f t="shared" si="571"/>
        <v xml:space="preserve"> </v>
      </c>
      <c r="BO217" s="221" t="str">
        <f t="shared" si="572"/>
        <v xml:space="preserve"> </v>
      </c>
      <c r="BP217" s="221" t="str">
        <f t="shared" si="573"/>
        <v xml:space="preserve"> </v>
      </c>
      <c r="BQ217" s="221" t="str">
        <f t="shared" si="574"/>
        <v xml:space="preserve"> </v>
      </c>
      <c r="BR217" s="221" t="str">
        <f t="shared" si="575"/>
        <v xml:space="preserve"> </v>
      </c>
      <c r="BS217" s="221" t="str">
        <f t="shared" si="576"/>
        <v xml:space="preserve"> </v>
      </c>
      <c r="BT217" s="221" t="str">
        <f t="shared" si="577"/>
        <v xml:space="preserve"> </v>
      </c>
      <c r="BU217" s="221" t="str">
        <f t="shared" si="578"/>
        <v xml:space="preserve"> </v>
      </c>
      <c r="BV217" s="221" t="str">
        <f t="shared" si="579"/>
        <v xml:space="preserve"> </v>
      </c>
      <c r="BW217" s="221" t="str">
        <f t="shared" si="580"/>
        <v xml:space="preserve"> </v>
      </c>
      <c r="BX217" s="421" t="str">
        <f t="shared" si="581"/>
        <v xml:space="preserve"> </v>
      </c>
      <c r="BY217" s="417" t="str">
        <f t="shared" si="582"/>
        <v xml:space="preserve"> </v>
      </c>
      <c r="BZ217" s="417" t="str">
        <f t="shared" si="583"/>
        <v xml:space="preserve"> </v>
      </c>
      <c r="CA217" s="422" t="str">
        <f t="shared" si="584"/>
        <v xml:space="preserve"> </v>
      </c>
      <c r="CB217" s="347" t="str">
        <f t="shared" si="521"/>
        <v xml:space="preserve"> </v>
      </c>
      <c r="CC217" s="347" t="str">
        <f t="shared" si="585"/>
        <v xml:space="preserve"> </v>
      </c>
      <c r="CD217" s="348" t="str">
        <f t="shared" si="522"/>
        <v xml:space="preserve"> </v>
      </c>
      <c r="CE217" s="347" t="str">
        <f t="shared" si="523"/>
        <v xml:space="preserve"> </v>
      </c>
      <c r="CF217" s="347" t="str">
        <f t="shared" si="524"/>
        <v xml:space="preserve"> </v>
      </c>
      <c r="CG217" s="348" t="str">
        <f t="shared" si="525"/>
        <v xml:space="preserve"> </v>
      </c>
      <c r="CH217" s="347" t="str">
        <f t="shared" si="586"/>
        <v xml:space="preserve"> </v>
      </c>
      <c r="CI217" s="349" t="str">
        <f>IF($A217="N/A"," ",F217+G217+(D217*('Pricing Inputs'!T250)))</f>
        <v xml:space="preserve"> </v>
      </c>
      <c r="CJ217" s="347" t="str">
        <f>IF($A217="N/A"," ",IF(PV=1,0,'Pricing Inputs'!U250))</f>
        <v xml:space="preserve"> </v>
      </c>
      <c r="CK217" s="350" t="str">
        <f t="shared" si="526"/>
        <v xml:space="preserve"> </v>
      </c>
      <c r="CL217" s="365" t="str">
        <f t="shared" si="527"/>
        <v xml:space="preserve"> </v>
      </c>
      <c r="CM217" s="380" t="str">
        <f t="shared" si="587"/>
        <v xml:space="preserve"> </v>
      </c>
      <c r="CN217" s="378" t="str">
        <f t="shared" si="528"/>
        <v xml:space="preserve"> </v>
      </c>
      <c r="CO217" s="378" t="str">
        <f t="shared" si="529"/>
        <v xml:space="preserve"> </v>
      </c>
      <c r="CP217" s="378" t="str">
        <f t="shared" si="530"/>
        <v xml:space="preserve"> </v>
      </c>
      <c r="CQ217" s="378" t="str">
        <f t="shared" si="531"/>
        <v xml:space="preserve"> </v>
      </c>
      <c r="CR217" s="378" t="str">
        <f t="shared" si="532"/>
        <v xml:space="preserve"> </v>
      </c>
      <c r="CS217" s="378" t="str">
        <f t="shared" si="533"/>
        <v xml:space="preserve"> </v>
      </c>
      <c r="CT217" s="378" t="str">
        <f t="shared" si="534"/>
        <v xml:space="preserve"> </v>
      </c>
      <c r="CU217" s="378" t="str">
        <f t="shared" si="535"/>
        <v xml:space="preserve"> </v>
      </c>
      <c r="CV217" s="378" t="str">
        <f t="shared" si="536"/>
        <v xml:space="preserve"> </v>
      </c>
      <c r="CW217" s="254" t="str">
        <f t="shared" si="537"/>
        <v xml:space="preserve"> </v>
      </c>
      <c r="CX217" s="254" t="str">
        <f t="shared" si="538"/>
        <v xml:space="preserve"> </v>
      </c>
      <c r="CY217" s="254" t="str">
        <f t="shared" si="539"/>
        <v xml:space="preserve"> </v>
      </c>
      <c r="CZ217" s="254" t="str">
        <f t="shared" si="540"/>
        <v xml:space="preserve"> </v>
      </c>
      <c r="DA217" s="254" t="str">
        <f t="shared" si="541"/>
        <v xml:space="preserve"> </v>
      </c>
      <c r="DB217" s="254" t="str">
        <f t="shared" si="542"/>
        <v xml:space="preserve"> </v>
      </c>
      <c r="DC217" s="254" t="str">
        <f t="shared" si="543"/>
        <v xml:space="preserve"> </v>
      </c>
      <c r="DD217" s="254" t="str">
        <f t="shared" si="544"/>
        <v xml:space="preserve"> </v>
      </c>
      <c r="DE217" s="254" t="str">
        <f t="shared" si="545"/>
        <v xml:space="preserve"> </v>
      </c>
      <c r="DF217" s="374" t="str">
        <f>IF($A217="N/A"," ",IF(CC=2,(IF(MONTH(A217)&gt;=4,IF(MONTH(A217)&lt;=10,Inputs!$G$13,Inputs!$G$14),Inputs!$G$14))*$CK217,0))</f>
        <v xml:space="preserve"> </v>
      </c>
      <c r="DG217" s="373" t="str">
        <f t="shared" si="546"/>
        <v xml:space="preserve"> </v>
      </c>
      <c r="DH217" s="373" t="str">
        <f t="shared" si="547"/>
        <v xml:space="preserve"> </v>
      </c>
      <c r="DI217" s="373" t="str">
        <f t="shared" si="548"/>
        <v xml:space="preserve"> </v>
      </c>
      <c r="DJ217" s="373" t="str">
        <f t="shared" si="549"/>
        <v xml:space="preserve"> </v>
      </c>
      <c r="DK217" s="373" t="str">
        <f t="shared" si="550"/>
        <v xml:space="preserve"> </v>
      </c>
      <c r="DL217" s="373" t="str">
        <f t="shared" si="551"/>
        <v xml:space="preserve"> </v>
      </c>
      <c r="DM217" s="373" t="str">
        <f t="shared" si="552"/>
        <v xml:space="preserve"> </v>
      </c>
      <c r="DN217" s="373" t="str">
        <f t="shared" si="553"/>
        <v xml:space="preserve"> </v>
      </c>
      <c r="DO217" s="373" t="str">
        <f t="shared" si="554"/>
        <v xml:space="preserve"> </v>
      </c>
      <c r="DP217" s="375" t="str">
        <f t="shared" si="555"/>
        <v xml:space="preserve"> </v>
      </c>
      <c r="DQ217" t="str">
        <f t="shared" si="588"/>
        <v xml:space="preserve"> </v>
      </c>
      <c r="HD217" t="str">
        <f t="shared" si="589"/>
        <v xml:space="preserve"> </v>
      </c>
      <c r="HE217" t="str">
        <f t="shared" si="590"/>
        <v xml:space="preserve"> </v>
      </c>
      <c r="HF217" t="str">
        <f t="shared" si="591"/>
        <v xml:space="preserve"> </v>
      </c>
    </row>
    <row r="218" spans="1:214">
      <c r="A218" s="415" t="str">
        <f>IF(A217="N/A","N/A",IF(EDATE(A217,1)&gt;Inputs!$K$3,"N/A",EDATE(A217,1)))</f>
        <v>N/A</v>
      </c>
      <c r="B218" s="410" t="str">
        <f t="shared" si="556"/>
        <v xml:space="preserve"> </v>
      </c>
      <c r="C218" s="411" t="str">
        <f t="shared" si="557"/>
        <v xml:space="preserve"> </v>
      </c>
      <c r="D218" s="412" t="str">
        <f t="shared" si="558"/>
        <v xml:space="preserve"> </v>
      </c>
      <c r="E218" s="413" t="str">
        <f>IF($A218="N/A"," ",(C218-'Pricing Inputs'!T251)*D218)</f>
        <v xml:space="preserve"> </v>
      </c>
      <c r="F218" s="414" t="str">
        <f t="shared" si="607"/>
        <v xml:space="preserve"> </v>
      </c>
      <c r="G218" s="414" t="str">
        <f t="shared" si="559"/>
        <v xml:space="preserve"> </v>
      </c>
      <c r="H218" s="416" t="str">
        <f t="shared" si="560"/>
        <v xml:space="preserve"> </v>
      </c>
      <c r="I218" s="213" t="str">
        <f t="shared" si="501"/>
        <v xml:space="preserve"> </v>
      </c>
      <c r="J218" s="213" t="str">
        <f t="shared" si="502"/>
        <v xml:space="preserve"> </v>
      </c>
      <c r="K218" s="213" t="str">
        <f t="shared" si="503"/>
        <v xml:space="preserve"> </v>
      </c>
      <c r="L218" s="213" t="str">
        <f t="shared" si="504"/>
        <v xml:space="preserve"> </v>
      </c>
      <c r="M218" s="213" t="str">
        <f t="shared" si="505"/>
        <v xml:space="preserve"> </v>
      </c>
      <c r="N218" s="213" t="str">
        <f t="shared" si="506"/>
        <v xml:space="preserve"> </v>
      </c>
      <c r="O218" s="213" t="str">
        <f t="shared" si="507"/>
        <v xml:space="preserve"> </v>
      </c>
      <c r="P218" s="213" t="str">
        <f t="shared" si="508"/>
        <v xml:space="preserve"> </v>
      </c>
      <c r="Q218" s="213" t="str">
        <f t="shared" si="509"/>
        <v xml:space="preserve"> </v>
      </c>
      <c r="R218" s="405" t="str">
        <f>IF($A218="N/A"," ",IF(Pricetype=2,MAX(I218-$H218,0),IF(Pricetype=1,(_xll.xSPRDOPT(I218,$E218,$CI218,0,($CD218+IF(Smile=TRUE,VLOOKUP(MAX(-5,$H218-I218),Volsmile,2),0)),$CG218,$CH218,($A218-DateToday)+15,1,0)),I218-$H218)))</f>
        <v xml:space="preserve"> </v>
      </c>
      <c r="S218" s="405" t="str">
        <f>IF($A218="N/A"," ",IF(Pricetype=2,MAX(J218-$H218,0),IF(Pricetype=1,(_xll.xSPRDOPT(J218,$E218,$CI218,0,($CD218+IF(Smile=TRUE,VLOOKUP(MAX(-5,$H218-J218),Volsmile,2),0)),$CG218,$CH218,($A218-DateToday)+15,1,0)),J218-$H218)))</f>
        <v xml:space="preserve"> </v>
      </c>
      <c r="T218" s="406" t="str">
        <f t="shared" si="510"/>
        <v xml:space="preserve"> </v>
      </c>
      <c r="U218" s="405" t="str">
        <f>IF($A218="N/A"," ",IF(Pricetype=2,MAX(L218-$H218,0),IF(L218&lt;&gt;0,IF(Pricetype=1,(_xll.xSPRDOPT(L218,$E218,$CI218,0,($CD218+IF(Smile=TRUE,VLOOKUP(MAX(-5,$H218-L218),Volsmile,2),0)),$CG218,$CH218,($A218-DateToday)+15,1,0)),L218-$H218),0)))</f>
        <v xml:space="preserve"> </v>
      </c>
      <c r="V218" s="405" t="str">
        <f>IF($A218="N/A"," ",IF(Pricetype=2,MAX(M218-$H218,0),IF(M218&lt;&gt;0,IF(Pricetype=1,(_xll.xSPRDOPT(M218,$E218,$CI218,0,($CD218+IF(Smile=TRUE,VLOOKUP(MAX(-5,$H218-M218),Volsmile,2),0)),$CG218,$CH218,($A218-DateToday)+15,1,0)),M218-$H218),0)))</f>
        <v xml:space="preserve"> </v>
      </c>
      <c r="W218" s="406" t="str">
        <f t="shared" si="511"/>
        <v xml:space="preserve"> </v>
      </c>
      <c r="X218" s="405" t="str">
        <f>IF($A218="N/A"," ",IF(Pricetype=2,MAX(O218-$H218,0),IF(O218&lt;&gt;0,IF(Pricetype=1,(_xll.xSPRDOPT(O218,$E218,$CI218,0,($CD218+IF(Smile=TRUE,VLOOKUP(MAX(-5,$H218-O218),Volsmile,2),0)),$CG218,$CH218,($A218-DateToday)+15,1,0)),O218-$H218),0)))</f>
        <v xml:space="preserve"> </v>
      </c>
      <c r="Y218" s="405" t="str">
        <f>IF($A218="N/A"," ",IF(Pricetype=2,MAX(P218-$H218,0),IF(P218&lt;&gt;0,IF(Pricetype=1,(_xll.xSPRDOPT(P218,$E218,$CI218,0,($CD218+IF(Smile=TRUE,VLOOKUP(MAX(-5,$H218-P218),Volsmile,2),0)),$CG218,$CH218,($A218-DateToday)+15,1,0)),P218-$H218),0)))</f>
        <v xml:space="preserve"> </v>
      </c>
      <c r="Z218" s="406" t="str">
        <f t="shared" si="512"/>
        <v xml:space="preserve"> </v>
      </c>
      <c r="AA218" s="254" t="str">
        <f>IF($A218="N/A"," ",IF(VLOOKUP(MONTH(A218),ManualTable,2)=1,(IF(0&lt;&gt;R218,IF(Pricetype=1,(_xll.xSPRDOPT(I218,$E218,$CI218,0,($CD218+IF(Smile=TRUE,VLOOKUP(MAX(-5,$H218-I218),Volsmile,2),0)),$CG218,$CH218,($A218-DateToday)+15,1,1))*(8*$HD218),8*$HD218),0)),0))</f>
        <v xml:space="preserve"> </v>
      </c>
      <c r="AB218" s="254" t="str">
        <f>IF($A218="N/A"," ",IF(VLOOKUP(MONTH(A218),ManualTable,3)=1,(IF(S218&lt;&gt;0,IF(Pricetype=1,(_xll.xSPRDOPT(J218,$E218,$CI218,0,($CD218+IF(Smile=TRUE,VLOOKUP(MAX(-5,$H218-J218),Volsmile,2),0)),$CG218,$CH218,($A218-DateToday)+15,1,1))*(8*$HD218),8*$HD218),0)),0))</f>
        <v xml:space="preserve"> </v>
      </c>
      <c r="AC218" s="254" t="str">
        <f t="shared" si="561"/>
        <v xml:space="preserve"> </v>
      </c>
      <c r="AD218" s="254" t="str">
        <f>IF($A218="N/A"," ",IF(VLOOKUP(MONTH(A218),ManualTable,5)=1,(IF(U218&lt;&gt;0,IF(Pricetype=1,(_xll.xSPRDOPT(L218,$E218,$CI218,0,($CD218+IF(Smile=TRUE,VLOOKUP(MAX(-5,$H218-L218),Volsmile,2),0)),$CG218,$CH218,($A218-DateToday)+15,1,1))*(8*$HE218),8*$HE218),0)),0))</f>
        <v xml:space="preserve"> </v>
      </c>
      <c r="AE218" s="254" t="str">
        <f>IF($A218="N/A"," ",IF(VLOOKUP(MONTH(A218),ManualTable,6)=1,(IF(V218&lt;&gt;0,IF(Pricetype=1,(_xll.xSPRDOPT(M218,$E218,$CI218,0,($CD218+IF(Smile=TRUE,VLOOKUP(MAX(-5,$H218-M218),Volsmile,2),0)),$CG218,$CH218,($A218-DateToday)+15,1,1))*(8*$HE218),8*$HE218),0)),0))</f>
        <v xml:space="preserve"> </v>
      </c>
      <c r="AF218" s="254" t="str">
        <f t="shared" si="562"/>
        <v xml:space="preserve"> </v>
      </c>
      <c r="AG218" s="254" t="str">
        <f>IF($A218="N/A"," ",IF(VLOOKUP(MONTH(A218),ManualTable,8)=1,(IF(X218&lt;&gt;0,IF(Pricetype=1,(_xll.xSPRDOPT(O218,$E218,$CI218,0,($CD218+IF(Smile=TRUE,VLOOKUP(MAX(-5,$H218-O218),Volsmile,2),0)),$CG218,$CH218,($A218-DateToday)+15,1,1))*(8*$HF218),8*$HF218),0)),0))</f>
        <v xml:space="preserve"> </v>
      </c>
      <c r="AH218" s="254" t="str">
        <f>IF($A218="N/A"," ",IF(VLOOKUP(MONTH(A218),ManualTable,9)=1,(IF(Y218&lt;&gt;0,IF(Pricetype=1,(_xll.xSPRDOPT(P218,$E218,$CI218,0,($CD218+IF(Smile=TRUE,VLOOKUP(MAX(-5,$H218-P218),Volsmile,2),0)),$CG218,$CH218,($A218-DateToday)+15,1,1))*(8*$HF218),8*$HF218),0)),0))</f>
        <v xml:space="preserve"> </v>
      </c>
      <c r="AI218" s="254" t="str">
        <f t="shared" si="563"/>
        <v xml:space="preserve"> </v>
      </c>
      <c r="AJ218" s="227" t="str">
        <f t="shared" si="608"/>
        <v xml:space="preserve"> </v>
      </c>
      <c r="AK218" s="228" t="str">
        <f t="shared" si="609"/>
        <v xml:space="preserve"> </v>
      </c>
      <c r="AL218" s="228" t="str">
        <f t="shared" si="609"/>
        <v xml:space="preserve"> </v>
      </c>
      <c r="AM218" s="228" t="str">
        <f t="shared" si="610"/>
        <v xml:space="preserve"> </v>
      </c>
      <c r="AN218" s="228" t="str">
        <f t="shared" si="611"/>
        <v xml:space="preserve"> </v>
      </c>
      <c r="AO218" s="228" t="str">
        <f t="shared" si="611"/>
        <v xml:space="preserve"> </v>
      </c>
      <c r="AP218" s="228" t="str">
        <f t="shared" si="612"/>
        <v xml:space="preserve"> </v>
      </c>
      <c r="AQ218" s="228" t="str">
        <f t="shared" si="613"/>
        <v xml:space="preserve"> </v>
      </c>
      <c r="AR218" s="229" t="str">
        <f t="shared" si="614"/>
        <v xml:space="preserve"> </v>
      </c>
      <c r="AS218" s="262" t="str">
        <f t="shared" si="593"/>
        <v xml:space="preserve"> </v>
      </c>
      <c r="AT218" s="263" t="str">
        <f t="shared" si="594"/>
        <v xml:space="preserve"> </v>
      </c>
      <c r="AU218" s="263" t="str">
        <f t="shared" si="594"/>
        <v xml:space="preserve"> </v>
      </c>
      <c r="AV218" s="263" t="str">
        <f t="shared" si="595"/>
        <v xml:space="preserve"> </v>
      </c>
      <c r="AW218" s="263" t="str">
        <f t="shared" si="596"/>
        <v xml:space="preserve"> </v>
      </c>
      <c r="AX218" s="263" t="str">
        <f t="shared" si="596"/>
        <v xml:space="preserve"> </v>
      </c>
      <c r="AY218" s="263" t="str">
        <f t="shared" si="597"/>
        <v xml:space="preserve"> </v>
      </c>
      <c r="AZ218" s="263" t="str">
        <f t="shared" si="598"/>
        <v xml:space="preserve"> </v>
      </c>
      <c r="BA218" s="263" t="str">
        <f t="shared" si="599"/>
        <v xml:space="preserve"> </v>
      </c>
      <c r="BB218" s="229">
        <f>SUM(AS208:BA219)</f>
        <v>0</v>
      </c>
      <c r="BC218" s="266" t="str">
        <f t="shared" si="600"/>
        <v xml:space="preserve"> </v>
      </c>
      <c r="BD218" s="269" t="str">
        <f t="shared" si="601"/>
        <v xml:space="preserve"> </v>
      </c>
      <c r="BE218" s="269" t="str">
        <f t="shared" si="601"/>
        <v xml:space="preserve"> </v>
      </c>
      <c r="BF218" s="269" t="str">
        <f t="shared" si="602"/>
        <v xml:space="preserve"> </v>
      </c>
      <c r="BG218" s="269" t="str">
        <f t="shared" si="603"/>
        <v xml:space="preserve"> </v>
      </c>
      <c r="BH218" s="269" t="str">
        <f t="shared" si="603"/>
        <v xml:space="preserve"> </v>
      </c>
      <c r="BI218" s="269" t="str">
        <f t="shared" si="604"/>
        <v xml:space="preserve"> </v>
      </c>
      <c r="BJ218" s="269" t="str">
        <f t="shared" si="605"/>
        <v xml:space="preserve"> </v>
      </c>
      <c r="BK218" s="269" t="str">
        <f t="shared" si="606"/>
        <v xml:space="preserve"> </v>
      </c>
      <c r="BL218" s="229">
        <f>SUM(BC208:BK219)</f>
        <v>0</v>
      </c>
      <c r="BM218" s="220" t="str">
        <f>IF($A218="N/A"," ",(IF(MONTH(A218)&gt;=4,IF(MONTH(A218)&lt;=10,Inputs!$F$13-Inputs!$G$13,Inputs!$F$14-Inputs!$G$14),Inputs!$F$14-Inputs!$G$14))*$CK218*Availability)</f>
        <v xml:space="preserve"> </v>
      </c>
      <c r="BN218" s="221" t="str">
        <f t="shared" si="571"/>
        <v xml:space="preserve"> </v>
      </c>
      <c r="BO218" s="221" t="str">
        <f t="shared" si="572"/>
        <v xml:space="preserve"> </v>
      </c>
      <c r="BP218" s="221" t="str">
        <f t="shared" si="573"/>
        <v xml:space="preserve"> </v>
      </c>
      <c r="BQ218" s="221" t="str">
        <f t="shared" si="574"/>
        <v xml:space="preserve"> </v>
      </c>
      <c r="BR218" s="221" t="str">
        <f t="shared" si="575"/>
        <v xml:space="preserve"> </v>
      </c>
      <c r="BS218" s="221" t="str">
        <f t="shared" si="576"/>
        <v xml:space="preserve"> </v>
      </c>
      <c r="BT218" s="221" t="str">
        <f t="shared" si="577"/>
        <v xml:space="preserve"> </v>
      </c>
      <c r="BU218" s="221" t="str">
        <f t="shared" si="578"/>
        <v xml:space="preserve"> </v>
      </c>
      <c r="BV218" s="221" t="str">
        <f t="shared" si="579"/>
        <v xml:space="preserve"> </v>
      </c>
      <c r="BW218" s="221" t="str">
        <f t="shared" si="580"/>
        <v xml:space="preserve"> </v>
      </c>
      <c r="BX218" s="421" t="str">
        <f t="shared" si="581"/>
        <v xml:space="preserve"> </v>
      </c>
      <c r="BY218" s="417" t="str">
        <f t="shared" si="582"/>
        <v xml:space="preserve"> </v>
      </c>
      <c r="BZ218" s="417" t="str">
        <f t="shared" si="583"/>
        <v xml:space="preserve"> </v>
      </c>
      <c r="CA218" s="422" t="str">
        <f t="shared" si="584"/>
        <v xml:space="preserve"> </v>
      </c>
      <c r="CB218" s="347" t="str">
        <f t="shared" si="521"/>
        <v xml:space="preserve"> </v>
      </c>
      <c r="CC218" s="347" t="str">
        <f t="shared" si="585"/>
        <v xml:space="preserve"> </v>
      </c>
      <c r="CD218" s="348" t="str">
        <f t="shared" si="522"/>
        <v xml:space="preserve"> </v>
      </c>
      <c r="CE218" s="347" t="str">
        <f t="shared" si="523"/>
        <v xml:space="preserve"> </v>
      </c>
      <c r="CF218" s="347" t="str">
        <f t="shared" si="524"/>
        <v xml:space="preserve"> </v>
      </c>
      <c r="CG218" s="348" t="str">
        <f t="shared" si="525"/>
        <v xml:space="preserve"> </v>
      </c>
      <c r="CH218" s="347" t="str">
        <f t="shared" si="586"/>
        <v xml:space="preserve"> </v>
      </c>
      <c r="CI218" s="349" t="str">
        <f>IF($A218="N/A"," ",F218+G218+(D218*('Pricing Inputs'!T251)))</f>
        <v xml:space="preserve"> </v>
      </c>
      <c r="CJ218" s="347" t="str">
        <f>IF($A218="N/A"," ",IF(PV=1,0,'Pricing Inputs'!U251))</f>
        <v xml:space="preserve"> </v>
      </c>
      <c r="CK218" s="350" t="str">
        <f t="shared" si="526"/>
        <v xml:space="preserve"> </v>
      </c>
      <c r="CL218" s="365" t="str">
        <f t="shared" si="527"/>
        <v xml:space="preserve"> </v>
      </c>
      <c r="CM218" s="380" t="str">
        <f t="shared" si="587"/>
        <v xml:space="preserve"> </v>
      </c>
      <c r="CN218" s="378" t="str">
        <f t="shared" si="528"/>
        <v xml:space="preserve"> </v>
      </c>
      <c r="CO218" s="378" t="str">
        <f t="shared" si="529"/>
        <v xml:space="preserve"> </v>
      </c>
      <c r="CP218" s="378" t="str">
        <f t="shared" si="530"/>
        <v xml:space="preserve"> </v>
      </c>
      <c r="CQ218" s="378" t="str">
        <f t="shared" si="531"/>
        <v xml:space="preserve"> </v>
      </c>
      <c r="CR218" s="378" t="str">
        <f t="shared" si="532"/>
        <v xml:space="preserve"> </v>
      </c>
      <c r="CS218" s="378" t="str">
        <f t="shared" si="533"/>
        <v xml:space="preserve"> </v>
      </c>
      <c r="CT218" s="378" t="str">
        <f t="shared" si="534"/>
        <v xml:space="preserve"> </v>
      </c>
      <c r="CU218" s="378" t="str">
        <f t="shared" si="535"/>
        <v xml:space="preserve"> </v>
      </c>
      <c r="CV218" s="378" t="str">
        <f t="shared" si="536"/>
        <v xml:space="preserve"> </v>
      </c>
      <c r="CW218" s="254" t="str">
        <f t="shared" si="537"/>
        <v xml:space="preserve"> </v>
      </c>
      <c r="CX218" s="254" t="str">
        <f t="shared" si="538"/>
        <v xml:space="preserve"> </v>
      </c>
      <c r="CY218" s="254" t="str">
        <f t="shared" si="539"/>
        <v xml:space="preserve"> </v>
      </c>
      <c r="CZ218" s="254" t="str">
        <f t="shared" si="540"/>
        <v xml:space="preserve"> </v>
      </c>
      <c r="DA218" s="254" t="str">
        <f t="shared" si="541"/>
        <v xml:space="preserve"> </v>
      </c>
      <c r="DB218" s="254" t="str">
        <f t="shared" si="542"/>
        <v xml:space="preserve"> </v>
      </c>
      <c r="DC218" s="254" t="str">
        <f t="shared" si="543"/>
        <v xml:space="preserve"> </v>
      </c>
      <c r="DD218" s="254" t="str">
        <f t="shared" si="544"/>
        <v xml:space="preserve"> </v>
      </c>
      <c r="DE218" s="254" t="str">
        <f t="shared" si="545"/>
        <v xml:space="preserve"> </v>
      </c>
      <c r="DF218" s="374" t="str">
        <f>IF($A218="N/A"," ",IF(CC=2,(IF(MONTH(A218)&gt;=4,IF(MONTH(A218)&lt;=10,Inputs!$G$13,Inputs!$G$14),Inputs!$G$14))*$CK218,0))</f>
        <v xml:space="preserve"> </v>
      </c>
      <c r="DG218" s="373" t="str">
        <f t="shared" si="546"/>
        <v xml:space="preserve"> </v>
      </c>
      <c r="DH218" s="373" t="str">
        <f t="shared" si="547"/>
        <v xml:space="preserve"> </v>
      </c>
      <c r="DI218" s="373" t="str">
        <f t="shared" si="548"/>
        <v xml:space="preserve"> </v>
      </c>
      <c r="DJ218" s="373" t="str">
        <f t="shared" si="549"/>
        <v xml:space="preserve"> </v>
      </c>
      <c r="DK218" s="373" t="str">
        <f t="shared" si="550"/>
        <v xml:space="preserve"> </v>
      </c>
      <c r="DL218" s="373" t="str">
        <f t="shared" si="551"/>
        <v xml:space="preserve"> </v>
      </c>
      <c r="DM218" s="373" t="str">
        <f t="shared" si="552"/>
        <v xml:space="preserve"> </v>
      </c>
      <c r="DN218" s="373" t="str">
        <f t="shared" si="553"/>
        <v xml:space="preserve"> </v>
      </c>
      <c r="DO218" s="373" t="str">
        <f t="shared" si="554"/>
        <v xml:space="preserve"> </v>
      </c>
      <c r="DP218" s="375" t="str">
        <f t="shared" si="555"/>
        <v xml:space="preserve"> </v>
      </c>
      <c r="DQ218" t="str">
        <f t="shared" si="588"/>
        <v xml:space="preserve"> </v>
      </c>
      <c r="HD218" t="str">
        <f t="shared" si="589"/>
        <v xml:space="preserve"> </v>
      </c>
      <c r="HE218" t="str">
        <f t="shared" si="590"/>
        <v xml:space="preserve"> </v>
      </c>
      <c r="HF218" t="str">
        <f t="shared" si="591"/>
        <v xml:space="preserve"> </v>
      </c>
    </row>
    <row r="219" spans="1:214">
      <c r="A219" s="415" t="str">
        <f>IF(A218="N/A","N/A",IF(EDATE(A218,1)&gt;Inputs!$K$3,"N/A",EDATE(A218,1)))</f>
        <v>N/A</v>
      </c>
      <c r="B219" s="410" t="str">
        <f t="shared" si="556"/>
        <v xml:space="preserve"> </v>
      </c>
      <c r="C219" s="411" t="str">
        <f t="shared" si="557"/>
        <v xml:space="preserve"> </v>
      </c>
      <c r="D219" s="412" t="str">
        <f t="shared" si="558"/>
        <v xml:space="preserve"> </v>
      </c>
      <c r="E219" s="413" t="str">
        <f>IF($A219="N/A"," ",(C219-'Pricing Inputs'!T252)*D219)</f>
        <v xml:space="preserve"> </v>
      </c>
      <c r="F219" s="414" t="str">
        <f t="shared" si="607"/>
        <v xml:space="preserve"> </v>
      </c>
      <c r="G219" s="414" t="str">
        <f t="shared" si="559"/>
        <v xml:space="preserve"> </v>
      </c>
      <c r="H219" s="416" t="str">
        <f t="shared" si="560"/>
        <v xml:space="preserve"> </v>
      </c>
      <c r="I219" s="213" t="str">
        <f t="shared" si="501"/>
        <v xml:space="preserve"> </v>
      </c>
      <c r="J219" s="213" t="str">
        <f t="shared" si="502"/>
        <v xml:space="preserve"> </v>
      </c>
      <c r="K219" s="213" t="str">
        <f t="shared" si="503"/>
        <v xml:space="preserve"> </v>
      </c>
      <c r="L219" s="213" t="str">
        <f t="shared" si="504"/>
        <v xml:space="preserve"> </v>
      </c>
      <c r="M219" s="213" t="str">
        <f t="shared" si="505"/>
        <v xml:space="preserve"> </v>
      </c>
      <c r="N219" s="213" t="str">
        <f t="shared" si="506"/>
        <v xml:space="preserve"> </v>
      </c>
      <c r="O219" s="213" t="str">
        <f t="shared" si="507"/>
        <v xml:space="preserve"> </v>
      </c>
      <c r="P219" s="213" t="str">
        <f t="shared" si="508"/>
        <v xml:space="preserve"> </v>
      </c>
      <c r="Q219" s="213" t="str">
        <f t="shared" si="509"/>
        <v xml:space="preserve"> </v>
      </c>
      <c r="R219" s="405" t="str">
        <f>IF($A219="N/A"," ",IF(Pricetype=2,MAX(I219-$H219,0),IF(Pricetype=1,(_xll.xSPRDOPT(I219,$E219,$CI219,0,($CD219+IF(Smile=TRUE,VLOOKUP(MAX(-5,$H219-I219),Volsmile,2),0)),$CG219,$CH219,($A219-DateToday)+15,1,0)),I219-$H219)))</f>
        <v xml:space="preserve"> </v>
      </c>
      <c r="S219" s="405" t="str">
        <f>IF($A219="N/A"," ",IF(Pricetype=2,MAX(J219-$H219,0),IF(Pricetype=1,(_xll.xSPRDOPT(J219,$E219,$CI219,0,($CD219+IF(Smile=TRUE,VLOOKUP(MAX(-5,$H219-J219),Volsmile,2),0)),$CG219,$CH219,($A219-DateToday)+15,1,0)),J219-$H219)))</f>
        <v xml:space="preserve"> </v>
      </c>
      <c r="T219" s="406" t="str">
        <f t="shared" si="510"/>
        <v xml:space="preserve"> </v>
      </c>
      <c r="U219" s="405" t="str">
        <f>IF($A219="N/A"," ",IF(Pricetype=2,MAX(L219-$H219,0),IF(L219&lt;&gt;0,IF(Pricetype=1,(_xll.xSPRDOPT(L219,$E219,$CI219,0,($CD219+IF(Smile=TRUE,VLOOKUP(MAX(-5,$H219-L219),Volsmile,2),0)),$CG219,$CH219,($A219-DateToday)+15,1,0)),L219-$H219),0)))</f>
        <v xml:space="preserve"> </v>
      </c>
      <c r="V219" s="405" t="str">
        <f>IF($A219="N/A"," ",IF(Pricetype=2,MAX(M219-$H219,0),IF(M219&lt;&gt;0,IF(Pricetype=1,(_xll.xSPRDOPT(M219,$E219,$CI219,0,($CD219+IF(Smile=TRUE,VLOOKUP(MAX(-5,$H219-M219),Volsmile,2),0)),$CG219,$CH219,($A219-DateToday)+15,1,0)),M219-$H219),0)))</f>
        <v xml:space="preserve"> </v>
      </c>
      <c r="W219" s="406" t="str">
        <f t="shared" si="511"/>
        <v xml:space="preserve"> </v>
      </c>
      <c r="X219" s="405" t="str">
        <f>IF($A219="N/A"," ",IF(Pricetype=2,MAX(O219-$H219,0),IF(O219&lt;&gt;0,IF(Pricetype=1,(_xll.xSPRDOPT(O219,$E219,$CI219,0,($CD219+IF(Smile=TRUE,VLOOKUP(MAX(-5,$H219-O219),Volsmile,2),0)),$CG219,$CH219,($A219-DateToday)+15,1,0)),O219-$H219),0)))</f>
        <v xml:space="preserve"> </v>
      </c>
      <c r="Y219" s="405" t="str">
        <f>IF($A219="N/A"," ",IF(Pricetype=2,MAX(P219-$H219,0),IF(P219&lt;&gt;0,IF(Pricetype=1,(_xll.xSPRDOPT(P219,$E219,$CI219,0,($CD219+IF(Smile=TRUE,VLOOKUP(MAX(-5,$H219-P219),Volsmile,2),0)),$CG219,$CH219,($A219-DateToday)+15,1,0)),P219-$H219),0)))</f>
        <v xml:space="preserve"> </v>
      </c>
      <c r="Z219" s="406" t="str">
        <f t="shared" si="512"/>
        <v xml:space="preserve"> </v>
      </c>
      <c r="AA219" s="254" t="str">
        <f>IF($A219="N/A"," ",IF(VLOOKUP(MONTH(A219),ManualTable,2)=1,(IF(0&lt;&gt;R219,IF(Pricetype=1,(_xll.xSPRDOPT(I219,$E219,$CI219,0,($CD219+IF(Smile=TRUE,VLOOKUP(MAX(-5,$H219-I219),Volsmile,2),0)),$CG219,$CH219,($A219-DateToday)+15,1,1))*(8*$HD219),8*$HD219),0)),0))</f>
        <v xml:space="preserve"> </v>
      </c>
      <c r="AB219" s="254" t="str">
        <f>IF($A219="N/A"," ",IF(VLOOKUP(MONTH(A219),ManualTable,3)=1,(IF(S219&lt;&gt;0,IF(Pricetype=1,(_xll.xSPRDOPT(J219,$E219,$CI219,0,($CD219+IF(Smile=TRUE,VLOOKUP(MAX(-5,$H219-J219),Volsmile,2),0)),$CG219,$CH219,($A219-DateToday)+15,1,1))*(8*$HD219),8*$HD219),0)),0))</f>
        <v xml:space="preserve"> </v>
      </c>
      <c r="AC219" s="254" t="str">
        <f t="shared" si="561"/>
        <v xml:space="preserve"> </v>
      </c>
      <c r="AD219" s="254" t="str">
        <f>IF($A219="N/A"," ",IF(VLOOKUP(MONTH(A219),ManualTable,5)=1,(IF(U219&lt;&gt;0,IF(Pricetype=1,(_xll.xSPRDOPT(L219,$E219,$CI219,0,($CD219+IF(Smile=TRUE,VLOOKUP(MAX(-5,$H219-L219),Volsmile,2),0)),$CG219,$CH219,($A219-DateToday)+15,1,1))*(8*$HE219),8*$HE219),0)),0))</f>
        <v xml:space="preserve"> </v>
      </c>
      <c r="AE219" s="254" t="str">
        <f>IF($A219="N/A"," ",IF(VLOOKUP(MONTH(A219),ManualTable,6)=1,(IF(V219&lt;&gt;0,IF(Pricetype=1,(_xll.xSPRDOPT(M219,$E219,$CI219,0,($CD219+IF(Smile=TRUE,VLOOKUP(MAX(-5,$H219-M219),Volsmile,2),0)),$CG219,$CH219,($A219-DateToday)+15,1,1))*(8*$HE219),8*$HE219),0)),0))</f>
        <v xml:space="preserve"> </v>
      </c>
      <c r="AF219" s="254" t="str">
        <f t="shared" si="562"/>
        <v xml:space="preserve"> </v>
      </c>
      <c r="AG219" s="254" t="str">
        <f>IF($A219="N/A"," ",IF(VLOOKUP(MONTH(A219),ManualTable,8)=1,(IF(X219&lt;&gt;0,IF(Pricetype=1,(_xll.xSPRDOPT(O219,$E219,$CI219,0,($CD219+IF(Smile=TRUE,VLOOKUP(MAX(-5,$H219-O219),Volsmile,2),0)),$CG219,$CH219,($A219-DateToday)+15,1,1))*(8*$HF219),8*$HF219),0)),0))</f>
        <v xml:space="preserve"> </v>
      </c>
      <c r="AH219" s="254" t="str">
        <f>IF($A219="N/A"," ",IF(VLOOKUP(MONTH(A219),ManualTable,9)=1,(IF(Y219&lt;&gt;0,IF(Pricetype=1,(_xll.xSPRDOPT(P219,$E219,$CI219,0,($CD219+IF(Smile=TRUE,VLOOKUP(MAX(-5,$H219-P219),Volsmile,2),0)),$CG219,$CH219,($A219-DateToday)+15,1,1))*(8*$HF219),8*$HF219),0)),0))</f>
        <v xml:space="preserve"> </v>
      </c>
      <c r="AI219" s="254" t="str">
        <f t="shared" si="563"/>
        <v xml:space="preserve"> </v>
      </c>
      <c r="AJ219" s="230" t="str">
        <f t="shared" si="608"/>
        <v xml:space="preserve"> </v>
      </c>
      <c r="AK219" s="231" t="str">
        <f t="shared" si="609"/>
        <v xml:space="preserve"> </v>
      </c>
      <c r="AL219" s="231" t="str">
        <f t="shared" si="609"/>
        <v xml:space="preserve"> </v>
      </c>
      <c r="AM219" s="231" t="str">
        <f t="shared" si="610"/>
        <v xml:space="preserve"> </v>
      </c>
      <c r="AN219" s="231" t="str">
        <f t="shared" si="611"/>
        <v xml:space="preserve"> </v>
      </c>
      <c r="AO219" s="231" t="str">
        <f t="shared" si="611"/>
        <v xml:space="preserve"> </v>
      </c>
      <c r="AP219" s="231" t="str">
        <f t="shared" si="612"/>
        <v xml:space="preserve"> </v>
      </c>
      <c r="AQ219" s="231" t="str">
        <f t="shared" si="613"/>
        <v xml:space="preserve"> </v>
      </c>
      <c r="AR219" s="232" t="str">
        <f t="shared" si="614"/>
        <v xml:space="preserve"> </v>
      </c>
      <c r="AS219" s="264" t="str">
        <f t="shared" si="593"/>
        <v xml:space="preserve"> </v>
      </c>
      <c r="AT219" s="265" t="str">
        <f t="shared" si="594"/>
        <v xml:space="preserve"> </v>
      </c>
      <c r="AU219" s="265" t="str">
        <f t="shared" si="594"/>
        <v xml:space="preserve"> </v>
      </c>
      <c r="AV219" s="265" t="str">
        <f t="shared" si="595"/>
        <v xml:space="preserve"> </v>
      </c>
      <c r="AW219" s="265" t="str">
        <f t="shared" si="596"/>
        <v xml:space="preserve"> </v>
      </c>
      <c r="AX219" s="265" t="str">
        <f t="shared" si="596"/>
        <v xml:space="preserve"> </v>
      </c>
      <c r="AY219" s="265" t="str">
        <f t="shared" si="597"/>
        <v xml:space="preserve"> </v>
      </c>
      <c r="AZ219" s="265" t="str">
        <f t="shared" si="598"/>
        <v xml:space="preserve"> </v>
      </c>
      <c r="BA219" s="265" t="str">
        <f t="shared" si="599"/>
        <v xml:space="preserve"> </v>
      </c>
      <c r="BB219" s="232">
        <f>IF(($AZ$2-BB218)&gt;=0,$AZ$2-BB218,0)</f>
        <v>980</v>
      </c>
      <c r="BC219" s="270" t="str">
        <f t="shared" si="600"/>
        <v xml:space="preserve"> </v>
      </c>
      <c r="BD219" s="271" t="str">
        <f t="shared" si="601"/>
        <v xml:space="preserve"> </v>
      </c>
      <c r="BE219" s="269" t="str">
        <f t="shared" si="601"/>
        <v xml:space="preserve"> </v>
      </c>
      <c r="BF219" s="271" t="str">
        <f t="shared" si="602"/>
        <v xml:space="preserve"> </v>
      </c>
      <c r="BG219" s="271" t="str">
        <f t="shared" si="603"/>
        <v xml:space="preserve"> </v>
      </c>
      <c r="BH219" s="269" t="str">
        <f t="shared" si="603"/>
        <v xml:space="preserve"> </v>
      </c>
      <c r="BI219" s="271" t="str">
        <f t="shared" si="604"/>
        <v xml:space="preserve"> </v>
      </c>
      <c r="BJ219" s="271" t="str">
        <f t="shared" si="605"/>
        <v xml:space="preserve"> </v>
      </c>
      <c r="BK219" s="271" t="str">
        <f t="shared" si="606"/>
        <v xml:space="preserve"> </v>
      </c>
      <c r="BL219" s="235">
        <f>BB218+BL218</f>
        <v>0</v>
      </c>
      <c r="BM219" s="220" t="str">
        <f>IF($A219="N/A"," ",(IF(MONTH(A219)&gt;=4,IF(MONTH(A219)&lt;=10,Inputs!$F$13-Inputs!$G$13,Inputs!$F$14-Inputs!$G$14),Inputs!$F$14-Inputs!$G$14))*$CK219*Availability)</f>
        <v xml:space="preserve"> </v>
      </c>
      <c r="BN219" s="221" t="str">
        <f t="shared" si="571"/>
        <v xml:space="preserve"> </v>
      </c>
      <c r="BO219" s="221" t="str">
        <f t="shared" si="572"/>
        <v xml:space="preserve"> </v>
      </c>
      <c r="BP219" s="221" t="str">
        <f t="shared" si="573"/>
        <v xml:space="preserve"> </v>
      </c>
      <c r="BQ219" s="221" t="str">
        <f t="shared" si="574"/>
        <v xml:space="preserve"> </v>
      </c>
      <c r="BR219" s="221" t="str">
        <f t="shared" si="575"/>
        <v xml:space="preserve"> </v>
      </c>
      <c r="BS219" s="221" t="str">
        <f t="shared" si="576"/>
        <v xml:space="preserve"> </v>
      </c>
      <c r="BT219" s="221" t="str">
        <f t="shared" si="577"/>
        <v xml:space="preserve"> </v>
      </c>
      <c r="BU219" s="221" t="str">
        <f t="shared" si="578"/>
        <v xml:space="preserve"> </v>
      </c>
      <c r="BV219" s="221" t="str">
        <f t="shared" si="579"/>
        <v xml:space="preserve"> </v>
      </c>
      <c r="BW219" s="221" t="str">
        <f t="shared" si="580"/>
        <v xml:space="preserve"> </v>
      </c>
      <c r="BX219" s="421" t="str">
        <f t="shared" si="581"/>
        <v xml:space="preserve"> </v>
      </c>
      <c r="BY219" s="417" t="str">
        <f t="shared" si="582"/>
        <v xml:space="preserve"> </v>
      </c>
      <c r="BZ219" s="417" t="str">
        <f t="shared" si="583"/>
        <v xml:space="preserve"> </v>
      </c>
      <c r="CA219" s="422" t="str">
        <f t="shared" si="584"/>
        <v xml:space="preserve"> </v>
      </c>
      <c r="CB219" s="347" t="str">
        <f t="shared" si="521"/>
        <v xml:space="preserve"> </v>
      </c>
      <c r="CC219" s="347" t="str">
        <f t="shared" si="585"/>
        <v xml:space="preserve"> </v>
      </c>
      <c r="CD219" s="348" t="str">
        <f t="shared" si="522"/>
        <v xml:space="preserve"> </v>
      </c>
      <c r="CE219" s="347" t="str">
        <f t="shared" si="523"/>
        <v xml:space="preserve"> </v>
      </c>
      <c r="CF219" s="347" t="str">
        <f t="shared" si="524"/>
        <v xml:space="preserve"> </v>
      </c>
      <c r="CG219" s="348" t="str">
        <f t="shared" si="525"/>
        <v xml:space="preserve"> </v>
      </c>
      <c r="CH219" s="347" t="str">
        <f t="shared" si="586"/>
        <v xml:space="preserve"> </v>
      </c>
      <c r="CI219" s="349" t="str">
        <f>IF($A219="N/A"," ",F219+G219+(D219*('Pricing Inputs'!T252)))</f>
        <v xml:space="preserve"> </v>
      </c>
      <c r="CJ219" s="347" t="str">
        <f>IF($A219="N/A"," ",IF(PV=1,0,'Pricing Inputs'!U252))</f>
        <v xml:space="preserve"> </v>
      </c>
      <c r="CK219" s="350" t="str">
        <f t="shared" si="526"/>
        <v xml:space="preserve"> </v>
      </c>
      <c r="CL219" s="365" t="str">
        <f t="shared" si="527"/>
        <v xml:space="preserve"> </v>
      </c>
      <c r="CM219" s="380" t="str">
        <f t="shared" si="587"/>
        <v xml:space="preserve"> </v>
      </c>
      <c r="CN219" s="378" t="str">
        <f t="shared" si="528"/>
        <v xml:space="preserve"> </v>
      </c>
      <c r="CO219" s="378" t="str">
        <f t="shared" si="529"/>
        <v xml:space="preserve"> </v>
      </c>
      <c r="CP219" s="378" t="str">
        <f t="shared" si="530"/>
        <v xml:space="preserve"> </v>
      </c>
      <c r="CQ219" s="378" t="str">
        <f t="shared" si="531"/>
        <v xml:space="preserve"> </v>
      </c>
      <c r="CR219" s="378" t="str">
        <f t="shared" si="532"/>
        <v xml:space="preserve"> </v>
      </c>
      <c r="CS219" s="378" t="str">
        <f t="shared" si="533"/>
        <v xml:space="preserve"> </v>
      </c>
      <c r="CT219" s="378" t="str">
        <f t="shared" si="534"/>
        <v xml:space="preserve"> </v>
      </c>
      <c r="CU219" s="378" t="str">
        <f t="shared" si="535"/>
        <v xml:space="preserve"> </v>
      </c>
      <c r="CV219" s="378" t="str">
        <f t="shared" si="536"/>
        <v xml:space="preserve"> </v>
      </c>
      <c r="CW219" s="254" t="str">
        <f t="shared" si="537"/>
        <v xml:space="preserve"> </v>
      </c>
      <c r="CX219" s="254" t="str">
        <f t="shared" si="538"/>
        <v xml:space="preserve"> </v>
      </c>
      <c r="CY219" s="254" t="str">
        <f t="shared" si="539"/>
        <v xml:space="preserve"> </v>
      </c>
      <c r="CZ219" s="254" t="str">
        <f t="shared" si="540"/>
        <v xml:space="preserve"> </v>
      </c>
      <c r="DA219" s="254" t="str">
        <f t="shared" si="541"/>
        <v xml:space="preserve"> </v>
      </c>
      <c r="DB219" s="254" t="str">
        <f t="shared" si="542"/>
        <v xml:space="preserve"> </v>
      </c>
      <c r="DC219" s="254" t="str">
        <f t="shared" si="543"/>
        <v xml:space="preserve"> </v>
      </c>
      <c r="DD219" s="254" t="str">
        <f t="shared" si="544"/>
        <v xml:space="preserve"> </v>
      </c>
      <c r="DE219" s="254" t="str">
        <f t="shared" si="545"/>
        <v xml:space="preserve"> </v>
      </c>
      <c r="DF219" s="374" t="str">
        <f>IF($A219="N/A"," ",IF(CC=2,(IF(MONTH(A219)&gt;=4,IF(MONTH(A219)&lt;=10,Inputs!$G$13,Inputs!$G$14),Inputs!$G$14))*$CK219,0))</f>
        <v xml:space="preserve"> </v>
      </c>
      <c r="DG219" s="373" t="str">
        <f t="shared" si="546"/>
        <v xml:space="preserve"> </v>
      </c>
      <c r="DH219" s="373" t="str">
        <f t="shared" si="547"/>
        <v xml:space="preserve"> </v>
      </c>
      <c r="DI219" s="373" t="str">
        <f t="shared" si="548"/>
        <v xml:space="preserve"> </v>
      </c>
      <c r="DJ219" s="373" t="str">
        <f t="shared" si="549"/>
        <v xml:space="preserve"> </v>
      </c>
      <c r="DK219" s="373" t="str">
        <f t="shared" si="550"/>
        <v xml:space="preserve"> </v>
      </c>
      <c r="DL219" s="373" t="str">
        <f t="shared" si="551"/>
        <v xml:space="preserve"> </v>
      </c>
      <c r="DM219" s="373" t="str">
        <f t="shared" si="552"/>
        <v xml:space="preserve"> </v>
      </c>
      <c r="DN219" s="373" t="str">
        <f t="shared" si="553"/>
        <v xml:space="preserve"> </v>
      </c>
      <c r="DO219" s="373" t="str">
        <f t="shared" si="554"/>
        <v xml:space="preserve"> </v>
      </c>
      <c r="DP219" s="375" t="str">
        <f t="shared" si="555"/>
        <v xml:space="preserve"> </v>
      </c>
      <c r="DQ219" t="str">
        <f t="shared" si="588"/>
        <v xml:space="preserve"> </v>
      </c>
      <c r="HD219" t="str">
        <f t="shared" si="589"/>
        <v xml:space="preserve"> </v>
      </c>
      <c r="HE219" t="str">
        <f t="shared" si="590"/>
        <v xml:space="preserve"> </v>
      </c>
      <c r="HF219" t="str">
        <f t="shared" si="591"/>
        <v xml:space="preserve"> </v>
      </c>
    </row>
    <row r="220" spans="1:214">
      <c r="A220" s="415" t="str">
        <f>IF(A219="N/A","N/A",IF(EDATE(A219,1)&gt;Inputs!$K$3,"N/A",EDATE(A219,1)))</f>
        <v>N/A</v>
      </c>
      <c r="B220" s="410" t="str">
        <f t="shared" si="556"/>
        <v xml:space="preserve"> </v>
      </c>
      <c r="C220" s="411" t="str">
        <f t="shared" si="557"/>
        <v xml:space="preserve"> </v>
      </c>
      <c r="D220" s="412" t="str">
        <f t="shared" si="558"/>
        <v xml:space="preserve"> </v>
      </c>
      <c r="E220" s="413" t="str">
        <f>IF($A220="N/A"," ",(C220-'Pricing Inputs'!T253)*D220)</f>
        <v xml:space="preserve"> </v>
      </c>
      <c r="F220" s="414" t="str">
        <f t="shared" si="607"/>
        <v xml:space="preserve"> </v>
      </c>
      <c r="G220" s="414" t="str">
        <f t="shared" si="559"/>
        <v xml:space="preserve"> </v>
      </c>
      <c r="H220" s="416" t="str">
        <f t="shared" si="560"/>
        <v xml:space="preserve"> </v>
      </c>
      <c r="I220" s="213" t="str">
        <f t="shared" si="501"/>
        <v xml:space="preserve"> </v>
      </c>
      <c r="J220" s="213" t="str">
        <f t="shared" si="502"/>
        <v xml:space="preserve"> </v>
      </c>
      <c r="K220" s="213" t="str">
        <f t="shared" si="503"/>
        <v xml:space="preserve"> </v>
      </c>
      <c r="L220" s="213" t="str">
        <f t="shared" si="504"/>
        <v xml:space="preserve"> </v>
      </c>
      <c r="M220" s="213" t="str">
        <f t="shared" si="505"/>
        <v xml:space="preserve"> </v>
      </c>
      <c r="N220" s="213" t="str">
        <f t="shared" si="506"/>
        <v xml:space="preserve"> </v>
      </c>
      <c r="O220" s="213" t="str">
        <f t="shared" si="507"/>
        <v xml:space="preserve"> </v>
      </c>
      <c r="P220" s="213" t="str">
        <f t="shared" si="508"/>
        <v xml:space="preserve"> </v>
      </c>
      <c r="Q220" s="213" t="str">
        <f t="shared" si="509"/>
        <v xml:space="preserve"> </v>
      </c>
      <c r="R220" s="405" t="str">
        <f>IF($A220="N/A"," ",IF(Pricetype=2,MAX(I220-$H220,0),IF(Pricetype=1,(_xll.xSPRDOPT(I220,$E220,$CI220,0,($CD220+IF(Smile=TRUE,VLOOKUP(MAX(-5,$H220-I220),Volsmile,2),0)),$CG220,$CH220,($A220-DateToday)+15,1,0)),I220-$H220)))</f>
        <v xml:space="preserve"> </v>
      </c>
      <c r="S220" s="405" t="str">
        <f>IF($A220="N/A"," ",IF(Pricetype=2,MAX(J220-$H220,0),IF(Pricetype=1,(_xll.xSPRDOPT(J220,$E220,$CI220,0,($CD220+IF(Smile=TRUE,VLOOKUP(MAX(-5,$H220-J220),Volsmile,2),0)),$CG220,$CH220,($A220-DateToday)+15,1,0)),J220-$H220)))</f>
        <v xml:space="preserve"> </v>
      </c>
      <c r="T220" s="406" t="str">
        <f t="shared" si="510"/>
        <v xml:space="preserve"> </v>
      </c>
      <c r="U220" s="405" t="str">
        <f>IF($A220="N/A"," ",IF(Pricetype=2,MAX(L220-$H220,0),IF(L220&lt;&gt;0,IF(Pricetype=1,(_xll.xSPRDOPT(L220,$E220,$CI220,0,($CD220+IF(Smile=TRUE,VLOOKUP(MAX(-5,$H220-L220),Volsmile,2),0)),$CG220,$CH220,($A220-DateToday)+15,1,0)),L220-$H220),0)))</f>
        <v xml:space="preserve"> </v>
      </c>
      <c r="V220" s="405" t="str">
        <f>IF($A220="N/A"," ",IF(Pricetype=2,MAX(M220-$H220,0),IF(M220&lt;&gt;0,IF(Pricetype=1,(_xll.xSPRDOPT(M220,$E220,$CI220,0,($CD220+IF(Smile=TRUE,VLOOKUP(MAX(-5,$H220-M220),Volsmile,2),0)),$CG220,$CH220,($A220-DateToday)+15,1,0)),M220-$H220),0)))</f>
        <v xml:space="preserve"> </v>
      </c>
      <c r="W220" s="406" t="str">
        <f t="shared" si="511"/>
        <v xml:space="preserve"> </v>
      </c>
      <c r="X220" s="405" t="str">
        <f>IF($A220="N/A"," ",IF(Pricetype=2,MAX(O220-$H220,0),IF(O220&lt;&gt;0,IF(Pricetype=1,(_xll.xSPRDOPT(O220,$E220,$CI220,0,($CD220+IF(Smile=TRUE,VLOOKUP(MAX(-5,$H220-O220),Volsmile,2),0)),$CG220,$CH220,($A220-DateToday)+15,1,0)),O220-$H220),0)))</f>
        <v xml:space="preserve"> </v>
      </c>
      <c r="Y220" s="405" t="str">
        <f>IF($A220="N/A"," ",IF(Pricetype=2,MAX(P220-$H220,0),IF(P220&lt;&gt;0,IF(Pricetype=1,(_xll.xSPRDOPT(P220,$E220,$CI220,0,($CD220+IF(Smile=TRUE,VLOOKUP(MAX(-5,$H220-P220),Volsmile,2),0)),$CG220,$CH220,($A220-DateToday)+15,1,0)),P220-$H220),0)))</f>
        <v xml:space="preserve"> </v>
      </c>
      <c r="Z220" s="406" t="str">
        <f t="shared" si="512"/>
        <v xml:space="preserve"> </v>
      </c>
      <c r="AA220" s="254" t="str">
        <f>IF($A220="N/A"," ",IF(VLOOKUP(MONTH(A220),ManualTable,2)=1,(IF(0&lt;&gt;R220,IF(Pricetype=1,(_xll.xSPRDOPT(I220,$E220,$CI220,0,($CD220+IF(Smile=TRUE,VLOOKUP(MAX(-5,$H220-I220),Volsmile,2),0)),$CG220,$CH220,($A220-DateToday)+15,1,1))*(8*$HD220),8*$HD220),0)),0))</f>
        <v xml:space="preserve"> </v>
      </c>
      <c r="AB220" s="254" t="str">
        <f>IF($A220="N/A"," ",IF(VLOOKUP(MONTH(A220),ManualTable,3)=1,(IF(S220&lt;&gt;0,IF(Pricetype=1,(_xll.xSPRDOPT(J220,$E220,$CI220,0,($CD220+IF(Smile=TRUE,VLOOKUP(MAX(-5,$H220-J220),Volsmile,2),0)),$CG220,$CH220,($A220-DateToday)+15,1,1))*(8*$HD220),8*$HD220),0)),0))</f>
        <v xml:space="preserve"> </v>
      </c>
      <c r="AC220" s="254" t="str">
        <f t="shared" si="561"/>
        <v xml:space="preserve"> </v>
      </c>
      <c r="AD220" s="254" t="str">
        <f>IF($A220="N/A"," ",IF(VLOOKUP(MONTH(A220),ManualTable,5)=1,(IF(U220&lt;&gt;0,IF(Pricetype=1,(_xll.xSPRDOPT(L220,$E220,$CI220,0,($CD220+IF(Smile=TRUE,VLOOKUP(MAX(-5,$H220-L220),Volsmile,2),0)),$CG220,$CH220,($A220-DateToday)+15,1,1))*(8*$HE220),8*$HE220),0)),0))</f>
        <v xml:space="preserve"> </v>
      </c>
      <c r="AE220" s="254" t="str">
        <f>IF($A220="N/A"," ",IF(VLOOKUP(MONTH(A220),ManualTable,6)=1,(IF(V220&lt;&gt;0,IF(Pricetype=1,(_xll.xSPRDOPT(M220,$E220,$CI220,0,($CD220+IF(Smile=TRUE,VLOOKUP(MAX(-5,$H220-M220),Volsmile,2),0)),$CG220,$CH220,($A220-DateToday)+15,1,1))*(8*$HE220),8*$HE220),0)),0))</f>
        <v xml:space="preserve"> </v>
      </c>
      <c r="AF220" s="254" t="str">
        <f t="shared" si="562"/>
        <v xml:space="preserve"> </v>
      </c>
      <c r="AG220" s="254" t="str">
        <f>IF($A220="N/A"," ",IF(VLOOKUP(MONTH(A220),ManualTable,8)=1,(IF(X220&lt;&gt;0,IF(Pricetype=1,(_xll.xSPRDOPT(O220,$E220,$CI220,0,($CD220+IF(Smile=TRUE,VLOOKUP(MAX(-5,$H220-O220),Volsmile,2),0)),$CG220,$CH220,($A220-DateToday)+15,1,1))*(8*$HF220),8*$HF220),0)),0))</f>
        <v xml:space="preserve"> </v>
      </c>
      <c r="AH220" s="254" t="str">
        <f>IF($A220="N/A"," ",IF(VLOOKUP(MONTH(A220),ManualTable,9)=1,(IF(Y220&lt;&gt;0,IF(Pricetype=1,(_xll.xSPRDOPT(P220,$E220,$CI220,0,($CD220+IF(Smile=TRUE,VLOOKUP(MAX(-5,$H220-P220),Volsmile,2),0)),$CG220,$CH220,($A220-DateToday)+15,1,1))*(8*$HF220),8*$HF220),0)),0))</f>
        <v xml:space="preserve"> </v>
      </c>
      <c r="AI220" s="254" t="str">
        <f t="shared" si="563"/>
        <v xml:space="preserve"> </v>
      </c>
      <c r="AJ220" s="224" t="str">
        <f t="shared" ref="AJ220:AR220" si="615">IF($A220="N/A"," ",RANK(R220,$R$220:$Z$231))</f>
        <v xml:space="preserve"> </v>
      </c>
      <c r="AK220" s="225" t="str">
        <f t="shared" si="615"/>
        <v xml:space="preserve"> </v>
      </c>
      <c r="AL220" s="225" t="str">
        <f t="shared" si="615"/>
        <v xml:space="preserve"> </v>
      </c>
      <c r="AM220" s="225" t="str">
        <f t="shared" si="615"/>
        <v xml:space="preserve"> </v>
      </c>
      <c r="AN220" s="225" t="str">
        <f t="shared" si="615"/>
        <v xml:space="preserve"> </v>
      </c>
      <c r="AO220" s="225" t="str">
        <f t="shared" si="615"/>
        <v xml:space="preserve"> </v>
      </c>
      <c r="AP220" s="225" t="str">
        <f t="shared" si="615"/>
        <v xml:space="preserve"> </v>
      </c>
      <c r="AQ220" s="225" t="str">
        <f t="shared" si="615"/>
        <v xml:space="preserve"> </v>
      </c>
      <c r="AR220" s="226" t="str">
        <f t="shared" si="615"/>
        <v xml:space="preserve"> </v>
      </c>
      <c r="AS220" s="260" t="str">
        <f t="shared" si="593"/>
        <v xml:space="preserve"> </v>
      </c>
      <c r="AT220" s="261" t="str">
        <f t="shared" si="594"/>
        <v xml:space="preserve"> </v>
      </c>
      <c r="AU220" s="263" t="str">
        <f t="shared" si="594"/>
        <v xml:space="preserve"> </v>
      </c>
      <c r="AV220" s="263" t="str">
        <f t="shared" si="595"/>
        <v xml:space="preserve"> </v>
      </c>
      <c r="AW220" s="263" t="str">
        <f t="shared" si="596"/>
        <v xml:space="preserve"> </v>
      </c>
      <c r="AX220" s="263" t="str">
        <f t="shared" si="596"/>
        <v xml:space="preserve"> </v>
      </c>
      <c r="AY220" s="261" t="str">
        <f t="shared" si="597"/>
        <v xml:space="preserve"> </v>
      </c>
      <c r="AZ220" s="261" t="str">
        <f t="shared" si="598"/>
        <v xml:space="preserve"> </v>
      </c>
      <c r="BA220" s="261" t="str">
        <f t="shared" si="599"/>
        <v xml:space="preserve"> </v>
      </c>
      <c r="BB220" s="226"/>
      <c r="BC220" s="272" t="str">
        <f t="shared" ref="BC220:BC231" si="616">IF($A220="N/A"," ",IF(AND(AJ220=$AR$2+1,AS220=0),MIN($BB$231,AA220),0))</f>
        <v xml:space="preserve"> </v>
      </c>
      <c r="BD220" s="267" t="str">
        <f t="shared" ref="BD220:BE231" si="617">IF($A220="N/A"," ",IF(AND(AK220=$AR$2+1,AT220=0),MIN($BB$231,AB220),0))</f>
        <v xml:space="preserve"> </v>
      </c>
      <c r="BE220" s="267" t="str">
        <f t="shared" si="617"/>
        <v xml:space="preserve"> </v>
      </c>
      <c r="BF220" s="267" t="str">
        <f t="shared" ref="BF220:BF231" si="618">IF($A220="N/A"," ",IF(AND(AM220=$AR$2+1,AV220=0),MIN($BB$231,AD220),0))</f>
        <v xml:space="preserve"> </v>
      </c>
      <c r="BG220" s="267" t="str">
        <f t="shared" ref="BG220:BH231" si="619">IF($A220="N/A"," ",IF(AND(AN220=$AR$2+1,AW220=0),MIN($BB$231,AE220),0))</f>
        <v xml:space="preserve"> </v>
      </c>
      <c r="BH220" s="267" t="str">
        <f t="shared" si="619"/>
        <v xml:space="preserve"> </v>
      </c>
      <c r="BI220" s="267" t="str">
        <f t="shared" ref="BI220:BI231" si="620">IF($A220="N/A"," ",IF(AND(AP220=$AR$2+1,AY220=0),MIN($BB$231,AG220),0))</f>
        <v xml:space="preserve"> </v>
      </c>
      <c r="BJ220" s="267" t="str">
        <f t="shared" ref="BJ220:BJ231" si="621">IF($A220="N/A"," ",IF(AND(AQ220=$AR$2+1,AZ220=0),MIN($BB$231,AH220),0))</f>
        <v xml:space="preserve"> </v>
      </c>
      <c r="BK220" s="267" t="str">
        <f t="shared" ref="BK220:BK231" si="622">IF($A220="N/A"," ",IF(AND(AR220=$AR$2+1,BA220=0),MIN($BB$231,AI220),0))</f>
        <v xml:space="preserve"> </v>
      </c>
      <c r="BL220" s="226"/>
      <c r="BM220" s="220" t="str">
        <f>IF($A220="N/A"," ",(IF(MONTH(A220)&gt;=4,IF(MONTH(A220)&lt;=10,Inputs!$F$13-Inputs!$G$13,Inputs!$F$14-Inputs!$G$14),Inputs!$F$14-Inputs!$G$14))*$CK220*Availability)</f>
        <v xml:space="preserve"> </v>
      </c>
      <c r="BN220" s="221" t="str">
        <f t="shared" si="571"/>
        <v xml:space="preserve"> </v>
      </c>
      <c r="BO220" s="221" t="str">
        <f t="shared" si="572"/>
        <v xml:space="preserve"> </v>
      </c>
      <c r="BP220" s="221" t="str">
        <f t="shared" si="573"/>
        <v xml:space="preserve"> </v>
      </c>
      <c r="BQ220" s="221" t="str">
        <f t="shared" si="574"/>
        <v xml:space="preserve"> </v>
      </c>
      <c r="BR220" s="221" t="str">
        <f t="shared" si="575"/>
        <v xml:space="preserve"> </v>
      </c>
      <c r="BS220" s="221" t="str">
        <f t="shared" si="576"/>
        <v xml:space="preserve"> </v>
      </c>
      <c r="BT220" s="221" t="str">
        <f t="shared" si="577"/>
        <v xml:space="preserve"> </v>
      </c>
      <c r="BU220" s="221" t="str">
        <f t="shared" si="578"/>
        <v xml:space="preserve"> </v>
      </c>
      <c r="BV220" s="221" t="str">
        <f t="shared" si="579"/>
        <v xml:space="preserve"> </v>
      </c>
      <c r="BW220" s="221" t="str">
        <f t="shared" si="580"/>
        <v xml:space="preserve"> </v>
      </c>
      <c r="BX220" s="421" t="str">
        <f t="shared" si="581"/>
        <v xml:space="preserve"> </v>
      </c>
      <c r="BY220" s="417" t="str">
        <f t="shared" si="582"/>
        <v xml:space="preserve"> </v>
      </c>
      <c r="BZ220" s="417" t="str">
        <f t="shared" si="583"/>
        <v xml:space="preserve"> </v>
      </c>
      <c r="CA220" s="422" t="str">
        <f t="shared" si="584"/>
        <v xml:space="preserve"> </v>
      </c>
      <c r="CB220" s="347" t="str">
        <f t="shared" si="521"/>
        <v xml:space="preserve"> </v>
      </c>
      <c r="CC220" s="347" t="str">
        <f t="shared" si="585"/>
        <v xml:space="preserve"> </v>
      </c>
      <c r="CD220" s="348" t="str">
        <f t="shared" si="522"/>
        <v xml:space="preserve"> </v>
      </c>
      <c r="CE220" s="347" t="str">
        <f t="shared" si="523"/>
        <v xml:space="preserve"> </v>
      </c>
      <c r="CF220" s="347" t="str">
        <f t="shared" si="524"/>
        <v xml:space="preserve"> </v>
      </c>
      <c r="CG220" s="348" t="str">
        <f t="shared" si="525"/>
        <v xml:space="preserve"> </v>
      </c>
      <c r="CH220" s="347" t="str">
        <f t="shared" si="586"/>
        <v xml:space="preserve"> </v>
      </c>
      <c r="CI220" s="349" t="str">
        <f>IF($A220="N/A"," ",F220+G220+(D220*('Pricing Inputs'!T253)))</f>
        <v xml:space="preserve"> </v>
      </c>
      <c r="CJ220" s="347" t="str">
        <f>IF($A220="N/A"," ",IF(PV=1,0,'Pricing Inputs'!U253))</f>
        <v xml:space="preserve"> </v>
      </c>
      <c r="CK220" s="350" t="str">
        <f t="shared" si="526"/>
        <v xml:space="preserve"> </v>
      </c>
      <c r="CL220" s="365" t="str">
        <f t="shared" si="527"/>
        <v xml:space="preserve"> </v>
      </c>
      <c r="CM220" s="380" t="str">
        <f t="shared" si="587"/>
        <v xml:space="preserve"> </v>
      </c>
      <c r="CN220" s="378" t="str">
        <f t="shared" si="528"/>
        <v xml:space="preserve"> </v>
      </c>
      <c r="CO220" s="378" t="str">
        <f t="shared" si="529"/>
        <v xml:space="preserve"> </v>
      </c>
      <c r="CP220" s="378" t="str">
        <f t="shared" si="530"/>
        <v xml:space="preserve"> </v>
      </c>
      <c r="CQ220" s="378" t="str">
        <f t="shared" si="531"/>
        <v xml:space="preserve"> </v>
      </c>
      <c r="CR220" s="378" t="str">
        <f t="shared" si="532"/>
        <v xml:space="preserve"> </v>
      </c>
      <c r="CS220" s="378" t="str">
        <f t="shared" si="533"/>
        <v xml:space="preserve"> </v>
      </c>
      <c r="CT220" s="378" t="str">
        <f t="shared" si="534"/>
        <v xml:space="preserve"> </v>
      </c>
      <c r="CU220" s="378" t="str">
        <f t="shared" si="535"/>
        <v xml:space="preserve"> </v>
      </c>
      <c r="CV220" s="378" t="str">
        <f t="shared" si="536"/>
        <v xml:space="preserve"> </v>
      </c>
      <c r="CW220" s="254" t="str">
        <f t="shared" si="537"/>
        <v xml:space="preserve"> </v>
      </c>
      <c r="CX220" s="254" t="str">
        <f t="shared" si="538"/>
        <v xml:space="preserve"> </v>
      </c>
      <c r="CY220" s="254" t="str">
        <f t="shared" si="539"/>
        <v xml:space="preserve"> </v>
      </c>
      <c r="CZ220" s="254" t="str">
        <f t="shared" si="540"/>
        <v xml:space="preserve"> </v>
      </c>
      <c r="DA220" s="254" t="str">
        <f t="shared" si="541"/>
        <v xml:space="preserve"> </v>
      </c>
      <c r="DB220" s="254" t="str">
        <f t="shared" si="542"/>
        <v xml:space="preserve"> </v>
      </c>
      <c r="DC220" s="254" t="str">
        <f t="shared" si="543"/>
        <v xml:space="preserve"> </v>
      </c>
      <c r="DD220" s="254" t="str">
        <f t="shared" si="544"/>
        <v xml:space="preserve"> </v>
      </c>
      <c r="DE220" s="254" t="str">
        <f t="shared" si="545"/>
        <v xml:space="preserve"> </v>
      </c>
      <c r="DF220" s="374" t="str">
        <f>IF($A220="N/A"," ",IF(CC=2,(IF(MONTH(A220)&gt;=4,IF(MONTH(A220)&lt;=10,Inputs!$G$13,Inputs!$G$14),Inputs!$G$14))*$CK220,0))</f>
        <v xml:space="preserve"> </v>
      </c>
      <c r="DG220" s="373" t="str">
        <f t="shared" si="546"/>
        <v xml:space="preserve"> </v>
      </c>
      <c r="DH220" s="373" t="str">
        <f t="shared" si="547"/>
        <v xml:space="preserve"> </v>
      </c>
      <c r="DI220" s="373" t="str">
        <f t="shared" si="548"/>
        <v xml:space="preserve"> </v>
      </c>
      <c r="DJ220" s="373" t="str">
        <f t="shared" si="549"/>
        <v xml:space="preserve"> </v>
      </c>
      <c r="DK220" s="373" t="str">
        <f t="shared" si="550"/>
        <v xml:space="preserve"> </v>
      </c>
      <c r="DL220" s="373" t="str">
        <f t="shared" si="551"/>
        <v xml:space="preserve"> </v>
      </c>
      <c r="DM220" s="373" t="str">
        <f t="shared" si="552"/>
        <v xml:space="preserve"> </v>
      </c>
      <c r="DN220" s="373" t="str">
        <f t="shared" si="553"/>
        <v xml:space="preserve"> </v>
      </c>
      <c r="DO220" s="373" t="str">
        <f t="shared" si="554"/>
        <v xml:space="preserve"> </v>
      </c>
      <c r="DP220" s="375" t="str">
        <f t="shared" si="555"/>
        <v xml:space="preserve"> </v>
      </c>
      <c r="DQ220" t="str">
        <f t="shared" si="588"/>
        <v xml:space="preserve"> </v>
      </c>
      <c r="HD220" t="str">
        <f t="shared" si="589"/>
        <v xml:space="preserve"> </v>
      </c>
      <c r="HE220" t="str">
        <f t="shared" si="590"/>
        <v xml:space="preserve"> </v>
      </c>
      <c r="HF220" t="str">
        <f t="shared" si="591"/>
        <v xml:space="preserve"> </v>
      </c>
    </row>
    <row r="221" spans="1:214">
      <c r="A221" s="415" t="str">
        <f>IF(A220="N/A","N/A",IF(EDATE(A220,1)&gt;Inputs!$K$3,"N/A",EDATE(A220,1)))</f>
        <v>N/A</v>
      </c>
      <c r="B221" s="410" t="str">
        <f t="shared" si="556"/>
        <v xml:space="preserve"> </v>
      </c>
      <c r="C221" s="411" t="str">
        <f t="shared" si="557"/>
        <v xml:space="preserve"> </v>
      </c>
      <c r="D221" s="412" t="str">
        <f t="shared" si="558"/>
        <v xml:space="preserve"> </v>
      </c>
      <c r="E221" s="413" t="str">
        <f>IF($A221="N/A"," ",(C221-'Pricing Inputs'!T254)*D221)</f>
        <v xml:space="preserve"> </v>
      </c>
      <c r="F221" s="414" t="str">
        <f t="shared" si="607"/>
        <v xml:space="preserve"> </v>
      </c>
      <c r="G221" s="414" t="str">
        <f t="shared" si="559"/>
        <v xml:space="preserve"> </v>
      </c>
      <c r="H221" s="416" t="str">
        <f t="shared" si="560"/>
        <v xml:space="preserve"> </v>
      </c>
      <c r="I221" s="213" t="str">
        <f t="shared" si="501"/>
        <v xml:space="preserve"> </v>
      </c>
      <c r="J221" s="213" t="str">
        <f t="shared" si="502"/>
        <v xml:space="preserve"> </v>
      </c>
      <c r="K221" s="213" t="str">
        <f t="shared" si="503"/>
        <v xml:space="preserve"> </v>
      </c>
      <c r="L221" s="213" t="str">
        <f t="shared" si="504"/>
        <v xml:space="preserve"> </v>
      </c>
      <c r="M221" s="213" t="str">
        <f t="shared" si="505"/>
        <v xml:space="preserve"> </v>
      </c>
      <c r="N221" s="213" t="str">
        <f t="shared" si="506"/>
        <v xml:space="preserve"> </v>
      </c>
      <c r="O221" s="213" t="str">
        <f t="shared" si="507"/>
        <v xml:space="preserve"> </v>
      </c>
      <c r="P221" s="213" t="str">
        <f t="shared" si="508"/>
        <v xml:space="preserve"> </v>
      </c>
      <c r="Q221" s="213" t="str">
        <f t="shared" si="509"/>
        <v xml:space="preserve"> </v>
      </c>
      <c r="R221" s="405" t="str">
        <f>IF($A221="N/A"," ",IF(Pricetype=2,MAX(I221-$H221,0),IF(Pricetype=1,(_xll.xSPRDOPT(I221,$E221,$CI221,0,($CD221+IF(Smile=TRUE,VLOOKUP(MAX(-5,$H221-I221),Volsmile,2),0)),$CG221,$CH221,($A221-DateToday)+15,1,0)),I221-$H221)))</f>
        <v xml:space="preserve"> </v>
      </c>
      <c r="S221" s="405" t="str">
        <f>IF($A221="N/A"," ",IF(Pricetype=2,MAX(J221-$H221,0),IF(Pricetype=1,(_xll.xSPRDOPT(J221,$E221,$CI221,0,($CD221+IF(Smile=TRUE,VLOOKUP(MAX(-5,$H221-J221),Volsmile,2),0)),$CG221,$CH221,($A221-DateToday)+15,1,0)),J221-$H221)))</f>
        <v xml:space="preserve"> </v>
      </c>
      <c r="T221" s="406" t="str">
        <f t="shared" si="510"/>
        <v xml:space="preserve"> </v>
      </c>
      <c r="U221" s="405" t="str">
        <f>IF($A221="N/A"," ",IF(Pricetype=2,MAX(L221-$H221,0),IF(L221&lt;&gt;0,IF(Pricetype=1,(_xll.xSPRDOPT(L221,$E221,$CI221,0,($CD221+IF(Smile=TRUE,VLOOKUP(MAX(-5,$H221-L221),Volsmile,2),0)),$CG221,$CH221,($A221-DateToday)+15,1,0)),L221-$H221),0)))</f>
        <v xml:space="preserve"> </v>
      </c>
      <c r="V221" s="405" t="str">
        <f>IF($A221="N/A"," ",IF(Pricetype=2,MAX(M221-$H221,0),IF(M221&lt;&gt;0,IF(Pricetype=1,(_xll.xSPRDOPT(M221,$E221,$CI221,0,($CD221+IF(Smile=TRUE,VLOOKUP(MAX(-5,$H221-M221),Volsmile,2),0)),$CG221,$CH221,($A221-DateToday)+15,1,0)),M221-$H221),0)))</f>
        <v xml:space="preserve"> </v>
      </c>
      <c r="W221" s="406" t="str">
        <f t="shared" si="511"/>
        <v xml:space="preserve"> </v>
      </c>
      <c r="X221" s="405" t="str">
        <f>IF($A221="N/A"," ",IF(Pricetype=2,MAX(O221-$H221,0),IF(O221&lt;&gt;0,IF(Pricetype=1,(_xll.xSPRDOPT(O221,$E221,$CI221,0,($CD221+IF(Smile=TRUE,VLOOKUP(MAX(-5,$H221-O221),Volsmile,2),0)),$CG221,$CH221,($A221-DateToday)+15,1,0)),O221-$H221),0)))</f>
        <v xml:space="preserve"> </v>
      </c>
      <c r="Y221" s="405" t="str">
        <f>IF($A221="N/A"," ",IF(Pricetype=2,MAX(P221-$H221,0),IF(P221&lt;&gt;0,IF(Pricetype=1,(_xll.xSPRDOPT(P221,$E221,$CI221,0,($CD221+IF(Smile=TRUE,VLOOKUP(MAX(-5,$H221-P221),Volsmile,2),0)),$CG221,$CH221,($A221-DateToday)+15,1,0)),P221-$H221),0)))</f>
        <v xml:space="preserve"> </v>
      </c>
      <c r="Z221" s="406" t="str">
        <f t="shared" si="512"/>
        <v xml:space="preserve"> </v>
      </c>
      <c r="AA221" s="254" t="str">
        <f>IF($A221="N/A"," ",IF(VLOOKUP(MONTH(A221),ManualTable,2)=1,(IF(0&lt;&gt;R221,IF(Pricetype=1,(_xll.xSPRDOPT(I221,$E221,$CI221,0,($CD221+IF(Smile=TRUE,VLOOKUP(MAX(-5,$H221-I221),Volsmile,2),0)),$CG221,$CH221,($A221-DateToday)+15,1,1))*(8*$HD221),8*$HD221),0)),0))</f>
        <v xml:space="preserve"> </v>
      </c>
      <c r="AB221" s="254" t="str">
        <f>IF($A221="N/A"," ",IF(VLOOKUP(MONTH(A221),ManualTable,3)=1,(IF(S221&lt;&gt;0,IF(Pricetype=1,(_xll.xSPRDOPT(J221,$E221,$CI221,0,($CD221+IF(Smile=TRUE,VLOOKUP(MAX(-5,$H221-J221),Volsmile,2),0)),$CG221,$CH221,($A221-DateToday)+15,1,1))*(8*$HD221),8*$HD221),0)),0))</f>
        <v xml:space="preserve"> </v>
      </c>
      <c r="AC221" s="254" t="str">
        <f t="shared" si="561"/>
        <v xml:space="preserve"> </v>
      </c>
      <c r="AD221" s="254" t="str">
        <f>IF($A221="N/A"," ",IF(VLOOKUP(MONTH(A221),ManualTable,5)=1,(IF(U221&lt;&gt;0,IF(Pricetype=1,(_xll.xSPRDOPT(L221,$E221,$CI221,0,($CD221+IF(Smile=TRUE,VLOOKUP(MAX(-5,$H221-L221),Volsmile,2),0)),$CG221,$CH221,($A221-DateToday)+15,1,1))*(8*$HE221),8*$HE221),0)),0))</f>
        <v xml:space="preserve"> </v>
      </c>
      <c r="AE221" s="254" t="str">
        <f>IF($A221="N/A"," ",IF(VLOOKUP(MONTH(A221),ManualTable,6)=1,(IF(V221&lt;&gt;0,IF(Pricetype=1,(_xll.xSPRDOPT(M221,$E221,$CI221,0,($CD221+IF(Smile=TRUE,VLOOKUP(MAX(-5,$H221-M221),Volsmile,2),0)),$CG221,$CH221,($A221-DateToday)+15,1,1))*(8*$HE221),8*$HE221),0)),0))</f>
        <v xml:space="preserve"> </v>
      </c>
      <c r="AF221" s="254" t="str">
        <f t="shared" si="562"/>
        <v xml:space="preserve"> </v>
      </c>
      <c r="AG221" s="254" t="str">
        <f>IF($A221="N/A"," ",IF(VLOOKUP(MONTH(A221),ManualTable,8)=1,(IF(X221&lt;&gt;0,IF(Pricetype=1,(_xll.xSPRDOPT(O221,$E221,$CI221,0,($CD221+IF(Smile=TRUE,VLOOKUP(MAX(-5,$H221-O221),Volsmile,2),0)),$CG221,$CH221,($A221-DateToday)+15,1,1))*(8*$HF221),8*$HF221),0)),0))</f>
        <v xml:space="preserve"> </v>
      </c>
      <c r="AH221" s="254" t="str">
        <f>IF($A221="N/A"," ",IF(VLOOKUP(MONTH(A221),ManualTable,9)=1,(IF(Y221&lt;&gt;0,IF(Pricetype=1,(_xll.xSPRDOPT(P221,$E221,$CI221,0,($CD221+IF(Smile=TRUE,VLOOKUP(MAX(-5,$H221-P221),Volsmile,2),0)),$CG221,$CH221,($A221-DateToday)+15,1,1))*(8*$HF221),8*$HF221),0)),0))</f>
        <v xml:space="preserve"> </v>
      </c>
      <c r="AI221" s="254" t="str">
        <f t="shared" si="563"/>
        <v xml:space="preserve"> </v>
      </c>
      <c r="AJ221" s="227" t="str">
        <f t="shared" ref="AJ221:AJ231" si="623">IF($A221="N/A"," ",RANK(R221,$R$220:$Z$231))</f>
        <v xml:space="preserve"> </v>
      </c>
      <c r="AK221" s="228" t="str">
        <f t="shared" ref="AK221:AL231" si="624">IF($A221="N/A"," ",RANK(S221,$R$220:$Z$231))</f>
        <v xml:space="preserve"> </v>
      </c>
      <c r="AL221" s="228" t="str">
        <f t="shared" si="624"/>
        <v xml:space="preserve"> </v>
      </c>
      <c r="AM221" s="228" t="str">
        <f t="shared" ref="AM221:AM231" si="625">IF($A221="N/A"," ",RANK(U221,$R$220:$Z$231))</f>
        <v xml:space="preserve"> </v>
      </c>
      <c r="AN221" s="228" t="str">
        <f t="shared" ref="AN221:AO231" si="626">IF($A221="N/A"," ",RANK(V221,$R$220:$Z$231))</f>
        <v xml:space="preserve"> </v>
      </c>
      <c r="AO221" s="228" t="str">
        <f t="shared" si="626"/>
        <v xml:space="preserve"> </v>
      </c>
      <c r="AP221" s="228" t="str">
        <f t="shared" ref="AP221:AP231" si="627">IF($A221="N/A"," ",RANK(X221,$R$220:$Z$231))</f>
        <v xml:space="preserve"> </v>
      </c>
      <c r="AQ221" s="228" t="str">
        <f t="shared" ref="AQ221:AQ231" si="628">IF($A221="N/A"," ",RANK(Y221,$R$220:$Z$231))</f>
        <v xml:space="preserve"> </v>
      </c>
      <c r="AR221" s="229" t="str">
        <f t="shared" ref="AR221:AR231" si="629">IF($A221="N/A"," ",RANK(Z221,$R$220:$Z$231))</f>
        <v xml:space="preserve"> </v>
      </c>
      <c r="AS221" s="262" t="str">
        <f t="shared" si="593"/>
        <v xml:space="preserve"> </v>
      </c>
      <c r="AT221" s="263" t="str">
        <f t="shared" si="594"/>
        <v xml:space="preserve"> </v>
      </c>
      <c r="AU221" s="263" t="str">
        <f t="shared" si="594"/>
        <v xml:space="preserve"> </v>
      </c>
      <c r="AV221" s="263" t="str">
        <f t="shared" si="595"/>
        <v xml:space="preserve"> </v>
      </c>
      <c r="AW221" s="263" t="str">
        <f t="shared" si="596"/>
        <v xml:space="preserve"> </v>
      </c>
      <c r="AX221" s="263" t="str">
        <f t="shared" si="596"/>
        <v xml:space="preserve"> </v>
      </c>
      <c r="AY221" s="263" t="str">
        <f t="shared" si="597"/>
        <v xml:space="preserve"> </v>
      </c>
      <c r="AZ221" s="263" t="str">
        <f t="shared" si="598"/>
        <v xml:space="preserve"> </v>
      </c>
      <c r="BA221" s="263" t="str">
        <f t="shared" si="599"/>
        <v xml:space="preserve"> </v>
      </c>
      <c r="BB221" s="229"/>
      <c r="BC221" s="266" t="str">
        <f t="shared" si="616"/>
        <v xml:space="preserve"> </v>
      </c>
      <c r="BD221" s="269" t="str">
        <f t="shared" si="617"/>
        <v xml:space="preserve"> </v>
      </c>
      <c r="BE221" s="269" t="str">
        <f t="shared" si="617"/>
        <v xml:space="preserve"> </v>
      </c>
      <c r="BF221" s="269" t="str">
        <f t="shared" si="618"/>
        <v xml:space="preserve"> </v>
      </c>
      <c r="BG221" s="269" t="str">
        <f t="shared" si="619"/>
        <v xml:space="preserve"> </v>
      </c>
      <c r="BH221" s="269" t="str">
        <f t="shared" si="619"/>
        <v xml:space="preserve"> </v>
      </c>
      <c r="BI221" s="269" t="str">
        <f t="shared" si="620"/>
        <v xml:space="preserve"> </v>
      </c>
      <c r="BJ221" s="269" t="str">
        <f t="shared" si="621"/>
        <v xml:space="preserve"> </v>
      </c>
      <c r="BK221" s="269" t="str">
        <f t="shared" si="622"/>
        <v xml:space="preserve"> </v>
      </c>
      <c r="BL221" s="229"/>
      <c r="BM221" s="220" t="str">
        <f>IF($A221="N/A"," ",(IF(MONTH(A221)&gt;=4,IF(MONTH(A221)&lt;=10,Inputs!$F$13-Inputs!$G$13,Inputs!$F$14-Inputs!$G$14),Inputs!$F$14-Inputs!$G$14))*$CK221*Availability)</f>
        <v xml:space="preserve"> </v>
      </c>
      <c r="BN221" s="221" t="str">
        <f t="shared" si="571"/>
        <v xml:space="preserve"> </v>
      </c>
      <c r="BO221" s="221" t="str">
        <f t="shared" si="572"/>
        <v xml:space="preserve"> </v>
      </c>
      <c r="BP221" s="221" t="str">
        <f t="shared" si="573"/>
        <v xml:space="preserve"> </v>
      </c>
      <c r="BQ221" s="221" t="str">
        <f t="shared" si="574"/>
        <v xml:space="preserve"> </v>
      </c>
      <c r="BR221" s="221" t="str">
        <f t="shared" si="575"/>
        <v xml:space="preserve"> </v>
      </c>
      <c r="BS221" s="221" t="str">
        <f t="shared" si="576"/>
        <v xml:space="preserve"> </v>
      </c>
      <c r="BT221" s="221" t="str">
        <f t="shared" si="577"/>
        <v xml:space="preserve"> </v>
      </c>
      <c r="BU221" s="221" t="str">
        <f t="shared" si="578"/>
        <v xml:space="preserve"> </v>
      </c>
      <c r="BV221" s="221" t="str">
        <f t="shared" si="579"/>
        <v xml:space="preserve"> </v>
      </c>
      <c r="BW221" s="221" t="str">
        <f t="shared" si="580"/>
        <v xml:space="preserve"> </v>
      </c>
      <c r="BX221" s="421" t="str">
        <f t="shared" si="581"/>
        <v xml:space="preserve"> </v>
      </c>
      <c r="BY221" s="417" t="str">
        <f t="shared" si="582"/>
        <v xml:space="preserve"> </v>
      </c>
      <c r="BZ221" s="417" t="str">
        <f t="shared" si="583"/>
        <v xml:space="preserve"> </v>
      </c>
      <c r="CA221" s="422" t="str">
        <f t="shared" si="584"/>
        <v xml:space="preserve"> </v>
      </c>
      <c r="CB221" s="347" t="str">
        <f t="shared" si="521"/>
        <v xml:space="preserve"> </v>
      </c>
      <c r="CC221" s="347" t="str">
        <f t="shared" si="585"/>
        <v xml:space="preserve"> </v>
      </c>
      <c r="CD221" s="348" t="str">
        <f t="shared" si="522"/>
        <v xml:space="preserve"> </v>
      </c>
      <c r="CE221" s="347" t="str">
        <f t="shared" si="523"/>
        <v xml:space="preserve"> </v>
      </c>
      <c r="CF221" s="347" t="str">
        <f t="shared" si="524"/>
        <v xml:space="preserve"> </v>
      </c>
      <c r="CG221" s="348" t="str">
        <f t="shared" si="525"/>
        <v xml:space="preserve"> </v>
      </c>
      <c r="CH221" s="347" t="str">
        <f t="shared" si="586"/>
        <v xml:space="preserve"> </v>
      </c>
      <c r="CI221" s="349" t="str">
        <f>IF($A221="N/A"," ",F221+G221+(D221*('Pricing Inputs'!T254)))</f>
        <v xml:space="preserve"> </v>
      </c>
      <c r="CJ221" s="347" t="str">
        <f>IF($A221="N/A"," ",IF(PV=1,0,'Pricing Inputs'!U254))</f>
        <v xml:space="preserve"> </v>
      </c>
      <c r="CK221" s="350" t="str">
        <f t="shared" si="526"/>
        <v xml:space="preserve"> </v>
      </c>
      <c r="CL221" s="365" t="str">
        <f t="shared" si="527"/>
        <v xml:space="preserve"> </v>
      </c>
      <c r="CM221" s="380" t="str">
        <f t="shared" si="587"/>
        <v xml:space="preserve"> </v>
      </c>
      <c r="CN221" s="378" t="str">
        <f t="shared" si="528"/>
        <v xml:space="preserve"> </v>
      </c>
      <c r="CO221" s="378" t="str">
        <f t="shared" si="529"/>
        <v xml:space="preserve"> </v>
      </c>
      <c r="CP221" s="378" t="str">
        <f t="shared" si="530"/>
        <v xml:space="preserve"> </v>
      </c>
      <c r="CQ221" s="378" t="str">
        <f t="shared" si="531"/>
        <v xml:space="preserve"> </v>
      </c>
      <c r="CR221" s="378" t="str">
        <f t="shared" si="532"/>
        <v xml:space="preserve"> </v>
      </c>
      <c r="CS221" s="378" t="str">
        <f t="shared" si="533"/>
        <v xml:space="preserve"> </v>
      </c>
      <c r="CT221" s="378" t="str">
        <f t="shared" si="534"/>
        <v xml:space="preserve"> </v>
      </c>
      <c r="CU221" s="378" t="str">
        <f t="shared" si="535"/>
        <v xml:space="preserve"> </v>
      </c>
      <c r="CV221" s="378" t="str">
        <f t="shared" si="536"/>
        <v xml:space="preserve"> </v>
      </c>
      <c r="CW221" s="254" t="str">
        <f t="shared" si="537"/>
        <v xml:space="preserve"> </v>
      </c>
      <c r="CX221" s="254" t="str">
        <f t="shared" si="538"/>
        <v xml:space="preserve"> </v>
      </c>
      <c r="CY221" s="254" t="str">
        <f t="shared" si="539"/>
        <v xml:space="preserve"> </v>
      </c>
      <c r="CZ221" s="254" t="str">
        <f t="shared" si="540"/>
        <v xml:space="preserve"> </v>
      </c>
      <c r="DA221" s="254" t="str">
        <f t="shared" si="541"/>
        <v xml:space="preserve"> </v>
      </c>
      <c r="DB221" s="254" t="str">
        <f t="shared" si="542"/>
        <v xml:space="preserve"> </v>
      </c>
      <c r="DC221" s="254" t="str">
        <f t="shared" si="543"/>
        <v xml:space="preserve"> </v>
      </c>
      <c r="DD221" s="254" t="str">
        <f t="shared" si="544"/>
        <v xml:space="preserve"> </v>
      </c>
      <c r="DE221" s="254" t="str">
        <f t="shared" si="545"/>
        <v xml:space="preserve"> </v>
      </c>
      <c r="DF221" s="374" t="str">
        <f>IF($A221="N/A"," ",IF(CC=2,(IF(MONTH(A221)&gt;=4,IF(MONTH(A221)&lt;=10,Inputs!$G$13,Inputs!$G$14),Inputs!$G$14))*$CK221,0))</f>
        <v xml:space="preserve"> </v>
      </c>
      <c r="DG221" s="373" t="str">
        <f t="shared" si="546"/>
        <v xml:space="preserve"> </v>
      </c>
      <c r="DH221" s="373" t="str">
        <f t="shared" si="547"/>
        <v xml:space="preserve"> </v>
      </c>
      <c r="DI221" s="373" t="str">
        <f t="shared" si="548"/>
        <v xml:space="preserve"> </v>
      </c>
      <c r="DJ221" s="373" t="str">
        <f t="shared" si="549"/>
        <v xml:space="preserve"> </v>
      </c>
      <c r="DK221" s="373" t="str">
        <f t="shared" si="550"/>
        <v xml:space="preserve"> </v>
      </c>
      <c r="DL221" s="373" t="str">
        <f t="shared" si="551"/>
        <v xml:space="preserve"> </v>
      </c>
      <c r="DM221" s="373" t="str">
        <f t="shared" si="552"/>
        <v xml:space="preserve"> </v>
      </c>
      <c r="DN221" s="373" t="str">
        <f t="shared" si="553"/>
        <v xml:space="preserve"> </v>
      </c>
      <c r="DO221" s="373" t="str">
        <f t="shared" si="554"/>
        <v xml:space="preserve"> </v>
      </c>
      <c r="DP221" s="375" t="str">
        <f t="shared" si="555"/>
        <v xml:space="preserve"> </v>
      </c>
      <c r="DQ221" t="str">
        <f t="shared" si="588"/>
        <v xml:space="preserve"> </v>
      </c>
      <c r="HD221" t="str">
        <f t="shared" si="589"/>
        <v xml:space="preserve"> </v>
      </c>
      <c r="HE221" t="str">
        <f t="shared" si="590"/>
        <v xml:space="preserve"> </v>
      </c>
      <c r="HF221" t="str">
        <f t="shared" si="591"/>
        <v xml:space="preserve"> </v>
      </c>
    </row>
    <row r="222" spans="1:214">
      <c r="A222" s="415" t="str">
        <f>IF(A221="N/A","N/A",IF(EDATE(A221,1)&gt;Inputs!$K$3,"N/A",EDATE(A221,1)))</f>
        <v>N/A</v>
      </c>
      <c r="B222" s="410" t="str">
        <f t="shared" si="556"/>
        <v xml:space="preserve"> </v>
      </c>
      <c r="C222" s="411" t="str">
        <f t="shared" si="557"/>
        <v xml:space="preserve"> </v>
      </c>
      <c r="D222" s="412" t="str">
        <f t="shared" si="558"/>
        <v xml:space="preserve"> </v>
      </c>
      <c r="E222" s="413" t="str">
        <f>IF($A222="N/A"," ",(C222-'Pricing Inputs'!T255)*D222)</f>
        <v xml:space="preserve"> </v>
      </c>
      <c r="F222" s="414" t="str">
        <f t="shared" si="607"/>
        <v xml:space="preserve"> </v>
      </c>
      <c r="G222" s="414" t="str">
        <f t="shared" si="559"/>
        <v xml:space="preserve"> </v>
      </c>
      <c r="H222" s="416" t="str">
        <f t="shared" si="560"/>
        <v xml:space="preserve"> </v>
      </c>
      <c r="I222" s="213" t="str">
        <f t="shared" si="501"/>
        <v xml:space="preserve"> </v>
      </c>
      <c r="J222" s="213" t="str">
        <f t="shared" si="502"/>
        <v xml:space="preserve"> </v>
      </c>
      <c r="K222" s="213" t="str">
        <f t="shared" si="503"/>
        <v xml:space="preserve"> </v>
      </c>
      <c r="L222" s="213" t="str">
        <f t="shared" si="504"/>
        <v xml:space="preserve"> </v>
      </c>
      <c r="M222" s="213" t="str">
        <f t="shared" si="505"/>
        <v xml:space="preserve"> </v>
      </c>
      <c r="N222" s="213" t="str">
        <f t="shared" si="506"/>
        <v xml:space="preserve"> </v>
      </c>
      <c r="O222" s="213" t="str">
        <f t="shared" si="507"/>
        <v xml:space="preserve"> </v>
      </c>
      <c r="P222" s="213" t="str">
        <f t="shared" si="508"/>
        <v xml:space="preserve"> </v>
      </c>
      <c r="Q222" s="213" t="str">
        <f t="shared" si="509"/>
        <v xml:space="preserve"> </v>
      </c>
      <c r="R222" s="405" t="str">
        <f>IF($A222="N/A"," ",IF(Pricetype=2,MAX(I222-$H222,0),IF(Pricetype=1,(_xll.xSPRDOPT(I222,$E222,$CI222,0,($CD222+IF(Smile=TRUE,VLOOKUP(MAX(-5,$H222-I222),Volsmile,2),0)),$CG222,$CH222,($A222-DateToday)+15,1,0)),I222-$H222)))</f>
        <v xml:space="preserve"> </v>
      </c>
      <c r="S222" s="405" t="str">
        <f>IF($A222="N/A"," ",IF(Pricetype=2,MAX(J222-$H222,0),IF(Pricetype=1,(_xll.xSPRDOPT(J222,$E222,$CI222,0,($CD222+IF(Smile=TRUE,VLOOKUP(MAX(-5,$H222-J222),Volsmile,2),0)),$CG222,$CH222,($A222-DateToday)+15,1,0)),J222-$H222)))</f>
        <v xml:space="preserve"> </v>
      </c>
      <c r="T222" s="406" t="str">
        <f t="shared" si="510"/>
        <v xml:space="preserve"> </v>
      </c>
      <c r="U222" s="405" t="str">
        <f>IF($A222="N/A"," ",IF(Pricetype=2,MAX(L222-$H222,0),IF(L222&lt;&gt;0,IF(Pricetype=1,(_xll.xSPRDOPT(L222,$E222,$CI222,0,($CD222+IF(Smile=TRUE,VLOOKUP(MAX(-5,$H222-L222),Volsmile,2),0)),$CG222,$CH222,($A222-DateToday)+15,1,0)),L222-$H222),0)))</f>
        <v xml:space="preserve"> </v>
      </c>
      <c r="V222" s="405" t="str">
        <f>IF($A222="N/A"," ",IF(Pricetype=2,MAX(M222-$H222,0),IF(M222&lt;&gt;0,IF(Pricetype=1,(_xll.xSPRDOPT(M222,$E222,$CI222,0,($CD222+IF(Smile=TRUE,VLOOKUP(MAX(-5,$H222-M222),Volsmile,2),0)),$CG222,$CH222,($A222-DateToday)+15,1,0)),M222-$H222),0)))</f>
        <v xml:space="preserve"> </v>
      </c>
      <c r="W222" s="406" t="str">
        <f t="shared" si="511"/>
        <v xml:space="preserve"> </v>
      </c>
      <c r="X222" s="405" t="str">
        <f>IF($A222="N/A"," ",IF(Pricetype=2,MAX(O222-$H222,0),IF(O222&lt;&gt;0,IF(Pricetype=1,(_xll.xSPRDOPT(O222,$E222,$CI222,0,($CD222+IF(Smile=TRUE,VLOOKUP(MAX(-5,$H222-O222),Volsmile,2),0)),$CG222,$CH222,($A222-DateToday)+15,1,0)),O222-$H222),0)))</f>
        <v xml:space="preserve"> </v>
      </c>
      <c r="Y222" s="405" t="str">
        <f>IF($A222="N/A"," ",IF(Pricetype=2,MAX(P222-$H222,0),IF(P222&lt;&gt;0,IF(Pricetype=1,(_xll.xSPRDOPT(P222,$E222,$CI222,0,($CD222+IF(Smile=TRUE,VLOOKUP(MAX(-5,$H222-P222),Volsmile,2),0)),$CG222,$CH222,($A222-DateToday)+15,1,0)),P222-$H222),0)))</f>
        <v xml:space="preserve"> </v>
      </c>
      <c r="Z222" s="406" t="str">
        <f t="shared" si="512"/>
        <v xml:space="preserve"> </v>
      </c>
      <c r="AA222" s="254" t="str">
        <f>IF($A222="N/A"," ",IF(VLOOKUP(MONTH(A222),ManualTable,2)=1,(IF(0&lt;&gt;R222,IF(Pricetype=1,(_xll.xSPRDOPT(I222,$E222,$CI222,0,($CD222+IF(Smile=TRUE,VLOOKUP(MAX(-5,$H222-I222),Volsmile,2),0)),$CG222,$CH222,($A222-DateToday)+15,1,1))*(8*$HD222),8*$HD222),0)),0))</f>
        <v xml:space="preserve"> </v>
      </c>
      <c r="AB222" s="254" t="str">
        <f>IF($A222="N/A"," ",IF(VLOOKUP(MONTH(A222),ManualTable,3)=1,(IF(S222&lt;&gt;0,IF(Pricetype=1,(_xll.xSPRDOPT(J222,$E222,$CI222,0,($CD222+IF(Smile=TRUE,VLOOKUP(MAX(-5,$H222-J222),Volsmile,2),0)),$CG222,$CH222,($A222-DateToday)+15,1,1))*(8*$HD222),8*$HD222),0)),0))</f>
        <v xml:space="preserve"> </v>
      </c>
      <c r="AC222" s="254" t="str">
        <f t="shared" si="561"/>
        <v xml:space="preserve"> </v>
      </c>
      <c r="AD222" s="254" t="str">
        <f>IF($A222="N/A"," ",IF(VLOOKUP(MONTH(A222),ManualTable,5)=1,(IF(U222&lt;&gt;0,IF(Pricetype=1,(_xll.xSPRDOPT(L222,$E222,$CI222,0,($CD222+IF(Smile=TRUE,VLOOKUP(MAX(-5,$H222-L222),Volsmile,2),0)),$CG222,$CH222,($A222-DateToday)+15,1,1))*(8*$HE222),8*$HE222),0)),0))</f>
        <v xml:space="preserve"> </v>
      </c>
      <c r="AE222" s="254" t="str">
        <f>IF($A222="N/A"," ",IF(VLOOKUP(MONTH(A222),ManualTable,6)=1,(IF(V222&lt;&gt;0,IF(Pricetype=1,(_xll.xSPRDOPT(M222,$E222,$CI222,0,($CD222+IF(Smile=TRUE,VLOOKUP(MAX(-5,$H222-M222),Volsmile,2),0)),$CG222,$CH222,($A222-DateToday)+15,1,1))*(8*$HE222),8*$HE222),0)),0))</f>
        <v xml:space="preserve"> </v>
      </c>
      <c r="AF222" s="254" t="str">
        <f t="shared" si="562"/>
        <v xml:space="preserve"> </v>
      </c>
      <c r="AG222" s="254" t="str">
        <f>IF($A222="N/A"," ",IF(VLOOKUP(MONTH(A222),ManualTable,8)=1,(IF(X222&lt;&gt;0,IF(Pricetype=1,(_xll.xSPRDOPT(O222,$E222,$CI222,0,($CD222+IF(Smile=TRUE,VLOOKUP(MAX(-5,$H222-O222),Volsmile,2),0)),$CG222,$CH222,($A222-DateToday)+15,1,1))*(8*$HF222),8*$HF222),0)),0))</f>
        <v xml:space="preserve"> </v>
      </c>
      <c r="AH222" s="254" t="str">
        <f>IF($A222="N/A"," ",IF(VLOOKUP(MONTH(A222),ManualTable,9)=1,(IF(Y222&lt;&gt;0,IF(Pricetype=1,(_xll.xSPRDOPT(P222,$E222,$CI222,0,($CD222+IF(Smile=TRUE,VLOOKUP(MAX(-5,$H222-P222),Volsmile,2),0)),$CG222,$CH222,($A222-DateToday)+15,1,1))*(8*$HF222),8*$HF222),0)),0))</f>
        <v xml:space="preserve"> </v>
      </c>
      <c r="AI222" s="254" t="str">
        <f t="shared" si="563"/>
        <v xml:space="preserve"> </v>
      </c>
      <c r="AJ222" s="227" t="str">
        <f t="shared" si="623"/>
        <v xml:space="preserve"> </v>
      </c>
      <c r="AK222" s="228" t="str">
        <f t="shared" si="624"/>
        <v xml:space="preserve"> </v>
      </c>
      <c r="AL222" s="228" t="str">
        <f t="shared" si="624"/>
        <v xml:space="preserve"> </v>
      </c>
      <c r="AM222" s="228" t="str">
        <f t="shared" si="625"/>
        <v xml:space="preserve"> </v>
      </c>
      <c r="AN222" s="228" t="str">
        <f t="shared" si="626"/>
        <v xml:space="preserve"> </v>
      </c>
      <c r="AO222" s="228" t="str">
        <f t="shared" si="626"/>
        <v xml:space="preserve"> </v>
      </c>
      <c r="AP222" s="228" t="str">
        <f t="shared" si="627"/>
        <v xml:space="preserve"> </v>
      </c>
      <c r="AQ222" s="228" t="str">
        <f t="shared" si="628"/>
        <v xml:space="preserve"> </v>
      </c>
      <c r="AR222" s="229" t="str">
        <f t="shared" si="629"/>
        <v xml:space="preserve"> </v>
      </c>
      <c r="AS222" s="262" t="str">
        <f t="shared" si="593"/>
        <v xml:space="preserve"> </v>
      </c>
      <c r="AT222" s="263" t="str">
        <f t="shared" si="594"/>
        <v xml:space="preserve"> </v>
      </c>
      <c r="AU222" s="263" t="str">
        <f t="shared" si="594"/>
        <v xml:space="preserve"> </v>
      </c>
      <c r="AV222" s="263" t="str">
        <f t="shared" si="595"/>
        <v xml:space="preserve"> </v>
      </c>
      <c r="AW222" s="263" t="str">
        <f t="shared" si="596"/>
        <v xml:space="preserve"> </v>
      </c>
      <c r="AX222" s="263" t="str">
        <f t="shared" si="596"/>
        <v xml:space="preserve"> </v>
      </c>
      <c r="AY222" s="263" t="str">
        <f t="shared" si="597"/>
        <v xml:space="preserve"> </v>
      </c>
      <c r="AZ222" s="263" t="str">
        <f t="shared" si="598"/>
        <v xml:space="preserve"> </v>
      </c>
      <c r="BA222" s="263" t="str">
        <f t="shared" si="599"/>
        <v xml:space="preserve"> </v>
      </c>
      <c r="BB222" s="229"/>
      <c r="BC222" s="266" t="str">
        <f t="shared" si="616"/>
        <v xml:space="preserve"> </v>
      </c>
      <c r="BD222" s="269" t="str">
        <f t="shared" si="617"/>
        <v xml:space="preserve"> </v>
      </c>
      <c r="BE222" s="269" t="str">
        <f t="shared" si="617"/>
        <v xml:space="preserve"> </v>
      </c>
      <c r="BF222" s="269" t="str">
        <f t="shared" si="618"/>
        <v xml:space="preserve"> </v>
      </c>
      <c r="BG222" s="269" t="str">
        <f t="shared" si="619"/>
        <v xml:space="preserve"> </v>
      </c>
      <c r="BH222" s="269" t="str">
        <f t="shared" si="619"/>
        <v xml:space="preserve"> </v>
      </c>
      <c r="BI222" s="269" t="str">
        <f t="shared" si="620"/>
        <v xml:space="preserve"> </v>
      </c>
      <c r="BJ222" s="269" t="str">
        <f t="shared" si="621"/>
        <v xml:space="preserve"> </v>
      </c>
      <c r="BK222" s="269" t="str">
        <f t="shared" si="622"/>
        <v xml:space="preserve"> </v>
      </c>
      <c r="BL222" s="229"/>
      <c r="BM222" s="220" t="str">
        <f>IF($A222="N/A"," ",(IF(MONTH(A222)&gt;=4,IF(MONTH(A222)&lt;=10,Inputs!$F$13-Inputs!$G$13,Inputs!$F$14-Inputs!$G$14),Inputs!$F$14-Inputs!$G$14))*$CK222*Availability)</f>
        <v xml:space="preserve"> </v>
      </c>
      <c r="BN222" s="221" t="str">
        <f t="shared" si="571"/>
        <v xml:space="preserve"> </v>
      </c>
      <c r="BO222" s="221" t="str">
        <f t="shared" si="572"/>
        <v xml:space="preserve"> </v>
      </c>
      <c r="BP222" s="221" t="str">
        <f t="shared" si="573"/>
        <v xml:space="preserve"> </v>
      </c>
      <c r="BQ222" s="221" t="str">
        <f t="shared" si="574"/>
        <v xml:space="preserve"> </v>
      </c>
      <c r="BR222" s="221" t="str">
        <f t="shared" si="575"/>
        <v xml:space="preserve"> </v>
      </c>
      <c r="BS222" s="221" t="str">
        <f t="shared" si="576"/>
        <v xml:space="preserve"> </v>
      </c>
      <c r="BT222" s="221" t="str">
        <f t="shared" si="577"/>
        <v xml:space="preserve"> </v>
      </c>
      <c r="BU222" s="221" t="str">
        <f t="shared" si="578"/>
        <v xml:space="preserve"> </v>
      </c>
      <c r="BV222" s="221" t="str">
        <f t="shared" si="579"/>
        <v xml:space="preserve"> </v>
      </c>
      <c r="BW222" s="221" t="str">
        <f t="shared" si="580"/>
        <v xml:space="preserve"> </v>
      </c>
      <c r="BX222" s="421" t="str">
        <f t="shared" si="581"/>
        <v xml:space="preserve"> </v>
      </c>
      <c r="BY222" s="417" t="str">
        <f t="shared" si="582"/>
        <v xml:space="preserve"> </v>
      </c>
      <c r="BZ222" s="417" t="str">
        <f t="shared" si="583"/>
        <v xml:space="preserve"> </v>
      </c>
      <c r="CA222" s="422" t="str">
        <f t="shared" si="584"/>
        <v xml:space="preserve"> </v>
      </c>
      <c r="CB222" s="347" t="str">
        <f t="shared" si="521"/>
        <v xml:space="preserve"> </v>
      </c>
      <c r="CC222" s="347" t="str">
        <f t="shared" si="585"/>
        <v xml:space="preserve"> </v>
      </c>
      <c r="CD222" s="348" t="str">
        <f t="shared" si="522"/>
        <v xml:space="preserve"> </v>
      </c>
      <c r="CE222" s="347" t="str">
        <f t="shared" si="523"/>
        <v xml:space="preserve"> </v>
      </c>
      <c r="CF222" s="347" t="str">
        <f t="shared" si="524"/>
        <v xml:space="preserve"> </v>
      </c>
      <c r="CG222" s="348" t="str">
        <f t="shared" si="525"/>
        <v xml:space="preserve"> </v>
      </c>
      <c r="CH222" s="347" t="str">
        <f t="shared" si="586"/>
        <v xml:space="preserve"> </v>
      </c>
      <c r="CI222" s="349" t="str">
        <f>IF($A222="N/A"," ",F222+G222+(D222*('Pricing Inputs'!T255)))</f>
        <v xml:space="preserve"> </v>
      </c>
      <c r="CJ222" s="347" t="str">
        <f>IF($A222="N/A"," ",IF(PV=1,0,'Pricing Inputs'!U255))</f>
        <v xml:space="preserve"> </v>
      </c>
      <c r="CK222" s="350" t="str">
        <f t="shared" si="526"/>
        <v xml:space="preserve"> </v>
      </c>
      <c r="CL222" s="365" t="str">
        <f t="shared" si="527"/>
        <v xml:space="preserve"> </v>
      </c>
      <c r="CM222" s="380" t="str">
        <f t="shared" si="587"/>
        <v xml:space="preserve"> </v>
      </c>
      <c r="CN222" s="378" t="str">
        <f t="shared" si="528"/>
        <v xml:space="preserve"> </v>
      </c>
      <c r="CO222" s="378" t="str">
        <f t="shared" si="529"/>
        <v xml:space="preserve"> </v>
      </c>
      <c r="CP222" s="378" t="str">
        <f t="shared" si="530"/>
        <v xml:space="preserve"> </v>
      </c>
      <c r="CQ222" s="378" t="str">
        <f t="shared" si="531"/>
        <v xml:space="preserve"> </v>
      </c>
      <c r="CR222" s="378" t="str">
        <f t="shared" si="532"/>
        <v xml:space="preserve"> </v>
      </c>
      <c r="CS222" s="378" t="str">
        <f t="shared" si="533"/>
        <v xml:space="preserve"> </v>
      </c>
      <c r="CT222" s="378" t="str">
        <f t="shared" si="534"/>
        <v xml:space="preserve"> </v>
      </c>
      <c r="CU222" s="378" t="str">
        <f t="shared" si="535"/>
        <v xml:space="preserve"> </v>
      </c>
      <c r="CV222" s="378" t="str">
        <f t="shared" si="536"/>
        <v xml:space="preserve"> </v>
      </c>
      <c r="CW222" s="254" t="str">
        <f t="shared" si="537"/>
        <v xml:space="preserve"> </v>
      </c>
      <c r="CX222" s="254" t="str">
        <f t="shared" si="538"/>
        <v xml:space="preserve"> </v>
      </c>
      <c r="CY222" s="254" t="str">
        <f t="shared" si="539"/>
        <v xml:space="preserve"> </v>
      </c>
      <c r="CZ222" s="254" t="str">
        <f t="shared" si="540"/>
        <v xml:space="preserve"> </v>
      </c>
      <c r="DA222" s="254" t="str">
        <f t="shared" si="541"/>
        <v xml:space="preserve"> </v>
      </c>
      <c r="DB222" s="254" t="str">
        <f t="shared" si="542"/>
        <v xml:space="preserve"> </v>
      </c>
      <c r="DC222" s="254" t="str">
        <f t="shared" si="543"/>
        <v xml:space="preserve"> </v>
      </c>
      <c r="DD222" s="254" t="str">
        <f t="shared" si="544"/>
        <v xml:space="preserve"> </v>
      </c>
      <c r="DE222" s="254" t="str">
        <f t="shared" si="545"/>
        <v xml:space="preserve"> </v>
      </c>
      <c r="DF222" s="374" t="str">
        <f>IF($A222="N/A"," ",IF(CC=2,(IF(MONTH(A222)&gt;=4,IF(MONTH(A222)&lt;=10,Inputs!$G$13,Inputs!$G$14),Inputs!$G$14))*$CK222,0))</f>
        <v xml:space="preserve"> </v>
      </c>
      <c r="DG222" s="373" t="str">
        <f t="shared" si="546"/>
        <v xml:space="preserve"> </v>
      </c>
      <c r="DH222" s="373" t="str">
        <f t="shared" si="547"/>
        <v xml:space="preserve"> </v>
      </c>
      <c r="DI222" s="373" t="str">
        <f t="shared" si="548"/>
        <v xml:space="preserve"> </v>
      </c>
      <c r="DJ222" s="373" t="str">
        <f t="shared" si="549"/>
        <v xml:space="preserve"> </v>
      </c>
      <c r="DK222" s="373" t="str">
        <f t="shared" si="550"/>
        <v xml:space="preserve"> </v>
      </c>
      <c r="DL222" s="373" t="str">
        <f t="shared" si="551"/>
        <v xml:space="preserve"> </v>
      </c>
      <c r="DM222" s="373" t="str">
        <f t="shared" si="552"/>
        <v xml:space="preserve"> </v>
      </c>
      <c r="DN222" s="373" t="str">
        <f t="shared" si="553"/>
        <v xml:space="preserve"> </v>
      </c>
      <c r="DO222" s="373" t="str">
        <f t="shared" si="554"/>
        <v xml:space="preserve"> </v>
      </c>
      <c r="DP222" s="375" t="str">
        <f t="shared" si="555"/>
        <v xml:space="preserve"> </v>
      </c>
      <c r="DQ222" t="str">
        <f t="shared" si="588"/>
        <v xml:space="preserve"> </v>
      </c>
      <c r="HD222" t="str">
        <f t="shared" si="589"/>
        <v xml:space="preserve"> </v>
      </c>
      <c r="HE222" t="str">
        <f t="shared" si="590"/>
        <v xml:space="preserve"> </v>
      </c>
      <c r="HF222" t="str">
        <f t="shared" si="591"/>
        <v xml:space="preserve"> </v>
      </c>
    </row>
    <row r="223" spans="1:214">
      <c r="A223" s="415" t="str">
        <f>IF(A222="N/A","N/A",IF(EDATE(A222,1)&gt;Inputs!$K$3,"N/A",EDATE(A222,1)))</f>
        <v>N/A</v>
      </c>
      <c r="B223" s="410" t="str">
        <f t="shared" si="556"/>
        <v xml:space="preserve"> </v>
      </c>
      <c r="C223" s="411" t="str">
        <f t="shared" si="557"/>
        <v xml:space="preserve"> </v>
      </c>
      <c r="D223" s="412" t="str">
        <f t="shared" si="558"/>
        <v xml:space="preserve"> </v>
      </c>
      <c r="E223" s="413" t="str">
        <f>IF($A223="N/A"," ",(C223-'Pricing Inputs'!T256)*D223)</f>
        <v xml:space="preserve"> </v>
      </c>
      <c r="F223" s="414" t="str">
        <f t="shared" si="607"/>
        <v xml:space="preserve"> </v>
      </c>
      <c r="G223" s="414" t="str">
        <f t="shared" si="559"/>
        <v xml:space="preserve"> </v>
      </c>
      <c r="H223" s="416" t="str">
        <f t="shared" si="560"/>
        <v xml:space="preserve"> </v>
      </c>
      <c r="I223" s="213" t="str">
        <f t="shared" si="501"/>
        <v xml:space="preserve"> </v>
      </c>
      <c r="J223" s="213" t="str">
        <f t="shared" si="502"/>
        <v xml:space="preserve"> </v>
      </c>
      <c r="K223" s="213" t="str">
        <f t="shared" si="503"/>
        <v xml:space="preserve"> </v>
      </c>
      <c r="L223" s="213" t="str">
        <f t="shared" si="504"/>
        <v xml:space="preserve"> </v>
      </c>
      <c r="M223" s="213" t="str">
        <f t="shared" si="505"/>
        <v xml:space="preserve"> </v>
      </c>
      <c r="N223" s="213" t="str">
        <f t="shared" si="506"/>
        <v xml:space="preserve"> </v>
      </c>
      <c r="O223" s="213" t="str">
        <f t="shared" si="507"/>
        <v xml:space="preserve"> </v>
      </c>
      <c r="P223" s="213" t="str">
        <f t="shared" si="508"/>
        <v xml:space="preserve"> </v>
      </c>
      <c r="Q223" s="213" t="str">
        <f t="shared" si="509"/>
        <v xml:space="preserve"> </v>
      </c>
      <c r="R223" s="405" t="str">
        <f>IF($A223="N/A"," ",IF(Pricetype=2,MAX(I223-$H223,0),IF(Pricetype=1,(_xll.xSPRDOPT(I223,$E223,$CI223,0,($CD223+IF(Smile=TRUE,VLOOKUP(MAX(-5,$H223-I223),Volsmile,2),0)),$CG223,$CH223,($A223-DateToday)+15,1,0)),I223-$H223)))</f>
        <v xml:space="preserve"> </v>
      </c>
      <c r="S223" s="405" t="str">
        <f>IF($A223="N/A"," ",IF(Pricetype=2,MAX(J223-$H223,0),IF(Pricetype=1,(_xll.xSPRDOPT(J223,$E223,$CI223,0,($CD223+IF(Smile=TRUE,VLOOKUP(MAX(-5,$H223-J223),Volsmile,2),0)),$CG223,$CH223,($A223-DateToday)+15,1,0)),J223-$H223)))</f>
        <v xml:space="preserve"> </v>
      </c>
      <c r="T223" s="406" t="str">
        <f t="shared" si="510"/>
        <v xml:space="preserve"> </v>
      </c>
      <c r="U223" s="405" t="str">
        <f>IF($A223="N/A"," ",IF(Pricetype=2,MAX(L223-$H223,0),IF(L223&lt;&gt;0,IF(Pricetype=1,(_xll.xSPRDOPT(L223,$E223,$CI223,0,($CD223+IF(Smile=TRUE,VLOOKUP(MAX(-5,$H223-L223),Volsmile,2),0)),$CG223,$CH223,($A223-DateToday)+15,1,0)),L223-$H223),0)))</f>
        <v xml:space="preserve"> </v>
      </c>
      <c r="V223" s="405" t="str">
        <f>IF($A223="N/A"," ",IF(Pricetype=2,MAX(M223-$H223,0),IF(M223&lt;&gt;0,IF(Pricetype=1,(_xll.xSPRDOPT(M223,$E223,$CI223,0,($CD223+IF(Smile=TRUE,VLOOKUP(MAX(-5,$H223-M223),Volsmile,2),0)),$CG223,$CH223,($A223-DateToday)+15,1,0)),M223-$H223),0)))</f>
        <v xml:space="preserve"> </v>
      </c>
      <c r="W223" s="406" t="str">
        <f t="shared" si="511"/>
        <v xml:space="preserve"> </v>
      </c>
      <c r="X223" s="405" t="str">
        <f>IF($A223="N/A"," ",IF(Pricetype=2,MAX(O223-$H223,0),IF(O223&lt;&gt;0,IF(Pricetype=1,(_xll.xSPRDOPT(O223,$E223,$CI223,0,($CD223+IF(Smile=TRUE,VLOOKUP(MAX(-5,$H223-O223),Volsmile,2),0)),$CG223,$CH223,($A223-DateToday)+15,1,0)),O223-$H223),0)))</f>
        <v xml:space="preserve"> </v>
      </c>
      <c r="Y223" s="405" t="str">
        <f>IF($A223="N/A"," ",IF(Pricetype=2,MAX(P223-$H223,0),IF(P223&lt;&gt;0,IF(Pricetype=1,(_xll.xSPRDOPT(P223,$E223,$CI223,0,($CD223+IF(Smile=TRUE,VLOOKUP(MAX(-5,$H223-P223),Volsmile,2),0)),$CG223,$CH223,($A223-DateToday)+15,1,0)),P223-$H223),0)))</f>
        <v xml:space="preserve"> </v>
      </c>
      <c r="Z223" s="406" t="str">
        <f t="shared" si="512"/>
        <v xml:space="preserve"> </v>
      </c>
      <c r="AA223" s="254" t="str">
        <f>IF($A223="N/A"," ",IF(VLOOKUP(MONTH(A223),ManualTable,2)=1,(IF(0&lt;&gt;R223,IF(Pricetype=1,(_xll.xSPRDOPT(I223,$E223,$CI223,0,($CD223+IF(Smile=TRUE,VLOOKUP(MAX(-5,$H223-I223),Volsmile,2),0)),$CG223,$CH223,($A223-DateToday)+15,1,1))*(8*$HD223),8*$HD223),0)),0))</f>
        <v xml:space="preserve"> </v>
      </c>
      <c r="AB223" s="254" t="str">
        <f>IF($A223="N/A"," ",IF(VLOOKUP(MONTH(A223),ManualTable,3)=1,(IF(S223&lt;&gt;0,IF(Pricetype=1,(_xll.xSPRDOPT(J223,$E223,$CI223,0,($CD223+IF(Smile=TRUE,VLOOKUP(MAX(-5,$H223-J223),Volsmile,2),0)),$CG223,$CH223,($A223-DateToday)+15,1,1))*(8*$HD223),8*$HD223),0)),0))</f>
        <v xml:space="preserve"> </v>
      </c>
      <c r="AC223" s="254" t="str">
        <f t="shared" si="561"/>
        <v xml:space="preserve"> </v>
      </c>
      <c r="AD223" s="254" t="str">
        <f>IF($A223="N/A"," ",IF(VLOOKUP(MONTH(A223),ManualTable,5)=1,(IF(U223&lt;&gt;0,IF(Pricetype=1,(_xll.xSPRDOPT(L223,$E223,$CI223,0,($CD223+IF(Smile=TRUE,VLOOKUP(MAX(-5,$H223-L223),Volsmile,2),0)),$CG223,$CH223,($A223-DateToday)+15,1,1))*(8*$HE223),8*$HE223),0)),0))</f>
        <v xml:space="preserve"> </v>
      </c>
      <c r="AE223" s="254" t="str">
        <f>IF($A223="N/A"," ",IF(VLOOKUP(MONTH(A223),ManualTable,6)=1,(IF(V223&lt;&gt;0,IF(Pricetype=1,(_xll.xSPRDOPT(M223,$E223,$CI223,0,($CD223+IF(Smile=TRUE,VLOOKUP(MAX(-5,$H223-M223),Volsmile,2),0)),$CG223,$CH223,($A223-DateToday)+15,1,1))*(8*$HE223),8*$HE223),0)),0))</f>
        <v xml:space="preserve"> </v>
      </c>
      <c r="AF223" s="254" t="str">
        <f t="shared" si="562"/>
        <v xml:space="preserve"> </v>
      </c>
      <c r="AG223" s="254" t="str">
        <f>IF($A223="N/A"," ",IF(VLOOKUP(MONTH(A223),ManualTable,8)=1,(IF(X223&lt;&gt;0,IF(Pricetype=1,(_xll.xSPRDOPT(O223,$E223,$CI223,0,($CD223+IF(Smile=TRUE,VLOOKUP(MAX(-5,$H223-O223),Volsmile,2),0)),$CG223,$CH223,($A223-DateToday)+15,1,1))*(8*$HF223),8*$HF223),0)),0))</f>
        <v xml:space="preserve"> </v>
      </c>
      <c r="AH223" s="254" t="str">
        <f>IF($A223="N/A"," ",IF(VLOOKUP(MONTH(A223),ManualTable,9)=1,(IF(Y223&lt;&gt;0,IF(Pricetype=1,(_xll.xSPRDOPT(P223,$E223,$CI223,0,($CD223+IF(Smile=TRUE,VLOOKUP(MAX(-5,$H223-P223),Volsmile,2),0)),$CG223,$CH223,($A223-DateToday)+15,1,1))*(8*$HF223),8*$HF223),0)),0))</f>
        <v xml:space="preserve"> </v>
      </c>
      <c r="AI223" s="254" t="str">
        <f t="shared" si="563"/>
        <v xml:space="preserve"> </v>
      </c>
      <c r="AJ223" s="227" t="str">
        <f t="shared" si="623"/>
        <v xml:space="preserve"> </v>
      </c>
      <c r="AK223" s="228" t="str">
        <f t="shared" si="624"/>
        <v xml:space="preserve"> </v>
      </c>
      <c r="AL223" s="228" t="str">
        <f t="shared" si="624"/>
        <v xml:space="preserve"> </v>
      </c>
      <c r="AM223" s="228" t="str">
        <f t="shared" si="625"/>
        <v xml:space="preserve"> </v>
      </c>
      <c r="AN223" s="228" t="str">
        <f t="shared" si="626"/>
        <v xml:space="preserve"> </v>
      </c>
      <c r="AO223" s="228" t="str">
        <f t="shared" si="626"/>
        <v xml:space="preserve"> </v>
      </c>
      <c r="AP223" s="228" t="str">
        <f t="shared" si="627"/>
        <v xml:space="preserve"> </v>
      </c>
      <c r="AQ223" s="228" t="str">
        <f t="shared" si="628"/>
        <v xml:space="preserve"> </v>
      </c>
      <c r="AR223" s="229" t="str">
        <f t="shared" si="629"/>
        <v xml:space="preserve"> </v>
      </c>
      <c r="AS223" s="262" t="str">
        <f t="shared" si="593"/>
        <v xml:space="preserve"> </v>
      </c>
      <c r="AT223" s="263" t="str">
        <f t="shared" si="594"/>
        <v xml:space="preserve"> </v>
      </c>
      <c r="AU223" s="263" t="str">
        <f t="shared" si="594"/>
        <v xml:space="preserve"> </v>
      </c>
      <c r="AV223" s="263" t="str">
        <f t="shared" si="595"/>
        <v xml:space="preserve"> </v>
      </c>
      <c r="AW223" s="263" t="str">
        <f t="shared" si="596"/>
        <v xml:space="preserve"> </v>
      </c>
      <c r="AX223" s="263" t="str">
        <f t="shared" si="596"/>
        <v xml:space="preserve"> </v>
      </c>
      <c r="AY223" s="263" t="str">
        <f t="shared" si="597"/>
        <v xml:space="preserve"> </v>
      </c>
      <c r="AZ223" s="263" t="str">
        <f t="shared" si="598"/>
        <v xml:space="preserve"> </v>
      </c>
      <c r="BA223" s="263" t="str">
        <f t="shared" si="599"/>
        <v xml:space="preserve"> </v>
      </c>
      <c r="BB223" s="229"/>
      <c r="BC223" s="266" t="str">
        <f t="shared" si="616"/>
        <v xml:space="preserve"> </v>
      </c>
      <c r="BD223" s="269" t="str">
        <f t="shared" si="617"/>
        <v xml:space="preserve"> </v>
      </c>
      <c r="BE223" s="269" t="str">
        <f t="shared" si="617"/>
        <v xml:space="preserve"> </v>
      </c>
      <c r="BF223" s="269" t="str">
        <f t="shared" si="618"/>
        <v xml:space="preserve"> </v>
      </c>
      <c r="BG223" s="269" t="str">
        <f t="shared" si="619"/>
        <v xml:space="preserve"> </v>
      </c>
      <c r="BH223" s="269" t="str">
        <f t="shared" si="619"/>
        <v xml:space="preserve"> </v>
      </c>
      <c r="BI223" s="269" t="str">
        <f t="shared" si="620"/>
        <v xml:space="preserve"> </v>
      </c>
      <c r="BJ223" s="269" t="str">
        <f t="shared" si="621"/>
        <v xml:space="preserve"> </v>
      </c>
      <c r="BK223" s="269" t="str">
        <f t="shared" si="622"/>
        <v xml:space="preserve"> </v>
      </c>
      <c r="BL223" s="229"/>
      <c r="BM223" s="220" t="str">
        <f>IF($A223="N/A"," ",(IF(MONTH(A223)&gt;=4,IF(MONTH(A223)&lt;=10,Inputs!$F$13-Inputs!$G$13,Inputs!$F$14-Inputs!$G$14),Inputs!$F$14-Inputs!$G$14))*$CK223*Availability)</f>
        <v xml:space="preserve"> </v>
      </c>
      <c r="BN223" s="221" t="str">
        <f t="shared" si="571"/>
        <v xml:space="preserve"> </v>
      </c>
      <c r="BO223" s="221" t="str">
        <f t="shared" si="572"/>
        <v xml:space="preserve"> </v>
      </c>
      <c r="BP223" s="221" t="str">
        <f t="shared" si="573"/>
        <v xml:space="preserve"> </v>
      </c>
      <c r="BQ223" s="221" t="str">
        <f t="shared" si="574"/>
        <v xml:space="preserve"> </v>
      </c>
      <c r="BR223" s="221" t="str">
        <f t="shared" si="575"/>
        <v xml:space="preserve"> </v>
      </c>
      <c r="BS223" s="221" t="str">
        <f t="shared" si="576"/>
        <v xml:space="preserve"> </v>
      </c>
      <c r="BT223" s="221" t="str">
        <f t="shared" si="577"/>
        <v xml:space="preserve"> </v>
      </c>
      <c r="BU223" s="221" t="str">
        <f t="shared" si="578"/>
        <v xml:space="preserve"> </v>
      </c>
      <c r="BV223" s="221" t="str">
        <f t="shared" si="579"/>
        <v xml:space="preserve"> </v>
      </c>
      <c r="BW223" s="221" t="str">
        <f t="shared" si="580"/>
        <v xml:space="preserve"> </v>
      </c>
      <c r="BX223" s="421" t="str">
        <f t="shared" si="581"/>
        <v xml:space="preserve"> </v>
      </c>
      <c r="BY223" s="417" t="str">
        <f t="shared" si="582"/>
        <v xml:space="preserve"> </v>
      </c>
      <c r="BZ223" s="417" t="str">
        <f t="shared" si="583"/>
        <v xml:space="preserve"> </v>
      </c>
      <c r="CA223" s="422" t="str">
        <f t="shared" si="584"/>
        <v xml:space="preserve"> </v>
      </c>
      <c r="CB223" s="347" t="str">
        <f t="shared" si="521"/>
        <v xml:space="preserve"> </v>
      </c>
      <c r="CC223" s="347" t="str">
        <f t="shared" si="585"/>
        <v xml:space="preserve"> </v>
      </c>
      <c r="CD223" s="348" t="str">
        <f t="shared" si="522"/>
        <v xml:space="preserve"> </v>
      </c>
      <c r="CE223" s="347" t="str">
        <f t="shared" si="523"/>
        <v xml:space="preserve"> </v>
      </c>
      <c r="CF223" s="347" t="str">
        <f t="shared" si="524"/>
        <v xml:space="preserve"> </v>
      </c>
      <c r="CG223" s="348" t="str">
        <f t="shared" si="525"/>
        <v xml:space="preserve"> </v>
      </c>
      <c r="CH223" s="347" t="str">
        <f t="shared" si="586"/>
        <v xml:space="preserve"> </v>
      </c>
      <c r="CI223" s="349" t="str">
        <f>IF($A223="N/A"," ",F223+G223+(D223*('Pricing Inputs'!T256)))</f>
        <v xml:space="preserve"> </v>
      </c>
      <c r="CJ223" s="347" t="str">
        <f>IF($A223="N/A"," ",IF(PV=1,0,'Pricing Inputs'!U256))</f>
        <v xml:space="preserve"> </v>
      </c>
      <c r="CK223" s="350" t="str">
        <f t="shared" si="526"/>
        <v xml:space="preserve"> </v>
      </c>
      <c r="CL223" s="365" t="str">
        <f t="shared" si="527"/>
        <v xml:space="preserve"> </v>
      </c>
      <c r="CM223" s="380" t="str">
        <f t="shared" si="587"/>
        <v xml:space="preserve"> </v>
      </c>
      <c r="CN223" s="378" t="str">
        <f t="shared" si="528"/>
        <v xml:space="preserve"> </v>
      </c>
      <c r="CO223" s="378" t="str">
        <f t="shared" si="529"/>
        <v xml:space="preserve"> </v>
      </c>
      <c r="CP223" s="378" t="str">
        <f t="shared" si="530"/>
        <v xml:space="preserve"> </v>
      </c>
      <c r="CQ223" s="378" t="str">
        <f t="shared" si="531"/>
        <v xml:space="preserve"> </v>
      </c>
      <c r="CR223" s="378" t="str">
        <f t="shared" si="532"/>
        <v xml:space="preserve"> </v>
      </c>
      <c r="CS223" s="378" t="str">
        <f t="shared" si="533"/>
        <v xml:space="preserve"> </v>
      </c>
      <c r="CT223" s="378" t="str">
        <f t="shared" si="534"/>
        <v xml:space="preserve"> </v>
      </c>
      <c r="CU223" s="378" t="str">
        <f t="shared" si="535"/>
        <v xml:space="preserve"> </v>
      </c>
      <c r="CV223" s="378" t="str">
        <f t="shared" si="536"/>
        <v xml:space="preserve"> </v>
      </c>
      <c r="CW223" s="254" t="str">
        <f t="shared" si="537"/>
        <v xml:space="preserve"> </v>
      </c>
      <c r="CX223" s="254" t="str">
        <f t="shared" si="538"/>
        <v xml:space="preserve"> </v>
      </c>
      <c r="CY223" s="254" t="str">
        <f t="shared" si="539"/>
        <v xml:space="preserve"> </v>
      </c>
      <c r="CZ223" s="254" t="str">
        <f t="shared" si="540"/>
        <v xml:space="preserve"> </v>
      </c>
      <c r="DA223" s="254" t="str">
        <f t="shared" si="541"/>
        <v xml:space="preserve"> </v>
      </c>
      <c r="DB223" s="254" t="str">
        <f t="shared" si="542"/>
        <v xml:space="preserve"> </v>
      </c>
      <c r="DC223" s="254" t="str">
        <f t="shared" si="543"/>
        <v xml:space="preserve"> </v>
      </c>
      <c r="DD223" s="254" t="str">
        <f t="shared" si="544"/>
        <v xml:space="preserve"> </v>
      </c>
      <c r="DE223" s="254" t="str">
        <f t="shared" si="545"/>
        <v xml:space="preserve"> </v>
      </c>
      <c r="DF223" s="374" t="str">
        <f>IF($A223="N/A"," ",IF(CC=2,(IF(MONTH(A223)&gt;=4,IF(MONTH(A223)&lt;=10,Inputs!$G$13,Inputs!$G$14),Inputs!$G$14))*$CK223,0))</f>
        <v xml:space="preserve"> </v>
      </c>
      <c r="DG223" s="373" t="str">
        <f t="shared" si="546"/>
        <v xml:space="preserve"> </v>
      </c>
      <c r="DH223" s="373" t="str">
        <f t="shared" si="547"/>
        <v xml:space="preserve"> </v>
      </c>
      <c r="DI223" s="373" t="str">
        <f t="shared" si="548"/>
        <v xml:space="preserve"> </v>
      </c>
      <c r="DJ223" s="373" t="str">
        <f t="shared" si="549"/>
        <v xml:space="preserve"> </v>
      </c>
      <c r="DK223" s="373" t="str">
        <f t="shared" si="550"/>
        <v xml:space="preserve"> </v>
      </c>
      <c r="DL223" s="373" t="str">
        <f t="shared" si="551"/>
        <v xml:space="preserve"> </v>
      </c>
      <c r="DM223" s="373" t="str">
        <f t="shared" si="552"/>
        <v xml:space="preserve"> </v>
      </c>
      <c r="DN223" s="373" t="str">
        <f t="shared" si="553"/>
        <v xml:space="preserve"> </v>
      </c>
      <c r="DO223" s="373" t="str">
        <f t="shared" si="554"/>
        <v xml:space="preserve"> </v>
      </c>
      <c r="DP223" s="375" t="str">
        <f t="shared" si="555"/>
        <v xml:space="preserve"> </v>
      </c>
      <c r="DQ223" t="str">
        <f t="shared" si="588"/>
        <v xml:space="preserve"> </v>
      </c>
      <c r="HD223" t="str">
        <f t="shared" si="589"/>
        <v xml:space="preserve"> </v>
      </c>
      <c r="HE223" t="str">
        <f t="shared" si="590"/>
        <v xml:space="preserve"> </v>
      </c>
      <c r="HF223" t="str">
        <f t="shared" si="591"/>
        <v xml:space="preserve"> </v>
      </c>
    </row>
    <row r="224" spans="1:214">
      <c r="A224" s="415" t="str">
        <f>IF(A223="N/A","N/A",IF(EDATE(A223,1)&gt;Inputs!$K$3,"N/A",EDATE(A223,1)))</f>
        <v>N/A</v>
      </c>
      <c r="B224" s="410" t="str">
        <f t="shared" si="556"/>
        <v xml:space="preserve"> </v>
      </c>
      <c r="C224" s="411" t="str">
        <f t="shared" si="557"/>
        <v xml:space="preserve"> </v>
      </c>
      <c r="D224" s="412" t="str">
        <f t="shared" si="558"/>
        <v xml:space="preserve"> </v>
      </c>
      <c r="E224" s="413" t="str">
        <f>IF($A224="N/A"," ",(C224-'Pricing Inputs'!T257)*D224)</f>
        <v xml:space="preserve"> </v>
      </c>
      <c r="F224" s="414" t="str">
        <f t="shared" si="607"/>
        <v xml:space="preserve"> </v>
      </c>
      <c r="G224" s="414" t="str">
        <f t="shared" si="559"/>
        <v xml:space="preserve"> </v>
      </c>
      <c r="H224" s="416" t="str">
        <f t="shared" si="560"/>
        <v xml:space="preserve"> </v>
      </c>
      <c r="I224" s="213" t="str">
        <f t="shared" si="501"/>
        <v xml:space="preserve"> </v>
      </c>
      <c r="J224" s="213" t="str">
        <f t="shared" si="502"/>
        <v xml:space="preserve"> </v>
      </c>
      <c r="K224" s="213" t="str">
        <f t="shared" si="503"/>
        <v xml:space="preserve"> </v>
      </c>
      <c r="L224" s="213" t="str">
        <f t="shared" si="504"/>
        <v xml:space="preserve"> </v>
      </c>
      <c r="M224" s="213" t="str">
        <f t="shared" si="505"/>
        <v xml:space="preserve"> </v>
      </c>
      <c r="N224" s="213" t="str">
        <f t="shared" si="506"/>
        <v xml:space="preserve"> </v>
      </c>
      <c r="O224" s="213" t="str">
        <f t="shared" si="507"/>
        <v xml:space="preserve"> </v>
      </c>
      <c r="P224" s="213" t="str">
        <f t="shared" si="508"/>
        <v xml:space="preserve"> </v>
      </c>
      <c r="Q224" s="213" t="str">
        <f t="shared" si="509"/>
        <v xml:space="preserve"> </v>
      </c>
      <c r="R224" s="405" t="str">
        <f>IF($A224="N/A"," ",IF(Pricetype=2,MAX(I224-$H224,0),IF(Pricetype=1,(_xll.xSPRDOPT(I224,$E224,$CI224,0,($CD224+IF(Smile=TRUE,VLOOKUP(MAX(-5,$H224-I224),Volsmile,2),0)),$CG224,$CH224,($A224-DateToday)+15,1,0)),I224-$H224)))</f>
        <v xml:space="preserve"> </v>
      </c>
      <c r="S224" s="405" t="str">
        <f>IF($A224="N/A"," ",IF(Pricetype=2,MAX(J224-$H224,0),IF(Pricetype=1,(_xll.xSPRDOPT(J224,$E224,$CI224,0,($CD224+IF(Smile=TRUE,VLOOKUP(MAX(-5,$H224-J224),Volsmile,2),0)),$CG224,$CH224,($A224-DateToday)+15,1,0)),J224-$H224)))</f>
        <v xml:space="preserve"> </v>
      </c>
      <c r="T224" s="406" t="str">
        <f t="shared" si="510"/>
        <v xml:space="preserve"> </v>
      </c>
      <c r="U224" s="405" t="str">
        <f>IF($A224="N/A"," ",IF(Pricetype=2,MAX(L224-$H224,0),IF(L224&lt;&gt;0,IF(Pricetype=1,(_xll.xSPRDOPT(L224,$E224,$CI224,0,($CD224+IF(Smile=TRUE,VLOOKUP(MAX(-5,$H224-L224),Volsmile,2),0)),$CG224,$CH224,($A224-DateToday)+15,1,0)),L224-$H224),0)))</f>
        <v xml:space="preserve"> </v>
      </c>
      <c r="V224" s="405" t="str">
        <f>IF($A224="N/A"," ",IF(Pricetype=2,MAX(M224-$H224,0),IF(M224&lt;&gt;0,IF(Pricetype=1,(_xll.xSPRDOPT(M224,$E224,$CI224,0,($CD224+IF(Smile=TRUE,VLOOKUP(MAX(-5,$H224-M224),Volsmile,2),0)),$CG224,$CH224,($A224-DateToday)+15,1,0)),M224-$H224),0)))</f>
        <v xml:space="preserve"> </v>
      </c>
      <c r="W224" s="406" t="str">
        <f t="shared" si="511"/>
        <v xml:space="preserve"> </v>
      </c>
      <c r="X224" s="405" t="str">
        <f>IF($A224="N/A"," ",IF(Pricetype=2,MAX(O224-$H224,0),IF(O224&lt;&gt;0,IF(Pricetype=1,(_xll.xSPRDOPT(O224,$E224,$CI224,0,($CD224+IF(Smile=TRUE,VLOOKUP(MAX(-5,$H224-O224),Volsmile,2),0)),$CG224,$CH224,($A224-DateToday)+15,1,0)),O224-$H224),0)))</f>
        <v xml:space="preserve"> </v>
      </c>
      <c r="Y224" s="405" t="str">
        <f>IF($A224="N/A"," ",IF(Pricetype=2,MAX(P224-$H224,0),IF(P224&lt;&gt;0,IF(Pricetype=1,(_xll.xSPRDOPT(P224,$E224,$CI224,0,($CD224+IF(Smile=TRUE,VLOOKUP(MAX(-5,$H224-P224),Volsmile,2),0)),$CG224,$CH224,($A224-DateToday)+15,1,0)),P224-$H224),0)))</f>
        <v xml:space="preserve"> </v>
      </c>
      <c r="Z224" s="406" t="str">
        <f t="shared" si="512"/>
        <v xml:space="preserve"> </v>
      </c>
      <c r="AA224" s="254" t="str">
        <f>IF($A224="N/A"," ",IF(VLOOKUP(MONTH(A224),ManualTable,2)=1,(IF(0&lt;&gt;R224,IF(Pricetype=1,(_xll.xSPRDOPT(I224,$E224,$CI224,0,($CD224+IF(Smile=TRUE,VLOOKUP(MAX(-5,$H224-I224),Volsmile,2),0)),$CG224,$CH224,($A224-DateToday)+15,1,1))*(8*$HD224),8*$HD224),0)),0))</f>
        <v xml:space="preserve"> </v>
      </c>
      <c r="AB224" s="254" t="str">
        <f>IF($A224="N/A"," ",IF(VLOOKUP(MONTH(A224),ManualTable,3)=1,(IF(S224&lt;&gt;0,IF(Pricetype=1,(_xll.xSPRDOPT(J224,$E224,$CI224,0,($CD224+IF(Smile=TRUE,VLOOKUP(MAX(-5,$H224-J224),Volsmile,2),0)),$CG224,$CH224,($A224-DateToday)+15,1,1))*(8*$HD224),8*$HD224),0)),0))</f>
        <v xml:space="preserve"> </v>
      </c>
      <c r="AC224" s="254" t="str">
        <f t="shared" si="561"/>
        <v xml:space="preserve"> </v>
      </c>
      <c r="AD224" s="254" t="str">
        <f>IF($A224="N/A"," ",IF(VLOOKUP(MONTH(A224),ManualTable,5)=1,(IF(U224&lt;&gt;0,IF(Pricetype=1,(_xll.xSPRDOPT(L224,$E224,$CI224,0,($CD224+IF(Smile=TRUE,VLOOKUP(MAX(-5,$H224-L224),Volsmile,2),0)),$CG224,$CH224,($A224-DateToday)+15,1,1))*(8*$HE224),8*$HE224),0)),0))</f>
        <v xml:space="preserve"> </v>
      </c>
      <c r="AE224" s="254" t="str">
        <f>IF($A224="N/A"," ",IF(VLOOKUP(MONTH(A224),ManualTable,6)=1,(IF(V224&lt;&gt;0,IF(Pricetype=1,(_xll.xSPRDOPT(M224,$E224,$CI224,0,($CD224+IF(Smile=TRUE,VLOOKUP(MAX(-5,$H224-M224),Volsmile,2),0)),$CG224,$CH224,($A224-DateToday)+15,1,1))*(8*$HE224),8*$HE224),0)),0))</f>
        <v xml:space="preserve"> </v>
      </c>
      <c r="AF224" s="254" t="str">
        <f t="shared" si="562"/>
        <v xml:space="preserve"> </v>
      </c>
      <c r="AG224" s="254" t="str">
        <f>IF($A224="N/A"," ",IF(VLOOKUP(MONTH(A224),ManualTable,8)=1,(IF(X224&lt;&gt;0,IF(Pricetype=1,(_xll.xSPRDOPT(O224,$E224,$CI224,0,($CD224+IF(Smile=TRUE,VLOOKUP(MAX(-5,$H224-O224),Volsmile,2),0)),$CG224,$CH224,($A224-DateToday)+15,1,1))*(8*$HF224),8*$HF224),0)),0))</f>
        <v xml:space="preserve"> </v>
      </c>
      <c r="AH224" s="254" t="str">
        <f>IF($A224="N/A"," ",IF(VLOOKUP(MONTH(A224),ManualTable,9)=1,(IF(Y224&lt;&gt;0,IF(Pricetype=1,(_xll.xSPRDOPT(P224,$E224,$CI224,0,($CD224+IF(Smile=TRUE,VLOOKUP(MAX(-5,$H224-P224),Volsmile,2),0)),$CG224,$CH224,($A224-DateToday)+15,1,1))*(8*$HF224),8*$HF224),0)),0))</f>
        <v xml:space="preserve"> </v>
      </c>
      <c r="AI224" s="254" t="str">
        <f t="shared" si="563"/>
        <v xml:space="preserve"> </v>
      </c>
      <c r="AJ224" s="227" t="str">
        <f t="shared" si="623"/>
        <v xml:space="preserve"> </v>
      </c>
      <c r="AK224" s="228" t="str">
        <f t="shared" si="624"/>
        <v xml:space="preserve"> </v>
      </c>
      <c r="AL224" s="228" t="str">
        <f t="shared" si="624"/>
        <v xml:space="preserve"> </v>
      </c>
      <c r="AM224" s="228" t="str">
        <f t="shared" si="625"/>
        <v xml:space="preserve"> </v>
      </c>
      <c r="AN224" s="228" t="str">
        <f t="shared" si="626"/>
        <v xml:space="preserve"> </v>
      </c>
      <c r="AO224" s="228" t="str">
        <f t="shared" si="626"/>
        <v xml:space="preserve"> </v>
      </c>
      <c r="AP224" s="228" t="str">
        <f t="shared" si="627"/>
        <v xml:space="preserve"> </v>
      </c>
      <c r="AQ224" s="228" t="str">
        <f t="shared" si="628"/>
        <v xml:space="preserve"> </v>
      </c>
      <c r="AR224" s="229" t="str">
        <f t="shared" si="629"/>
        <v xml:space="preserve"> </v>
      </c>
      <c r="AS224" s="262" t="str">
        <f t="shared" si="593"/>
        <v xml:space="preserve"> </v>
      </c>
      <c r="AT224" s="263" t="str">
        <f t="shared" si="594"/>
        <v xml:space="preserve"> </v>
      </c>
      <c r="AU224" s="263" t="str">
        <f t="shared" si="594"/>
        <v xml:space="preserve"> </v>
      </c>
      <c r="AV224" s="263" t="str">
        <f t="shared" si="595"/>
        <v xml:space="preserve"> </v>
      </c>
      <c r="AW224" s="263" t="str">
        <f t="shared" si="596"/>
        <v xml:space="preserve"> </v>
      </c>
      <c r="AX224" s="263" t="str">
        <f t="shared" si="596"/>
        <v xml:space="preserve"> </v>
      </c>
      <c r="AY224" s="263" t="str">
        <f t="shared" si="597"/>
        <v xml:space="preserve"> </v>
      </c>
      <c r="AZ224" s="263" t="str">
        <f t="shared" si="598"/>
        <v xml:space="preserve"> </v>
      </c>
      <c r="BA224" s="263" t="str">
        <f t="shared" si="599"/>
        <v xml:space="preserve"> </v>
      </c>
      <c r="BB224" s="229"/>
      <c r="BC224" s="266" t="str">
        <f t="shared" si="616"/>
        <v xml:space="preserve"> </v>
      </c>
      <c r="BD224" s="269" t="str">
        <f t="shared" si="617"/>
        <v xml:space="preserve"> </v>
      </c>
      <c r="BE224" s="269" t="str">
        <f t="shared" si="617"/>
        <v xml:space="preserve"> </v>
      </c>
      <c r="BF224" s="269" t="str">
        <f t="shared" si="618"/>
        <v xml:space="preserve"> </v>
      </c>
      <c r="BG224" s="269" t="str">
        <f t="shared" si="619"/>
        <v xml:space="preserve"> </v>
      </c>
      <c r="BH224" s="269" t="str">
        <f t="shared" si="619"/>
        <v xml:space="preserve"> </v>
      </c>
      <c r="BI224" s="269" t="str">
        <f t="shared" si="620"/>
        <v xml:space="preserve"> </v>
      </c>
      <c r="BJ224" s="269" t="str">
        <f t="shared" si="621"/>
        <v xml:space="preserve"> </v>
      </c>
      <c r="BK224" s="269" t="str">
        <f t="shared" si="622"/>
        <v xml:space="preserve"> </v>
      </c>
      <c r="BL224" s="229"/>
      <c r="BM224" s="220" t="str">
        <f>IF($A224="N/A"," ",(IF(MONTH(A224)&gt;=4,IF(MONTH(A224)&lt;=10,Inputs!$F$13-Inputs!$G$13,Inputs!$F$14-Inputs!$G$14),Inputs!$F$14-Inputs!$G$14))*$CK224*Availability)</f>
        <v xml:space="preserve"> </v>
      </c>
      <c r="BN224" s="221" t="str">
        <f t="shared" si="571"/>
        <v xml:space="preserve"> </v>
      </c>
      <c r="BO224" s="221" t="str">
        <f t="shared" si="572"/>
        <v xml:space="preserve"> </v>
      </c>
      <c r="BP224" s="221" t="str">
        <f t="shared" si="573"/>
        <v xml:space="preserve"> </v>
      </c>
      <c r="BQ224" s="221" t="str">
        <f t="shared" si="574"/>
        <v xml:space="preserve"> </v>
      </c>
      <c r="BR224" s="221" t="str">
        <f t="shared" si="575"/>
        <v xml:space="preserve"> </v>
      </c>
      <c r="BS224" s="221" t="str">
        <f t="shared" si="576"/>
        <v xml:space="preserve"> </v>
      </c>
      <c r="BT224" s="221" t="str">
        <f t="shared" si="577"/>
        <v xml:space="preserve"> </v>
      </c>
      <c r="BU224" s="221" t="str">
        <f t="shared" si="578"/>
        <v xml:space="preserve"> </v>
      </c>
      <c r="BV224" s="221" t="str">
        <f t="shared" si="579"/>
        <v xml:space="preserve"> </v>
      </c>
      <c r="BW224" s="221" t="str">
        <f t="shared" si="580"/>
        <v xml:space="preserve"> </v>
      </c>
      <c r="BX224" s="421" t="str">
        <f t="shared" si="581"/>
        <v xml:space="preserve"> </v>
      </c>
      <c r="BY224" s="417" t="str">
        <f t="shared" si="582"/>
        <v xml:space="preserve"> </v>
      </c>
      <c r="BZ224" s="417" t="str">
        <f t="shared" si="583"/>
        <v xml:space="preserve"> </v>
      </c>
      <c r="CA224" s="422" t="str">
        <f t="shared" si="584"/>
        <v xml:space="preserve"> </v>
      </c>
      <c r="CB224" s="347" t="str">
        <f t="shared" si="521"/>
        <v xml:space="preserve"> </v>
      </c>
      <c r="CC224" s="347" t="str">
        <f t="shared" si="585"/>
        <v xml:space="preserve"> </v>
      </c>
      <c r="CD224" s="348" t="str">
        <f t="shared" si="522"/>
        <v xml:space="preserve"> </v>
      </c>
      <c r="CE224" s="347" t="str">
        <f t="shared" si="523"/>
        <v xml:space="preserve"> </v>
      </c>
      <c r="CF224" s="347" t="str">
        <f t="shared" si="524"/>
        <v xml:space="preserve"> </v>
      </c>
      <c r="CG224" s="348" t="str">
        <f t="shared" si="525"/>
        <v xml:space="preserve"> </v>
      </c>
      <c r="CH224" s="347" t="str">
        <f t="shared" si="586"/>
        <v xml:space="preserve"> </v>
      </c>
      <c r="CI224" s="349" t="str">
        <f>IF($A224="N/A"," ",F224+G224+(D224*('Pricing Inputs'!T257)))</f>
        <v xml:space="preserve"> </v>
      </c>
      <c r="CJ224" s="347" t="str">
        <f>IF($A224="N/A"," ",IF(PV=1,0,'Pricing Inputs'!U257))</f>
        <v xml:space="preserve"> </v>
      </c>
      <c r="CK224" s="350" t="str">
        <f t="shared" si="526"/>
        <v xml:space="preserve"> </v>
      </c>
      <c r="CL224" s="365" t="str">
        <f t="shared" si="527"/>
        <v xml:space="preserve"> </v>
      </c>
      <c r="CM224" s="380" t="str">
        <f t="shared" si="587"/>
        <v xml:space="preserve"> </v>
      </c>
      <c r="CN224" s="378" t="str">
        <f t="shared" si="528"/>
        <v xml:space="preserve"> </v>
      </c>
      <c r="CO224" s="378" t="str">
        <f t="shared" si="529"/>
        <v xml:space="preserve"> </v>
      </c>
      <c r="CP224" s="378" t="str">
        <f t="shared" si="530"/>
        <v xml:space="preserve"> </v>
      </c>
      <c r="CQ224" s="378" t="str">
        <f t="shared" si="531"/>
        <v xml:space="preserve"> </v>
      </c>
      <c r="CR224" s="378" t="str">
        <f t="shared" si="532"/>
        <v xml:space="preserve"> </v>
      </c>
      <c r="CS224" s="378" t="str">
        <f t="shared" si="533"/>
        <v xml:space="preserve"> </v>
      </c>
      <c r="CT224" s="378" t="str">
        <f t="shared" si="534"/>
        <v xml:space="preserve"> </v>
      </c>
      <c r="CU224" s="378" t="str">
        <f t="shared" si="535"/>
        <v xml:space="preserve"> </v>
      </c>
      <c r="CV224" s="378" t="str">
        <f t="shared" si="536"/>
        <v xml:space="preserve"> </v>
      </c>
      <c r="CW224" s="254" t="str">
        <f t="shared" si="537"/>
        <v xml:space="preserve"> </v>
      </c>
      <c r="CX224" s="254" t="str">
        <f t="shared" si="538"/>
        <v xml:space="preserve"> </v>
      </c>
      <c r="CY224" s="254" t="str">
        <f t="shared" si="539"/>
        <v xml:space="preserve"> </v>
      </c>
      <c r="CZ224" s="254" t="str">
        <f t="shared" si="540"/>
        <v xml:space="preserve"> </v>
      </c>
      <c r="DA224" s="254" t="str">
        <f t="shared" si="541"/>
        <v xml:space="preserve"> </v>
      </c>
      <c r="DB224" s="254" t="str">
        <f t="shared" si="542"/>
        <v xml:space="preserve"> </v>
      </c>
      <c r="DC224" s="254" t="str">
        <f t="shared" si="543"/>
        <v xml:space="preserve"> </v>
      </c>
      <c r="DD224" s="254" t="str">
        <f t="shared" si="544"/>
        <v xml:space="preserve"> </v>
      </c>
      <c r="DE224" s="254" t="str">
        <f t="shared" si="545"/>
        <v xml:space="preserve"> </v>
      </c>
      <c r="DF224" s="374" t="str">
        <f>IF($A224="N/A"," ",IF(CC=2,(IF(MONTH(A224)&gt;=4,IF(MONTH(A224)&lt;=10,Inputs!$G$13,Inputs!$G$14),Inputs!$G$14))*$CK224,0))</f>
        <v xml:space="preserve"> </v>
      </c>
      <c r="DG224" s="373" t="str">
        <f t="shared" si="546"/>
        <v xml:space="preserve"> </v>
      </c>
      <c r="DH224" s="373" t="str">
        <f t="shared" si="547"/>
        <v xml:space="preserve"> </v>
      </c>
      <c r="DI224" s="373" t="str">
        <f t="shared" si="548"/>
        <v xml:space="preserve"> </v>
      </c>
      <c r="DJ224" s="373" t="str">
        <f t="shared" si="549"/>
        <v xml:space="preserve"> </v>
      </c>
      <c r="DK224" s="373" t="str">
        <f t="shared" si="550"/>
        <v xml:space="preserve"> </v>
      </c>
      <c r="DL224" s="373" t="str">
        <f t="shared" si="551"/>
        <v xml:space="preserve"> </v>
      </c>
      <c r="DM224" s="373" t="str">
        <f t="shared" si="552"/>
        <v xml:space="preserve"> </v>
      </c>
      <c r="DN224" s="373" t="str">
        <f t="shared" si="553"/>
        <v xml:space="preserve"> </v>
      </c>
      <c r="DO224" s="373" t="str">
        <f t="shared" si="554"/>
        <v xml:space="preserve"> </v>
      </c>
      <c r="DP224" s="375" t="str">
        <f t="shared" si="555"/>
        <v xml:space="preserve"> </v>
      </c>
      <c r="DQ224" t="str">
        <f t="shared" si="588"/>
        <v xml:space="preserve"> </v>
      </c>
      <c r="HD224" t="str">
        <f t="shared" si="589"/>
        <v xml:space="preserve"> </v>
      </c>
      <c r="HE224" t="str">
        <f t="shared" si="590"/>
        <v xml:space="preserve"> </v>
      </c>
      <c r="HF224" t="str">
        <f t="shared" si="591"/>
        <v xml:space="preserve"> </v>
      </c>
    </row>
    <row r="225" spans="1:214">
      <c r="A225" s="415" t="str">
        <f>IF(A224="N/A","N/A",IF(EDATE(A224,1)&gt;Inputs!$K$3,"N/A",EDATE(A224,1)))</f>
        <v>N/A</v>
      </c>
      <c r="B225" s="410" t="str">
        <f t="shared" si="556"/>
        <v xml:space="preserve"> </v>
      </c>
      <c r="C225" s="411" t="str">
        <f t="shared" si="557"/>
        <v xml:space="preserve"> </v>
      </c>
      <c r="D225" s="412" t="str">
        <f t="shared" si="558"/>
        <v xml:space="preserve"> </v>
      </c>
      <c r="E225" s="413" t="str">
        <f>IF($A225="N/A"," ",(C225-'Pricing Inputs'!T258)*D225)</f>
        <v xml:space="preserve"> </v>
      </c>
      <c r="F225" s="414" t="str">
        <f t="shared" si="607"/>
        <v xml:space="preserve"> </v>
      </c>
      <c r="G225" s="414" t="str">
        <f t="shared" si="559"/>
        <v xml:space="preserve"> </v>
      </c>
      <c r="H225" s="416" t="str">
        <f t="shared" si="560"/>
        <v xml:space="preserve"> </v>
      </c>
      <c r="I225" s="213" t="str">
        <f t="shared" si="501"/>
        <v xml:space="preserve"> </v>
      </c>
      <c r="J225" s="213" t="str">
        <f t="shared" si="502"/>
        <v xml:space="preserve"> </v>
      </c>
      <c r="K225" s="213" t="str">
        <f t="shared" si="503"/>
        <v xml:space="preserve"> </v>
      </c>
      <c r="L225" s="213" t="str">
        <f t="shared" si="504"/>
        <v xml:space="preserve"> </v>
      </c>
      <c r="M225" s="213" t="str">
        <f t="shared" si="505"/>
        <v xml:space="preserve"> </v>
      </c>
      <c r="N225" s="213" t="str">
        <f t="shared" si="506"/>
        <v xml:space="preserve"> </v>
      </c>
      <c r="O225" s="213" t="str">
        <f t="shared" si="507"/>
        <v xml:space="preserve"> </v>
      </c>
      <c r="P225" s="213" t="str">
        <f t="shared" si="508"/>
        <v xml:space="preserve"> </v>
      </c>
      <c r="Q225" s="213" t="str">
        <f t="shared" si="509"/>
        <v xml:space="preserve"> </v>
      </c>
      <c r="R225" s="405" t="str">
        <f>IF($A225="N/A"," ",IF(Pricetype=2,MAX(I225-$H225,0),IF(Pricetype=1,(_xll.xSPRDOPT(I225,$E225,$CI225,0,($CD225+IF(Smile=TRUE,VLOOKUP(MAX(-5,$H225-I225),Volsmile,2),0)),$CG225,$CH225,($A225-DateToday)+15,1,0)),I225-$H225)))</f>
        <v xml:space="preserve"> </v>
      </c>
      <c r="S225" s="405" t="str">
        <f>IF($A225="N/A"," ",IF(Pricetype=2,MAX(J225-$H225,0),IF(Pricetype=1,(_xll.xSPRDOPT(J225,$E225,$CI225,0,($CD225+IF(Smile=TRUE,VLOOKUP(MAX(-5,$H225-J225),Volsmile,2),0)),$CG225,$CH225,($A225-DateToday)+15,1,0)),J225-$H225)))</f>
        <v xml:space="preserve"> </v>
      </c>
      <c r="T225" s="406" t="str">
        <f t="shared" si="510"/>
        <v xml:space="preserve"> </v>
      </c>
      <c r="U225" s="405" t="str">
        <f>IF($A225="N/A"," ",IF(Pricetype=2,MAX(L225-$H225,0),IF(L225&lt;&gt;0,IF(Pricetype=1,(_xll.xSPRDOPT(L225,$E225,$CI225,0,($CD225+IF(Smile=TRUE,VLOOKUP(MAX(-5,$H225-L225),Volsmile,2),0)),$CG225,$CH225,($A225-DateToday)+15,1,0)),L225-$H225),0)))</f>
        <v xml:space="preserve"> </v>
      </c>
      <c r="V225" s="405" t="str">
        <f>IF($A225="N/A"," ",IF(Pricetype=2,MAX(M225-$H225,0),IF(M225&lt;&gt;0,IF(Pricetype=1,(_xll.xSPRDOPT(M225,$E225,$CI225,0,($CD225+IF(Smile=TRUE,VLOOKUP(MAX(-5,$H225-M225),Volsmile,2),0)),$CG225,$CH225,($A225-DateToday)+15,1,0)),M225-$H225),0)))</f>
        <v xml:space="preserve"> </v>
      </c>
      <c r="W225" s="406" t="str">
        <f t="shared" si="511"/>
        <v xml:space="preserve"> </v>
      </c>
      <c r="X225" s="405" t="str">
        <f>IF($A225="N/A"," ",IF(Pricetype=2,MAX(O225-$H225,0),IF(O225&lt;&gt;0,IF(Pricetype=1,(_xll.xSPRDOPT(O225,$E225,$CI225,0,($CD225+IF(Smile=TRUE,VLOOKUP(MAX(-5,$H225-O225),Volsmile,2),0)),$CG225,$CH225,($A225-DateToday)+15,1,0)),O225-$H225),0)))</f>
        <v xml:space="preserve"> </v>
      </c>
      <c r="Y225" s="405" t="str">
        <f>IF($A225="N/A"," ",IF(Pricetype=2,MAX(P225-$H225,0),IF(P225&lt;&gt;0,IF(Pricetype=1,(_xll.xSPRDOPT(P225,$E225,$CI225,0,($CD225+IF(Smile=TRUE,VLOOKUP(MAX(-5,$H225-P225),Volsmile,2),0)),$CG225,$CH225,($A225-DateToday)+15,1,0)),P225-$H225),0)))</f>
        <v xml:space="preserve"> </v>
      </c>
      <c r="Z225" s="406" t="str">
        <f t="shared" si="512"/>
        <v xml:space="preserve"> </v>
      </c>
      <c r="AA225" s="254" t="str">
        <f>IF($A225="N/A"," ",IF(VLOOKUP(MONTH(A225),ManualTable,2)=1,(IF(0&lt;&gt;R225,IF(Pricetype=1,(_xll.xSPRDOPT(I225,$E225,$CI225,0,($CD225+IF(Smile=TRUE,VLOOKUP(MAX(-5,$H225-I225),Volsmile,2),0)),$CG225,$CH225,($A225-DateToday)+15,1,1))*(8*$HD225),8*$HD225),0)),0))</f>
        <v xml:space="preserve"> </v>
      </c>
      <c r="AB225" s="254" t="str">
        <f>IF($A225="N/A"," ",IF(VLOOKUP(MONTH(A225),ManualTable,3)=1,(IF(S225&lt;&gt;0,IF(Pricetype=1,(_xll.xSPRDOPT(J225,$E225,$CI225,0,($CD225+IF(Smile=TRUE,VLOOKUP(MAX(-5,$H225-J225),Volsmile,2),0)),$CG225,$CH225,($A225-DateToday)+15,1,1))*(8*$HD225),8*$HD225),0)),0))</f>
        <v xml:space="preserve"> </v>
      </c>
      <c r="AC225" s="254" t="str">
        <f t="shared" si="561"/>
        <v xml:space="preserve"> </v>
      </c>
      <c r="AD225" s="254" t="str">
        <f>IF($A225="N/A"," ",IF(VLOOKUP(MONTH(A225),ManualTable,5)=1,(IF(U225&lt;&gt;0,IF(Pricetype=1,(_xll.xSPRDOPT(L225,$E225,$CI225,0,($CD225+IF(Smile=TRUE,VLOOKUP(MAX(-5,$H225-L225),Volsmile,2),0)),$CG225,$CH225,($A225-DateToday)+15,1,1))*(8*$HE225),8*$HE225),0)),0))</f>
        <v xml:space="preserve"> </v>
      </c>
      <c r="AE225" s="254" t="str">
        <f>IF($A225="N/A"," ",IF(VLOOKUP(MONTH(A225),ManualTable,6)=1,(IF(V225&lt;&gt;0,IF(Pricetype=1,(_xll.xSPRDOPT(M225,$E225,$CI225,0,($CD225+IF(Smile=TRUE,VLOOKUP(MAX(-5,$H225-M225),Volsmile,2),0)),$CG225,$CH225,($A225-DateToday)+15,1,1))*(8*$HE225),8*$HE225),0)),0))</f>
        <v xml:space="preserve"> </v>
      </c>
      <c r="AF225" s="254" t="str">
        <f t="shared" si="562"/>
        <v xml:space="preserve"> </v>
      </c>
      <c r="AG225" s="254" t="str">
        <f>IF($A225="N/A"," ",IF(VLOOKUP(MONTH(A225),ManualTable,8)=1,(IF(X225&lt;&gt;0,IF(Pricetype=1,(_xll.xSPRDOPT(O225,$E225,$CI225,0,($CD225+IF(Smile=TRUE,VLOOKUP(MAX(-5,$H225-O225),Volsmile,2),0)),$CG225,$CH225,($A225-DateToday)+15,1,1))*(8*$HF225),8*$HF225),0)),0))</f>
        <v xml:space="preserve"> </v>
      </c>
      <c r="AH225" s="254" t="str">
        <f>IF($A225="N/A"," ",IF(VLOOKUP(MONTH(A225),ManualTable,9)=1,(IF(Y225&lt;&gt;0,IF(Pricetype=1,(_xll.xSPRDOPT(P225,$E225,$CI225,0,($CD225+IF(Smile=TRUE,VLOOKUP(MAX(-5,$H225-P225),Volsmile,2),0)),$CG225,$CH225,($A225-DateToday)+15,1,1))*(8*$HF225),8*$HF225),0)),0))</f>
        <v xml:space="preserve"> </v>
      </c>
      <c r="AI225" s="254" t="str">
        <f t="shared" si="563"/>
        <v xml:space="preserve"> </v>
      </c>
      <c r="AJ225" s="227" t="str">
        <f t="shared" si="623"/>
        <v xml:space="preserve"> </v>
      </c>
      <c r="AK225" s="228" t="str">
        <f t="shared" si="624"/>
        <v xml:space="preserve"> </v>
      </c>
      <c r="AL225" s="228" t="str">
        <f t="shared" si="624"/>
        <v xml:space="preserve"> </v>
      </c>
      <c r="AM225" s="228" t="str">
        <f t="shared" si="625"/>
        <v xml:space="preserve"> </v>
      </c>
      <c r="AN225" s="228" t="str">
        <f t="shared" si="626"/>
        <v xml:space="preserve"> </v>
      </c>
      <c r="AO225" s="228" t="str">
        <f t="shared" si="626"/>
        <v xml:space="preserve"> </v>
      </c>
      <c r="AP225" s="228" t="str">
        <f t="shared" si="627"/>
        <v xml:space="preserve"> </v>
      </c>
      <c r="AQ225" s="228" t="str">
        <f t="shared" si="628"/>
        <v xml:space="preserve"> </v>
      </c>
      <c r="AR225" s="229" t="str">
        <f t="shared" si="629"/>
        <v xml:space="preserve"> </v>
      </c>
      <c r="AS225" s="262" t="str">
        <f t="shared" si="593"/>
        <v xml:space="preserve"> </v>
      </c>
      <c r="AT225" s="263" t="str">
        <f t="shared" si="594"/>
        <v xml:space="preserve"> </v>
      </c>
      <c r="AU225" s="263" t="str">
        <f t="shared" si="594"/>
        <v xml:space="preserve"> </v>
      </c>
      <c r="AV225" s="263" t="str">
        <f t="shared" si="595"/>
        <v xml:space="preserve"> </v>
      </c>
      <c r="AW225" s="263" t="str">
        <f t="shared" si="596"/>
        <v xml:space="preserve"> </v>
      </c>
      <c r="AX225" s="263" t="str">
        <f t="shared" si="596"/>
        <v xml:space="preserve"> </v>
      </c>
      <c r="AY225" s="263" t="str">
        <f t="shared" si="597"/>
        <v xml:space="preserve"> </v>
      </c>
      <c r="AZ225" s="263" t="str">
        <f t="shared" si="598"/>
        <v xml:space="preserve"> </v>
      </c>
      <c r="BA225" s="263" t="str">
        <f t="shared" si="599"/>
        <v xml:space="preserve"> </v>
      </c>
      <c r="BB225" s="229"/>
      <c r="BC225" s="266" t="str">
        <f t="shared" si="616"/>
        <v xml:space="preserve"> </v>
      </c>
      <c r="BD225" s="269" t="str">
        <f t="shared" si="617"/>
        <v xml:space="preserve"> </v>
      </c>
      <c r="BE225" s="269" t="str">
        <f t="shared" si="617"/>
        <v xml:space="preserve"> </v>
      </c>
      <c r="BF225" s="269" t="str">
        <f t="shared" si="618"/>
        <v xml:space="preserve"> </v>
      </c>
      <c r="BG225" s="269" t="str">
        <f t="shared" si="619"/>
        <v xml:space="preserve"> </v>
      </c>
      <c r="BH225" s="269" t="str">
        <f t="shared" si="619"/>
        <v xml:space="preserve"> </v>
      </c>
      <c r="BI225" s="269" t="str">
        <f t="shared" si="620"/>
        <v xml:space="preserve"> </v>
      </c>
      <c r="BJ225" s="269" t="str">
        <f t="shared" si="621"/>
        <v xml:space="preserve"> </v>
      </c>
      <c r="BK225" s="269" t="str">
        <f t="shared" si="622"/>
        <v xml:space="preserve"> </v>
      </c>
      <c r="BL225" s="229"/>
      <c r="BM225" s="220" t="str">
        <f>IF($A225="N/A"," ",(IF(MONTH(A225)&gt;=4,IF(MONTH(A225)&lt;=10,Inputs!$F$13-Inputs!$G$13,Inputs!$F$14-Inputs!$G$14),Inputs!$F$14-Inputs!$G$14))*$CK225*Availability)</f>
        <v xml:space="preserve"> </v>
      </c>
      <c r="BN225" s="221" t="str">
        <f t="shared" si="571"/>
        <v xml:space="preserve"> </v>
      </c>
      <c r="BO225" s="221" t="str">
        <f t="shared" si="572"/>
        <v xml:space="preserve"> </v>
      </c>
      <c r="BP225" s="221" t="str">
        <f t="shared" si="573"/>
        <v xml:space="preserve"> </v>
      </c>
      <c r="BQ225" s="221" t="str">
        <f t="shared" si="574"/>
        <v xml:space="preserve"> </v>
      </c>
      <c r="BR225" s="221" t="str">
        <f t="shared" si="575"/>
        <v xml:space="preserve"> </v>
      </c>
      <c r="BS225" s="221" t="str">
        <f t="shared" si="576"/>
        <v xml:space="preserve"> </v>
      </c>
      <c r="BT225" s="221" t="str">
        <f t="shared" si="577"/>
        <v xml:space="preserve"> </v>
      </c>
      <c r="BU225" s="221" t="str">
        <f t="shared" si="578"/>
        <v xml:space="preserve"> </v>
      </c>
      <c r="BV225" s="221" t="str">
        <f t="shared" si="579"/>
        <v xml:space="preserve"> </v>
      </c>
      <c r="BW225" s="221" t="str">
        <f t="shared" si="580"/>
        <v xml:space="preserve"> </v>
      </c>
      <c r="BX225" s="421" t="str">
        <f t="shared" si="581"/>
        <v xml:space="preserve"> </v>
      </c>
      <c r="BY225" s="417" t="str">
        <f t="shared" si="582"/>
        <v xml:space="preserve"> </v>
      </c>
      <c r="BZ225" s="417" t="str">
        <f t="shared" si="583"/>
        <v xml:space="preserve"> </v>
      </c>
      <c r="CA225" s="422" t="str">
        <f t="shared" si="584"/>
        <v xml:space="preserve"> </v>
      </c>
      <c r="CB225" s="347" t="str">
        <f t="shared" si="521"/>
        <v xml:space="preserve"> </v>
      </c>
      <c r="CC225" s="347" t="str">
        <f t="shared" si="585"/>
        <v xml:space="preserve"> </v>
      </c>
      <c r="CD225" s="348" t="str">
        <f t="shared" si="522"/>
        <v xml:space="preserve"> </v>
      </c>
      <c r="CE225" s="347" t="str">
        <f t="shared" si="523"/>
        <v xml:space="preserve"> </v>
      </c>
      <c r="CF225" s="347" t="str">
        <f t="shared" si="524"/>
        <v xml:space="preserve"> </v>
      </c>
      <c r="CG225" s="348" t="str">
        <f t="shared" si="525"/>
        <v xml:space="preserve"> </v>
      </c>
      <c r="CH225" s="347" t="str">
        <f t="shared" si="586"/>
        <v xml:space="preserve"> </v>
      </c>
      <c r="CI225" s="349" t="str">
        <f>IF($A225="N/A"," ",F225+G225+(D225*('Pricing Inputs'!T258)))</f>
        <v xml:space="preserve"> </v>
      </c>
      <c r="CJ225" s="347" t="str">
        <f>IF($A225="N/A"," ",IF(PV=1,0,'Pricing Inputs'!U258))</f>
        <v xml:space="preserve"> </v>
      </c>
      <c r="CK225" s="350" t="str">
        <f t="shared" si="526"/>
        <v xml:space="preserve"> </v>
      </c>
      <c r="CL225" s="365" t="str">
        <f t="shared" si="527"/>
        <v xml:space="preserve"> </v>
      </c>
      <c r="CM225" s="380" t="str">
        <f t="shared" si="587"/>
        <v xml:space="preserve"> </v>
      </c>
      <c r="CN225" s="378" t="str">
        <f t="shared" si="528"/>
        <v xml:space="preserve"> </v>
      </c>
      <c r="CO225" s="378" t="str">
        <f t="shared" si="529"/>
        <v xml:space="preserve"> </v>
      </c>
      <c r="CP225" s="378" t="str">
        <f t="shared" si="530"/>
        <v xml:space="preserve"> </v>
      </c>
      <c r="CQ225" s="378" t="str">
        <f t="shared" si="531"/>
        <v xml:space="preserve"> </v>
      </c>
      <c r="CR225" s="378" t="str">
        <f t="shared" si="532"/>
        <v xml:space="preserve"> </v>
      </c>
      <c r="CS225" s="378" t="str">
        <f t="shared" si="533"/>
        <v xml:space="preserve"> </v>
      </c>
      <c r="CT225" s="378" t="str">
        <f t="shared" si="534"/>
        <v xml:space="preserve"> </v>
      </c>
      <c r="CU225" s="378" t="str">
        <f t="shared" si="535"/>
        <v xml:space="preserve"> </v>
      </c>
      <c r="CV225" s="378" t="str">
        <f t="shared" si="536"/>
        <v xml:space="preserve"> </v>
      </c>
      <c r="CW225" s="254" t="str">
        <f t="shared" si="537"/>
        <v xml:space="preserve"> </v>
      </c>
      <c r="CX225" s="254" t="str">
        <f t="shared" si="538"/>
        <v xml:space="preserve"> </v>
      </c>
      <c r="CY225" s="254" t="str">
        <f t="shared" si="539"/>
        <v xml:space="preserve"> </v>
      </c>
      <c r="CZ225" s="254" t="str">
        <f t="shared" si="540"/>
        <v xml:space="preserve"> </v>
      </c>
      <c r="DA225" s="254" t="str">
        <f t="shared" si="541"/>
        <v xml:space="preserve"> </v>
      </c>
      <c r="DB225" s="254" t="str">
        <f t="shared" si="542"/>
        <v xml:space="preserve"> </v>
      </c>
      <c r="DC225" s="254" t="str">
        <f t="shared" si="543"/>
        <v xml:space="preserve"> </v>
      </c>
      <c r="DD225" s="254" t="str">
        <f t="shared" si="544"/>
        <v xml:space="preserve"> </v>
      </c>
      <c r="DE225" s="254" t="str">
        <f t="shared" si="545"/>
        <v xml:space="preserve"> </v>
      </c>
      <c r="DF225" s="374" t="str">
        <f>IF($A225="N/A"," ",IF(CC=2,(IF(MONTH(A225)&gt;=4,IF(MONTH(A225)&lt;=10,Inputs!$G$13,Inputs!$G$14),Inputs!$G$14))*$CK225,0))</f>
        <v xml:space="preserve"> </v>
      </c>
      <c r="DG225" s="373" t="str">
        <f t="shared" si="546"/>
        <v xml:space="preserve"> </v>
      </c>
      <c r="DH225" s="373" t="str">
        <f t="shared" si="547"/>
        <v xml:space="preserve"> </v>
      </c>
      <c r="DI225" s="373" t="str">
        <f t="shared" si="548"/>
        <v xml:space="preserve"> </v>
      </c>
      <c r="DJ225" s="373" t="str">
        <f t="shared" si="549"/>
        <v xml:space="preserve"> </v>
      </c>
      <c r="DK225" s="373" t="str">
        <f t="shared" si="550"/>
        <v xml:space="preserve"> </v>
      </c>
      <c r="DL225" s="373" t="str">
        <f t="shared" si="551"/>
        <v xml:space="preserve"> </v>
      </c>
      <c r="DM225" s="373" t="str">
        <f t="shared" si="552"/>
        <v xml:space="preserve"> </v>
      </c>
      <c r="DN225" s="373" t="str">
        <f t="shared" si="553"/>
        <v xml:space="preserve"> </v>
      </c>
      <c r="DO225" s="373" t="str">
        <f t="shared" si="554"/>
        <v xml:space="preserve"> </v>
      </c>
      <c r="DP225" s="375" t="str">
        <f t="shared" si="555"/>
        <v xml:space="preserve"> </v>
      </c>
      <c r="DQ225" t="str">
        <f t="shared" si="588"/>
        <v xml:space="preserve"> </v>
      </c>
      <c r="HD225" t="str">
        <f t="shared" si="589"/>
        <v xml:space="preserve"> </v>
      </c>
      <c r="HE225" t="str">
        <f t="shared" si="590"/>
        <v xml:space="preserve"> </v>
      </c>
      <c r="HF225" t="str">
        <f t="shared" si="591"/>
        <v xml:space="preserve"> </v>
      </c>
    </row>
    <row r="226" spans="1:214">
      <c r="A226" s="415" t="str">
        <f>IF(A225="N/A","N/A",IF(EDATE(A225,1)&gt;Inputs!$K$3,"N/A",EDATE(A225,1)))</f>
        <v>N/A</v>
      </c>
      <c r="B226" s="410" t="str">
        <f t="shared" si="556"/>
        <v xml:space="preserve"> </v>
      </c>
      <c r="C226" s="411" t="str">
        <f t="shared" si="557"/>
        <v xml:space="preserve"> </v>
      </c>
      <c r="D226" s="412" t="str">
        <f t="shared" si="558"/>
        <v xml:space="preserve"> </v>
      </c>
      <c r="E226" s="413" t="str">
        <f>IF($A226="N/A"," ",(C226-'Pricing Inputs'!T259)*D226)</f>
        <v xml:space="preserve"> </v>
      </c>
      <c r="F226" s="414" t="str">
        <f t="shared" si="607"/>
        <v xml:space="preserve"> </v>
      </c>
      <c r="G226" s="414" t="str">
        <f t="shared" si="559"/>
        <v xml:space="preserve"> </v>
      </c>
      <c r="H226" s="416" t="str">
        <f t="shared" si="560"/>
        <v xml:space="preserve"> </v>
      </c>
      <c r="I226" s="213" t="str">
        <f t="shared" si="501"/>
        <v xml:space="preserve"> </v>
      </c>
      <c r="J226" s="213" t="str">
        <f t="shared" si="502"/>
        <v xml:space="preserve"> </v>
      </c>
      <c r="K226" s="213" t="str">
        <f t="shared" si="503"/>
        <v xml:space="preserve"> </v>
      </c>
      <c r="L226" s="213" t="str">
        <f t="shared" si="504"/>
        <v xml:space="preserve"> </v>
      </c>
      <c r="M226" s="213" t="str">
        <f t="shared" si="505"/>
        <v xml:space="preserve"> </v>
      </c>
      <c r="N226" s="213" t="str">
        <f t="shared" si="506"/>
        <v xml:space="preserve"> </v>
      </c>
      <c r="O226" s="213" t="str">
        <f t="shared" si="507"/>
        <v xml:space="preserve"> </v>
      </c>
      <c r="P226" s="213" t="str">
        <f t="shared" si="508"/>
        <v xml:space="preserve"> </v>
      </c>
      <c r="Q226" s="213" t="str">
        <f t="shared" si="509"/>
        <v xml:space="preserve"> </v>
      </c>
      <c r="R226" s="405" t="str">
        <f>IF($A226="N/A"," ",IF(Pricetype=2,MAX(I226-$H226,0),IF(Pricetype=1,(_xll.xSPRDOPT(I226,$E226,$CI226,0,($CD226+IF(Smile=TRUE,VLOOKUP(MAX(-5,$H226-I226),Volsmile,2),0)),$CG226,$CH226,($A226-DateToday)+15,1,0)),I226-$H226)))</f>
        <v xml:space="preserve"> </v>
      </c>
      <c r="S226" s="405" t="str">
        <f>IF($A226="N/A"," ",IF(Pricetype=2,MAX(J226-$H226,0),IF(Pricetype=1,(_xll.xSPRDOPT(J226,$E226,$CI226,0,($CD226+IF(Smile=TRUE,VLOOKUP(MAX(-5,$H226-J226),Volsmile,2),0)),$CG226,$CH226,($A226-DateToday)+15,1,0)),J226-$H226)))</f>
        <v xml:space="preserve"> </v>
      </c>
      <c r="T226" s="406" t="str">
        <f t="shared" si="510"/>
        <v xml:space="preserve"> </v>
      </c>
      <c r="U226" s="405" t="str">
        <f>IF($A226="N/A"," ",IF(Pricetype=2,MAX(L226-$H226,0),IF(L226&lt;&gt;0,IF(Pricetype=1,(_xll.xSPRDOPT(L226,$E226,$CI226,0,($CD226+IF(Smile=TRUE,VLOOKUP(MAX(-5,$H226-L226),Volsmile,2),0)),$CG226,$CH226,($A226-DateToday)+15,1,0)),L226-$H226),0)))</f>
        <v xml:space="preserve"> </v>
      </c>
      <c r="V226" s="405" t="str">
        <f>IF($A226="N/A"," ",IF(Pricetype=2,MAX(M226-$H226,0),IF(M226&lt;&gt;0,IF(Pricetype=1,(_xll.xSPRDOPT(M226,$E226,$CI226,0,($CD226+IF(Smile=TRUE,VLOOKUP(MAX(-5,$H226-M226),Volsmile,2),0)),$CG226,$CH226,($A226-DateToday)+15,1,0)),M226-$H226),0)))</f>
        <v xml:space="preserve"> </v>
      </c>
      <c r="W226" s="406" t="str">
        <f t="shared" si="511"/>
        <v xml:space="preserve"> </v>
      </c>
      <c r="X226" s="405" t="str">
        <f>IF($A226="N/A"," ",IF(Pricetype=2,MAX(O226-$H226,0),IF(O226&lt;&gt;0,IF(Pricetype=1,(_xll.xSPRDOPT(O226,$E226,$CI226,0,($CD226+IF(Smile=TRUE,VLOOKUP(MAX(-5,$H226-O226),Volsmile,2),0)),$CG226,$CH226,($A226-DateToday)+15,1,0)),O226-$H226),0)))</f>
        <v xml:space="preserve"> </v>
      </c>
      <c r="Y226" s="405" t="str">
        <f>IF($A226="N/A"," ",IF(Pricetype=2,MAX(P226-$H226,0),IF(P226&lt;&gt;0,IF(Pricetype=1,(_xll.xSPRDOPT(P226,$E226,$CI226,0,($CD226+IF(Smile=TRUE,VLOOKUP(MAX(-5,$H226-P226),Volsmile,2),0)),$CG226,$CH226,($A226-DateToday)+15,1,0)),P226-$H226),0)))</f>
        <v xml:space="preserve"> </v>
      </c>
      <c r="Z226" s="406" t="str">
        <f t="shared" si="512"/>
        <v xml:space="preserve"> </v>
      </c>
      <c r="AA226" s="254" t="str">
        <f>IF($A226="N/A"," ",IF(VLOOKUP(MONTH(A226),ManualTable,2)=1,(IF(0&lt;&gt;R226,IF(Pricetype=1,(_xll.xSPRDOPT(I226,$E226,$CI226,0,($CD226+IF(Smile=TRUE,VLOOKUP(MAX(-5,$H226-I226),Volsmile,2),0)),$CG226,$CH226,($A226-DateToday)+15,1,1))*(8*$HD226),8*$HD226),0)),0))</f>
        <v xml:space="preserve"> </v>
      </c>
      <c r="AB226" s="254" t="str">
        <f>IF($A226="N/A"," ",IF(VLOOKUP(MONTH(A226),ManualTable,3)=1,(IF(S226&lt;&gt;0,IF(Pricetype=1,(_xll.xSPRDOPT(J226,$E226,$CI226,0,($CD226+IF(Smile=TRUE,VLOOKUP(MAX(-5,$H226-J226),Volsmile,2),0)),$CG226,$CH226,($A226-DateToday)+15,1,1))*(8*$HD226),8*$HD226),0)),0))</f>
        <v xml:space="preserve"> </v>
      </c>
      <c r="AC226" s="254" t="str">
        <f t="shared" si="561"/>
        <v xml:space="preserve"> </v>
      </c>
      <c r="AD226" s="254" t="str">
        <f>IF($A226="N/A"," ",IF(VLOOKUP(MONTH(A226),ManualTable,5)=1,(IF(U226&lt;&gt;0,IF(Pricetype=1,(_xll.xSPRDOPT(L226,$E226,$CI226,0,($CD226+IF(Smile=TRUE,VLOOKUP(MAX(-5,$H226-L226),Volsmile,2),0)),$CG226,$CH226,($A226-DateToday)+15,1,1))*(8*$HE226),8*$HE226),0)),0))</f>
        <v xml:space="preserve"> </v>
      </c>
      <c r="AE226" s="254" t="str">
        <f>IF($A226="N/A"," ",IF(VLOOKUP(MONTH(A226),ManualTable,6)=1,(IF(V226&lt;&gt;0,IF(Pricetype=1,(_xll.xSPRDOPT(M226,$E226,$CI226,0,($CD226+IF(Smile=TRUE,VLOOKUP(MAX(-5,$H226-M226),Volsmile,2),0)),$CG226,$CH226,($A226-DateToday)+15,1,1))*(8*$HE226),8*$HE226),0)),0))</f>
        <v xml:space="preserve"> </v>
      </c>
      <c r="AF226" s="254" t="str">
        <f t="shared" si="562"/>
        <v xml:space="preserve"> </v>
      </c>
      <c r="AG226" s="254" t="str">
        <f>IF($A226="N/A"," ",IF(VLOOKUP(MONTH(A226),ManualTable,8)=1,(IF(X226&lt;&gt;0,IF(Pricetype=1,(_xll.xSPRDOPT(O226,$E226,$CI226,0,($CD226+IF(Smile=TRUE,VLOOKUP(MAX(-5,$H226-O226),Volsmile,2),0)),$CG226,$CH226,($A226-DateToday)+15,1,1))*(8*$HF226),8*$HF226),0)),0))</f>
        <v xml:space="preserve"> </v>
      </c>
      <c r="AH226" s="254" t="str">
        <f>IF($A226="N/A"," ",IF(VLOOKUP(MONTH(A226),ManualTable,9)=1,(IF(Y226&lt;&gt;0,IF(Pricetype=1,(_xll.xSPRDOPT(P226,$E226,$CI226,0,($CD226+IF(Smile=TRUE,VLOOKUP(MAX(-5,$H226-P226),Volsmile,2),0)),$CG226,$CH226,($A226-DateToday)+15,1,1))*(8*$HF226),8*$HF226),0)),0))</f>
        <v xml:space="preserve"> </v>
      </c>
      <c r="AI226" s="254" t="str">
        <f t="shared" si="563"/>
        <v xml:space="preserve"> </v>
      </c>
      <c r="AJ226" s="227" t="str">
        <f t="shared" si="623"/>
        <v xml:space="preserve"> </v>
      </c>
      <c r="AK226" s="228" t="str">
        <f t="shared" si="624"/>
        <v xml:space="preserve"> </v>
      </c>
      <c r="AL226" s="228" t="str">
        <f t="shared" si="624"/>
        <v xml:space="preserve"> </v>
      </c>
      <c r="AM226" s="228" t="str">
        <f t="shared" si="625"/>
        <v xml:space="preserve"> </v>
      </c>
      <c r="AN226" s="228" t="str">
        <f t="shared" si="626"/>
        <v xml:space="preserve"> </v>
      </c>
      <c r="AO226" s="228" t="str">
        <f t="shared" si="626"/>
        <v xml:space="preserve"> </v>
      </c>
      <c r="AP226" s="228" t="str">
        <f t="shared" si="627"/>
        <v xml:space="preserve"> </v>
      </c>
      <c r="AQ226" s="228" t="str">
        <f t="shared" si="628"/>
        <v xml:space="preserve"> </v>
      </c>
      <c r="AR226" s="229" t="str">
        <f t="shared" si="629"/>
        <v xml:space="preserve"> </v>
      </c>
      <c r="AS226" s="262" t="str">
        <f t="shared" si="593"/>
        <v xml:space="preserve"> </v>
      </c>
      <c r="AT226" s="263" t="str">
        <f t="shared" si="594"/>
        <v xml:space="preserve"> </v>
      </c>
      <c r="AU226" s="263" t="str">
        <f t="shared" si="594"/>
        <v xml:space="preserve"> </v>
      </c>
      <c r="AV226" s="263" t="str">
        <f t="shared" si="595"/>
        <v xml:space="preserve"> </v>
      </c>
      <c r="AW226" s="263" t="str">
        <f t="shared" si="596"/>
        <v xml:space="preserve"> </v>
      </c>
      <c r="AX226" s="263" t="str">
        <f t="shared" si="596"/>
        <v xml:space="preserve"> </v>
      </c>
      <c r="AY226" s="263" t="str">
        <f t="shared" si="597"/>
        <v xml:space="preserve"> </v>
      </c>
      <c r="AZ226" s="263" t="str">
        <f t="shared" si="598"/>
        <v xml:space="preserve"> </v>
      </c>
      <c r="BA226" s="263" t="str">
        <f t="shared" si="599"/>
        <v xml:space="preserve"> </v>
      </c>
      <c r="BB226" s="229"/>
      <c r="BC226" s="266" t="str">
        <f t="shared" si="616"/>
        <v xml:space="preserve"> </v>
      </c>
      <c r="BD226" s="269" t="str">
        <f t="shared" si="617"/>
        <v xml:space="preserve"> </v>
      </c>
      <c r="BE226" s="269" t="str">
        <f t="shared" si="617"/>
        <v xml:space="preserve"> </v>
      </c>
      <c r="BF226" s="269" t="str">
        <f t="shared" si="618"/>
        <v xml:space="preserve"> </v>
      </c>
      <c r="BG226" s="269" t="str">
        <f t="shared" si="619"/>
        <v xml:space="preserve"> </v>
      </c>
      <c r="BH226" s="269" t="str">
        <f t="shared" si="619"/>
        <v xml:space="preserve"> </v>
      </c>
      <c r="BI226" s="269" t="str">
        <f t="shared" si="620"/>
        <v xml:space="preserve"> </v>
      </c>
      <c r="BJ226" s="269" t="str">
        <f t="shared" si="621"/>
        <v xml:space="preserve"> </v>
      </c>
      <c r="BK226" s="269" t="str">
        <f t="shared" si="622"/>
        <v xml:space="preserve"> </v>
      </c>
      <c r="BL226" s="229"/>
      <c r="BM226" s="220" t="str">
        <f>IF($A226="N/A"," ",(IF(MONTH(A226)&gt;=4,IF(MONTH(A226)&lt;=10,Inputs!$F$13-Inputs!$G$13,Inputs!$F$14-Inputs!$G$14),Inputs!$F$14-Inputs!$G$14))*$CK226*Availability)</f>
        <v xml:space="preserve"> </v>
      </c>
      <c r="BN226" s="221" t="str">
        <f t="shared" si="571"/>
        <v xml:space="preserve"> </v>
      </c>
      <c r="BO226" s="221" t="str">
        <f t="shared" si="572"/>
        <v xml:space="preserve"> </v>
      </c>
      <c r="BP226" s="221" t="str">
        <f t="shared" si="573"/>
        <v xml:space="preserve"> </v>
      </c>
      <c r="BQ226" s="221" t="str">
        <f t="shared" si="574"/>
        <v xml:space="preserve"> </v>
      </c>
      <c r="BR226" s="221" t="str">
        <f t="shared" si="575"/>
        <v xml:space="preserve"> </v>
      </c>
      <c r="BS226" s="221" t="str">
        <f t="shared" si="576"/>
        <v xml:space="preserve"> </v>
      </c>
      <c r="BT226" s="221" t="str">
        <f t="shared" si="577"/>
        <v xml:space="preserve"> </v>
      </c>
      <c r="BU226" s="221" t="str">
        <f t="shared" si="578"/>
        <v xml:space="preserve"> </v>
      </c>
      <c r="BV226" s="221" t="str">
        <f t="shared" si="579"/>
        <v xml:space="preserve"> </v>
      </c>
      <c r="BW226" s="221" t="str">
        <f t="shared" si="580"/>
        <v xml:space="preserve"> </v>
      </c>
      <c r="BX226" s="421" t="str">
        <f t="shared" si="581"/>
        <v xml:space="preserve"> </v>
      </c>
      <c r="BY226" s="417" t="str">
        <f t="shared" si="582"/>
        <v xml:space="preserve"> </v>
      </c>
      <c r="BZ226" s="417" t="str">
        <f t="shared" si="583"/>
        <v xml:space="preserve"> </v>
      </c>
      <c r="CA226" s="422" t="str">
        <f t="shared" si="584"/>
        <v xml:space="preserve"> </v>
      </c>
      <c r="CB226" s="347" t="str">
        <f t="shared" si="521"/>
        <v xml:space="preserve"> </v>
      </c>
      <c r="CC226" s="347" t="str">
        <f t="shared" si="585"/>
        <v xml:space="preserve"> </v>
      </c>
      <c r="CD226" s="348" t="str">
        <f t="shared" si="522"/>
        <v xml:space="preserve"> </v>
      </c>
      <c r="CE226" s="347" t="str">
        <f t="shared" si="523"/>
        <v xml:space="preserve"> </v>
      </c>
      <c r="CF226" s="347" t="str">
        <f t="shared" si="524"/>
        <v xml:space="preserve"> </v>
      </c>
      <c r="CG226" s="348" t="str">
        <f t="shared" si="525"/>
        <v xml:space="preserve"> </v>
      </c>
      <c r="CH226" s="347" t="str">
        <f t="shared" si="586"/>
        <v xml:space="preserve"> </v>
      </c>
      <c r="CI226" s="349" t="str">
        <f>IF($A226="N/A"," ",F226+G226+(D226*('Pricing Inputs'!T259)))</f>
        <v xml:space="preserve"> </v>
      </c>
      <c r="CJ226" s="347" t="str">
        <f>IF($A226="N/A"," ",IF(PV=1,0,'Pricing Inputs'!U259))</f>
        <v xml:space="preserve"> </v>
      </c>
      <c r="CK226" s="350" t="str">
        <f t="shared" si="526"/>
        <v xml:space="preserve"> </v>
      </c>
      <c r="CL226" s="365" t="str">
        <f t="shared" si="527"/>
        <v xml:space="preserve"> </v>
      </c>
      <c r="CM226" s="380" t="str">
        <f t="shared" si="587"/>
        <v xml:space="preserve"> </v>
      </c>
      <c r="CN226" s="378" t="str">
        <f t="shared" si="528"/>
        <v xml:space="preserve"> </v>
      </c>
      <c r="CO226" s="378" t="str">
        <f t="shared" si="529"/>
        <v xml:space="preserve"> </v>
      </c>
      <c r="CP226" s="378" t="str">
        <f t="shared" si="530"/>
        <v xml:space="preserve"> </v>
      </c>
      <c r="CQ226" s="378" t="str">
        <f t="shared" si="531"/>
        <v xml:space="preserve"> </v>
      </c>
      <c r="CR226" s="378" t="str">
        <f t="shared" si="532"/>
        <v xml:space="preserve"> </v>
      </c>
      <c r="CS226" s="378" t="str">
        <f t="shared" si="533"/>
        <v xml:space="preserve"> </v>
      </c>
      <c r="CT226" s="378" t="str">
        <f t="shared" si="534"/>
        <v xml:space="preserve"> </v>
      </c>
      <c r="CU226" s="378" t="str">
        <f t="shared" si="535"/>
        <v xml:space="preserve"> </v>
      </c>
      <c r="CV226" s="378" t="str">
        <f t="shared" si="536"/>
        <v xml:space="preserve"> </v>
      </c>
      <c r="CW226" s="254" t="str">
        <f t="shared" si="537"/>
        <v xml:space="preserve"> </v>
      </c>
      <c r="CX226" s="254" t="str">
        <f t="shared" si="538"/>
        <v xml:space="preserve"> </v>
      </c>
      <c r="CY226" s="254" t="str">
        <f t="shared" si="539"/>
        <v xml:space="preserve"> </v>
      </c>
      <c r="CZ226" s="254" t="str">
        <f t="shared" si="540"/>
        <v xml:space="preserve"> </v>
      </c>
      <c r="DA226" s="254" t="str">
        <f t="shared" si="541"/>
        <v xml:space="preserve"> </v>
      </c>
      <c r="DB226" s="254" t="str">
        <f t="shared" si="542"/>
        <v xml:space="preserve"> </v>
      </c>
      <c r="DC226" s="254" t="str">
        <f t="shared" si="543"/>
        <v xml:space="preserve"> </v>
      </c>
      <c r="DD226" s="254" t="str">
        <f t="shared" si="544"/>
        <v xml:space="preserve"> </v>
      </c>
      <c r="DE226" s="254" t="str">
        <f t="shared" si="545"/>
        <v xml:space="preserve"> </v>
      </c>
      <c r="DF226" s="374" t="str">
        <f>IF($A226="N/A"," ",IF(CC=2,(IF(MONTH(A226)&gt;=4,IF(MONTH(A226)&lt;=10,Inputs!$G$13,Inputs!$G$14),Inputs!$G$14))*$CK226,0))</f>
        <v xml:space="preserve"> </v>
      </c>
      <c r="DG226" s="373" t="str">
        <f t="shared" si="546"/>
        <v xml:space="preserve"> </v>
      </c>
      <c r="DH226" s="373" t="str">
        <f t="shared" si="547"/>
        <v xml:space="preserve"> </v>
      </c>
      <c r="DI226" s="373" t="str">
        <f t="shared" si="548"/>
        <v xml:space="preserve"> </v>
      </c>
      <c r="DJ226" s="373" t="str">
        <f t="shared" si="549"/>
        <v xml:space="preserve"> </v>
      </c>
      <c r="DK226" s="373" t="str">
        <f t="shared" si="550"/>
        <v xml:space="preserve"> </v>
      </c>
      <c r="DL226" s="373" t="str">
        <f t="shared" si="551"/>
        <v xml:space="preserve"> </v>
      </c>
      <c r="DM226" s="373" t="str">
        <f t="shared" si="552"/>
        <v xml:space="preserve"> </v>
      </c>
      <c r="DN226" s="373" t="str">
        <f t="shared" si="553"/>
        <v xml:space="preserve"> </v>
      </c>
      <c r="DO226" s="373" t="str">
        <f t="shared" si="554"/>
        <v xml:space="preserve"> </v>
      </c>
      <c r="DP226" s="375" t="str">
        <f t="shared" si="555"/>
        <v xml:space="preserve"> </v>
      </c>
      <c r="DQ226" t="str">
        <f t="shared" si="588"/>
        <v xml:space="preserve"> </v>
      </c>
      <c r="HD226" t="str">
        <f t="shared" si="589"/>
        <v xml:space="preserve"> </v>
      </c>
      <c r="HE226" t="str">
        <f t="shared" si="590"/>
        <v xml:space="preserve"> </v>
      </c>
      <c r="HF226" t="str">
        <f t="shared" si="591"/>
        <v xml:space="preserve"> </v>
      </c>
    </row>
    <row r="227" spans="1:214">
      <c r="A227" s="415" t="str">
        <f>IF(A226="N/A","N/A",IF(EDATE(A226,1)&gt;Inputs!$K$3,"N/A",EDATE(A226,1)))</f>
        <v>N/A</v>
      </c>
      <c r="B227" s="410" t="str">
        <f t="shared" si="556"/>
        <v xml:space="preserve"> </v>
      </c>
      <c r="C227" s="411" t="str">
        <f t="shared" si="557"/>
        <v xml:space="preserve"> </v>
      </c>
      <c r="D227" s="412" t="str">
        <f t="shared" si="558"/>
        <v xml:space="preserve"> </v>
      </c>
      <c r="E227" s="413" t="str">
        <f>IF($A227="N/A"," ",(C227-'Pricing Inputs'!T260)*D227)</f>
        <v xml:space="preserve"> </v>
      </c>
      <c r="F227" s="414" t="str">
        <f t="shared" si="607"/>
        <v xml:space="preserve"> </v>
      </c>
      <c r="G227" s="414" t="str">
        <f t="shared" si="559"/>
        <v xml:space="preserve"> </v>
      </c>
      <c r="H227" s="416" t="str">
        <f t="shared" si="560"/>
        <v xml:space="preserve"> </v>
      </c>
      <c r="I227" s="213" t="str">
        <f t="shared" si="501"/>
        <v xml:space="preserve"> </v>
      </c>
      <c r="J227" s="213" t="str">
        <f t="shared" si="502"/>
        <v xml:space="preserve"> </v>
      </c>
      <c r="K227" s="213" t="str">
        <f t="shared" si="503"/>
        <v xml:space="preserve"> </v>
      </c>
      <c r="L227" s="213" t="str">
        <f t="shared" si="504"/>
        <v xml:space="preserve"> </v>
      </c>
      <c r="M227" s="213" t="str">
        <f t="shared" si="505"/>
        <v xml:space="preserve"> </v>
      </c>
      <c r="N227" s="213" t="str">
        <f t="shared" si="506"/>
        <v xml:space="preserve"> </v>
      </c>
      <c r="O227" s="213" t="str">
        <f t="shared" si="507"/>
        <v xml:space="preserve"> </v>
      </c>
      <c r="P227" s="213" t="str">
        <f t="shared" si="508"/>
        <v xml:space="preserve"> </v>
      </c>
      <c r="Q227" s="213" t="str">
        <f t="shared" si="509"/>
        <v xml:space="preserve"> </v>
      </c>
      <c r="R227" s="405" t="str">
        <f>IF($A227="N/A"," ",IF(Pricetype=2,MAX(I227-$H227,0),IF(Pricetype=1,(_xll.xSPRDOPT(I227,$E227,$CI227,0,($CD227+IF(Smile=TRUE,VLOOKUP(MAX(-5,$H227-I227),Volsmile,2),0)),$CG227,$CH227,($A227-DateToday)+15,1,0)),I227-$H227)))</f>
        <v xml:space="preserve"> </v>
      </c>
      <c r="S227" s="405" t="str">
        <f>IF($A227="N/A"," ",IF(Pricetype=2,MAX(J227-$H227,0),IF(Pricetype=1,(_xll.xSPRDOPT(J227,$E227,$CI227,0,($CD227+IF(Smile=TRUE,VLOOKUP(MAX(-5,$H227-J227),Volsmile,2),0)),$CG227,$CH227,($A227-DateToday)+15,1,0)),J227-$H227)))</f>
        <v xml:space="preserve"> </v>
      </c>
      <c r="T227" s="406" t="str">
        <f t="shared" si="510"/>
        <v xml:space="preserve"> </v>
      </c>
      <c r="U227" s="405" t="str">
        <f>IF($A227="N/A"," ",IF(Pricetype=2,MAX(L227-$H227,0),IF(L227&lt;&gt;0,IF(Pricetype=1,(_xll.xSPRDOPT(L227,$E227,$CI227,0,($CD227+IF(Smile=TRUE,VLOOKUP(MAX(-5,$H227-L227),Volsmile,2),0)),$CG227,$CH227,($A227-DateToday)+15,1,0)),L227-$H227),0)))</f>
        <v xml:space="preserve"> </v>
      </c>
      <c r="V227" s="405" t="str">
        <f>IF($A227="N/A"," ",IF(Pricetype=2,MAX(M227-$H227,0),IF(M227&lt;&gt;0,IF(Pricetype=1,(_xll.xSPRDOPT(M227,$E227,$CI227,0,($CD227+IF(Smile=TRUE,VLOOKUP(MAX(-5,$H227-M227),Volsmile,2),0)),$CG227,$CH227,($A227-DateToday)+15,1,0)),M227-$H227),0)))</f>
        <v xml:space="preserve"> </v>
      </c>
      <c r="W227" s="406" t="str">
        <f t="shared" si="511"/>
        <v xml:space="preserve"> </v>
      </c>
      <c r="X227" s="405" t="str">
        <f>IF($A227="N/A"," ",IF(Pricetype=2,MAX(O227-$H227,0),IF(O227&lt;&gt;0,IF(Pricetype=1,(_xll.xSPRDOPT(O227,$E227,$CI227,0,($CD227+IF(Smile=TRUE,VLOOKUP(MAX(-5,$H227-O227),Volsmile,2),0)),$CG227,$CH227,($A227-DateToday)+15,1,0)),O227-$H227),0)))</f>
        <v xml:space="preserve"> </v>
      </c>
      <c r="Y227" s="405" t="str">
        <f>IF($A227="N/A"," ",IF(Pricetype=2,MAX(P227-$H227,0),IF(P227&lt;&gt;0,IF(Pricetype=1,(_xll.xSPRDOPT(P227,$E227,$CI227,0,($CD227+IF(Smile=TRUE,VLOOKUP(MAX(-5,$H227-P227),Volsmile,2),0)),$CG227,$CH227,($A227-DateToday)+15,1,0)),P227-$H227),0)))</f>
        <v xml:space="preserve"> </v>
      </c>
      <c r="Z227" s="406" t="str">
        <f t="shared" si="512"/>
        <v xml:space="preserve"> </v>
      </c>
      <c r="AA227" s="254" t="str">
        <f>IF($A227="N/A"," ",IF(VLOOKUP(MONTH(A227),ManualTable,2)=1,(IF(0&lt;&gt;R227,IF(Pricetype=1,(_xll.xSPRDOPT(I227,$E227,$CI227,0,($CD227+IF(Smile=TRUE,VLOOKUP(MAX(-5,$H227-I227),Volsmile,2),0)),$CG227,$CH227,($A227-DateToday)+15,1,1))*(8*$HD227),8*$HD227),0)),0))</f>
        <v xml:space="preserve"> </v>
      </c>
      <c r="AB227" s="254" t="str">
        <f>IF($A227="N/A"," ",IF(VLOOKUP(MONTH(A227),ManualTable,3)=1,(IF(S227&lt;&gt;0,IF(Pricetype=1,(_xll.xSPRDOPT(J227,$E227,$CI227,0,($CD227+IF(Smile=TRUE,VLOOKUP(MAX(-5,$H227-J227),Volsmile,2),0)),$CG227,$CH227,($A227-DateToday)+15,1,1))*(8*$HD227),8*$HD227),0)),0))</f>
        <v xml:space="preserve"> </v>
      </c>
      <c r="AC227" s="254" t="str">
        <f t="shared" si="561"/>
        <v xml:space="preserve"> </v>
      </c>
      <c r="AD227" s="254" t="str">
        <f>IF($A227="N/A"," ",IF(VLOOKUP(MONTH(A227),ManualTable,5)=1,(IF(U227&lt;&gt;0,IF(Pricetype=1,(_xll.xSPRDOPT(L227,$E227,$CI227,0,($CD227+IF(Smile=TRUE,VLOOKUP(MAX(-5,$H227-L227),Volsmile,2),0)),$CG227,$CH227,($A227-DateToday)+15,1,1))*(8*$HE227),8*$HE227),0)),0))</f>
        <v xml:space="preserve"> </v>
      </c>
      <c r="AE227" s="254" t="str">
        <f>IF($A227="N/A"," ",IF(VLOOKUP(MONTH(A227),ManualTable,6)=1,(IF(V227&lt;&gt;0,IF(Pricetype=1,(_xll.xSPRDOPT(M227,$E227,$CI227,0,($CD227+IF(Smile=TRUE,VLOOKUP(MAX(-5,$H227-M227),Volsmile,2),0)),$CG227,$CH227,($A227-DateToday)+15,1,1))*(8*$HE227),8*$HE227),0)),0))</f>
        <v xml:space="preserve"> </v>
      </c>
      <c r="AF227" s="254" t="str">
        <f t="shared" si="562"/>
        <v xml:space="preserve"> </v>
      </c>
      <c r="AG227" s="254" t="str">
        <f>IF($A227="N/A"," ",IF(VLOOKUP(MONTH(A227),ManualTable,8)=1,(IF(X227&lt;&gt;0,IF(Pricetype=1,(_xll.xSPRDOPT(O227,$E227,$CI227,0,($CD227+IF(Smile=TRUE,VLOOKUP(MAX(-5,$H227-O227),Volsmile,2),0)),$CG227,$CH227,($A227-DateToday)+15,1,1))*(8*$HF227),8*$HF227),0)),0))</f>
        <v xml:space="preserve"> </v>
      </c>
      <c r="AH227" s="254" t="str">
        <f>IF($A227="N/A"," ",IF(VLOOKUP(MONTH(A227),ManualTable,9)=1,(IF(Y227&lt;&gt;0,IF(Pricetype=1,(_xll.xSPRDOPT(P227,$E227,$CI227,0,($CD227+IF(Smile=TRUE,VLOOKUP(MAX(-5,$H227-P227),Volsmile,2),0)),$CG227,$CH227,($A227-DateToday)+15,1,1))*(8*$HF227),8*$HF227),0)),0))</f>
        <v xml:space="preserve"> </v>
      </c>
      <c r="AI227" s="254" t="str">
        <f t="shared" si="563"/>
        <v xml:space="preserve"> </v>
      </c>
      <c r="AJ227" s="227" t="str">
        <f t="shared" si="623"/>
        <v xml:space="preserve"> </v>
      </c>
      <c r="AK227" s="228" t="str">
        <f t="shared" si="624"/>
        <v xml:space="preserve"> </v>
      </c>
      <c r="AL227" s="228" t="str">
        <f t="shared" si="624"/>
        <v xml:space="preserve"> </v>
      </c>
      <c r="AM227" s="228" t="str">
        <f t="shared" si="625"/>
        <v xml:space="preserve"> </v>
      </c>
      <c r="AN227" s="228" t="str">
        <f t="shared" si="626"/>
        <v xml:space="preserve"> </v>
      </c>
      <c r="AO227" s="228" t="str">
        <f t="shared" si="626"/>
        <v xml:space="preserve"> </v>
      </c>
      <c r="AP227" s="228" t="str">
        <f t="shared" si="627"/>
        <v xml:space="preserve"> </v>
      </c>
      <c r="AQ227" s="228" t="str">
        <f t="shared" si="628"/>
        <v xml:space="preserve"> </v>
      </c>
      <c r="AR227" s="229" t="str">
        <f t="shared" si="629"/>
        <v xml:space="preserve"> </v>
      </c>
      <c r="AS227" s="262" t="str">
        <f t="shared" si="593"/>
        <v xml:space="preserve"> </v>
      </c>
      <c r="AT227" s="263" t="str">
        <f t="shared" si="594"/>
        <v xml:space="preserve"> </v>
      </c>
      <c r="AU227" s="263" t="str">
        <f t="shared" si="594"/>
        <v xml:space="preserve"> </v>
      </c>
      <c r="AV227" s="263" t="str">
        <f t="shared" si="595"/>
        <v xml:space="preserve"> </v>
      </c>
      <c r="AW227" s="263" t="str">
        <f t="shared" si="596"/>
        <v xml:space="preserve"> </v>
      </c>
      <c r="AX227" s="263" t="str">
        <f t="shared" si="596"/>
        <v xml:space="preserve"> </v>
      </c>
      <c r="AY227" s="263" t="str">
        <f t="shared" si="597"/>
        <v xml:space="preserve"> </v>
      </c>
      <c r="AZ227" s="263" t="str">
        <f t="shared" si="598"/>
        <v xml:space="preserve"> </v>
      </c>
      <c r="BA227" s="263" t="str">
        <f t="shared" si="599"/>
        <v xml:space="preserve"> </v>
      </c>
      <c r="BB227" s="229"/>
      <c r="BC227" s="266" t="str">
        <f t="shared" si="616"/>
        <v xml:space="preserve"> </v>
      </c>
      <c r="BD227" s="269" t="str">
        <f t="shared" si="617"/>
        <v xml:space="preserve"> </v>
      </c>
      <c r="BE227" s="269" t="str">
        <f t="shared" si="617"/>
        <v xml:space="preserve"> </v>
      </c>
      <c r="BF227" s="269" t="str">
        <f t="shared" si="618"/>
        <v xml:space="preserve"> </v>
      </c>
      <c r="BG227" s="269" t="str">
        <f t="shared" si="619"/>
        <v xml:space="preserve"> </v>
      </c>
      <c r="BH227" s="269" t="str">
        <f t="shared" si="619"/>
        <v xml:space="preserve"> </v>
      </c>
      <c r="BI227" s="269" t="str">
        <f t="shared" si="620"/>
        <v xml:space="preserve"> </v>
      </c>
      <c r="BJ227" s="269" t="str">
        <f t="shared" si="621"/>
        <v xml:space="preserve"> </v>
      </c>
      <c r="BK227" s="269" t="str">
        <f t="shared" si="622"/>
        <v xml:space="preserve"> </v>
      </c>
      <c r="BL227" s="229"/>
      <c r="BM227" s="220" t="str">
        <f>IF($A227="N/A"," ",(IF(MONTH(A227)&gt;=4,IF(MONTH(A227)&lt;=10,Inputs!$F$13-Inputs!$G$13,Inputs!$F$14-Inputs!$G$14),Inputs!$F$14-Inputs!$G$14))*$CK227*Availability)</f>
        <v xml:space="preserve"> </v>
      </c>
      <c r="BN227" s="221" t="str">
        <f t="shared" si="571"/>
        <v xml:space="preserve"> </v>
      </c>
      <c r="BO227" s="221" t="str">
        <f t="shared" si="572"/>
        <v xml:space="preserve"> </v>
      </c>
      <c r="BP227" s="221" t="str">
        <f t="shared" si="573"/>
        <v xml:space="preserve"> </v>
      </c>
      <c r="BQ227" s="221" t="str">
        <f t="shared" si="574"/>
        <v xml:space="preserve"> </v>
      </c>
      <c r="BR227" s="221" t="str">
        <f t="shared" si="575"/>
        <v xml:space="preserve"> </v>
      </c>
      <c r="BS227" s="221" t="str">
        <f t="shared" si="576"/>
        <v xml:space="preserve"> </v>
      </c>
      <c r="BT227" s="221" t="str">
        <f t="shared" si="577"/>
        <v xml:space="preserve"> </v>
      </c>
      <c r="BU227" s="221" t="str">
        <f t="shared" si="578"/>
        <v xml:space="preserve"> </v>
      </c>
      <c r="BV227" s="221" t="str">
        <f t="shared" si="579"/>
        <v xml:space="preserve"> </v>
      </c>
      <c r="BW227" s="221" t="str">
        <f t="shared" si="580"/>
        <v xml:space="preserve"> </v>
      </c>
      <c r="BX227" s="421" t="str">
        <f t="shared" si="581"/>
        <v xml:space="preserve"> </v>
      </c>
      <c r="BY227" s="417" t="str">
        <f t="shared" si="582"/>
        <v xml:space="preserve"> </v>
      </c>
      <c r="BZ227" s="417" t="str">
        <f t="shared" si="583"/>
        <v xml:space="preserve"> </v>
      </c>
      <c r="CA227" s="422" t="str">
        <f t="shared" si="584"/>
        <v xml:space="preserve"> </v>
      </c>
      <c r="CB227" s="347" t="str">
        <f t="shared" si="521"/>
        <v xml:space="preserve"> </v>
      </c>
      <c r="CC227" s="347" t="str">
        <f t="shared" si="585"/>
        <v xml:space="preserve"> </v>
      </c>
      <c r="CD227" s="348" t="str">
        <f t="shared" si="522"/>
        <v xml:space="preserve"> </v>
      </c>
      <c r="CE227" s="347" t="str">
        <f t="shared" si="523"/>
        <v xml:space="preserve"> </v>
      </c>
      <c r="CF227" s="347" t="str">
        <f t="shared" si="524"/>
        <v xml:space="preserve"> </v>
      </c>
      <c r="CG227" s="348" t="str">
        <f t="shared" si="525"/>
        <v xml:space="preserve"> </v>
      </c>
      <c r="CH227" s="347" t="str">
        <f t="shared" si="586"/>
        <v xml:space="preserve"> </v>
      </c>
      <c r="CI227" s="349" t="str">
        <f>IF($A227="N/A"," ",F227+G227+(D227*('Pricing Inputs'!T260)))</f>
        <v xml:space="preserve"> </v>
      </c>
      <c r="CJ227" s="347" t="str">
        <f>IF($A227="N/A"," ",IF(PV=1,0,'Pricing Inputs'!U260))</f>
        <v xml:space="preserve"> </v>
      </c>
      <c r="CK227" s="350" t="str">
        <f t="shared" si="526"/>
        <v xml:space="preserve"> </v>
      </c>
      <c r="CL227" s="365" t="str">
        <f t="shared" si="527"/>
        <v xml:space="preserve"> </v>
      </c>
      <c r="CM227" s="380" t="str">
        <f t="shared" si="587"/>
        <v xml:space="preserve"> </v>
      </c>
      <c r="CN227" s="378" t="str">
        <f t="shared" si="528"/>
        <v xml:space="preserve"> </v>
      </c>
      <c r="CO227" s="378" t="str">
        <f t="shared" si="529"/>
        <v xml:space="preserve"> </v>
      </c>
      <c r="CP227" s="378" t="str">
        <f t="shared" si="530"/>
        <v xml:space="preserve"> </v>
      </c>
      <c r="CQ227" s="378" t="str">
        <f t="shared" si="531"/>
        <v xml:space="preserve"> </v>
      </c>
      <c r="CR227" s="378" t="str">
        <f t="shared" si="532"/>
        <v xml:space="preserve"> </v>
      </c>
      <c r="CS227" s="378" t="str">
        <f t="shared" si="533"/>
        <v xml:space="preserve"> </v>
      </c>
      <c r="CT227" s="378" t="str">
        <f t="shared" si="534"/>
        <v xml:space="preserve"> </v>
      </c>
      <c r="CU227" s="378" t="str">
        <f t="shared" si="535"/>
        <v xml:space="preserve"> </v>
      </c>
      <c r="CV227" s="378" t="str">
        <f t="shared" si="536"/>
        <v xml:space="preserve"> </v>
      </c>
      <c r="CW227" s="254" t="str">
        <f t="shared" si="537"/>
        <v xml:space="preserve"> </v>
      </c>
      <c r="CX227" s="254" t="str">
        <f t="shared" si="538"/>
        <v xml:space="preserve"> </v>
      </c>
      <c r="CY227" s="254" t="str">
        <f t="shared" si="539"/>
        <v xml:space="preserve"> </v>
      </c>
      <c r="CZ227" s="254" t="str">
        <f t="shared" si="540"/>
        <v xml:space="preserve"> </v>
      </c>
      <c r="DA227" s="254" t="str">
        <f t="shared" si="541"/>
        <v xml:space="preserve"> </v>
      </c>
      <c r="DB227" s="254" t="str">
        <f t="shared" si="542"/>
        <v xml:space="preserve"> </v>
      </c>
      <c r="DC227" s="254" t="str">
        <f t="shared" si="543"/>
        <v xml:space="preserve"> </v>
      </c>
      <c r="DD227" s="254" t="str">
        <f t="shared" si="544"/>
        <v xml:space="preserve"> </v>
      </c>
      <c r="DE227" s="254" t="str">
        <f t="shared" si="545"/>
        <v xml:space="preserve"> </v>
      </c>
      <c r="DF227" s="374" t="str">
        <f>IF($A227="N/A"," ",IF(CC=2,(IF(MONTH(A227)&gt;=4,IF(MONTH(A227)&lt;=10,Inputs!$G$13,Inputs!$G$14),Inputs!$G$14))*$CK227,0))</f>
        <v xml:space="preserve"> </v>
      </c>
      <c r="DG227" s="373" t="str">
        <f t="shared" si="546"/>
        <v xml:space="preserve"> </v>
      </c>
      <c r="DH227" s="373" t="str">
        <f t="shared" si="547"/>
        <v xml:space="preserve"> </v>
      </c>
      <c r="DI227" s="373" t="str">
        <f t="shared" si="548"/>
        <v xml:space="preserve"> </v>
      </c>
      <c r="DJ227" s="373" t="str">
        <f t="shared" si="549"/>
        <v xml:space="preserve"> </v>
      </c>
      <c r="DK227" s="373" t="str">
        <f t="shared" si="550"/>
        <v xml:space="preserve"> </v>
      </c>
      <c r="DL227" s="373" t="str">
        <f t="shared" si="551"/>
        <v xml:space="preserve"> </v>
      </c>
      <c r="DM227" s="373" t="str">
        <f t="shared" si="552"/>
        <v xml:space="preserve"> </v>
      </c>
      <c r="DN227" s="373" t="str">
        <f t="shared" si="553"/>
        <v xml:space="preserve"> </v>
      </c>
      <c r="DO227" s="373" t="str">
        <f t="shared" si="554"/>
        <v xml:space="preserve"> </v>
      </c>
      <c r="DP227" s="375" t="str">
        <f t="shared" si="555"/>
        <v xml:space="preserve"> </v>
      </c>
      <c r="DQ227" t="str">
        <f t="shared" si="588"/>
        <v xml:space="preserve"> </v>
      </c>
      <c r="HD227" t="str">
        <f t="shared" si="589"/>
        <v xml:space="preserve"> </v>
      </c>
      <c r="HE227" t="str">
        <f t="shared" si="590"/>
        <v xml:space="preserve"> </v>
      </c>
      <c r="HF227" t="str">
        <f t="shared" si="591"/>
        <v xml:space="preserve"> </v>
      </c>
    </row>
    <row r="228" spans="1:214">
      <c r="A228" s="415" t="str">
        <f>IF(A227="N/A","N/A",IF(EDATE(A227,1)&gt;Inputs!$K$3,"N/A",EDATE(A227,1)))</f>
        <v>N/A</v>
      </c>
      <c r="B228" s="410" t="str">
        <f t="shared" si="556"/>
        <v xml:space="preserve"> </v>
      </c>
      <c r="C228" s="411" t="str">
        <f t="shared" si="557"/>
        <v xml:space="preserve"> </v>
      </c>
      <c r="D228" s="412" t="str">
        <f t="shared" si="558"/>
        <v xml:space="preserve"> </v>
      </c>
      <c r="E228" s="413" t="str">
        <f>IF($A228="N/A"," ",(C228-'Pricing Inputs'!T261)*D228)</f>
        <v xml:space="preserve"> </v>
      </c>
      <c r="F228" s="414" t="str">
        <f t="shared" si="607"/>
        <v xml:space="preserve"> </v>
      </c>
      <c r="G228" s="414" t="str">
        <f t="shared" si="559"/>
        <v xml:space="preserve"> </v>
      </c>
      <c r="H228" s="416" t="str">
        <f t="shared" si="560"/>
        <v xml:space="preserve"> </v>
      </c>
      <c r="I228" s="213" t="str">
        <f t="shared" si="501"/>
        <v xml:space="preserve"> </v>
      </c>
      <c r="J228" s="213" t="str">
        <f t="shared" si="502"/>
        <v xml:space="preserve"> </v>
      </c>
      <c r="K228" s="213" t="str">
        <f t="shared" si="503"/>
        <v xml:space="preserve"> </v>
      </c>
      <c r="L228" s="213" t="str">
        <f t="shared" si="504"/>
        <v xml:space="preserve"> </v>
      </c>
      <c r="M228" s="213" t="str">
        <f t="shared" si="505"/>
        <v xml:space="preserve"> </v>
      </c>
      <c r="N228" s="213" t="str">
        <f t="shared" si="506"/>
        <v xml:space="preserve"> </v>
      </c>
      <c r="O228" s="213" t="str">
        <f t="shared" si="507"/>
        <v xml:space="preserve"> </v>
      </c>
      <c r="P228" s="213" t="str">
        <f t="shared" si="508"/>
        <v xml:space="preserve"> </v>
      </c>
      <c r="Q228" s="213" t="str">
        <f t="shared" si="509"/>
        <v xml:space="preserve"> </v>
      </c>
      <c r="R228" s="405" t="str">
        <f>IF($A228="N/A"," ",IF(Pricetype=2,MAX(I228-$H228,0),IF(Pricetype=1,(_xll.xSPRDOPT(I228,$E228,$CI228,0,($CD228+IF(Smile=TRUE,VLOOKUP(MAX(-5,$H228-I228),Volsmile,2),0)),$CG228,$CH228,($A228-DateToday)+15,1,0)),I228-$H228)))</f>
        <v xml:space="preserve"> </v>
      </c>
      <c r="S228" s="405" t="str">
        <f>IF($A228="N/A"," ",IF(Pricetype=2,MAX(J228-$H228,0),IF(Pricetype=1,(_xll.xSPRDOPT(J228,$E228,$CI228,0,($CD228+IF(Smile=TRUE,VLOOKUP(MAX(-5,$H228-J228),Volsmile,2),0)),$CG228,$CH228,($A228-DateToday)+15,1,0)),J228-$H228)))</f>
        <v xml:space="preserve"> </v>
      </c>
      <c r="T228" s="406" t="str">
        <f t="shared" si="510"/>
        <v xml:space="preserve"> </v>
      </c>
      <c r="U228" s="405" t="str">
        <f>IF($A228="N/A"," ",IF(Pricetype=2,MAX(L228-$H228,0),IF(L228&lt;&gt;0,IF(Pricetype=1,(_xll.xSPRDOPT(L228,$E228,$CI228,0,($CD228+IF(Smile=TRUE,VLOOKUP(MAX(-5,$H228-L228),Volsmile,2),0)),$CG228,$CH228,($A228-DateToday)+15,1,0)),L228-$H228),0)))</f>
        <v xml:space="preserve"> </v>
      </c>
      <c r="V228" s="405" t="str">
        <f>IF($A228="N/A"," ",IF(Pricetype=2,MAX(M228-$H228,0),IF(M228&lt;&gt;0,IF(Pricetype=1,(_xll.xSPRDOPT(M228,$E228,$CI228,0,($CD228+IF(Smile=TRUE,VLOOKUP(MAX(-5,$H228-M228),Volsmile,2),0)),$CG228,$CH228,($A228-DateToday)+15,1,0)),M228-$H228),0)))</f>
        <v xml:space="preserve"> </v>
      </c>
      <c r="W228" s="406" t="str">
        <f t="shared" si="511"/>
        <v xml:space="preserve"> </v>
      </c>
      <c r="X228" s="405" t="str">
        <f>IF($A228="N/A"," ",IF(Pricetype=2,MAX(O228-$H228,0),IF(O228&lt;&gt;0,IF(Pricetype=1,(_xll.xSPRDOPT(O228,$E228,$CI228,0,($CD228+IF(Smile=TRUE,VLOOKUP(MAX(-5,$H228-O228),Volsmile,2),0)),$CG228,$CH228,($A228-DateToday)+15,1,0)),O228-$H228),0)))</f>
        <v xml:space="preserve"> </v>
      </c>
      <c r="Y228" s="405" t="str">
        <f>IF($A228="N/A"," ",IF(Pricetype=2,MAX(P228-$H228,0),IF(P228&lt;&gt;0,IF(Pricetype=1,(_xll.xSPRDOPT(P228,$E228,$CI228,0,($CD228+IF(Smile=TRUE,VLOOKUP(MAX(-5,$H228-P228),Volsmile,2),0)),$CG228,$CH228,($A228-DateToday)+15,1,0)),P228-$H228),0)))</f>
        <v xml:space="preserve"> </v>
      </c>
      <c r="Z228" s="406" t="str">
        <f t="shared" si="512"/>
        <v xml:space="preserve"> </v>
      </c>
      <c r="AA228" s="254" t="str">
        <f>IF($A228="N/A"," ",IF(VLOOKUP(MONTH(A228),ManualTable,2)=1,(IF(0&lt;&gt;R228,IF(Pricetype=1,(_xll.xSPRDOPT(I228,$E228,$CI228,0,($CD228+IF(Smile=TRUE,VLOOKUP(MAX(-5,$H228-I228),Volsmile,2),0)),$CG228,$CH228,($A228-DateToday)+15,1,1))*(8*$HD228),8*$HD228),0)),0))</f>
        <v xml:space="preserve"> </v>
      </c>
      <c r="AB228" s="254" t="str">
        <f>IF($A228="N/A"," ",IF(VLOOKUP(MONTH(A228),ManualTable,3)=1,(IF(S228&lt;&gt;0,IF(Pricetype=1,(_xll.xSPRDOPT(J228,$E228,$CI228,0,($CD228+IF(Smile=TRUE,VLOOKUP(MAX(-5,$H228-J228),Volsmile,2),0)),$CG228,$CH228,($A228-DateToday)+15,1,1))*(8*$HD228),8*$HD228),0)),0))</f>
        <v xml:space="preserve"> </v>
      </c>
      <c r="AC228" s="254" t="str">
        <f t="shared" si="561"/>
        <v xml:space="preserve"> </v>
      </c>
      <c r="AD228" s="254" t="str">
        <f>IF($A228="N/A"," ",IF(VLOOKUP(MONTH(A228),ManualTable,5)=1,(IF(U228&lt;&gt;0,IF(Pricetype=1,(_xll.xSPRDOPT(L228,$E228,$CI228,0,($CD228+IF(Smile=TRUE,VLOOKUP(MAX(-5,$H228-L228),Volsmile,2),0)),$CG228,$CH228,($A228-DateToday)+15,1,1))*(8*$HE228),8*$HE228),0)),0))</f>
        <v xml:space="preserve"> </v>
      </c>
      <c r="AE228" s="254" t="str">
        <f>IF($A228="N/A"," ",IF(VLOOKUP(MONTH(A228),ManualTable,6)=1,(IF(V228&lt;&gt;0,IF(Pricetype=1,(_xll.xSPRDOPT(M228,$E228,$CI228,0,($CD228+IF(Smile=TRUE,VLOOKUP(MAX(-5,$H228-M228),Volsmile,2),0)),$CG228,$CH228,($A228-DateToday)+15,1,1))*(8*$HE228),8*$HE228),0)),0))</f>
        <v xml:space="preserve"> </v>
      </c>
      <c r="AF228" s="254" t="str">
        <f t="shared" si="562"/>
        <v xml:space="preserve"> </v>
      </c>
      <c r="AG228" s="254" t="str">
        <f>IF($A228="N/A"," ",IF(VLOOKUP(MONTH(A228),ManualTable,8)=1,(IF(X228&lt;&gt;0,IF(Pricetype=1,(_xll.xSPRDOPT(O228,$E228,$CI228,0,($CD228+IF(Smile=TRUE,VLOOKUP(MAX(-5,$H228-O228),Volsmile,2),0)),$CG228,$CH228,($A228-DateToday)+15,1,1))*(8*$HF228),8*$HF228),0)),0))</f>
        <v xml:space="preserve"> </v>
      </c>
      <c r="AH228" s="254" t="str">
        <f>IF($A228="N/A"," ",IF(VLOOKUP(MONTH(A228),ManualTable,9)=1,(IF(Y228&lt;&gt;0,IF(Pricetype=1,(_xll.xSPRDOPT(P228,$E228,$CI228,0,($CD228+IF(Smile=TRUE,VLOOKUP(MAX(-5,$H228-P228),Volsmile,2),0)),$CG228,$CH228,($A228-DateToday)+15,1,1))*(8*$HF228),8*$HF228),0)),0))</f>
        <v xml:space="preserve"> </v>
      </c>
      <c r="AI228" s="254" t="str">
        <f t="shared" si="563"/>
        <v xml:space="preserve"> </v>
      </c>
      <c r="AJ228" s="227" t="str">
        <f t="shared" si="623"/>
        <v xml:space="preserve"> </v>
      </c>
      <c r="AK228" s="228" t="str">
        <f t="shared" si="624"/>
        <v xml:space="preserve"> </v>
      </c>
      <c r="AL228" s="228" t="str">
        <f t="shared" si="624"/>
        <v xml:space="preserve"> </v>
      </c>
      <c r="AM228" s="228" t="str">
        <f t="shared" si="625"/>
        <v xml:space="preserve"> </v>
      </c>
      <c r="AN228" s="228" t="str">
        <f t="shared" si="626"/>
        <v xml:space="preserve"> </v>
      </c>
      <c r="AO228" s="228" t="str">
        <f t="shared" si="626"/>
        <v xml:space="preserve"> </v>
      </c>
      <c r="AP228" s="228" t="str">
        <f t="shared" si="627"/>
        <v xml:space="preserve"> </v>
      </c>
      <c r="AQ228" s="228" t="str">
        <f t="shared" si="628"/>
        <v xml:space="preserve"> </v>
      </c>
      <c r="AR228" s="229" t="str">
        <f t="shared" si="629"/>
        <v xml:space="preserve"> </v>
      </c>
      <c r="AS228" s="262" t="str">
        <f t="shared" si="593"/>
        <v xml:space="preserve"> </v>
      </c>
      <c r="AT228" s="263" t="str">
        <f t="shared" si="594"/>
        <v xml:space="preserve"> </v>
      </c>
      <c r="AU228" s="263" t="str">
        <f t="shared" si="594"/>
        <v xml:space="preserve"> </v>
      </c>
      <c r="AV228" s="263" t="str">
        <f t="shared" si="595"/>
        <v xml:space="preserve"> </v>
      </c>
      <c r="AW228" s="263" t="str">
        <f t="shared" si="596"/>
        <v xml:space="preserve"> </v>
      </c>
      <c r="AX228" s="263" t="str">
        <f t="shared" si="596"/>
        <v xml:space="preserve"> </v>
      </c>
      <c r="AY228" s="263" t="str">
        <f t="shared" si="597"/>
        <v xml:space="preserve"> </v>
      </c>
      <c r="AZ228" s="263" t="str">
        <f t="shared" si="598"/>
        <v xml:space="preserve"> </v>
      </c>
      <c r="BA228" s="263" t="str">
        <f t="shared" si="599"/>
        <v xml:space="preserve"> </v>
      </c>
      <c r="BB228" s="229"/>
      <c r="BC228" s="266" t="str">
        <f t="shared" si="616"/>
        <v xml:space="preserve"> </v>
      </c>
      <c r="BD228" s="269" t="str">
        <f t="shared" si="617"/>
        <v xml:space="preserve"> </v>
      </c>
      <c r="BE228" s="269" t="str">
        <f t="shared" si="617"/>
        <v xml:space="preserve"> </v>
      </c>
      <c r="BF228" s="269" t="str">
        <f t="shared" si="618"/>
        <v xml:space="preserve"> </v>
      </c>
      <c r="BG228" s="269" t="str">
        <f t="shared" si="619"/>
        <v xml:space="preserve"> </v>
      </c>
      <c r="BH228" s="269" t="str">
        <f t="shared" si="619"/>
        <v xml:space="preserve"> </v>
      </c>
      <c r="BI228" s="269" t="str">
        <f t="shared" si="620"/>
        <v xml:space="preserve"> </v>
      </c>
      <c r="BJ228" s="269" t="str">
        <f t="shared" si="621"/>
        <v xml:space="preserve"> </v>
      </c>
      <c r="BK228" s="269" t="str">
        <f t="shared" si="622"/>
        <v xml:space="preserve"> </v>
      </c>
      <c r="BL228" s="229"/>
      <c r="BM228" s="220" t="str">
        <f>IF($A228="N/A"," ",(IF(MONTH(A228)&gt;=4,IF(MONTH(A228)&lt;=10,Inputs!$F$13-Inputs!$G$13,Inputs!$F$14-Inputs!$G$14),Inputs!$F$14-Inputs!$G$14))*$CK228*Availability)</f>
        <v xml:space="preserve"> </v>
      </c>
      <c r="BN228" s="221" t="str">
        <f t="shared" si="571"/>
        <v xml:space="preserve"> </v>
      </c>
      <c r="BO228" s="221" t="str">
        <f t="shared" si="572"/>
        <v xml:space="preserve"> </v>
      </c>
      <c r="BP228" s="221" t="str">
        <f t="shared" si="573"/>
        <v xml:space="preserve"> </v>
      </c>
      <c r="BQ228" s="221" t="str">
        <f t="shared" si="574"/>
        <v xml:space="preserve"> </v>
      </c>
      <c r="BR228" s="221" t="str">
        <f t="shared" si="575"/>
        <v xml:space="preserve"> </v>
      </c>
      <c r="BS228" s="221" t="str">
        <f t="shared" si="576"/>
        <v xml:space="preserve"> </v>
      </c>
      <c r="BT228" s="221" t="str">
        <f t="shared" si="577"/>
        <v xml:space="preserve"> </v>
      </c>
      <c r="BU228" s="221" t="str">
        <f t="shared" si="578"/>
        <v xml:space="preserve"> </v>
      </c>
      <c r="BV228" s="221" t="str">
        <f t="shared" si="579"/>
        <v xml:space="preserve"> </v>
      </c>
      <c r="BW228" s="221" t="str">
        <f t="shared" si="580"/>
        <v xml:space="preserve"> </v>
      </c>
      <c r="BX228" s="421" t="str">
        <f t="shared" si="581"/>
        <v xml:space="preserve"> </v>
      </c>
      <c r="BY228" s="417" t="str">
        <f t="shared" si="582"/>
        <v xml:space="preserve"> </v>
      </c>
      <c r="BZ228" s="417" t="str">
        <f t="shared" si="583"/>
        <v xml:space="preserve"> </v>
      </c>
      <c r="CA228" s="422" t="str">
        <f t="shared" si="584"/>
        <v xml:space="preserve"> </v>
      </c>
      <c r="CB228" s="347" t="str">
        <f t="shared" si="521"/>
        <v xml:space="preserve"> </v>
      </c>
      <c r="CC228" s="347" t="str">
        <f t="shared" si="585"/>
        <v xml:space="preserve"> </v>
      </c>
      <c r="CD228" s="348" t="str">
        <f t="shared" si="522"/>
        <v xml:space="preserve"> </v>
      </c>
      <c r="CE228" s="347" t="str">
        <f t="shared" si="523"/>
        <v xml:space="preserve"> </v>
      </c>
      <c r="CF228" s="347" t="str">
        <f t="shared" si="524"/>
        <v xml:space="preserve"> </v>
      </c>
      <c r="CG228" s="348" t="str">
        <f t="shared" si="525"/>
        <v xml:space="preserve"> </v>
      </c>
      <c r="CH228" s="347" t="str">
        <f t="shared" si="586"/>
        <v xml:space="preserve"> </v>
      </c>
      <c r="CI228" s="349" t="str">
        <f>IF($A228="N/A"," ",F228+G228+(D228*('Pricing Inputs'!T261)))</f>
        <v xml:space="preserve"> </v>
      </c>
      <c r="CJ228" s="347" t="str">
        <f>IF($A228="N/A"," ",IF(PV=1,0,'Pricing Inputs'!U261))</f>
        <v xml:space="preserve"> </v>
      </c>
      <c r="CK228" s="350" t="str">
        <f t="shared" si="526"/>
        <v xml:space="preserve"> </v>
      </c>
      <c r="CL228" s="365" t="str">
        <f t="shared" si="527"/>
        <v xml:space="preserve"> </v>
      </c>
      <c r="CM228" s="380" t="str">
        <f t="shared" si="587"/>
        <v xml:space="preserve"> </v>
      </c>
      <c r="CN228" s="378" t="str">
        <f t="shared" si="528"/>
        <v xml:space="preserve"> </v>
      </c>
      <c r="CO228" s="378" t="str">
        <f t="shared" si="529"/>
        <v xml:space="preserve"> </v>
      </c>
      <c r="CP228" s="378" t="str">
        <f t="shared" si="530"/>
        <v xml:space="preserve"> </v>
      </c>
      <c r="CQ228" s="378" t="str">
        <f t="shared" si="531"/>
        <v xml:space="preserve"> </v>
      </c>
      <c r="CR228" s="378" t="str">
        <f t="shared" si="532"/>
        <v xml:space="preserve"> </v>
      </c>
      <c r="CS228" s="378" t="str">
        <f t="shared" si="533"/>
        <v xml:space="preserve"> </v>
      </c>
      <c r="CT228" s="378" t="str">
        <f t="shared" si="534"/>
        <v xml:space="preserve"> </v>
      </c>
      <c r="CU228" s="378" t="str">
        <f t="shared" si="535"/>
        <v xml:space="preserve"> </v>
      </c>
      <c r="CV228" s="378" t="str">
        <f t="shared" si="536"/>
        <v xml:space="preserve"> </v>
      </c>
      <c r="CW228" s="254" t="str">
        <f t="shared" si="537"/>
        <v xml:space="preserve"> </v>
      </c>
      <c r="CX228" s="254" t="str">
        <f t="shared" si="538"/>
        <v xml:space="preserve"> </v>
      </c>
      <c r="CY228" s="254" t="str">
        <f t="shared" si="539"/>
        <v xml:space="preserve"> </v>
      </c>
      <c r="CZ228" s="254" t="str">
        <f t="shared" si="540"/>
        <v xml:space="preserve"> </v>
      </c>
      <c r="DA228" s="254" t="str">
        <f t="shared" si="541"/>
        <v xml:space="preserve"> </v>
      </c>
      <c r="DB228" s="254" t="str">
        <f t="shared" si="542"/>
        <v xml:space="preserve"> </v>
      </c>
      <c r="DC228" s="254" t="str">
        <f t="shared" si="543"/>
        <v xml:space="preserve"> </v>
      </c>
      <c r="DD228" s="254" t="str">
        <f t="shared" si="544"/>
        <v xml:space="preserve"> </v>
      </c>
      <c r="DE228" s="254" t="str">
        <f t="shared" si="545"/>
        <v xml:space="preserve"> </v>
      </c>
      <c r="DF228" s="374" t="str">
        <f>IF($A228="N/A"," ",IF(CC=2,(IF(MONTH(A228)&gt;=4,IF(MONTH(A228)&lt;=10,Inputs!$G$13,Inputs!$G$14),Inputs!$G$14))*$CK228,0))</f>
        <v xml:space="preserve"> </v>
      </c>
      <c r="DG228" s="373" t="str">
        <f t="shared" si="546"/>
        <v xml:space="preserve"> </v>
      </c>
      <c r="DH228" s="373" t="str">
        <f t="shared" si="547"/>
        <v xml:space="preserve"> </v>
      </c>
      <c r="DI228" s="373" t="str">
        <f t="shared" si="548"/>
        <v xml:space="preserve"> </v>
      </c>
      <c r="DJ228" s="373" t="str">
        <f t="shared" si="549"/>
        <v xml:space="preserve"> </v>
      </c>
      <c r="DK228" s="373" t="str">
        <f t="shared" si="550"/>
        <v xml:space="preserve"> </v>
      </c>
      <c r="DL228" s="373" t="str">
        <f t="shared" si="551"/>
        <v xml:space="preserve"> </v>
      </c>
      <c r="DM228" s="373" t="str">
        <f t="shared" si="552"/>
        <v xml:space="preserve"> </v>
      </c>
      <c r="DN228" s="373" t="str">
        <f t="shared" si="553"/>
        <v xml:space="preserve"> </v>
      </c>
      <c r="DO228" s="373" t="str">
        <f t="shared" si="554"/>
        <v xml:space="preserve"> </v>
      </c>
      <c r="DP228" s="375" t="str">
        <f t="shared" si="555"/>
        <v xml:space="preserve"> </v>
      </c>
      <c r="DQ228" t="str">
        <f t="shared" si="588"/>
        <v xml:space="preserve"> </v>
      </c>
      <c r="HD228" t="str">
        <f t="shared" si="589"/>
        <v xml:space="preserve"> </v>
      </c>
      <c r="HE228" t="str">
        <f t="shared" si="590"/>
        <v xml:space="preserve"> </v>
      </c>
      <c r="HF228" t="str">
        <f t="shared" si="591"/>
        <v xml:space="preserve"> </v>
      </c>
    </row>
    <row r="229" spans="1:214">
      <c r="A229" s="415" t="str">
        <f>IF(A228="N/A","N/A",IF(EDATE(A228,1)&gt;Inputs!$K$3,"N/A",EDATE(A228,1)))</f>
        <v>N/A</v>
      </c>
      <c r="B229" s="410" t="str">
        <f t="shared" si="556"/>
        <v xml:space="preserve"> </v>
      </c>
      <c r="C229" s="411" t="str">
        <f t="shared" si="557"/>
        <v xml:space="preserve"> </v>
      </c>
      <c r="D229" s="412" t="str">
        <f t="shared" si="558"/>
        <v xml:space="preserve"> </v>
      </c>
      <c r="E229" s="413" t="str">
        <f>IF($A229="N/A"," ",(C229-'Pricing Inputs'!T262)*D229)</f>
        <v xml:space="preserve"> </v>
      </c>
      <c r="F229" s="414" t="str">
        <f t="shared" si="607"/>
        <v xml:space="preserve"> </v>
      </c>
      <c r="G229" s="414" t="str">
        <f t="shared" si="559"/>
        <v xml:space="preserve"> </v>
      </c>
      <c r="H229" s="416" t="str">
        <f t="shared" si="560"/>
        <v xml:space="preserve"> </v>
      </c>
      <c r="I229" s="213" t="str">
        <f t="shared" si="501"/>
        <v xml:space="preserve"> </v>
      </c>
      <c r="J229" s="213" t="str">
        <f t="shared" si="502"/>
        <v xml:space="preserve"> </v>
      </c>
      <c r="K229" s="213" t="str">
        <f t="shared" si="503"/>
        <v xml:space="preserve"> </v>
      </c>
      <c r="L229" s="213" t="str">
        <f t="shared" si="504"/>
        <v xml:space="preserve"> </v>
      </c>
      <c r="M229" s="213" t="str">
        <f t="shared" si="505"/>
        <v xml:space="preserve"> </v>
      </c>
      <c r="N229" s="213" t="str">
        <f t="shared" si="506"/>
        <v xml:space="preserve"> </v>
      </c>
      <c r="O229" s="213" t="str">
        <f t="shared" si="507"/>
        <v xml:space="preserve"> </v>
      </c>
      <c r="P229" s="213" t="str">
        <f t="shared" si="508"/>
        <v xml:space="preserve"> </v>
      </c>
      <c r="Q229" s="213" t="str">
        <f t="shared" si="509"/>
        <v xml:space="preserve"> </v>
      </c>
      <c r="R229" s="405" t="str">
        <f>IF($A229="N/A"," ",IF(Pricetype=2,MAX(I229-$H229,0),IF(Pricetype=1,(_xll.xSPRDOPT(I229,$E229,$CI229,0,($CD229+IF(Smile=TRUE,VLOOKUP(MAX(-5,$H229-I229),Volsmile,2),0)),$CG229,$CH229,($A229-DateToday)+15,1,0)),I229-$H229)))</f>
        <v xml:space="preserve"> </v>
      </c>
      <c r="S229" s="405" t="str">
        <f>IF($A229="N/A"," ",IF(Pricetype=2,MAX(J229-$H229,0),IF(Pricetype=1,(_xll.xSPRDOPT(J229,$E229,$CI229,0,($CD229+IF(Smile=TRUE,VLOOKUP(MAX(-5,$H229-J229),Volsmile,2),0)),$CG229,$CH229,($A229-DateToday)+15,1,0)),J229-$H229)))</f>
        <v xml:space="preserve"> </v>
      </c>
      <c r="T229" s="406" t="str">
        <f t="shared" si="510"/>
        <v xml:space="preserve"> </v>
      </c>
      <c r="U229" s="405" t="str">
        <f>IF($A229="N/A"," ",IF(Pricetype=2,MAX(L229-$H229,0),IF(L229&lt;&gt;0,IF(Pricetype=1,(_xll.xSPRDOPT(L229,$E229,$CI229,0,($CD229+IF(Smile=TRUE,VLOOKUP(MAX(-5,$H229-L229),Volsmile,2),0)),$CG229,$CH229,($A229-DateToday)+15,1,0)),L229-$H229),0)))</f>
        <v xml:space="preserve"> </v>
      </c>
      <c r="V229" s="405" t="str">
        <f>IF($A229="N/A"," ",IF(Pricetype=2,MAX(M229-$H229,0),IF(M229&lt;&gt;0,IF(Pricetype=1,(_xll.xSPRDOPT(M229,$E229,$CI229,0,($CD229+IF(Smile=TRUE,VLOOKUP(MAX(-5,$H229-M229),Volsmile,2),0)),$CG229,$CH229,($A229-DateToday)+15,1,0)),M229-$H229),0)))</f>
        <v xml:space="preserve"> </v>
      </c>
      <c r="W229" s="406" t="str">
        <f t="shared" si="511"/>
        <v xml:space="preserve"> </v>
      </c>
      <c r="X229" s="405" t="str">
        <f>IF($A229="N/A"," ",IF(Pricetype=2,MAX(O229-$H229,0),IF(O229&lt;&gt;0,IF(Pricetype=1,(_xll.xSPRDOPT(O229,$E229,$CI229,0,($CD229+IF(Smile=TRUE,VLOOKUP(MAX(-5,$H229-O229),Volsmile,2),0)),$CG229,$CH229,($A229-DateToday)+15,1,0)),O229-$H229),0)))</f>
        <v xml:space="preserve"> </v>
      </c>
      <c r="Y229" s="405" t="str">
        <f>IF($A229="N/A"," ",IF(Pricetype=2,MAX(P229-$H229,0),IF(P229&lt;&gt;0,IF(Pricetype=1,(_xll.xSPRDOPT(P229,$E229,$CI229,0,($CD229+IF(Smile=TRUE,VLOOKUP(MAX(-5,$H229-P229),Volsmile,2),0)),$CG229,$CH229,($A229-DateToday)+15,1,0)),P229-$H229),0)))</f>
        <v xml:space="preserve"> </v>
      </c>
      <c r="Z229" s="406" t="str">
        <f t="shared" si="512"/>
        <v xml:space="preserve"> </v>
      </c>
      <c r="AA229" s="254" t="str">
        <f>IF($A229="N/A"," ",IF(VLOOKUP(MONTH(A229),ManualTable,2)=1,(IF(0&lt;&gt;R229,IF(Pricetype=1,(_xll.xSPRDOPT(I229,$E229,$CI229,0,($CD229+IF(Smile=TRUE,VLOOKUP(MAX(-5,$H229-I229),Volsmile,2),0)),$CG229,$CH229,($A229-DateToday)+15,1,1))*(8*$HD229),8*$HD229),0)),0))</f>
        <v xml:space="preserve"> </v>
      </c>
      <c r="AB229" s="254" t="str">
        <f>IF($A229="N/A"," ",IF(VLOOKUP(MONTH(A229),ManualTable,3)=1,(IF(S229&lt;&gt;0,IF(Pricetype=1,(_xll.xSPRDOPT(J229,$E229,$CI229,0,($CD229+IF(Smile=TRUE,VLOOKUP(MAX(-5,$H229-J229),Volsmile,2),0)),$CG229,$CH229,($A229-DateToday)+15,1,1))*(8*$HD229),8*$HD229),0)),0))</f>
        <v xml:space="preserve"> </v>
      </c>
      <c r="AC229" s="254" t="str">
        <f t="shared" si="561"/>
        <v xml:space="preserve"> </v>
      </c>
      <c r="AD229" s="254" t="str">
        <f>IF($A229="N/A"," ",IF(VLOOKUP(MONTH(A229),ManualTable,5)=1,(IF(U229&lt;&gt;0,IF(Pricetype=1,(_xll.xSPRDOPT(L229,$E229,$CI229,0,($CD229+IF(Smile=TRUE,VLOOKUP(MAX(-5,$H229-L229),Volsmile,2),0)),$CG229,$CH229,($A229-DateToday)+15,1,1))*(8*$HE229),8*$HE229),0)),0))</f>
        <v xml:space="preserve"> </v>
      </c>
      <c r="AE229" s="254" t="str">
        <f>IF($A229="N/A"," ",IF(VLOOKUP(MONTH(A229),ManualTable,6)=1,(IF(V229&lt;&gt;0,IF(Pricetype=1,(_xll.xSPRDOPT(M229,$E229,$CI229,0,($CD229+IF(Smile=TRUE,VLOOKUP(MAX(-5,$H229-M229),Volsmile,2),0)),$CG229,$CH229,($A229-DateToday)+15,1,1))*(8*$HE229),8*$HE229),0)),0))</f>
        <v xml:space="preserve"> </v>
      </c>
      <c r="AF229" s="254" t="str">
        <f t="shared" si="562"/>
        <v xml:space="preserve"> </v>
      </c>
      <c r="AG229" s="254" t="str">
        <f>IF($A229="N/A"," ",IF(VLOOKUP(MONTH(A229),ManualTable,8)=1,(IF(X229&lt;&gt;0,IF(Pricetype=1,(_xll.xSPRDOPT(O229,$E229,$CI229,0,($CD229+IF(Smile=TRUE,VLOOKUP(MAX(-5,$H229-O229),Volsmile,2),0)),$CG229,$CH229,($A229-DateToday)+15,1,1))*(8*$HF229),8*$HF229),0)),0))</f>
        <v xml:space="preserve"> </v>
      </c>
      <c r="AH229" s="254" t="str">
        <f>IF($A229="N/A"," ",IF(VLOOKUP(MONTH(A229),ManualTable,9)=1,(IF(Y229&lt;&gt;0,IF(Pricetype=1,(_xll.xSPRDOPT(P229,$E229,$CI229,0,($CD229+IF(Smile=TRUE,VLOOKUP(MAX(-5,$H229-P229),Volsmile,2),0)),$CG229,$CH229,($A229-DateToday)+15,1,1))*(8*$HF229),8*$HF229),0)),0))</f>
        <v xml:space="preserve"> </v>
      </c>
      <c r="AI229" s="254" t="str">
        <f t="shared" si="563"/>
        <v xml:space="preserve"> </v>
      </c>
      <c r="AJ229" s="227" t="str">
        <f t="shared" si="623"/>
        <v xml:space="preserve"> </v>
      </c>
      <c r="AK229" s="228" t="str">
        <f t="shared" si="624"/>
        <v xml:space="preserve"> </v>
      </c>
      <c r="AL229" s="228" t="str">
        <f t="shared" si="624"/>
        <v xml:space="preserve"> </v>
      </c>
      <c r="AM229" s="228" t="str">
        <f t="shared" si="625"/>
        <v xml:space="preserve"> </v>
      </c>
      <c r="AN229" s="228" t="str">
        <f t="shared" si="626"/>
        <v xml:space="preserve"> </v>
      </c>
      <c r="AO229" s="228" t="str">
        <f t="shared" si="626"/>
        <v xml:space="preserve"> </v>
      </c>
      <c r="AP229" s="228" t="str">
        <f t="shared" si="627"/>
        <v xml:space="preserve"> </v>
      </c>
      <c r="AQ229" s="228" t="str">
        <f t="shared" si="628"/>
        <v xml:space="preserve"> </v>
      </c>
      <c r="AR229" s="229" t="str">
        <f t="shared" si="629"/>
        <v xml:space="preserve"> </v>
      </c>
      <c r="AS229" s="262" t="str">
        <f t="shared" si="593"/>
        <v xml:space="preserve"> </v>
      </c>
      <c r="AT229" s="263" t="str">
        <f t="shared" si="594"/>
        <v xml:space="preserve"> </v>
      </c>
      <c r="AU229" s="263" t="str">
        <f t="shared" si="594"/>
        <v xml:space="preserve"> </v>
      </c>
      <c r="AV229" s="263" t="str">
        <f t="shared" si="595"/>
        <v xml:space="preserve"> </v>
      </c>
      <c r="AW229" s="263" t="str">
        <f t="shared" si="596"/>
        <v xml:space="preserve"> </v>
      </c>
      <c r="AX229" s="263" t="str">
        <f t="shared" si="596"/>
        <v xml:space="preserve"> </v>
      </c>
      <c r="AY229" s="263" t="str">
        <f t="shared" si="597"/>
        <v xml:space="preserve"> </v>
      </c>
      <c r="AZ229" s="263" t="str">
        <f t="shared" si="598"/>
        <v xml:space="preserve"> </v>
      </c>
      <c r="BA229" s="263" t="str">
        <f t="shared" si="599"/>
        <v xml:space="preserve"> </v>
      </c>
      <c r="BB229" s="234" t="s">
        <v>1271</v>
      </c>
      <c r="BC229" s="266" t="str">
        <f t="shared" si="616"/>
        <v xml:space="preserve"> </v>
      </c>
      <c r="BD229" s="269" t="str">
        <f t="shared" si="617"/>
        <v xml:space="preserve"> </v>
      </c>
      <c r="BE229" s="269" t="str">
        <f t="shared" si="617"/>
        <v xml:space="preserve"> </v>
      </c>
      <c r="BF229" s="269" t="str">
        <f t="shared" si="618"/>
        <v xml:space="preserve"> </v>
      </c>
      <c r="BG229" s="269" t="str">
        <f t="shared" si="619"/>
        <v xml:space="preserve"> </v>
      </c>
      <c r="BH229" s="269" t="str">
        <f t="shared" si="619"/>
        <v xml:space="preserve"> </v>
      </c>
      <c r="BI229" s="269" t="str">
        <f t="shared" si="620"/>
        <v xml:space="preserve"> </v>
      </c>
      <c r="BJ229" s="269" t="str">
        <f t="shared" si="621"/>
        <v xml:space="preserve"> </v>
      </c>
      <c r="BK229" s="269" t="str">
        <f t="shared" si="622"/>
        <v xml:space="preserve"> </v>
      </c>
      <c r="BL229" s="233" t="s">
        <v>1283</v>
      </c>
      <c r="BM229" s="220" t="str">
        <f>IF($A229="N/A"," ",(IF(MONTH(A229)&gt;=4,IF(MONTH(A229)&lt;=10,Inputs!$F$13-Inputs!$G$13,Inputs!$F$14-Inputs!$G$14),Inputs!$F$14-Inputs!$G$14))*$CK229*Availability)</f>
        <v xml:space="preserve"> </v>
      </c>
      <c r="BN229" s="221" t="str">
        <f t="shared" si="571"/>
        <v xml:space="preserve"> </v>
      </c>
      <c r="BO229" s="221" t="str">
        <f t="shared" si="572"/>
        <v xml:space="preserve"> </v>
      </c>
      <c r="BP229" s="221" t="str">
        <f t="shared" si="573"/>
        <v xml:space="preserve"> </v>
      </c>
      <c r="BQ229" s="221" t="str">
        <f t="shared" si="574"/>
        <v xml:space="preserve"> </v>
      </c>
      <c r="BR229" s="221" t="str">
        <f t="shared" si="575"/>
        <v xml:space="preserve"> </v>
      </c>
      <c r="BS229" s="221" t="str">
        <f t="shared" si="576"/>
        <v xml:space="preserve"> </v>
      </c>
      <c r="BT229" s="221" t="str">
        <f t="shared" si="577"/>
        <v xml:space="preserve"> </v>
      </c>
      <c r="BU229" s="221" t="str">
        <f t="shared" si="578"/>
        <v xml:space="preserve"> </v>
      </c>
      <c r="BV229" s="221" t="str">
        <f t="shared" si="579"/>
        <v xml:space="preserve"> </v>
      </c>
      <c r="BW229" s="221" t="str">
        <f t="shared" si="580"/>
        <v xml:space="preserve"> </v>
      </c>
      <c r="BX229" s="421" t="str">
        <f t="shared" si="581"/>
        <v xml:space="preserve"> </v>
      </c>
      <c r="BY229" s="417" t="str">
        <f t="shared" si="582"/>
        <v xml:space="preserve"> </v>
      </c>
      <c r="BZ229" s="417" t="str">
        <f t="shared" si="583"/>
        <v xml:space="preserve"> </v>
      </c>
      <c r="CA229" s="422" t="str">
        <f t="shared" si="584"/>
        <v xml:space="preserve"> </v>
      </c>
      <c r="CB229" s="347" t="str">
        <f t="shared" si="521"/>
        <v xml:space="preserve"> </v>
      </c>
      <c r="CC229" s="347" t="str">
        <f t="shared" si="585"/>
        <v xml:space="preserve"> </v>
      </c>
      <c r="CD229" s="348" t="str">
        <f t="shared" si="522"/>
        <v xml:space="preserve"> </v>
      </c>
      <c r="CE229" s="347" t="str">
        <f t="shared" si="523"/>
        <v xml:space="preserve"> </v>
      </c>
      <c r="CF229" s="347" t="str">
        <f t="shared" si="524"/>
        <v xml:space="preserve"> </v>
      </c>
      <c r="CG229" s="348" t="str">
        <f t="shared" si="525"/>
        <v xml:space="preserve"> </v>
      </c>
      <c r="CH229" s="347" t="str">
        <f t="shared" si="586"/>
        <v xml:space="preserve"> </v>
      </c>
      <c r="CI229" s="349" t="str">
        <f>IF($A229="N/A"," ",F229+G229+(D229*('Pricing Inputs'!T262)))</f>
        <v xml:space="preserve"> </v>
      </c>
      <c r="CJ229" s="347" t="str">
        <f>IF($A229="N/A"," ",IF(PV=1,0,'Pricing Inputs'!U262))</f>
        <v xml:space="preserve"> </v>
      </c>
      <c r="CK229" s="350" t="str">
        <f t="shared" si="526"/>
        <v xml:space="preserve"> </v>
      </c>
      <c r="CL229" s="365" t="str">
        <f t="shared" si="527"/>
        <v xml:space="preserve"> </v>
      </c>
      <c r="CM229" s="380" t="str">
        <f t="shared" si="587"/>
        <v xml:space="preserve"> </v>
      </c>
      <c r="CN229" s="378" t="str">
        <f t="shared" si="528"/>
        <v xml:space="preserve"> </v>
      </c>
      <c r="CO229" s="378" t="str">
        <f t="shared" si="529"/>
        <v xml:space="preserve"> </v>
      </c>
      <c r="CP229" s="378" t="str">
        <f t="shared" si="530"/>
        <v xml:space="preserve"> </v>
      </c>
      <c r="CQ229" s="378" t="str">
        <f t="shared" si="531"/>
        <v xml:space="preserve"> </v>
      </c>
      <c r="CR229" s="378" t="str">
        <f t="shared" si="532"/>
        <v xml:space="preserve"> </v>
      </c>
      <c r="CS229" s="378" t="str">
        <f t="shared" si="533"/>
        <v xml:space="preserve"> </v>
      </c>
      <c r="CT229" s="378" t="str">
        <f t="shared" si="534"/>
        <v xml:space="preserve"> </v>
      </c>
      <c r="CU229" s="378" t="str">
        <f t="shared" si="535"/>
        <v xml:space="preserve"> </v>
      </c>
      <c r="CV229" s="378" t="str">
        <f t="shared" si="536"/>
        <v xml:space="preserve"> </v>
      </c>
      <c r="CW229" s="254" t="str">
        <f t="shared" si="537"/>
        <v xml:space="preserve"> </v>
      </c>
      <c r="CX229" s="254" t="str">
        <f t="shared" si="538"/>
        <v xml:space="preserve"> </v>
      </c>
      <c r="CY229" s="254" t="str">
        <f t="shared" si="539"/>
        <v xml:space="preserve"> </v>
      </c>
      <c r="CZ229" s="254" t="str">
        <f t="shared" si="540"/>
        <v xml:space="preserve"> </v>
      </c>
      <c r="DA229" s="254" t="str">
        <f t="shared" si="541"/>
        <v xml:space="preserve"> </v>
      </c>
      <c r="DB229" s="254" t="str">
        <f t="shared" si="542"/>
        <v xml:space="preserve"> </v>
      </c>
      <c r="DC229" s="254" t="str">
        <f t="shared" si="543"/>
        <v xml:space="preserve"> </v>
      </c>
      <c r="DD229" s="254" t="str">
        <f t="shared" si="544"/>
        <v xml:space="preserve"> </v>
      </c>
      <c r="DE229" s="254" t="str">
        <f t="shared" si="545"/>
        <v xml:space="preserve"> </v>
      </c>
      <c r="DF229" s="374" t="str">
        <f>IF($A229="N/A"," ",IF(CC=2,(IF(MONTH(A229)&gt;=4,IF(MONTH(A229)&lt;=10,Inputs!$G$13,Inputs!$G$14),Inputs!$G$14))*$CK229,0))</f>
        <v xml:space="preserve"> </v>
      </c>
      <c r="DG229" s="373" t="str">
        <f t="shared" si="546"/>
        <v xml:space="preserve"> </v>
      </c>
      <c r="DH229" s="373" t="str">
        <f t="shared" si="547"/>
        <v xml:space="preserve"> </v>
      </c>
      <c r="DI229" s="373" t="str">
        <f t="shared" si="548"/>
        <v xml:space="preserve"> </v>
      </c>
      <c r="DJ229" s="373" t="str">
        <f t="shared" si="549"/>
        <v xml:space="preserve"> </v>
      </c>
      <c r="DK229" s="373" t="str">
        <f t="shared" si="550"/>
        <v xml:space="preserve"> </v>
      </c>
      <c r="DL229" s="373" t="str">
        <f t="shared" si="551"/>
        <v xml:space="preserve"> </v>
      </c>
      <c r="DM229" s="373" t="str">
        <f t="shared" si="552"/>
        <v xml:space="preserve"> </v>
      </c>
      <c r="DN229" s="373" t="str">
        <f t="shared" si="553"/>
        <v xml:space="preserve"> </v>
      </c>
      <c r="DO229" s="373" t="str">
        <f t="shared" si="554"/>
        <v xml:space="preserve"> </v>
      </c>
      <c r="DP229" s="375" t="str">
        <f t="shared" si="555"/>
        <v xml:space="preserve"> </v>
      </c>
      <c r="DQ229" t="str">
        <f t="shared" si="588"/>
        <v xml:space="preserve"> </v>
      </c>
      <c r="HD229" t="str">
        <f t="shared" si="589"/>
        <v xml:space="preserve"> </v>
      </c>
      <c r="HE229" t="str">
        <f t="shared" si="590"/>
        <v xml:space="preserve"> </v>
      </c>
      <c r="HF229" t="str">
        <f t="shared" si="591"/>
        <v xml:space="preserve"> </v>
      </c>
    </row>
    <row r="230" spans="1:214">
      <c r="A230" s="415" t="str">
        <f>IF(A229="N/A","N/A",IF(EDATE(A229,1)&gt;Inputs!$K$3,"N/A",EDATE(A229,1)))</f>
        <v>N/A</v>
      </c>
      <c r="B230" s="410" t="str">
        <f t="shared" si="556"/>
        <v xml:space="preserve"> </v>
      </c>
      <c r="C230" s="411" t="str">
        <f t="shared" si="557"/>
        <v xml:space="preserve"> </v>
      </c>
      <c r="D230" s="412" t="str">
        <f t="shared" si="558"/>
        <v xml:space="preserve"> </v>
      </c>
      <c r="E230" s="413" t="str">
        <f>IF($A230="N/A"," ",(C230-'Pricing Inputs'!T263)*D230)</f>
        <v xml:space="preserve"> </v>
      </c>
      <c r="F230" s="414" t="str">
        <f t="shared" si="607"/>
        <v xml:space="preserve"> </v>
      </c>
      <c r="G230" s="414" t="str">
        <f t="shared" si="559"/>
        <v xml:space="preserve"> </v>
      </c>
      <c r="H230" s="416" t="str">
        <f t="shared" si="560"/>
        <v xml:space="preserve"> </v>
      </c>
      <c r="I230" s="213" t="str">
        <f t="shared" si="501"/>
        <v xml:space="preserve"> </v>
      </c>
      <c r="J230" s="213" t="str">
        <f t="shared" si="502"/>
        <v xml:space="preserve"> </v>
      </c>
      <c r="K230" s="213" t="str">
        <f t="shared" si="503"/>
        <v xml:space="preserve"> </v>
      </c>
      <c r="L230" s="213" t="str">
        <f t="shared" si="504"/>
        <v xml:space="preserve"> </v>
      </c>
      <c r="M230" s="213" t="str">
        <f t="shared" si="505"/>
        <v xml:space="preserve"> </v>
      </c>
      <c r="N230" s="213" t="str">
        <f t="shared" si="506"/>
        <v xml:space="preserve"> </v>
      </c>
      <c r="O230" s="213" t="str">
        <f t="shared" si="507"/>
        <v xml:space="preserve"> </v>
      </c>
      <c r="P230" s="213" t="str">
        <f t="shared" si="508"/>
        <v xml:space="preserve"> </v>
      </c>
      <c r="Q230" s="213" t="str">
        <f t="shared" si="509"/>
        <v xml:space="preserve"> </v>
      </c>
      <c r="R230" s="405" t="str">
        <f>IF($A230="N/A"," ",IF(Pricetype=2,MAX(I230-$H230,0),IF(Pricetype=1,(_xll.xSPRDOPT(I230,$E230,$CI230,0,($CD230+IF(Smile=TRUE,VLOOKUP(MAX(-5,$H230-I230),Volsmile,2),0)),$CG230,$CH230,($A230-DateToday)+15,1,0)),I230-$H230)))</f>
        <v xml:space="preserve"> </v>
      </c>
      <c r="S230" s="405" t="str">
        <f>IF($A230="N/A"," ",IF(Pricetype=2,MAX(J230-$H230,0),IF(Pricetype=1,(_xll.xSPRDOPT(J230,$E230,$CI230,0,($CD230+IF(Smile=TRUE,VLOOKUP(MAX(-5,$H230-J230),Volsmile,2),0)),$CG230,$CH230,($A230-DateToday)+15,1,0)),J230-$H230)))</f>
        <v xml:space="preserve"> </v>
      </c>
      <c r="T230" s="406" t="str">
        <f t="shared" si="510"/>
        <v xml:space="preserve"> </v>
      </c>
      <c r="U230" s="405" t="str">
        <f>IF($A230="N/A"," ",IF(Pricetype=2,MAX(L230-$H230,0),IF(L230&lt;&gt;0,IF(Pricetype=1,(_xll.xSPRDOPT(L230,$E230,$CI230,0,($CD230+IF(Smile=TRUE,VLOOKUP(MAX(-5,$H230-L230),Volsmile,2),0)),$CG230,$CH230,($A230-DateToday)+15,1,0)),L230-$H230),0)))</f>
        <v xml:space="preserve"> </v>
      </c>
      <c r="V230" s="405" t="str">
        <f>IF($A230="N/A"," ",IF(Pricetype=2,MAX(M230-$H230,0),IF(M230&lt;&gt;0,IF(Pricetype=1,(_xll.xSPRDOPT(M230,$E230,$CI230,0,($CD230+IF(Smile=TRUE,VLOOKUP(MAX(-5,$H230-M230),Volsmile,2),0)),$CG230,$CH230,($A230-DateToday)+15,1,0)),M230-$H230),0)))</f>
        <v xml:space="preserve"> </v>
      </c>
      <c r="W230" s="406" t="str">
        <f t="shared" si="511"/>
        <v xml:space="preserve"> </v>
      </c>
      <c r="X230" s="405" t="str">
        <f>IF($A230="N/A"," ",IF(Pricetype=2,MAX(O230-$H230,0),IF(O230&lt;&gt;0,IF(Pricetype=1,(_xll.xSPRDOPT(O230,$E230,$CI230,0,($CD230+IF(Smile=TRUE,VLOOKUP(MAX(-5,$H230-O230),Volsmile,2),0)),$CG230,$CH230,($A230-DateToday)+15,1,0)),O230-$H230),0)))</f>
        <v xml:space="preserve"> </v>
      </c>
      <c r="Y230" s="405" t="str">
        <f>IF($A230="N/A"," ",IF(Pricetype=2,MAX(P230-$H230,0),IF(P230&lt;&gt;0,IF(Pricetype=1,(_xll.xSPRDOPT(P230,$E230,$CI230,0,($CD230+IF(Smile=TRUE,VLOOKUP(MAX(-5,$H230-P230),Volsmile,2),0)),$CG230,$CH230,($A230-DateToday)+15,1,0)),P230-$H230),0)))</f>
        <v xml:space="preserve"> </v>
      </c>
      <c r="Z230" s="406" t="str">
        <f t="shared" si="512"/>
        <v xml:space="preserve"> </v>
      </c>
      <c r="AA230" s="254" t="str">
        <f>IF($A230="N/A"," ",IF(VLOOKUP(MONTH(A230),ManualTable,2)=1,(IF(0&lt;&gt;R230,IF(Pricetype=1,(_xll.xSPRDOPT(I230,$E230,$CI230,0,($CD230+IF(Smile=TRUE,VLOOKUP(MAX(-5,$H230-I230),Volsmile,2),0)),$CG230,$CH230,($A230-DateToday)+15,1,1))*(8*$HD230),8*$HD230),0)),0))</f>
        <v xml:space="preserve"> </v>
      </c>
      <c r="AB230" s="254" t="str">
        <f>IF($A230="N/A"," ",IF(VLOOKUP(MONTH(A230),ManualTable,3)=1,(IF(S230&lt;&gt;0,IF(Pricetype=1,(_xll.xSPRDOPT(J230,$E230,$CI230,0,($CD230+IF(Smile=TRUE,VLOOKUP(MAX(-5,$H230-J230),Volsmile,2),0)),$CG230,$CH230,($A230-DateToday)+15,1,1))*(8*$HD230),8*$HD230),0)),0))</f>
        <v xml:space="preserve"> </v>
      </c>
      <c r="AC230" s="254" t="str">
        <f t="shared" si="561"/>
        <v xml:space="preserve"> </v>
      </c>
      <c r="AD230" s="254" t="str">
        <f>IF($A230="N/A"," ",IF(VLOOKUP(MONTH(A230),ManualTable,5)=1,(IF(U230&lt;&gt;0,IF(Pricetype=1,(_xll.xSPRDOPT(L230,$E230,$CI230,0,($CD230+IF(Smile=TRUE,VLOOKUP(MAX(-5,$H230-L230),Volsmile,2),0)),$CG230,$CH230,($A230-DateToday)+15,1,1))*(8*$HE230),8*$HE230),0)),0))</f>
        <v xml:space="preserve"> </v>
      </c>
      <c r="AE230" s="254" t="str">
        <f>IF($A230="N/A"," ",IF(VLOOKUP(MONTH(A230),ManualTable,6)=1,(IF(V230&lt;&gt;0,IF(Pricetype=1,(_xll.xSPRDOPT(M230,$E230,$CI230,0,($CD230+IF(Smile=TRUE,VLOOKUP(MAX(-5,$H230-M230),Volsmile,2),0)),$CG230,$CH230,($A230-DateToday)+15,1,1))*(8*$HE230),8*$HE230),0)),0))</f>
        <v xml:space="preserve"> </v>
      </c>
      <c r="AF230" s="254" t="str">
        <f t="shared" si="562"/>
        <v xml:space="preserve"> </v>
      </c>
      <c r="AG230" s="254" t="str">
        <f>IF($A230="N/A"," ",IF(VLOOKUP(MONTH(A230),ManualTable,8)=1,(IF(X230&lt;&gt;0,IF(Pricetype=1,(_xll.xSPRDOPT(O230,$E230,$CI230,0,($CD230+IF(Smile=TRUE,VLOOKUP(MAX(-5,$H230-O230),Volsmile,2),0)),$CG230,$CH230,($A230-DateToday)+15,1,1))*(8*$HF230),8*$HF230),0)),0))</f>
        <v xml:space="preserve"> </v>
      </c>
      <c r="AH230" s="254" t="str">
        <f>IF($A230="N/A"," ",IF(VLOOKUP(MONTH(A230),ManualTable,9)=1,(IF(Y230&lt;&gt;0,IF(Pricetype=1,(_xll.xSPRDOPT(P230,$E230,$CI230,0,($CD230+IF(Smile=TRUE,VLOOKUP(MAX(-5,$H230-P230),Volsmile,2),0)),$CG230,$CH230,($A230-DateToday)+15,1,1))*(8*$HF230),8*$HF230),0)),0))</f>
        <v xml:space="preserve"> </v>
      </c>
      <c r="AI230" s="254" t="str">
        <f t="shared" si="563"/>
        <v xml:space="preserve"> </v>
      </c>
      <c r="AJ230" s="227" t="str">
        <f t="shared" si="623"/>
        <v xml:space="preserve"> </v>
      </c>
      <c r="AK230" s="228" t="str">
        <f t="shared" si="624"/>
        <v xml:space="preserve"> </v>
      </c>
      <c r="AL230" s="228" t="str">
        <f t="shared" si="624"/>
        <v xml:space="preserve"> </v>
      </c>
      <c r="AM230" s="228" t="str">
        <f t="shared" si="625"/>
        <v xml:space="preserve"> </v>
      </c>
      <c r="AN230" s="228" t="str">
        <f t="shared" si="626"/>
        <v xml:space="preserve"> </v>
      </c>
      <c r="AO230" s="228" t="str">
        <f t="shared" si="626"/>
        <v xml:space="preserve"> </v>
      </c>
      <c r="AP230" s="228" t="str">
        <f t="shared" si="627"/>
        <v xml:space="preserve"> </v>
      </c>
      <c r="AQ230" s="228" t="str">
        <f t="shared" si="628"/>
        <v xml:space="preserve"> </v>
      </c>
      <c r="AR230" s="229" t="str">
        <f t="shared" si="629"/>
        <v xml:space="preserve"> </v>
      </c>
      <c r="AS230" s="262" t="str">
        <f t="shared" si="593"/>
        <v xml:space="preserve"> </v>
      </c>
      <c r="AT230" s="263" t="str">
        <f t="shared" si="594"/>
        <v xml:space="preserve"> </v>
      </c>
      <c r="AU230" s="263" t="str">
        <f t="shared" si="594"/>
        <v xml:space="preserve"> </v>
      </c>
      <c r="AV230" s="263" t="str">
        <f t="shared" si="595"/>
        <v xml:space="preserve"> </v>
      </c>
      <c r="AW230" s="263" t="str">
        <f t="shared" si="596"/>
        <v xml:space="preserve"> </v>
      </c>
      <c r="AX230" s="263" t="str">
        <f t="shared" si="596"/>
        <v xml:space="preserve"> </v>
      </c>
      <c r="AY230" s="263" t="str">
        <f t="shared" si="597"/>
        <v xml:space="preserve"> </v>
      </c>
      <c r="AZ230" s="263" t="str">
        <f t="shared" si="598"/>
        <v xml:space="preserve"> </v>
      </c>
      <c r="BA230" s="263" t="str">
        <f t="shared" si="599"/>
        <v xml:space="preserve"> </v>
      </c>
      <c r="BB230" s="229">
        <f>SUM(AS220:BA231)</f>
        <v>0</v>
      </c>
      <c r="BC230" s="266" t="str">
        <f t="shared" si="616"/>
        <v xml:space="preserve"> </v>
      </c>
      <c r="BD230" s="269" t="str">
        <f t="shared" si="617"/>
        <v xml:space="preserve"> </v>
      </c>
      <c r="BE230" s="269" t="str">
        <f t="shared" si="617"/>
        <v xml:space="preserve"> </v>
      </c>
      <c r="BF230" s="269" t="str">
        <f t="shared" si="618"/>
        <v xml:space="preserve"> </v>
      </c>
      <c r="BG230" s="269" t="str">
        <f t="shared" si="619"/>
        <v xml:space="preserve"> </v>
      </c>
      <c r="BH230" s="269" t="str">
        <f t="shared" si="619"/>
        <v xml:space="preserve"> </v>
      </c>
      <c r="BI230" s="269" t="str">
        <f t="shared" si="620"/>
        <v xml:space="preserve"> </v>
      </c>
      <c r="BJ230" s="269" t="str">
        <f t="shared" si="621"/>
        <v xml:space="preserve"> </v>
      </c>
      <c r="BK230" s="269" t="str">
        <f t="shared" si="622"/>
        <v xml:space="preserve"> </v>
      </c>
      <c r="BL230" s="229">
        <f>SUM(BC220:BK231)</f>
        <v>0</v>
      </c>
      <c r="BM230" s="220" t="str">
        <f>IF($A230="N/A"," ",(IF(MONTH(A230)&gt;=4,IF(MONTH(A230)&lt;=10,Inputs!$F$13-Inputs!$G$13,Inputs!$F$14-Inputs!$G$14),Inputs!$F$14-Inputs!$G$14))*$CK230*Availability)</f>
        <v xml:space="preserve"> </v>
      </c>
      <c r="BN230" s="221" t="str">
        <f t="shared" si="571"/>
        <v xml:space="preserve"> </v>
      </c>
      <c r="BO230" s="221" t="str">
        <f t="shared" si="572"/>
        <v xml:space="preserve"> </v>
      </c>
      <c r="BP230" s="221" t="str">
        <f t="shared" si="573"/>
        <v xml:space="preserve"> </v>
      </c>
      <c r="BQ230" s="221" t="str">
        <f t="shared" si="574"/>
        <v xml:space="preserve"> </v>
      </c>
      <c r="BR230" s="221" t="str">
        <f t="shared" si="575"/>
        <v xml:space="preserve"> </v>
      </c>
      <c r="BS230" s="221" t="str">
        <f t="shared" si="576"/>
        <v xml:space="preserve"> </v>
      </c>
      <c r="BT230" s="221" t="str">
        <f t="shared" si="577"/>
        <v xml:space="preserve"> </v>
      </c>
      <c r="BU230" s="221" t="str">
        <f t="shared" si="578"/>
        <v xml:space="preserve"> </v>
      </c>
      <c r="BV230" s="221" t="str">
        <f t="shared" si="579"/>
        <v xml:space="preserve"> </v>
      </c>
      <c r="BW230" s="221" t="str">
        <f t="shared" si="580"/>
        <v xml:space="preserve"> </v>
      </c>
      <c r="BX230" s="421" t="str">
        <f t="shared" si="581"/>
        <v xml:space="preserve"> </v>
      </c>
      <c r="BY230" s="417" t="str">
        <f t="shared" si="582"/>
        <v xml:space="preserve"> </v>
      </c>
      <c r="BZ230" s="417" t="str">
        <f t="shared" si="583"/>
        <v xml:space="preserve"> </v>
      </c>
      <c r="CA230" s="422" t="str">
        <f t="shared" si="584"/>
        <v xml:space="preserve"> </v>
      </c>
      <c r="CB230" s="347" t="str">
        <f t="shared" si="521"/>
        <v xml:space="preserve"> </v>
      </c>
      <c r="CC230" s="347" t="str">
        <f t="shared" si="585"/>
        <v xml:space="preserve"> </v>
      </c>
      <c r="CD230" s="348" t="str">
        <f t="shared" si="522"/>
        <v xml:space="preserve"> </v>
      </c>
      <c r="CE230" s="347" t="str">
        <f t="shared" si="523"/>
        <v xml:space="preserve"> </v>
      </c>
      <c r="CF230" s="347" t="str">
        <f t="shared" si="524"/>
        <v xml:space="preserve"> </v>
      </c>
      <c r="CG230" s="348" t="str">
        <f t="shared" si="525"/>
        <v xml:space="preserve"> </v>
      </c>
      <c r="CH230" s="347" t="str">
        <f t="shared" si="586"/>
        <v xml:space="preserve"> </v>
      </c>
      <c r="CI230" s="349" t="str">
        <f>IF($A230="N/A"," ",F230+G230+(D230*('Pricing Inputs'!T263)))</f>
        <v xml:space="preserve"> </v>
      </c>
      <c r="CJ230" s="347" t="str">
        <f>IF($A230="N/A"," ",IF(PV=1,0,'Pricing Inputs'!U263))</f>
        <v xml:space="preserve"> </v>
      </c>
      <c r="CK230" s="350" t="str">
        <f t="shared" si="526"/>
        <v xml:space="preserve"> </v>
      </c>
      <c r="CL230" s="365" t="str">
        <f t="shared" si="527"/>
        <v xml:space="preserve"> </v>
      </c>
      <c r="CM230" s="380" t="str">
        <f t="shared" si="587"/>
        <v xml:space="preserve"> </v>
      </c>
      <c r="CN230" s="378" t="str">
        <f t="shared" si="528"/>
        <v xml:space="preserve"> </v>
      </c>
      <c r="CO230" s="378" t="str">
        <f t="shared" si="529"/>
        <v xml:space="preserve"> </v>
      </c>
      <c r="CP230" s="378" t="str">
        <f t="shared" si="530"/>
        <v xml:space="preserve"> </v>
      </c>
      <c r="CQ230" s="378" t="str">
        <f t="shared" si="531"/>
        <v xml:space="preserve"> </v>
      </c>
      <c r="CR230" s="378" t="str">
        <f t="shared" si="532"/>
        <v xml:space="preserve"> </v>
      </c>
      <c r="CS230" s="378" t="str">
        <f t="shared" si="533"/>
        <v xml:space="preserve"> </v>
      </c>
      <c r="CT230" s="378" t="str">
        <f t="shared" si="534"/>
        <v xml:space="preserve"> </v>
      </c>
      <c r="CU230" s="378" t="str">
        <f t="shared" si="535"/>
        <v xml:space="preserve"> </v>
      </c>
      <c r="CV230" s="378" t="str">
        <f t="shared" si="536"/>
        <v xml:space="preserve"> </v>
      </c>
      <c r="CW230" s="254" t="str">
        <f t="shared" si="537"/>
        <v xml:space="preserve"> </v>
      </c>
      <c r="CX230" s="254" t="str">
        <f t="shared" si="538"/>
        <v xml:space="preserve"> </v>
      </c>
      <c r="CY230" s="254" t="str">
        <f t="shared" si="539"/>
        <v xml:space="preserve"> </v>
      </c>
      <c r="CZ230" s="254" t="str">
        <f t="shared" si="540"/>
        <v xml:space="preserve"> </v>
      </c>
      <c r="DA230" s="254" t="str">
        <f t="shared" si="541"/>
        <v xml:space="preserve"> </v>
      </c>
      <c r="DB230" s="254" t="str">
        <f t="shared" si="542"/>
        <v xml:space="preserve"> </v>
      </c>
      <c r="DC230" s="254" t="str">
        <f t="shared" si="543"/>
        <v xml:space="preserve"> </v>
      </c>
      <c r="DD230" s="254" t="str">
        <f t="shared" si="544"/>
        <v xml:space="preserve"> </v>
      </c>
      <c r="DE230" s="254" t="str">
        <f t="shared" si="545"/>
        <v xml:space="preserve"> </v>
      </c>
      <c r="DF230" s="374" t="str">
        <f>IF($A230="N/A"," ",IF(CC=2,(IF(MONTH(A230)&gt;=4,IF(MONTH(A230)&lt;=10,Inputs!$G$13,Inputs!$G$14),Inputs!$G$14))*$CK230,0))</f>
        <v xml:space="preserve"> </v>
      </c>
      <c r="DG230" s="373" t="str">
        <f t="shared" si="546"/>
        <v xml:space="preserve"> </v>
      </c>
      <c r="DH230" s="373" t="str">
        <f t="shared" si="547"/>
        <v xml:space="preserve"> </v>
      </c>
      <c r="DI230" s="373" t="str">
        <f t="shared" si="548"/>
        <v xml:space="preserve"> </v>
      </c>
      <c r="DJ230" s="373" t="str">
        <f t="shared" si="549"/>
        <v xml:space="preserve"> </v>
      </c>
      <c r="DK230" s="373" t="str">
        <f t="shared" si="550"/>
        <v xml:space="preserve"> </v>
      </c>
      <c r="DL230" s="373" t="str">
        <f t="shared" si="551"/>
        <v xml:space="preserve"> </v>
      </c>
      <c r="DM230" s="373" t="str">
        <f t="shared" si="552"/>
        <v xml:space="preserve"> </v>
      </c>
      <c r="DN230" s="373" t="str">
        <f t="shared" si="553"/>
        <v xml:space="preserve"> </v>
      </c>
      <c r="DO230" s="373" t="str">
        <f t="shared" si="554"/>
        <v xml:space="preserve"> </v>
      </c>
      <c r="DP230" s="375" t="str">
        <f t="shared" si="555"/>
        <v xml:space="preserve"> </v>
      </c>
      <c r="DQ230" t="str">
        <f t="shared" si="588"/>
        <v xml:space="preserve"> </v>
      </c>
      <c r="HD230" t="str">
        <f t="shared" si="589"/>
        <v xml:space="preserve"> </v>
      </c>
      <c r="HE230" t="str">
        <f t="shared" si="590"/>
        <v xml:space="preserve"> </v>
      </c>
      <c r="HF230" t="str">
        <f t="shared" si="591"/>
        <v xml:space="preserve"> </v>
      </c>
    </row>
    <row r="231" spans="1:214">
      <c r="A231" s="415" t="str">
        <f>IF(A230="N/A","N/A",IF(EDATE(A230,1)&gt;Inputs!$K$3,"N/A",EDATE(A230,1)))</f>
        <v>N/A</v>
      </c>
      <c r="B231" s="410" t="str">
        <f t="shared" si="556"/>
        <v xml:space="preserve"> </v>
      </c>
      <c r="C231" s="411" t="str">
        <f t="shared" si="557"/>
        <v xml:space="preserve"> </v>
      </c>
      <c r="D231" s="412" t="str">
        <f t="shared" si="558"/>
        <v xml:space="preserve"> </v>
      </c>
      <c r="E231" s="413" t="str">
        <f>IF($A231="N/A"," ",(C231-'Pricing Inputs'!T264)*D231)</f>
        <v xml:space="preserve"> </v>
      </c>
      <c r="F231" s="414" t="str">
        <f t="shared" si="607"/>
        <v xml:space="preserve"> </v>
      </c>
      <c r="G231" s="414" t="str">
        <f t="shared" si="559"/>
        <v xml:space="preserve"> </v>
      </c>
      <c r="H231" s="416" t="str">
        <f t="shared" si="560"/>
        <v xml:space="preserve"> </v>
      </c>
      <c r="I231" s="213" t="str">
        <f t="shared" si="501"/>
        <v xml:space="preserve"> </v>
      </c>
      <c r="J231" s="213" t="str">
        <f t="shared" si="502"/>
        <v xml:space="preserve"> </v>
      </c>
      <c r="K231" s="213" t="str">
        <f t="shared" si="503"/>
        <v xml:space="preserve"> </v>
      </c>
      <c r="L231" s="213" t="str">
        <f t="shared" si="504"/>
        <v xml:space="preserve"> </v>
      </c>
      <c r="M231" s="213" t="str">
        <f t="shared" si="505"/>
        <v xml:space="preserve"> </v>
      </c>
      <c r="N231" s="213" t="str">
        <f t="shared" si="506"/>
        <v xml:space="preserve"> </v>
      </c>
      <c r="O231" s="213" t="str">
        <f t="shared" si="507"/>
        <v xml:space="preserve"> </v>
      </c>
      <c r="P231" s="213" t="str">
        <f t="shared" si="508"/>
        <v xml:space="preserve"> </v>
      </c>
      <c r="Q231" s="213" t="str">
        <f t="shared" si="509"/>
        <v xml:space="preserve"> </v>
      </c>
      <c r="R231" s="405" t="str">
        <f>IF($A231="N/A"," ",IF(Pricetype=2,MAX(I231-$H231,0),IF(Pricetype=1,(_xll.xSPRDOPT(I231,$E231,$CI231,0,($CD231+IF(Smile=TRUE,VLOOKUP(MAX(-5,$H231-I231),Volsmile,2),0)),$CG231,$CH231,($A231-DateToday)+15,1,0)),I231-$H231)))</f>
        <v xml:space="preserve"> </v>
      </c>
      <c r="S231" s="405" t="str">
        <f>IF($A231="N/A"," ",IF(Pricetype=2,MAX(J231-$H231,0),IF(Pricetype=1,(_xll.xSPRDOPT(J231,$E231,$CI231,0,($CD231+IF(Smile=TRUE,VLOOKUP(MAX(-5,$H231-J231),Volsmile,2),0)),$CG231,$CH231,($A231-DateToday)+15,1,0)),J231-$H231)))</f>
        <v xml:space="preserve"> </v>
      </c>
      <c r="T231" s="406" t="str">
        <f t="shared" si="510"/>
        <v xml:space="preserve"> </v>
      </c>
      <c r="U231" s="405" t="str">
        <f>IF($A231="N/A"," ",IF(Pricetype=2,MAX(L231-$H231,0),IF(L231&lt;&gt;0,IF(Pricetype=1,(_xll.xSPRDOPT(L231,$E231,$CI231,0,($CD231+IF(Smile=TRUE,VLOOKUP(MAX(-5,$H231-L231),Volsmile,2),0)),$CG231,$CH231,($A231-DateToday)+15,1,0)),L231-$H231),0)))</f>
        <v xml:space="preserve"> </v>
      </c>
      <c r="V231" s="405" t="str">
        <f>IF($A231="N/A"," ",IF(Pricetype=2,MAX(M231-$H231,0),IF(M231&lt;&gt;0,IF(Pricetype=1,(_xll.xSPRDOPT(M231,$E231,$CI231,0,($CD231+IF(Smile=TRUE,VLOOKUP(MAX(-5,$H231-M231),Volsmile,2),0)),$CG231,$CH231,($A231-DateToday)+15,1,0)),M231-$H231),0)))</f>
        <v xml:space="preserve"> </v>
      </c>
      <c r="W231" s="406" t="str">
        <f t="shared" si="511"/>
        <v xml:space="preserve"> </v>
      </c>
      <c r="X231" s="405" t="str">
        <f>IF($A231="N/A"," ",IF(Pricetype=2,MAX(O231-$H231,0),IF(O231&lt;&gt;0,IF(Pricetype=1,(_xll.xSPRDOPT(O231,$E231,$CI231,0,($CD231+IF(Smile=TRUE,VLOOKUP(MAX(-5,$H231-O231),Volsmile,2),0)),$CG231,$CH231,($A231-DateToday)+15,1,0)),O231-$H231),0)))</f>
        <v xml:space="preserve"> </v>
      </c>
      <c r="Y231" s="405" t="str">
        <f>IF($A231="N/A"," ",IF(Pricetype=2,MAX(P231-$H231,0),IF(P231&lt;&gt;0,IF(Pricetype=1,(_xll.xSPRDOPT(P231,$E231,$CI231,0,($CD231+IF(Smile=TRUE,VLOOKUP(MAX(-5,$H231-P231),Volsmile,2),0)),$CG231,$CH231,($A231-DateToday)+15,1,0)),P231-$H231),0)))</f>
        <v xml:space="preserve"> </v>
      </c>
      <c r="Z231" s="406" t="str">
        <f t="shared" si="512"/>
        <v xml:space="preserve"> </v>
      </c>
      <c r="AA231" s="254" t="str">
        <f>IF($A231="N/A"," ",IF(VLOOKUP(MONTH(A231),ManualTable,2)=1,(IF(0&lt;&gt;R231,IF(Pricetype=1,(_xll.xSPRDOPT(I231,$E231,$CI231,0,($CD231+IF(Smile=TRUE,VLOOKUP(MAX(-5,$H231-I231),Volsmile,2),0)),$CG231,$CH231,($A231-DateToday)+15,1,1))*(8*$HD231),8*$HD231),0)),0))</f>
        <v xml:space="preserve"> </v>
      </c>
      <c r="AB231" s="254" t="str">
        <f>IF($A231="N/A"," ",IF(VLOOKUP(MONTH(A231),ManualTable,3)=1,(IF(S231&lt;&gt;0,IF(Pricetype=1,(_xll.xSPRDOPT(J231,$E231,$CI231,0,($CD231+IF(Smile=TRUE,VLOOKUP(MAX(-5,$H231-J231),Volsmile,2),0)),$CG231,$CH231,($A231-DateToday)+15,1,1))*(8*$HD231),8*$HD231),0)),0))</f>
        <v xml:space="preserve"> </v>
      </c>
      <c r="AC231" s="254" t="str">
        <f t="shared" si="561"/>
        <v xml:space="preserve"> </v>
      </c>
      <c r="AD231" s="254" t="str">
        <f>IF($A231="N/A"," ",IF(VLOOKUP(MONTH(A231),ManualTable,5)=1,(IF(U231&lt;&gt;0,IF(Pricetype=1,(_xll.xSPRDOPT(L231,$E231,$CI231,0,($CD231+IF(Smile=TRUE,VLOOKUP(MAX(-5,$H231-L231),Volsmile,2),0)),$CG231,$CH231,($A231-DateToday)+15,1,1))*(8*$HE231),8*$HE231),0)),0))</f>
        <v xml:space="preserve"> </v>
      </c>
      <c r="AE231" s="254" t="str">
        <f>IF($A231="N/A"," ",IF(VLOOKUP(MONTH(A231),ManualTable,6)=1,(IF(V231&lt;&gt;0,IF(Pricetype=1,(_xll.xSPRDOPT(M231,$E231,$CI231,0,($CD231+IF(Smile=TRUE,VLOOKUP(MAX(-5,$H231-M231),Volsmile,2),0)),$CG231,$CH231,($A231-DateToday)+15,1,1))*(8*$HE231),8*$HE231),0)),0))</f>
        <v xml:space="preserve"> </v>
      </c>
      <c r="AF231" s="254" t="str">
        <f t="shared" si="562"/>
        <v xml:space="preserve"> </v>
      </c>
      <c r="AG231" s="254" t="str">
        <f>IF($A231="N/A"," ",IF(VLOOKUP(MONTH(A231),ManualTable,8)=1,(IF(X231&lt;&gt;0,IF(Pricetype=1,(_xll.xSPRDOPT(O231,$E231,$CI231,0,($CD231+IF(Smile=TRUE,VLOOKUP(MAX(-5,$H231-O231),Volsmile,2),0)),$CG231,$CH231,($A231-DateToday)+15,1,1))*(8*$HF231),8*$HF231),0)),0))</f>
        <v xml:space="preserve"> </v>
      </c>
      <c r="AH231" s="254" t="str">
        <f>IF($A231="N/A"," ",IF(VLOOKUP(MONTH(A231),ManualTable,9)=1,(IF(Y231&lt;&gt;0,IF(Pricetype=1,(_xll.xSPRDOPT(P231,$E231,$CI231,0,($CD231+IF(Smile=TRUE,VLOOKUP(MAX(-5,$H231-P231),Volsmile,2),0)),$CG231,$CH231,($A231-DateToday)+15,1,1))*(8*$HF231),8*$HF231),0)),0))</f>
        <v xml:space="preserve"> </v>
      </c>
      <c r="AI231" s="254" t="str">
        <f t="shared" si="563"/>
        <v xml:space="preserve"> </v>
      </c>
      <c r="AJ231" s="230" t="str">
        <f t="shared" si="623"/>
        <v xml:space="preserve"> </v>
      </c>
      <c r="AK231" s="231" t="str">
        <f t="shared" si="624"/>
        <v xml:space="preserve"> </v>
      </c>
      <c r="AL231" s="231" t="str">
        <f t="shared" si="624"/>
        <v xml:space="preserve"> </v>
      </c>
      <c r="AM231" s="231" t="str">
        <f t="shared" si="625"/>
        <v xml:space="preserve"> </v>
      </c>
      <c r="AN231" s="231" t="str">
        <f t="shared" si="626"/>
        <v xml:space="preserve"> </v>
      </c>
      <c r="AO231" s="231" t="str">
        <f t="shared" si="626"/>
        <v xml:space="preserve"> </v>
      </c>
      <c r="AP231" s="231" t="str">
        <f t="shared" si="627"/>
        <v xml:space="preserve"> </v>
      </c>
      <c r="AQ231" s="231" t="str">
        <f t="shared" si="628"/>
        <v xml:space="preserve"> </v>
      </c>
      <c r="AR231" s="232" t="str">
        <f t="shared" si="629"/>
        <v xml:space="preserve"> </v>
      </c>
      <c r="AS231" s="264" t="str">
        <f t="shared" si="593"/>
        <v xml:space="preserve"> </v>
      </c>
      <c r="AT231" s="265" t="str">
        <f t="shared" si="594"/>
        <v xml:space="preserve"> </v>
      </c>
      <c r="AU231" s="265" t="str">
        <f t="shared" si="594"/>
        <v xml:space="preserve"> </v>
      </c>
      <c r="AV231" s="265" t="str">
        <f t="shared" si="595"/>
        <v xml:space="preserve"> </v>
      </c>
      <c r="AW231" s="265" t="str">
        <f t="shared" si="596"/>
        <v xml:space="preserve"> </v>
      </c>
      <c r="AX231" s="265" t="str">
        <f t="shared" si="596"/>
        <v xml:space="preserve"> </v>
      </c>
      <c r="AY231" s="265" t="str">
        <f t="shared" si="597"/>
        <v xml:space="preserve"> </v>
      </c>
      <c r="AZ231" s="265" t="str">
        <f t="shared" si="598"/>
        <v xml:space="preserve"> </v>
      </c>
      <c r="BA231" s="265" t="str">
        <f t="shared" si="599"/>
        <v xml:space="preserve"> </v>
      </c>
      <c r="BB231" s="232">
        <f>IF(($AZ$2-BB230)&gt;=0,$AZ$2-BB230,0)</f>
        <v>980</v>
      </c>
      <c r="BC231" s="270" t="str">
        <f t="shared" si="616"/>
        <v xml:space="preserve"> </v>
      </c>
      <c r="BD231" s="271" t="str">
        <f t="shared" si="617"/>
        <v xml:space="preserve"> </v>
      </c>
      <c r="BE231" s="269" t="str">
        <f t="shared" si="617"/>
        <v xml:space="preserve"> </v>
      </c>
      <c r="BF231" s="271" t="str">
        <f t="shared" si="618"/>
        <v xml:space="preserve"> </v>
      </c>
      <c r="BG231" s="271" t="str">
        <f t="shared" si="619"/>
        <v xml:space="preserve"> </v>
      </c>
      <c r="BH231" s="269" t="str">
        <f t="shared" si="619"/>
        <v xml:space="preserve"> </v>
      </c>
      <c r="BI231" s="271" t="str">
        <f t="shared" si="620"/>
        <v xml:space="preserve"> </v>
      </c>
      <c r="BJ231" s="271" t="str">
        <f t="shared" si="621"/>
        <v xml:space="preserve"> </v>
      </c>
      <c r="BK231" s="271" t="str">
        <f t="shared" si="622"/>
        <v xml:space="preserve"> </v>
      </c>
      <c r="BL231" s="235">
        <f>BB230+BL230</f>
        <v>0</v>
      </c>
      <c r="BM231" s="220" t="str">
        <f>IF($A231="N/A"," ",(IF(MONTH(A231)&gt;=4,IF(MONTH(A231)&lt;=10,Inputs!$F$13-Inputs!$G$13,Inputs!$F$14-Inputs!$G$14),Inputs!$F$14-Inputs!$G$14))*$CK231*Availability)</f>
        <v xml:space="preserve"> </v>
      </c>
      <c r="BN231" s="221" t="str">
        <f t="shared" si="571"/>
        <v xml:space="preserve"> </v>
      </c>
      <c r="BO231" s="221" t="str">
        <f t="shared" si="572"/>
        <v xml:space="preserve"> </v>
      </c>
      <c r="BP231" s="221" t="str">
        <f t="shared" si="573"/>
        <v xml:space="preserve"> </v>
      </c>
      <c r="BQ231" s="221" t="str">
        <f t="shared" si="574"/>
        <v xml:space="preserve"> </v>
      </c>
      <c r="BR231" s="221" t="str">
        <f t="shared" si="575"/>
        <v xml:space="preserve"> </v>
      </c>
      <c r="BS231" s="221" t="str">
        <f t="shared" si="576"/>
        <v xml:space="preserve"> </v>
      </c>
      <c r="BT231" s="221" t="str">
        <f t="shared" si="577"/>
        <v xml:space="preserve"> </v>
      </c>
      <c r="BU231" s="221" t="str">
        <f t="shared" si="578"/>
        <v xml:space="preserve"> </v>
      </c>
      <c r="BV231" s="221" t="str">
        <f t="shared" si="579"/>
        <v xml:space="preserve"> </v>
      </c>
      <c r="BW231" s="221" t="str">
        <f t="shared" si="580"/>
        <v xml:space="preserve"> </v>
      </c>
      <c r="BX231" s="421" t="str">
        <f t="shared" si="581"/>
        <v xml:space="preserve"> </v>
      </c>
      <c r="BY231" s="417" t="str">
        <f t="shared" si="582"/>
        <v xml:space="preserve"> </v>
      </c>
      <c r="BZ231" s="417" t="str">
        <f t="shared" si="583"/>
        <v xml:space="preserve"> </v>
      </c>
      <c r="CA231" s="422" t="str">
        <f t="shared" si="584"/>
        <v xml:space="preserve"> </v>
      </c>
      <c r="CB231" s="347" t="str">
        <f t="shared" si="521"/>
        <v xml:space="preserve"> </v>
      </c>
      <c r="CC231" s="347" t="str">
        <f t="shared" si="585"/>
        <v xml:space="preserve"> </v>
      </c>
      <c r="CD231" s="348" t="str">
        <f t="shared" si="522"/>
        <v xml:space="preserve"> </v>
      </c>
      <c r="CE231" s="347" t="str">
        <f t="shared" si="523"/>
        <v xml:space="preserve"> </v>
      </c>
      <c r="CF231" s="347" t="str">
        <f t="shared" si="524"/>
        <v xml:space="preserve"> </v>
      </c>
      <c r="CG231" s="348" t="str">
        <f t="shared" si="525"/>
        <v xml:space="preserve"> </v>
      </c>
      <c r="CH231" s="347" t="str">
        <f t="shared" si="586"/>
        <v xml:space="preserve"> </v>
      </c>
      <c r="CI231" s="349" t="str">
        <f>IF($A231="N/A"," ",F231+G231+(D231*('Pricing Inputs'!T264)))</f>
        <v xml:space="preserve"> </v>
      </c>
      <c r="CJ231" s="347" t="str">
        <f>IF($A231="N/A"," ",IF(PV=1,0,'Pricing Inputs'!U264))</f>
        <v xml:space="preserve"> </v>
      </c>
      <c r="CK231" s="350" t="str">
        <f t="shared" si="526"/>
        <v xml:space="preserve"> </v>
      </c>
      <c r="CL231" s="365" t="str">
        <f t="shared" si="527"/>
        <v xml:space="preserve"> </v>
      </c>
      <c r="CM231" s="380" t="str">
        <f t="shared" si="587"/>
        <v xml:space="preserve"> </v>
      </c>
      <c r="CN231" s="378" t="str">
        <f t="shared" si="528"/>
        <v xml:space="preserve"> </v>
      </c>
      <c r="CO231" s="378" t="str">
        <f t="shared" si="529"/>
        <v xml:space="preserve"> </v>
      </c>
      <c r="CP231" s="378" t="str">
        <f t="shared" si="530"/>
        <v xml:space="preserve"> </v>
      </c>
      <c r="CQ231" s="378" t="str">
        <f t="shared" si="531"/>
        <v xml:space="preserve"> </v>
      </c>
      <c r="CR231" s="378" t="str">
        <f t="shared" si="532"/>
        <v xml:space="preserve"> </v>
      </c>
      <c r="CS231" s="378" t="str">
        <f t="shared" si="533"/>
        <v xml:space="preserve"> </v>
      </c>
      <c r="CT231" s="378" t="str">
        <f t="shared" si="534"/>
        <v xml:space="preserve"> </v>
      </c>
      <c r="CU231" s="378" t="str">
        <f t="shared" si="535"/>
        <v xml:space="preserve"> </v>
      </c>
      <c r="CV231" s="378" t="str">
        <f t="shared" si="536"/>
        <v xml:space="preserve"> </v>
      </c>
      <c r="CW231" s="254" t="str">
        <f t="shared" si="537"/>
        <v xml:space="preserve"> </v>
      </c>
      <c r="CX231" s="254" t="str">
        <f t="shared" si="538"/>
        <v xml:space="preserve"> </v>
      </c>
      <c r="CY231" s="254" t="str">
        <f t="shared" si="539"/>
        <v xml:space="preserve"> </v>
      </c>
      <c r="CZ231" s="254" t="str">
        <f t="shared" si="540"/>
        <v xml:space="preserve"> </v>
      </c>
      <c r="DA231" s="254" t="str">
        <f t="shared" si="541"/>
        <v xml:space="preserve"> </v>
      </c>
      <c r="DB231" s="254" t="str">
        <f t="shared" si="542"/>
        <v xml:space="preserve"> </v>
      </c>
      <c r="DC231" s="254" t="str">
        <f t="shared" si="543"/>
        <v xml:space="preserve"> </v>
      </c>
      <c r="DD231" s="254" t="str">
        <f t="shared" si="544"/>
        <v xml:space="preserve"> </v>
      </c>
      <c r="DE231" s="254" t="str">
        <f t="shared" si="545"/>
        <v xml:space="preserve"> </v>
      </c>
      <c r="DF231" s="374" t="str">
        <f>IF($A231="N/A"," ",IF(CC=2,(IF(MONTH(A231)&gt;=4,IF(MONTH(A231)&lt;=10,Inputs!$G$13,Inputs!$G$14),Inputs!$G$14))*$CK231,0))</f>
        <v xml:space="preserve"> </v>
      </c>
      <c r="DG231" s="373" t="str">
        <f t="shared" si="546"/>
        <v xml:space="preserve"> </v>
      </c>
      <c r="DH231" s="373" t="str">
        <f t="shared" si="547"/>
        <v xml:space="preserve"> </v>
      </c>
      <c r="DI231" s="373" t="str">
        <f t="shared" si="548"/>
        <v xml:space="preserve"> </v>
      </c>
      <c r="DJ231" s="373" t="str">
        <f t="shared" si="549"/>
        <v xml:space="preserve"> </v>
      </c>
      <c r="DK231" s="373" t="str">
        <f t="shared" si="550"/>
        <v xml:space="preserve"> </v>
      </c>
      <c r="DL231" s="373" t="str">
        <f t="shared" si="551"/>
        <v xml:space="preserve"> </v>
      </c>
      <c r="DM231" s="373" t="str">
        <f t="shared" si="552"/>
        <v xml:space="preserve"> </v>
      </c>
      <c r="DN231" s="373" t="str">
        <f t="shared" si="553"/>
        <v xml:space="preserve"> </v>
      </c>
      <c r="DO231" s="373" t="str">
        <f t="shared" si="554"/>
        <v xml:space="preserve"> </v>
      </c>
      <c r="DP231" s="375" t="str">
        <f t="shared" si="555"/>
        <v xml:space="preserve"> </v>
      </c>
      <c r="DQ231" t="str">
        <f t="shared" si="588"/>
        <v xml:space="preserve"> </v>
      </c>
      <c r="HD231" t="str">
        <f t="shared" si="589"/>
        <v xml:space="preserve"> </v>
      </c>
      <c r="HE231" t="str">
        <f t="shared" si="590"/>
        <v xml:space="preserve"> </v>
      </c>
      <c r="HF231" t="str">
        <f t="shared" si="591"/>
        <v xml:space="preserve"> </v>
      </c>
    </row>
    <row r="232" spans="1:214">
      <c r="A232" s="415" t="str">
        <f>IF(A231="N/A","N/A",IF(EDATE(A231,1)&gt;Inputs!$K$3,"N/A",EDATE(A231,1)))</f>
        <v>N/A</v>
      </c>
      <c r="B232" s="410" t="str">
        <f t="shared" si="556"/>
        <v xml:space="preserve"> </v>
      </c>
      <c r="C232" s="411" t="str">
        <f t="shared" si="557"/>
        <v xml:space="preserve"> </v>
      </c>
      <c r="D232" s="412" t="str">
        <f t="shared" si="558"/>
        <v xml:space="preserve"> </v>
      </c>
      <c r="E232" s="413" t="str">
        <f>IF($A232="N/A"," ",(C232-'Pricing Inputs'!T265)*D232)</f>
        <v xml:space="preserve"> </v>
      </c>
      <c r="F232" s="414" t="str">
        <f t="shared" si="607"/>
        <v xml:space="preserve"> </v>
      </c>
      <c r="G232" s="414" t="str">
        <f t="shared" si="559"/>
        <v xml:space="preserve"> </v>
      </c>
      <c r="H232" s="416" t="str">
        <f t="shared" si="560"/>
        <v xml:space="preserve"> </v>
      </c>
      <c r="I232" s="213" t="str">
        <f t="shared" si="501"/>
        <v xml:space="preserve"> </v>
      </c>
      <c r="J232" s="213" t="str">
        <f t="shared" si="502"/>
        <v xml:space="preserve"> </v>
      </c>
      <c r="K232" s="213" t="str">
        <f t="shared" si="503"/>
        <v xml:space="preserve"> </v>
      </c>
      <c r="L232" s="213" t="str">
        <f t="shared" si="504"/>
        <v xml:space="preserve"> </v>
      </c>
      <c r="M232" s="213" t="str">
        <f t="shared" si="505"/>
        <v xml:space="preserve"> </v>
      </c>
      <c r="N232" s="213" t="str">
        <f t="shared" si="506"/>
        <v xml:space="preserve"> </v>
      </c>
      <c r="O232" s="213" t="str">
        <f t="shared" si="507"/>
        <v xml:space="preserve"> </v>
      </c>
      <c r="P232" s="213" t="str">
        <f t="shared" si="508"/>
        <v xml:space="preserve"> </v>
      </c>
      <c r="Q232" s="213" t="str">
        <f t="shared" si="509"/>
        <v xml:space="preserve"> </v>
      </c>
      <c r="R232" s="405" t="str">
        <f>IF($A232="N/A"," ",IF(Pricetype=2,MAX(I232-$H232,0),IF(Pricetype=1,(_xll.xSPRDOPT(I232,$E232,$CI232,0,($CD232+IF(Smile=TRUE,VLOOKUP(MAX(-5,$H232-I232),Volsmile,2),0)),$CG232,$CH232,($A232-DateToday)+15,1,0)),I232-$H232)))</f>
        <v xml:space="preserve"> </v>
      </c>
      <c r="S232" s="405" t="str">
        <f>IF($A232="N/A"," ",IF(Pricetype=2,MAX(J232-$H232,0),IF(Pricetype=1,(_xll.xSPRDOPT(J232,$E232,$CI232,0,($CD232+IF(Smile=TRUE,VLOOKUP(MAX(-5,$H232-J232),Volsmile,2),0)),$CG232,$CH232,($A232-DateToday)+15,1,0)),J232-$H232)))</f>
        <v xml:space="preserve"> </v>
      </c>
      <c r="T232" s="406" t="str">
        <f t="shared" si="510"/>
        <v xml:space="preserve"> </v>
      </c>
      <c r="U232" s="405" t="str">
        <f>IF($A232="N/A"," ",IF(Pricetype=2,MAX(L232-$H232,0),IF(L232&lt;&gt;0,IF(Pricetype=1,(_xll.xSPRDOPT(L232,$E232,$CI232,0,($CD232+IF(Smile=TRUE,VLOOKUP(MAX(-5,$H232-L232),Volsmile,2),0)),$CG232,$CH232,($A232-DateToday)+15,1,0)),L232-$H232),0)))</f>
        <v xml:space="preserve"> </v>
      </c>
      <c r="V232" s="405" t="str">
        <f>IF($A232="N/A"," ",IF(Pricetype=2,MAX(M232-$H232,0),IF(M232&lt;&gt;0,IF(Pricetype=1,(_xll.xSPRDOPT(M232,$E232,$CI232,0,($CD232+IF(Smile=TRUE,VLOOKUP(MAX(-5,$H232-M232),Volsmile,2),0)),$CG232,$CH232,($A232-DateToday)+15,1,0)),M232-$H232),0)))</f>
        <v xml:space="preserve"> </v>
      </c>
      <c r="W232" s="406" t="str">
        <f t="shared" si="511"/>
        <v xml:space="preserve"> </v>
      </c>
      <c r="X232" s="405" t="str">
        <f>IF($A232="N/A"," ",IF(Pricetype=2,MAX(O232-$H232,0),IF(O232&lt;&gt;0,IF(Pricetype=1,(_xll.xSPRDOPT(O232,$E232,$CI232,0,($CD232+IF(Smile=TRUE,VLOOKUP(MAX(-5,$H232-O232),Volsmile,2),0)),$CG232,$CH232,($A232-DateToday)+15,1,0)),O232-$H232),0)))</f>
        <v xml:space="preserve"> </v>
      </c>
      <c r="Y232" s="405" t="str">
        <f>IF($A232="N/A"," ",IF(Pricetype=2,MAX(P232-$H232,0),IF(P232&lt;&gt;0,IF(Pricetype=1,(_xll.xSPRDOPT(P232,$E232,$CI232,0,($CD232+IF(Smile=TRUE,VLOOKUP(MAX(-5,$H232-P232),Volsmile,2),0)),$CG232,$CH232,($A232-DateToday)+15,1,0)),P232-$H232),0)))</f>
        <v xml:space="preserve"> </v>
      </c>
      <c r="Z232" s="406" t="str">
        <f t="shared" si="512"/>
        <v xml:space="preserve"> </v>
      </c>
      <c r="AA232" s="254" t="str">
        <f>IF($A232="N/A"," ",IF(VLOOKUP(MONTH(A232),ManualTable,2)=1,(IF(0&lt;&gt;R232,IF(Pricetype=1,(_xll.xSPRDOPT(I232,$E232,$CI232,0,($CD232+IF(Smile=TRUE,VLOOKUP(MAX(-5,$H232-I232),Volsmile,2),0)),$CG232,$CH232,($A232-DateToday)+15,1,1))*(8*$HD232),8*$HD232),0)),0))</f>
        <v xml:space="preserve"> </v>
      </c>
      <c r="AB232" s="254" t="str">
        <f>IF($A232="N/A"," ",IF(VLOOKUP(MONTH(A232),ManualTable,3)=1,(IF(S232&lt;&gt;0,IF(Pricetype=1,(_xll.xSPRDOPT(J232,$E232,$CI232,0,($CD232+IF(Smile=TRUE,VLOOKUP(MAX(-5,$H232-J232),Volsmile,2),0)),$CG232,$CH232,($A232-DateToday)+15,1,1))*(8*$HD232),8*$HD232),0)),0))</f>
        <v xml:space="preserve"> </v>
      </c>
      <c r="AC232" s="254" t="str">
        <f t="shared" si="561"/>
        <v xml:space="preserve"> </v>
      </c>
      <c r="AD232" s="254" t="str">
        <f>IF($A232="N/A"," ",IF(VLOOKUP(MONTH(A232),ManualTable,5)=1,(IF(U232&lt;&gt;0,IF(Pricetype=1,(_xll.xSPRDOPT(L232,$E232,$CI232,0,($CD232+IF(Smile=TRUE,VLOOKUP(MAX(-5,$H232-L232),Volsmile,2),0)),$CG232,$CH232,($A232-DateToday)+15,1,1))*(8*$HE232),8*$HE232),0)),0))</f>
        <v xml:space="preserve"> </v>
      </c>
      <c r="AE232" s="254" t="str">
        <f>IF($A232="N/A"," ",IF(VLOOKUP(MONTH(A232),ManualTable,6)=1,(IF(V232&lt;&gt;0,IF(Pricetype=1,(_xll.xSPRDOPT(M232,$E232,$CI232,0,($CD232+IF(Smile=TRUE,VLOOKUP(MAX(-5,$H232-M232),Volsmile,2),0)),$CG232,$CH232,($A232-DateToday)+15,1,1))*(8*$HE232),8*$HE232),0)),0))</f>
        <v xml:space="preserve"> </v>
      </c>
      <c r="AF232" s="254" t="str">
        <f t="shared" si="562"/>
        <v xml:space="preserve"> </v>
      </c>
      <c r="AG232" s="254" t="str">
        <f>IF($A232="N/A"," ",IF(VLOOKUP(MONTH(A232),ManualTable,8)=1,(IF(X232&lt;&gt;0,IF(Pricetype=1,(_xll.xSPRDOPT(O232,$E232,$CI232,0,($CD232+IF(Smile=TRUE,VLOOKUP(MAX(-5,$H232-O232),Volsmile,2),0)),$CG232,$CH232,($A232-DateToday)+15,1,1))*(8*$HF232),8*$HF232),0)),0))</f>
        <v xml:space="preserve"> </v>
      </c>
      <c r="AH232" s="254" t="str">
        <f>IF($A232="N/A"," ",IF(VLOOKUP(MONTH(A232),ManualTable,9)=1,(IF(Y232&lt;&gt;0,IF(Pricetype=1,(_xll.xSPRDOPT(P232,$E232,$CI232,0,($CD232+IF(Smile=TRUE,VLOOKUP(MAX(-5,$H232-P232),Volsmile,2),0)),$CG232,$CH232,($A232-DateToday)+15,1,1))*(8*$HF232),8*$HF232),0)),0))</f>
        <v xml:space="preserve"> </v>
      </c>
      <c r="AI232" s="254" t="str">
        <f t="shared" si="563"/>
        <v xml:space="preserve"> </v>
      </c>
      <c r="AJ232" s="224" t="str">
        <f t="shared" ref="AJ232:AR232" si="630">IF($A232="N/A"," ",RANK(R232,$R$232:$Z$243))</f>
        <v xml:space="preserve"> </v>
      </c>
      <c r="AK232" s="225" t="str">
        <f t="shared" si="630"/>
        <v xml:space="preserve"> </v>
      </c>
      <c r="AL232" s="225" t="str">
        <f t="shared" si="630"/>
        <v xml:space="preserve"> </v>
      </c>
      <c r="AM232" s="225" t="str">
        <f t="shared" si="630"/>
        <v xml:space="preserve"> </v>
      </c>
      <c r="AN232" s="225" t="str">
        <f t="shared" si="630"/>
        <v xml:space="preserve"> </v>
      </c>
      <c r="AO232" s="225" t="str">
        <f t="shared" si="630"/>
        <v xml:space="preserve"> </v>
      </c>
      <c r="AP232" s="225" t="str">
        <f t="shared" si="630"/>
        <v xml:space="preserve"> </v>
      </c>
      <c r="AQ232" s="225" t="str">
        <f t="shared" si="630"/>
        <v xml:space="preserve"> </v>
      </c>
      <c r="AR232" s="226" t="str">
        <f t="shared" si="630"/>
        <v xml:space="preserve"> </v>
      </c>
      <c r="AS232" s="260" t="str">
        <f t="shared" si="593"/>
        <v xml:space="preserve"> </v>
      </c>
      <c r="AT232" s="261" t="str">
        <f t="shared" si="594"/>
        <v xml:space="preserve"> </v>
      </c>
      <c r="AU232" s="263" t="str">
        <f t="shared" si="594"/>
        <v xml:space="preserve"> </v>
      </c>
      <c r="AV232" s="263" t="str">
        <f t="shared" si="595"/>
        <v xml:space="preserve"> </v>
      </c>
      <c r="AW232" s="263" t="str">
        <f t="shared" si="596"/>
        <v xml:space="preserve"> </v>
      </c>
      <c r="AX232" s="263" t="str">
        <f t="shared" si="596"/>
        <v xml:space="preserve"> </v>
      </c>
      <c r="AY232" s="261" t="str">
        <f t="shared" si="597"/>
        <v xml:space="preserve"> </v>
      </c>
      <c r="AZ232" s="261" t="str">
        <f t="shared" si="598"/>
        <v xml:space="preserve"> </v>
      </c>
      <c r="BA232" s="261" t="str">
        <f t="shared" si="599"/>
        <v xml:space="preserve"> </v>
      </c>
      <c r="BB232" s="226"/>
      <c r="BC232" s="272" t="str">
        <f t="shared" ref="BC232:BC243" si="631">IF($A232="N/A"," ",IF(AND(AJ232=$AR$2+1,AS232=0),MIN($BB$243,AA232),0))</f>
        <v xml:space="preserve"> </v>
      </c>
      <c r="BD232" s="267" t="str">
        <f t="shared" ref="BD232:BE243" si="632">IF($A232="N/A"," ",IF(AND(AK232=$AR$2+1,AT232=0),MIN($BB$243,AB232),0))</f>
        <v xml:space="preserve"> </v>
      </c>
      <c r="BE232" s="267" t="str">
        <f t="shared" si="632"/>
        <v xml:space="preserve"> </v>
      </c>
      <c r="BF232" s="267" t="str">
        <f t="shared" ref="BF232:BF243" si="633">IF($A232="N/A"," ",IF(AND(AM232=$AR$2+1,AV232=0),MIN($BB$243,AD232),0))</f>
        <v xml:space="preserve"> </v>
      </c>
      <c r="BG232" s="267" t="str">
        <f t="shared" ref="BG232:BH243" si="634">IF($A232="N/A"," ",IF(AND(AN232=$AR$2+1,AW232=0),MIN($BB$243,AE232),0))</f>
        <v xml:space="preserve"> </v>
      </c>
      <c r="BH232" s="267" t="str">
        <f t="shared" si="634"/>
        <v xml:space="preserve"> </v>
      </c>
      <c r="BI232" s="267" t="str">
        <f t="shared" ref="BI232:BI243" si="635">IF($A232="N/A"," ",IF(AND(AP232=$AR$2+1,AY232=0),MIN($BB$243,AG232),0))</f>
        <v xml:space="preserve"> </v>
      </c>
      <c r="BJ232" s="267" t="str">
        <f t="shared" ref="BJ232:BJ243" si="636">IF($A232="N/A"," ",IF(AND(AQ232=$AR$2+1,AZ232=0),MIN($BB$243,AH232),0))</f>
        <v xml:space="preserve"> </v>
      </c>
      <c r="BK232" s="267" t="str">
        <f t="shared" ref="BK232:BK243" si="637">IF($A232="N/A"," ",IF(AND(AR232=$AR$2+1,BA232=0),MIN($BB$243,AI232),0))</f>
        <v xml:space="preserve"> </v>
      </c>
      <c r="BL232" s="226"/>
      <c r="BM232" s="220" t="str">
        <f>IF($A232="N/A"," ",(IF(MONTH(A232)&gt;=4,IF(MONTH(A232)&lt;=10,Inputs!$F$13-Inputs!$G$13,Inputs!$F$14-Inputs!$G$14),Inputs!$F$14-Inputs!$G$14))*$CK232*Availability)</f>
        <v xml:space="preserve"> </v>
      </c>
      <c r="BN232" s="221" t="str">
        <f t="shared" si="571"/>
        <v xml:space="preserve"> </v>
      </c>
      <c r="BO232" s="221" t="str">
        <f t="shared" si="572"/>
        <v xml:space="preserve"> </v>
      </c>
      <c r="BP232" s="221" t="str">
        <f t="shared" si="573"/>
        <v xml:space="preserve"> </v>
      </c>
      <c r="BQ232" s="221" t="str">
        <f t="shared" si="574"/>
        <v xml:space="preserve"> </v>
      </c>
      <c r="BR232" s="221" t="str">
        <f t="shared" si="575"/>
        <v xml:space="preserve"> </v>
      </c>
      <c r="BS232" s="221" t="str">
        <f t="shared" si="576"/>
        <v xml:space="preserve"> </v>
      </c>
      <c r="BT232" s="221" t="str">
        <f t="shared" si="577"/>
        <v xml:space="preserve"> </v>
      </c>
      <c r="BU232" s="221" t="str">
        <f t="shared" si="578"/>
        <v xml:space="preserve"> </v>
      </c>
      <c r="BV232" s="221" t="str">
        <f t="shared" si="579"/>
        <v xml:space="preserve"> </v>
      </c>
      <c r="BW232" s="221" t="str">
        <f t="shared" si="580"/>
        <v xml:space="preserve"> </v>
      </c>
      <c r="BX232" s="421" t="str">
        <f t="shared" si="581"/>
        <v xml:space="preserve"> </v>
      </c>
      <c r="BY232" s="417" t="str">
        <f t="shared" si="582"/>
        <v xml:space="preserve"> </v>
      </c>
      <c r="BZ232" s="417" t="str">
        <f t="shared" si="583"/>
        <v xml:space="preserve"> </v>
      </c>
      <c r="CA232" s="422" t="str">
        <f t="shared" si="584"/>
        <v xml:space="preserve"> </v>
      </c>
      <c r="CB232" s="347" t="str">
        <f t="shared" si="521"/>
        <v xml:space="preserve"> </v>
      </c>
      <c r="CC232" s="347" t="str">
        <f t="shared" si="585"/>
        <v xml:space="preserve"> </v>
      </c>
      <c r="CD232" s="348" t="str">
        <f t="shared" si="522"/>
        <v xml:space="preserve"> </v>
      </c>
      <c r="CE232" s="347" t="str">
        <f t="shared" si="523"/>
        <v xml:space="preserve"> </v>
      </c>
      <c r="CF232" s="347" t="str">
        <f t="shared" si="524"/>
        <v xml:space="preserve"> </v>
      </c>
      <c r="CG232" s="348" t="str">
        <f t="shared" si="525"/>
        <v xml:space="preserve"> </v>
      </c>
      <c r="CH232" s="347" t="str">
        <f t="shared" si="586"/>
        <v xml:space="preserve"> </v>
      </c>
      <c r="CI232" s="349" t="str">
        <f>IF($A232="N/A"," ",F232+G232+(D232*('Pricing Inputs'!T265)))</f>
        <v xml:space="preserve"> </v>
      </c>
      <c r="CJ232" s="347" t="str">
        <f>IF($A232="N/A"," ",IF(PV=1,0,'Pricing Inputs'!U265))</f>
        <v xml:space="preserve"> </v>
      </c>
      <c r="CK232" s="350" t="str">
        <f t="shared" si="526"/>
        <v xml:space="preserve"> </v>
      </c>
      <c r="CL232" s="365" t="str">
        <f t="shared" si="527"/>
        <v xml:space="preserve"> </v>
      </c>
      <c r="CM232" s="380" t="str">
        <f t="shared" si="587"/>
        <v xml:space="preserve"> </v>
      </c>
      <c r="CN232" s="378" t="str">
        <f t="shared" si="528"/>
        <v xml:space="preserve"> </v>
      </c>
      <c r="CO232" s="378" t="str">
        <f t="shared" si="529"/>
        <v xml:space="preserve"> </v>
      </c>
      <c r="CP232" s="378" t="str">
        <f t="shared" si="530"/>
        <v xml:space="preserve"> </v>
      </c>
      <c r="CQ232" s="378" t="str">
        <f t="shared" si="531"/>
        <v xml:space="preserve"> </v>
      </c>
      <c r="CR232" s="378" t="str">
        <f t="shared" si="532"/>
        <v xml:space="preserve"> </v>
      </c>
      <c r="CS232" s="378" t="str">
        <f t="shared" si="533"/>
        <v xml:space="preserve"> </v>
      </c>
      <c r="CT232" s="378" t="str">
        <f t="shared" si="534"/>
        <v xml:space="preserve"> </v>
      </c>
      <c r="CU232" s="378" t="str">
        <f t="shared" si="535"/>
        <v xml:space="preserve"> </v>
      </c>
      <c r="CV232" s="378" t="str">
        <f t="shared" si="536"/>
        <v xml:space="preserve"> </v>
      </c>
      <c r="CW232" s="254" t="str">
        <f t="shared" si="537"/>
        <v xml:space="preserve"> </v>
      </c>
      <c r="CX232" s="254" t="str">
        <f t="shared" si="538"/>
        <v xml:space="preserve"> </v>
      </c>
      <c r="CY232" s="254" t="str">
        <f t="shared" si="539"/>
        <v xml:space="preserve"> </v>
      </c>
      <c r="CZ232" s="254" t="str">
        <f t="shared" si="540"/>
        <v xml:space="preserve"> </v>
      </c>
      <c r="DA232" s="254" t="str">
        <f t="shared" si="541"/>
        <v xml:space="preserve"> </v>
      </c>
      <c r="DB232" s="254" t="str">
        <f t="shared" si="542"/>
        <v xml:space="preserve"> </v>
      </c>
      <c r="DC232" s="254" t="str">
        <f t="shared" si="543"/>
        <v xml:space="preserve"> </v>
      </c>
      <c r="DD232" s="254" t="str">
        <f t="shared" si="544"/>
        <v xml:space="preserve"> </v>
      </c>
      <c r="DE232" s="254" t="str">
        <f t="shared" si="545"/>
        <v xml:space="preserve"> </v>
      </c>
      <c r="DF232" s="374" t="str">
        <f>IF($A232="N/A"," ",IF(CC=2,(IF(MONTH(A232)&gt;=4,IF(MONTH(A232)&lt;=10,Inputs!$G$13,Inputs!$G$14),Inputs!$G$14))*$CK232,0))</f>
        <v xml:space="preserve"> </v>
      </c>
      <c r="DG232" s="373" t="str">
        <f t="shared" si="546"/>
        <v xml:space="preserve"> </v>
      </c>
      <c r="DH232" s="373" t="str">
        <f t="shared" si="547"/>
        <v xml:space="preserve"> </v>
      </c>
      <c r="DI232" s="373" t="str">
        <f t="shared" si="548"/>
        <v xml:space="preserve"> </v>
      </c>
      <c r="DJ232" s="373" t="str">
        <f t="shared" si="549"/>
        <v xml:space="preserve"> </v>
      </c>
      <c r="DK232" s="373" t="str">
        <f t="shared" si="550"/>
        <v xml:space="preserve"> </v>
      </c>
      <c r="DL232" s="373" t="str">
        <f t="shared" si="551"/>
        <v xml:space="preserve"> </v>
      </c>
      <c r="DM232" s="373" t="str">
        <f t="shared" si="552"/>
        <v xml:space="preserve"> </v>
      </c>
      <c r="DN232" s="373" t="str">
        <f t="shared" si="553"/>
        <v xml:space="preserve"> </v>
      </c>
      <c r="DO232" s="373" t="str">
        <f t="shared" si="554"/>
        <v xml:space="preserve"> </v>
      </c>
      <c r="DP232" s="375" t="str">
        <f t="shared" si="555"/>
        <v xml:space="preserve"> </v>
      </c>
      <c r="DQ232" t="str">
        <f t="shared" si="588"/>
        <v xml:space="preserve"> </v>
      </c>
      <c r="HD232" t="str">
        <f t="shared" si="589"/>
        <v xml:space="preserve"> </v>
      </c>
      <c r="HE232" t="str">
        <f t="shared" si="590"/>
        <v xml:space="preserve"> </v>
      </c>
      <c r="HF232" t="str">
        <f t="shared" si="591"/>
        <v xml:space="preserve"> </v>
      </c>
    </row>
    <row r="233" spans="1:214">
      <c r="A233" s="415" t="str">
        <f>IF(A232="N/A","N/A",IF(EDATE(A232,1)&gt;Inputs!$K$3,"N/A",EDATE(A232,1)))</f>
        <v>N/A</v>
      </c>
      <c r="B233" s="410" t="str">
        <f t="shared" si="556"/>
        <v xml:space="preserve"> </v>
      </c>
      <c r="C233" s="411" t="str">
        <f t="shared" si="557"/>
        <v xml:space="preserve"> </v>
      </c>
      <c r="D233" s="412" t="str">
        <f t="shared" si="558"/>
        <v xml:space="preserve"> </v>
      </c>
      <c r="E233" s="413" t="str">
        <f>IF($A233="N/A"," ",(C233-'Pricing Inputs'!T266)*D233)</f>
        <v xml:space="preserve"> </v>
      </c>
      <c r="F233" s="414" t="str">
        <f t="shared" si="607"/>
        <v xml:space="preserve"> </v>
      </c>
      <c r="G233" s="414" t="str">
        <f t="shared" si="559"/>
        <v xml:space="preserve"> </v>
      </c>
      <c r="H233" s="416" t="str">
        <f t="shared" si="560"/>
        <v xml:space="preserve"> </v>
      </c>
      <c r="I233" s="213" t="str">
        <f t="shared" si="501"/>
        <v xml:space="preserve"> </v>
      </c>
      <c r="J233" s="213" t="str">
        <f t="shared" si="502"/>
        <v xml:space="preserve"> </v>
      </c>
      <c r="K233" s="213" t="str">
        <f t="shared" si="503"/>
        <v xml:space="preserve"> </v>
      </c>
      <c r="L233" s="213" t="str">
        <f t="shared" si="504"/>
        <v xml:space="preserve"> </v>
      </c>
      <c r="M233" s="213" t="str">
        <f t="shared" si="505"/>
        <v xml:space="preserve"> </v>
      </c>
      <c r="N233" s="213" t="str">
        <f t="shared" si="506"/>
        <v xml:space="preserve"> </v>
      </c>
      <c r="O233" s="213" t="str">
        <f t="shared" si="507"/>
        <v xml:space="preserve"> </v>
      </c>
      <c r="P233" s="213" t="str">
        <f t="shared" si="508"/>
        <v xml:space="preserve"> </v>
      </c>
      <c r="Q233" s="213" t="str">
        <f t="shared" si="509"/>
        <v xml:space="preserve"> </v>
      </c>
      <c r="R233" s="405" t="str">
        <f>IF($A233="N/A"," ",IF(Pricetype=2,MAX(I233-$H233,0),IF(Pricetype=1,(_xll.xSPRDOPT(I233,$E233,$CI233,0,($CD233+IF(Smile=TRUE,VLOOKUP(MAX(-5,$H233-I233),Volsmile,2),0)),$CG233,$CH233,($A233-DateToday)+15,1,0)),I233-$H233)))</f>
        <v xml:space="preserve"> </v>
      </c>
      <c r="S233" s="405" t="str">
        <f>IF($A233="N/A"," ",IF(Pricetype=2,MAX(J233-$H233,0),IF(Pricetype=1,(_xll.xSPRDOPT(J233,$E233,$CI233,0,($CD233+IF(Smile=TRUE,VLOOKUP(MAX(-5,$H233-J233),Volsmile,2),0)),$CG233,$CH233,($A233-DateToday)+15,1,0)),J233-$H233)))</f>
        <v xml:space="preserve"> </v>
      </c>
      <c r="T233" s="406" t="str">
        <f t="shared" si="510"/>
        <v xml:space="preserve"> </v>
      </c>
      <c r="U233" s="405" t="str">
        <f>IF($A233="N/A"," ",IF(Pricetype=2,MAX(L233-$H233,0),IF(L233&lt;&gt;0,IF(Pricetype=1,(_xll.xSPRDOPT(L233,$E233,$CI233,0,($CD233+IF(Smile=TRUE,VLOOKUP(MAX(-5,$H233-L233),Volsmile,2),0)),$CG233,$CH233,($A233-DateToday)+15,1,0)),L233-$H233),0)))</f>
        <v xml:space="preserve"> </v>
      </c>
      <c r="V233" s="405" t="str">
        <f>IF($A233="N/A"," ",IF(Pricetype=2,MAX(M233-$H233,0),IF(M233&lt;&gt;0,IF(Pricetype=1,(_xll.xSPRDOPT(M233,$E233,$CI233,0,($CD233+IF(Smile=TRUE,VLOOKUP(MAX(-5,$H233-M233),Volsmile,2),0)),$CG233,$CH233,($A233-DateToday)+15,1,0)),M233-$H233),0)))</f>
        <v xml:space="preserve"> </v>
      </c>
      <c r="W233" s="406" t="str">
        <f t="shared" si="511"/>
        <v xml:space="preserve"> </v>
      </c>
      <c r="X233" s="405" t="str">
        <f>IF($A233="N/A"," ",IF(Pricetype=2,MAX(O233-$H233,0),IF(O233&lt;&gt;0,IF(Pricetype=1,(_xll.xSPRDOPT(O233,$E233,$CI233,0,($CD233+IF(Smile=TRUE,VLOOKUP(MAX(-5,$H233-O233),Volsmile,2),0)),$CG233,$CH233,($A233-DateToday)+15,1,0)),O233-$H233),0)))</f>
        <v xml:space="preserve"> </v>
      </c>
      <c r="Y233" s="405" t="str">
        <f>IF($A233="N/A"," ",IF(Pricetype=2,MAX(P233-$H233,0),IF(P233&lt;&gt;0,IF(Pricetype=1,(_xll.xSPRDOPT(P233,$E233,$CI233,0,($CD233+IF(Smile=TRUE,VLOOKUP(MAX(-5,$H233-P233),Volsmile,2),0)),$CG233,$CH233,($A233-DateToday)+15,1,0)),P233-$H233),0)))</f>
        <v xml:space="preserve"> </v>
      </c>
      <c r="Z233" s="406" t="str">
        <f t="shared" si="512"/>
        <v xml:space="preserve"> </v>
      </c>
      <c r="AA233" s="254" t="str">
        <f>IF($A233="N/A"," ",IF(VLOOKUP(MONTH(A233),ManualTable,2)=1,(IF(0&lt;&gt;R233,IF(Pricetype=1,(_xll.xSPRDOPT(I233,$E233,$CI233,0,($CD233+IF(Smile=TRUE,VLOOKUP(MAX(-5,$H233-I233),Volsmile,2),0)),$CG233,$CH233,($A233-DateToday)+15,1,1))*(8*$HD233),8*$HD233),0)),0))</f>
        <v xml:space="preserve"> </v>
      </c>
      <c r="AB233" s="254" t="str">
        <f>IF($A233="N/A"," ",IF(VLOOKUP(MONTH(A233),ManualTable,3)=1,(IF(S233&lt;&gt;0,IF(Pricetype=1,(_xll.xSPRDOPT(J233,$E233,$CI233,0,($CD233+IF(Smile=TRUE,VLOOKUP(MAX(-5,$H233-J233),Volsmile,2),0)),$CG233,$CH233,($A233-DateToday)+15,1,1))*(8*$HD233),8*$HD233),0)),0))</f>
        <v xml:space="preserve"> </v>
      </c>
      <c r="AC233" s="254" t="str">
        <f t="shared" si="561"/>
        <v xml:space="preserve"> </v>
      </c>
      <c r="AD233" s="254" t="str">
        <f>IF($A233="N/A"," ",IF(VLOOKUP(MONTH(A233),ManualTable,5)=1,(IF(U233&lt;&gt;0,IF(Pricetype=1,(_xll.xSPRDOPT(L233,$E233,$CI233,0,($CD233+IF(Smile=TRUE,VLOOKUP(MAX(-5,$H233-L233),Volsmile,2),0)),$CG233,$CH233,($A233-DateToday)+15,1,1))*(8*$HE233),8*$HE233),0)),0))</f>
        <v xml:space="preserve"> </v>
      </c>
      <c r="AE233" s="254" t="str">
        <f>IF($A233="N/A"," ",IF(VLOOKUP(MONTH(A233),ManualTable,6)=1,(IF(V233&lt;&gt;0,IF(Pricetype=1,(_xll.xSPRDOPT(M233,$E233,$CI233,0,($CD233+IF(Smile=TRUE,VLOOKUP(MAX(-5,$H233-M233),Volsmile,2),0)),$CG233,$CH233,($A233-DateToday)+15,1,1))*(8*$HE233),8*$HE233),0)),0))</f>
        <v xml:space="preserve"> </v>
      </c>
      <c r="AF233" s="254" t="str">
        <f t="shared" si="562"/>
        <v xml:space="preserve"> </v>
      </c>
      <c r="AG233" s="254" t="str">
        <f>IF($A233="N/A"," ",IF(VLOOKUP(MONTH(A233),ManualTable,8)=1,(IF(X233&lt;&gt;0,IF(Pricetype=1,(_xll.xSPRDOPT(O233,$E233,$CI233,0,($CD233+IF(Smile=TRUE,VLOOKUP(MAX(-5,$H233-O233),Volsmile,2),0)),$CG233,$CH233,($A233-DateToday)+15,1,1))*(8*$HF233),8*$HF233),0)),0))</f>
        <v xml:space="preserve"> </v>
      </c>
      <c r="AH233" s="254" t="str">
        <f>IF($A233="N/A"," ",IF(VLOOKUP(MONTH(A233),ManualTable,9)=1,(IF(Y233&lt;&gt;0,IF(Pricetype=1,(_xll.xSPRDOPT(P233,$E233,$CI233,0,($CD233+IF(Smile=TRUE,VLOOKUP(MAX(-5,$H233-P233),Volsmile,2),0)),$CG233,$CH233,($A233-DateToday)+15,1,1))*(8*$HF233),8*$HF233),0)),0))</f>
        <v xml:space="preserve"> </v>
      </c>
      <c r="AI233" s="254" t="str">
        <f t="shared" si="563"/>
        <v xml:space="preserve"> </v>
      </c>
      <c r="AJ233" s="227" t="str">
        <f t="shared" ref="AJ233:AJ243" si="638">IF($A233="N/A"," ",RANK(R233,$R$232:$Z$243))</f>
        <v xml:space="preserve"> </v>
      </c>
      <c r="AK233" s="228" t="str">
        <f t="shared" ref="AK233:AL243" si="639">IF($A233="N/A"," ",RANK(S233,$R$232:$Z$243))</f>
        <v xml:space="preserve"> </v>
      </c>
      <c r="AL233" s="228" t="str">
        <f t="shared" si="639"/>
        <v xml:space="preserve"> </v>
      </c>
      <c r="AM233" s="228" t="str">
        <f t="shared" ref="AM233:AM243" si="640">IF($A233="N/A"," ",RANK(U233,$R$232:$Z$243))</f>
        <v xml:space="preserve"> </v>
      </c>
      <c r="AN233" s="228" t="str">
        <f t="shared" ref="AN233:AO243" si="641">IF($A233="N/A"," ",RANK(V233,$R$232:$Z$243))</f>
        <v xml:space="preserve"> </v>
      </c>
      <c r="AO233" s="228" t="str">
        <f t="shared" si="641"/>
        <v xml:space="preserve"> </v>
      </c>
      <c r="AP233" s="228" t="str">
        <f t="shared" ref="AP233:AP243" si="642">IF($A233="N/A"," ",RANK(X233,$R$232:$Z$243))</f>
        <v xml:space="preserve"> </v>
      </c>
      <c r="AQ233" s="228" t="str">
        <f t="shared" ref="AQ233:AQ243" si="643">IF($A233="N/A"," ",RANK(Y233,$R$232:$Z$243))</f>
        <v xml:space="preserve"> </v>
      </c>
      <c r="AR233" s="229" t="str">
        <f t="shared" ref="AR233:AR243" si="644">IF($A233="N/A"," ",RANK(Z233,$R$232:$Z$243))</f>
        <v xml:space="preserve"> </v>
      </c>
      <c r="AS233" s="262" t="str">
        <f t="shared" si="593"/>
        <v xml:space="preserve"> </v>
      </c>
      <c r="AT233" s="263" t="str">
        <f t="shared" si="594"/>
        <v xml:space="preserve"> </v>
      </c>
      <c r="AU233" s="263" t="str">
        <f t="shared" si="594"/>
        <v xml:space="preserve"> </v>
      </c>
      <c r="AV233" s="263" t="str">
        <f t="shared" si="595"/>
        <v xml:space="preserve"> </v>
      </c>
      <c r="AW233" s="263" t="str">
        <f t="shared" si="596"/>
        <v xml:space="preserve"> </v>
      </c>
      <c r="AX233" s="263" t="str">
        <f t="shared" si="596"/>
        <v xml:space="preserve"> </v>
      </c>
      <c r="AY233" s="263" t="str">
        <f t="shared" si="597"/>
        <v xml:space="preserve"> </v>
      </c>
      <c r="AZ233" s="263" t="str">
        <f t="shared" si="598"/>
        <v xml:space="preserve"> </v>
      </c>
      <c r="BA233" s="263" t="str">
        <f t="shared" si="599"/>
        <v xml:space="preserve"> </v>
      </c>
      <c r="BB233" s="229"/>
      <c r="BC233" s="266" t="str">
        <f t="shared" si="631"/>
        <v xml:space="preserve"> </v>
      </c>
      <c r="BD233" s="269" t="str">
        <f t="shared" si="632"/>
        <v xml:space="preserve"> </v>
      </c>
      <c r="BE233" s="269" t="str">
        <f t="shared" si="632"/>
        <v xml:space="preserve"> </v>
      </c>
      <c r="BF233" s="269" t="str">
        <f t="shared" si="633"/>
        <v xml:space="preserve"> </v>
      </c>
      <c r="BG233" s="269" t="str">
        <f t="shared" si="634"/>
        <v xml:space="preserve"> </v>
      </c>
      <c r="BH233" s="269" t="str">
        <f t="shared" si="634"/>
        <v xml:space="preserve"> </v>
      </c>
      <c r="BI233" s="269" t="str">
        <f t="shared" si="635"/>
        <v xml:space="preserve"> </v>
      </c>
      <c r="BJ233" s="269" t="str">
        <f t="shared" si="636"/>
        <v xml:space="preserve"> </v>
      </c>
      <c r="BK233" s="269" t="str">
        <f t="shared" si="637"/>
        <v xml:space="preserve"> </v>
      </c>
      <c r="BL233" s="229"/>
      <c r="BM233" s="220" t="str">
        <f>IF($A233="N/A"," ",(IF(MONTH(A233)&gt;=4,IF(MONTH(A233)&lt;=10,Inputs!$F$13-Inputs!$G$13,Inputs!$F$14-Inputs!$G$14),Inputs!$F$14-Inputs!$G$14))*$CK233*Availability)</f>
        <v xml:space="preserve"> </v>
      </c>
      <c r="BN233" s="221" t="str">
        <f t="shared" si="571"/>
        <v xml:space="preserve"> </v>
      </c>
      <c r="BO233" s="221" t="str">
        <f t="shared" si="572"/>
        <v xml:space="preserve"> </v>
      </c>
      <c r="BP233" s="221" t="str">
        <f t="shared" si="573"/>
        <v xml:space="preserve"> </v>
      </c>
      <c r="BQ233" s="221" t="str">
        <f t="shared" si="574"/>
        <v xml:space="preserve"> </v>
      </c>
      <c r="BR233" s="221" t="str">
        <f t="shared" si="575"/>
        <v xml:space="preserve"> </v>
      </c>
      <c r="BS233" s="221" t="str">
        <f t="shared" si="576"/>
        <v xml:space="preserve"> </v>
      </c>
      <c r="BT233" s="221" t="str">
        <f t="shared" si="577"/>
        <v xml:space="preserve"> </v>
      </c>
      <c r="BU233" s="221" t="str">
        <f t="shared" si="578"/>
        <v xml:space="preserve"> </v>
      </c>
      <c r="BV233" s="221" t="str">
        <f t="shared" si="579"/>
        <v xml:space="preserve"> </v>
      </c>
      <c r="BW233" s="221" t="str">
        <f t="shared" si="580"/>
        <v xml:space="preserve"> </v>
      </c>
      <c r="BX233" s="421" t="str">
        <f t="shared" si="581"/>
        <v xml:space="preserve"> </v>
      </c>
      <c r="BY233" s="417" t="str">
        <f t="shared" si="582"/>
        <v xml:space="preserve"> </v>
      </c>
      <c r="BZ233" s="417" t="str">
        <f t="shared" si="583"/>
        <v xml:space="preserve"> </v>
      </c>
      <c r="CA233" s="422" t="str">
        <f t="shared" si="584"/>
        <v xml:space="preserve"> </v>
      </c>
      <c r="CB233" s="347" t="str">
        <f t="shared" si="521"/>
        <v xml:space="preserve"> </v>
      </c>
      <c r="CC233" s="347" t="str">
        <f t="shared" si="585"/>
        <v xml:space="preserve"> </v>
      </c>
      <c r="CD233" s="348" t="str">
        <f t="shared" si="522"/>
        <v xml:space="preserve"> </v>
      </c>
      <c r="CE233" s="347" t="str">
        <f t="shared" si="523"/>
        <v xml:space="preserve"> </v>
      </c>
      <c r="CF233" s="347" t="str">
        <f t="shared" si="524"/>
        <v xml:space="preserve"> </v>
      </c>
      <c r="CG233" s="348" t="str">
        <f t="shared" si="525"/>
        <v xml:space="preserve"> </v>
      </c>
      <c r="CH233" s="347" t="str">
        <f t="shared" si="586"/>
        <v xml:space="preserve"> </v>
      </c>
      <c r="CI233" s="349" t="str">
        <f>IF($A233="N/A"," ",F233+G233+(D233*('Pricing Inputs'!T266)))</f>
        <v xml:space="preserve"> </v>
      </c>
      <c r="CJ233" s="347" t="str">
        <f>IF($A233="N/A"," ",IF(PV=1,0,'Pricing Inputs'!U266))</f>
        <v xml:space="preserve"> </v>
      </c>
      <c r="CK233" s="350" t="str">
        <f t="shared" si="526"/>
        <v xml:space="preserve"> </v>
      </c>
      <c r="CL233" s="365" t="str">
        <f t="shared" si="527"/>
        <v xml:space="preserve"> </v>
      </c>
      <c r="CM233" s="380" t="str">
        <f t="shared" si="587"/>
        <v xml:space="preserve"> </v>
      </c>
      <c r="CN233" s="378" t="str">
        <f t="shared" si="528"/>
        <v xml:space="preserve"> </v>
      </c>
      <c r="CO233" s="378" t="str">
        <f t="shared" si="529"/>
        <v xml:space="preserve"> </v>
      </c>
      <c r="CP233" s="378" t="str">
        <f t="shared" si="530"/>
        <v xml:space="preserve"> </v>
      </c>
      <c r="CQ233" s="378" t="str">
        <f t="shared" si="531"/>
        <v xml:space="preserve"> </v>
      </c>
      <c r="CR233" s="378" t="str">
        <f t="shared" si="532"/>
        <v xml:space="preserve"> </v>
      </c>
      <c r="CS233" s="378" t="str">
        <f t="shared" si="533"/>
        <v xml:space="preserve"> </v>
      </c>
      <c r="CT233" s="378" t="str">
        <f t="shared" si="534"/>
        <v xml:space="preserve"> </v>
      </c>
      <c r="CU233" s="378" t="str">
        <f t="shared" si="535"/>
        <v xml:space="preserve"> </v>
      </c>
      <c r="CV233" s="378" t="str">
        <f t="shared" si="536"/>
        <v xml:space="preserve"> </v>
      </c>
      <c r="CW233" s="254" t="str">
        <f t="shared" si="537"/>
        <v xml:space="preserve"> </v>
      </c>
      <c r="CX233" s="254" t="str">
        <f t="shared" si="538"/>
        <v xml:space="preserve"> </v>
      </c>
      <c r="CY233" s="254" t="str">
        <f t="shared" si="539"/>
        <v xml:space="preserve"> </v>
      </c>
      <c r="CZ233" s="254" t="str">
        <f t="shared" si="540"/>
        <v xml:space="preserve"> </v>
      </c>
      <c r="DA233" s="254" t="str">
        <f t="shared" si="541"/>
        <v xml:space="preserve"> </v>
      </c>
      <c r="DB233" s="254" t="str">
        <f t="shared" si="542"/>
        <v xml:space="preserve"> </v>
      </c>
      <c r="DC233" s="254" t="str">
        <f t="shared" si="543"/>
        <v xml:space="preserve"> </v>
      </c>
      <c r="DD233" s="254" t="str">
        <f t="shared" si="544"/>
        <v xml:space="preserve"> </v>
      </c>
      <c r="DE233" s="254" t="str">
        <f t="shared" si="545"/>
        <v xml:space="preserve"> </v>
      </c>
      <c r="DF233" s="374" t="str">
        <f>IF($A233="N/A"," ",IF(CC=2,(IF(MONTH(A233)&gt;=4,IF(MONTH(A233)&lt;=10,Inputs!$G$13,Inputs!$G$14),Inputs!$G$14))*$CK233,0))</f>
        <v xml:space="preserve"> </v>
      </c>
      <c r="DG233" s="373" t="str">
        <f t="shared" si="546"/>
        <v xml:space="preserve"> </v>
      </c>
      <c r="DH233" s="373" t="str">
        <f t="shared" si="547"/>
        <v xml:space="preserve"> </v>
      </c>
      <c r="DI233" s="373" t="str">
        <f t="shared" si="548"/>
        <v xml:space="preserve"> </v>
      </c>
      <c r="DJ233" s="373" t="str">
        <f t="shared" si="549"/>
        <v xml:space="preserve"> </v>
      </c>
      <c r="DK233" s="373" t="str">
        <f t="shared" si="550"/>
        <v xml:space="preserve"> </v>
      </c>
      <c r="DL233" s="373" t="str">
        <f t="shared" si="551"/>
        <v xml:space="preserve"> </v>
      </c>
      <c r="DM233" s="373" t="str">
        <f t="shared" si="552"/>
        <v xml:space="preserve"> </v>
      </c>
      <c r="DN233" s="373" t="str">
        <f t="shared" si="553"/>
        <v xml:space="preserve"> </v>
      </c>
      <c r="DO233" s="373" t="str">
        <f t="shared" si="554"/>
        <v xml:space="preserve"> </v>
      </c>
      <c r="DP233" s="375" t="str">
        <f t="shared" si="555"/>
        <v xml:space="preserve"> </v>
      </c>
      <c r="DQ233" t="str">
        <f t="shared" si="588"/>
        <v xml:space="preserve"> </v>
      </c>
      <c r="HD233" t="str">
        <f t="shared" si="589"/>
        <v xml:space="preserve"> </v>
      </c>
      <c r="HE233" t="str">
        <f t="shared" si="590"/>
        <v xml:space="preserve"> </v>
      </c>
      <c r="HF233" t="str">
        <f t="shared" si="591"/>
        <v xml:space="preserve"> </v>
      </c>
    </row>
    <row r="234" spans="1:214">
      <c r="A234" s="415" t="str">
        <f>IF(A233="N/A","N/A",IF(EDATE(A233,1)&gt;Inputs!$K$3,"N/A",EDATE(A233,1)))</f>
        <v>N/A</v>
      </c>
      <c r="B234" s="410" t="str">
        <f t="shared" si="556"/>
        <v xml:space="preserve"> </v>
      </c>
      <c r="C234" s="411" t="str">
        <f t="shared" si="557"/>
        <v xml:space="preserve"> </v>
      </c>
      <c r="D234" s="412" t="str">
        <f t="shared" si="558"/>
        <v xml:space="preserve"> </v>
      </c>
      <c r="E234" s="413" t="str">
        <f>IF($A234="N/A"," ",(C234-'Pricing Inputs'!T267)*D234)</f>
        <v xml:space="preserve"> </v>
      </c>
      <c r="F234" s="414" t="str">
        <f t="shared" si="607"/>
        <v xml:space="preserve"> </v>
      </c>
      <c r="G234" s="414" t="str">
        <f t="shared" si="559"/>
        <v xml:space="preserve"> </v>
      </c>
      <c r="H234" s="416" t="str">
        <f t="shared" si="560"/>
        <v xml:space="preserve"> </v>
      </c>
      <c r="I234" s="213" t="str">
        <f t="shared" si="501"/>
        <v xml:space="preserve"> </v>
      </c>
      <c r="J234" s="213" t="str">
        <f t="shared" si="502"/>
        <v xml:space="preserve"> </v>
      </c>
      <c r="K234" s="213" t="str">
        <f t="shared" si="503"/>
        <v xml:space="preserve"> </v>
      </c>
      <c r="L234" s="213" t="str">
        <f t="shared" si="504"/>
        <v xml:space="preserve"> </v>
      </c>
      <c r="M234" s="213" t="str">
        <f t="shared" si="505"/>
        <v xml:space="preserve"> </v>
      </c>
      <c r="N234" s="213" t="str">
        <f t="shared" si="506"/>
        <v xml:space="preserve"> </v>
      </c>
      <c r="O234" s="213" t="str">
        <f t="shared" si="507"/>
        <v xml:space="preserve"> </v>
      </c>
      <c r="P234" s="213" t="str">
        <f t="shared" si="508"/>
        <v xml:space="preserve"> </v>
      </c>
      <c r="Q234" s="213" t="str">
        <f t="shared" si="509"/>
        <v xml:space="preserve"> </v>
      </c>
      <c r="R234" s="405" t="str">
        <f>IF($A234="N/A"," ",IF(Pricetype=2,MAX(I234-$H234,0),IF(Pricetype=1,(_xll.xSPRDOPT(I234,$E234,$CI234,0,($CD234+IF(Smile=TRUE,VLOOKUP(MAX(-5,$H234-I234),Volsmile,2),0)),$CG234,$CH234,($A234-DateToday)+15,1,0)),I234-$H234)))</f>
        <v xml:space="preserve"> </v>
      </c>
      <c r="S234" s="405" t="str">
        <f>IF($A234="N/A"," ",IF(Pricetype=2,MAX(J234-$H234,0),IF(Pricetype=1,(_xll.xSPRDOPT(J234,$E234,$CI234,0,($CD234+IF(Smile=TRUE,VLOOKUP(MAX(-5,$H234-J234),Volsmile,2),0)),$CG234,$CH234,($A234-DateToday)+15,1,0)),J234-$H234)))</f>
        <v xml:space="preserve"> </v>
      </c>
      <c r="T234" s="406" t="str">
        <f t="shared" si="510"/>
        <v xml:space="preserve"> </v>
      </c>
      <c r="U234" s="405" t="str">
        <f>IF($A234="N/A"," ",IF(Pricetype=2,MAX(L234-$H234,0),IF(L234&lt;&gt;0,IF(Pricetype=1,(_xll.xSPRDOPT(L234,$E234,$CI234,0,($CD234+IF(Smile=TRUE,VLOOKUP(MAX(-5,$H234-L234),Volsmile,2),0)),$CG234,$CH234,($A234-DateToday)+15,1,0)),L234-$H234),0)))</f>
        <v xml:space="preserve"> </v>
      </c>
      <c r="V234" s="405" t="str">
        <f>IF($A234="N/A"," ",IF(Pricetype=2,MAX(M234-$H234,0),IF(M234&lt;&gt;0,IF(Pricetype=1,(_xll.xSPRDOPT(M234,$E234,$CI234,0,($CD234+IF(Smile=TRUE,VLOOKUP(MAX(-5,$H234-M234),Volsmile,2),0)),$CG234,$CH234,($A234-DateToday)+15,1,0)),M234-$H234),0)))</f>
        <v xml:space="preserve"> </v>
      </c>
      <c r="W234" s="406" t="str">
        <f t="shared" si="511"/>
        <v xml:space="preserve"> </v>
      </c>
      <c r="X234" s="405" t="str">
        <f>IF($A234="N/A"," ",IF(Pricetype=2,MAX(O234-$H234,0),IF(O234&lt;&gt;0,IF(Pricetype=1,(_xll.xSPRDOPT(O234,$E234,$CI234,0,($CD234+IF(Smile=TRUE,VLOOKUP(MAX(-5,$H234-O234),Volsmile,2),0)),$CG234,$CH234,($A234-DateToday)+15,1,0)),O234-$H234),0)))</f>
        <v xml:space="preserve"> </v>
      </c>
      <c r="Y234" s="405" t="str">
        <f>IF($A234="N/A"," ",IF(Pricetype=2,MAX(P234-$H234,0),IF(P234&lt;&gt;0,IF(Pricetype=1,(_xll.xSPRDOPT(P234,$E234,$CI234,0,($CD234+IF(Smile=TRUE,VLOOKUP(MAX(-5,$H234-P234),Volsmile,2),0)),$CG234,$CH234,($A234-DateToday)+15,1,0)),P234-$H234),0)))</f>
        <v xml:space="preserve"> </v>
      </c>
      <c r="Z234" s="406" t="str">
        <f t="shared" si="512"/>
        <v xml:space="preserve"> </v>
      </c>
      <c r="AA234" s="254" t="str">
        <f>IF($A234="N/A"," ",IF(VLOOKUP(MONTH(A234),ManualTable,2)=1,(IF(0&lt;&gt;R234,IF(Pricetype=1,(_xll.xSPRDOPT(I234,$E234,$CI234,0,($CD234+IF(Smile=TRUE,VLOOKUP(MAX(-5,$H234-I234),Volsmile,2),0)),$CG234,$CH234,($A234-DateToday)+15,1,1))*(8*$HD234),8*$HD234),0)),0))</f>
        <v xml:space="preserve"> </v>
      </c>
      <c r="AB234" s="254" t="str">
        <f>IF($A234="N/A"," ",IF(VLOOKUP(MONTH(A234),ManualTable,3)=1,(IF(S234&lt;&gt;0,IF(Pricetype=1,(_xll.xSPRDOPT(J234,$E234,$CI234,0,($CD234+IF(Smile=TRUE,VLOOKUP(MAX(-5,$H234-J234),Volsmile,2),0)),$CG234,$CH234,($A234-DateToday)+15,1,1))*(8*$HD234),8*$HD234),0)),0))</f>
        <v xml:space="preserve"> </v>
      </c>
      <c r="AC234" s="254" t="str">
        <f t="shared" si="561"/>
        <v xml:space="preserve"> </v>
      </c>
      <c r="AD234" s="254" t="str">
        <f>IF($A234="N/A"," ",IF(VLOOKUP(MONTH(A234),ManualTable,5)=1,(IF(U234&lt;&gt;0,IF(Pricetype=1,(_xll.xSPRDOPT(L234,$E234,$CI234,0,($CD234+IF(Smile=TRUE,VLOOKUP(MAX(-5,$H234-L234),Volsmile,2),0)),$CG234,$CH234,($A234-DateToday)+15,1,1))*(8*$HE234),8*$HE234),0)),0))</f>
        <v xml:space="preserve"> </v>
      </c>
      <c r="AE234" s="254" t="str">
        <f>IF($A234="N/A"," ",IF(VLOOKUP(MONTH(A234),ManualTable,6)=1,(IF(V234&lt;&gt;0,IF(Pricetype=1,(_xll.xSPRDOPT(M234,$E234,$CI234,0,($CD234+IF(Smile=TRUE,VLOOKUP(MAX(-5,$H234-M234),Volsmile,2),0)),$CG234,$CH234,($A234-DateToday)+15,1,1))*(8*$HE234),8*$HE234),0)),0))</f>
        <v xml:space="preserve"> </v>
      </c>
      <c r="AF234" s="254" t="str">
        <f t="shared" si="562"/>
        <v xml:space="preserve"> </v>
      </c>
      <c r="AG234" s="254" t="str">
        <f>IF($A234="N/A"," ",IF(VLOOKUP(MONTH(A234),ManualTable,8)=1,(IF(X234&lt;&gt;0,IF(Pricetype=1,(_xll.xSPRDOPT(O234,$E234,$CI234,0,($CD234+IF(Smile=TRUE,VLOOKUP(MAX(-5,$H234-O234),Volsmile,2),0)),$CG234,$CH234,($A234-DateToday)+15,1,1))*(8*$HF234),8*$HF234),0)),0))</f>
        <v xml:space="preserve"> </v>
      </c>
      <c r="AH234" s="254" t="str">
        <f>IF($A234="N/A"," ",IF(VLOOKUP(MONTH(A234),ManualTable,9)=1,(IF(Y234&lt;&gt;0,IF(Pricetype=1,(_xll.xSPRDOPT(P234,$E234,$CI234,0,($CD234+IF(Smile=TRUE,VLOOKUP(MAX(-5,$H234-P234),Volsmile,2),0)),$CG234,$CH234,($A234-DateToday)+15,1,1))*(8*$HF234),8*$HF234),0)),0))</f>
        <v xml:space="preserve"> </v>
      </c>
      <c r="AI234" s="254" t="str">
        <f t="shared" si="563"/>
        <v xml:space="preserve"> </v>
      </c>
      <c r="AJ234" s="227" t="str">
        <f t="shared" si="638"/>
        <v xml:space="preserve"> </v>
      </c>
      <c r="AK234" s="228" t="str">
        <f t="shared" si="639"/>
        <v xml:space="preserve"> </v>
      </c>
      <c r="AL234" s="228" t="str">
        <f t="shared" si="639"/>
        <v xml:space="preserve"> </v>
      </c>
      <c r="AM234" s="228" t="str">
        <f t="shared" si="640"/>
        <v xml:space="preserve"> </v>
      </c>
      <c r="AN234" s="228" t="str">
        <f t="shared" si="641"/>
        <v xml:space="preserve"> </v>
      </c>
      <c r="AO234" s="228" t="str">
        <f t="shared" si="641"/>
        <v xml:space="preserve"> </v>
      </c>
      <c r="AP234" s="228" t="str">
        <f t="shared" si="642"/>
        <v xml:space="preserve"> </v>
      </c>
      <c r="AQ234" s="228" t="str">
        <f t="shared" si="643"/>
        <v xml:space="preserve"> </v>
      </c>
      <c r="AR234" s="229" t="str">
        <f t="shared" si="644"/>
        <v xml:space="preserve"> </v>
      </c>
      <c r="AS234" s="262" t="str">
        <f t="shared" si="593"/>
        <v xml:space="preserve"> </v>
      </c>
      <c r="AT234" s="263" t="str">
        <f t="shared" si="594"/>
        <v xml:space="preserve"> </v>
      </c>
      <c r="AU234" s="263" t="str">
        <f t="shared" si="594"/>
        <v xml:space="preserve"> </v>
      </c>
      <c r="AV234" s="263" t="str">
        <f t="shared" si="595"/>
        <v xml:space="preserve"> </v>
      </c>
      <c r="AW234" s="263" t="str">
        <f t="shared" si="596"/>
        <v xml:space="preserve"> </v>
      </c>
      <c r="AX234" s="263" t="str">
        <f t="shared" si="596"/>
        <v xml:space="preserve"> </v>
      </c>
      <c r="AY234" s="263" t="str">
        <f t="shared" si="597"/>
        <v xml:space="preserve"> </v>
      </c>
      <c r="AZ234" s="263" t="str">
        <f t="shared" si="598"/>
        <v xml:space="preserve"> </v>
      </c>
      <c r="BA234" s="263" t="str">
        <f t="shared" si="599"/>
        <v xml:space="preserve"> </v>
      </c>
      <c r="BB234" s="229"/>
      <c r="BC234" s="266" t="str">
        <f t="shared" si="631"/>
        <v xml:space="preserve"> </v>
      </c>
      <c r="BD234" s="269" t="str">
        <f t="shared" si="632"/>
        <v xml:space="preserve"> </v>
      </c>
      <c r="BE234" s="269" t="str">
        <f t="shared" si="632"/>
        <v xml:space="preserve"> </v>
      </c>
      <c r="BF234" s="269" t="str">
        <f t="shared" si="633"/>
        <v xml:space="preserve"> </v>
      </c>
      <c r="BG234" s="269" t="str">
        <f t="shared" si="634"/>
        <v xml:space="preserve"> </v>
      </c>
      <c r="BH234" s="269" t="str">
        <f t="shared" si="634"/>
        <v xml:space="preserve"> </v>
      </c>
      <c r="BI234" s="269" t="str">
        <f t="shared" si="635"/>
        <v xml:space="preserve"> </v>
      </c>
      <c r="BJ234" s="269" t="str">
        <f t="shared" si="636"/>
        <v xml:space="preserve"> </v>
      </c>
      <c r="BK234" s="269" t="str">
        <f t="shared" si="637"/>
        <v xml:space="preserve"> </v>
      </c>
      <c r="BL234" s="229"/>
      <c r="BM234" s="220" t="str">
        <f>IF($A234="N/A"," ",(IF(MONTH(A234)&gt;=4,IF(MONTH(A234)&lt;=10,Inputs!$F$13-Inputs!$G$13,Inputs!$F$14-Inputs!$G$14),Inputs!$F$14-Inputs!$G$14))*$CK234*Availability)</f>
        <v xml:space="preserve"> </v>
      </c>
      <c r="BN234" s="221" t="str">
        <f t="shared" si="571"/>
        <v xml:space="preserve"> </v>
      </c>
      <c r="BO234" s="221" t="str">
        <f t="shared" si="572"/>
        <v xml:space="preserve"> </v>
      </c>
      <c r="BP234" s="221" t="str">
        <f t="shared" si="573"/>
        <v xml:space="preserve"> </v>
      </c>
      <c r="BQ234" s="221" t="str">
        <f t="shared" si="574"/>
        <v xml:space="preserve"> </v>
      </c>
      <c r="BR234" s="221" t="str">
        <f t="shared" si="575"/>
        <v xml:space="preserve"> </v>
      </c>
      <c r="BS234" s="221" t="str">
        <f t="shared" si="576"/>
        <v xml:space="preserve"> </v>
      </c>
      <c r="BT234" s="221" t="str">
        <f t="shared" si="577"/>
        <v xml:space="preserve"> </v>
      </c>
      <c r="BU234" s="221" t="str">
        <f t="shared" si="578"/>
        <v xml:space="preserve"> </v>
      </c>
      <c r="BV234" s="221" t="str">
        <f t="shared" si="579"/>
        <v xml:space="preserve"> </v>
      </c>
      <c r="BW234" s="221" t="str">
        <f t="shared" si="580"/>
        <v xml:space="preserve"> </v>
      </c>
      <c r="BX234" s="421" t="str">
        <f t="shared" si="581"/>
        <v xml:space="preserve"> </v>
      </c>
      <c r="BY234" s="417" t="str">
        <f t="shared" si="582"/>
        <v xml:space="preserve"> </v>
      </c>
      <c r="BZ234" s="417" t="str">
        <f t="shared" si="583"/>
        <v xml:space="preserve"> </v>
      </c>
      <c r="CA234" s="422" t="str">
        <f t="shared" si="584"/>
        <v xml:space="preserve"> </v>
      </c>
      <c r="CB234" s="347" t="str">
        <f t="shared" si="521"/>
        <v xml:space="preserve"> </v>
      </c>
      <c r="CC234" s="347" t="str">
        <f t="shared" si="585"/>
        <v xml:space="preserve"> </v>
      </c>
      <c r="CD234" s="348" t="str">
        <f t="shared" si="522"/>
        <v xml:space="preserve"> </v>
      </c>
      <c r="CE234" s="347" t="str">
        <f t="shared" si="523"/>
        <v xml:space="preserve"> </v>
      </c>
      <c r="CF234" s="347" t="str">
        <f t="shared" si="524"/>
        <v xml:space="preserve"> </v>
      </c>
      <c r="CG234" s="348" t="str">
        <f t="shared" si="525"/>
        <v xml:space="preserve"> </v>
      </c>
      <c r="CH234" s="347" t="str">
        <f t="shared" si="586"/>
        <v xml:space="preserve"> </v>
      </c>
      <c r="CI234" s="349" t="str">
        <f>IF($A234="N/A"," ",F234+G234+(D234*('Pricing Inputs'!T267)))</f>
        <v xml:space="preserve"> </v>
      </c>
      <c r="CJ234" s="347" t="str">
        <f>IF($A234="N/A"," ",IF(PV=1,0,'Pricing Inputs'!U267))</f>
        <v xml:space="preserve"> </v>
      </c>
      <c r="CK234" s="350" t="str">
        <f t="shared" si="526"/>
        <v xml:space="preserve"> </v>
      </c>
      <c r="CL234" s="365" t="str">
        <f t="shared" si="527"/>
        <v xml:space="preserve"> </v>
      </c>
      <c r="CM234" s="380" t="str">
        <f t="shared" si="587"/>
        <v xml:space="preserve"> </v>
      </c>
      <c r="CN234" s="378" t="str">
        <f t="shared" si="528"/>
        <v xml:space="preserve"> </v>
      </c>
      <c r="CO234" s="378" t="str">
        <f t="shared" si="529"/>
        <v xml:space="preserve"> </v>
      </c>
      <c r="CP234" s="378" t="str">
        <f t="shared" si="530"/>
        <v xml:space="preserve"> </v>
      </c>
      <c r="CQ234" s="378" t="str">
        <f t="shared" si="531"/>
        <v xml:space="preserve"> </v>
      </c>
      <c r="CR234" s="378" t="str">
        <f t="shared" si="532"/>
        <v xml:space="preserve"> </v>
      </c>
      <c r="CS234" s="378" t="str">
        <f t="shared" si="533"/>
        <v xml:space="preserve"> </v>
      </c>
      <c r="CT234" s="378" t="str">
        <f t="shared" si="534"/>
        <v xml:space="preserve"> </v>
      </c>
      <c r="CU234" s="378" t="str">
        <f t="shared" si="535"/>
        <v xml:space="preserve"> </v>
      </c>
      <c r="CV234" s="378" t="str">
        <f t="shared" si="536"/>
        <v xml:space="preserve"> </v>
      </c>
      <c r="CW234" s="254" t="str">
        <f t="shared" si="537"/>
        <v xml:space="preserve"> </v>
      </c>
      <c r="CX234" s="254" t="str">
        <f t="shared" si="538"/>
        <v xml:space="preserve"> </v>
      </c>
      <c r="CY234" s="254" t="str">
        <f t="shared" si="539"/>
        <v xml:space="preserve"> </v>
      </c>
      <c r="CZ234" s="254" t="str">
        <f t="shared" si="540"/>
        <v xml:space="preserve"> </v>
      </c>
      <c r="DA234" s="254" t="str">
        <f t="shared" si="541"/>
        <v xml:space="preserve"> </v>
      </c>
      <c r="DB234" s="254" t="str">
        <f t="shared" si="542"/>
        <v xml:space="preserve"> </v>
      </c>
      <c r="DC234" s="254" t="str">
        <f t="shared" si="543"/>
        <v xml:space="preserve"> </v>
      </c>
      <c r="DD234" s="254" t="str">
        <f t="shared" si="544"/>
        <v xml:space="preserve"> </v>
      </c>
      <c r="DE234" s="254" t="str">
        <f t="shared" si="545"/>
        <v xml:space="preserve"> </v>
      </c>
      <c r="DF234" s="374" t="str">
        <f>IF($A234="N/A"," ",IF(CC=2,(IF(MONTH(A234)&gt;=4,IF(MONTH(A234)&lt;=10,Inputs!$G$13,Inputs!$G$14),Inputs!$G$14))*$CK234,0))</f>
        <v xml:space="preserve"> </v>
      </c>
      <c r="DG234" s="373" t="str">
        <f t="shared" si="546"/>
        <v xml:space="preserve"> </v>
      </c>
      <c r="DH234" s="373" t="str">
        <f t="shared" si="547"/>
        <v xml:space="preserve"> </v>
      </c>
      <c r="DI234" s="373" t="str">
        <f t="shared" si="548"/>
        <v xml:space="preserve"> </v>
      </c>
      <c r="DJ234" s="373" t="str">
        <f t="shared" si="549"/>
        <v xml:space="preserve"> </v>
      </c>
      <c r="DK234" s="373" t="str">
        <f t="shared" si="550"/>
        <v xml:space="preserve"> </v>
      </c>
      <c r="DL234" s="373" t="str">
        <f t="shared" si="551"/>
        <v xml:space="preserve"> </v>
      </c>
      <c r="DM234" s="373" t="str">
        <f t="shared" si="552"/>
        <v xml:space="preserve"> </v>
      </c>
      <c r="DN234" s="373" t="str">
        <f t="shared" si="553"/>
        <v xml:space="preserve"> </v>
      </c>
      <c r="DO234" s="373" t="str">
        <f t="shared" si="554"/>
        <v xml:space="preserve"> </v>
      </c>
      <c r="DP234" s="375" t="str">
        <f t="shared" si="555"/>
        <v xml:space="preserve"> </v>
      </c>
      <c r="DQ234" t="str">
        <f t="shared" si="588"/>
        <v xml:space="preserve"> </v>
      </c>
      <c r="HD234" t="str">
        <f t="shared" si="589"/>
        <v xml:space="preserve"> </v>
      </c>
      <c r="HE234" t="str">
        <f t="shared" si="590"/>
        <v xml:space="preserve"> </v>
      </c>
      <c r="HF234" t="str">
        <f t="shared" si="591"/>
        <v xml:space="preserve"> </v>
      </c>
    </row>
    <row r="235" spans="1:214">
      <c r="A235" s="415" t="str">
        <f>IF(A234="N/A","N/A",IF(EDATE(A234,1)&gt;Inputs!$K$3,"N/A",EDATE(A234,1)))</f>
        <v>N/A</v>
      </c>
      <c r="B235" s="410" t="str">
        <f t="shared" si="556"/>
        <v xml:space="preserve"> </v>
      </c>
      <c r="C235" s="411" t="str">
        <f t="shared" si="557"/>
        <v xml:space="preserve"> </v>
      </c>
      <c r="D235" s="412" t="str">
        <f t="shared" si="558"/>
        <v xml:space="preserve"> </v>
      </c>
      <c r="E235" s="413" t="str">
        <f>IF($A235="N/A"," ",(C235-'Pricing Inputs'!T268)*D235)</f>
        <v xml:space="preserve"> </v>
      </c>
      <c r="F235" s="414" t="str">
        <f t="shared" si="607"/>
        <v xml:space="preserve"> </v>
      </c>
      <c r="G235" s="414" t="str">
        <f t="shared" si="559"/>
        <v xml:space="preserve"> </v>
      </c>
      <c r="H235" s="416" t="str">
        <f t="shared" si="560"/>
        <v xml:space="preserve"> </v>
      </c>
      <c r="I235" s="213" t="str">
        <f t="shared" si="501"/>
        <v xml:space="preserve"> </v>
      </c>
      <c r="J235" s="213" t="str">
        <f t="shared" si="502"/>
        <v xml:space="preserve"> </v>
      </c>
      <c r="K235" s="213" t="str">
        <f t="shared" si="503"/>
        <v xml:space="preserve"> </v>
      </c>
      <c r="L235" s="213" t="str">
        <f t="shared" si="504"/>
        <v xml:space="preserve"> </v>
      </c>
      <c r="M235" s="213" t="str">
        <f t="shared" si="505"/>
        <v xml:space="preserve"> </v>
      </c>
      <c r="N235" s="213" t="str">
        <f t="shared" si="506"/>
        <v xml:space="preserve"> </v>
      </c>
      <c r="O235" s="213" t="str">
        <f t="shared" si="507"/>
        <v xml:space="preserve"> </v>
      </c>
      <c r="P235" s="213" t="str">
        <f t="shared" si="508"/>
        <v xml:space="preserve"> </v>
      </c>
      <c r="Q235" s="213" t="str">
        <f t="shared" si="509"/>
        <v xml:space="preserve"> </v>
      </c>
      <c r="R235" s="405" t="str">
        <f>IF($A235="N/A"," ",IF(Pricetype=2,MAX(I235-$H235,0),IF(Pricetype=1,(_xll.xSPRDOPT(I235,$E235,$CI235,0,($CD235+IF(Smile=TRUE,VLOOKUP(MAX(-5,$H235-I235),Volsmile,2),0)),$CG235,$CH235,($A235-DateToday)+15,1,0)),I235-$H235)))</f>
        <v xml:space="preserve"> </v>
      </c>
      <c r="S235" s="405" t="str">
        <f>IF($A235="N/A"," ",IF(Pricetype=2,MAX(J235-$H235,0),IF(Pricetype=1,(_xll.xSPRDOPT(J235,$E235,$CI235,0,($CD235+IF(Smile=TRUE,VLOOKUP(MAX(-5,$H235-J235),Volsmile,2),0)),$CG235,$CH235,($A235-DateToday)+15,1,0)),J235-$H235)))</f>
        <v xml:space="preserve"> </v>
      </c>
      <c r="T235" s="406" t="str">
        <f t="shared" si="510"/>
        <v xml:space="preserve"> </v>
      </c>
      <c r="U235" s="405" t="str">
        <f>IF($A235="N/A"," ",IF(Pricetype=2,MAX(L235-$H235,0),IF(L235&lt;&gt;0,IF(Pricetype=1,(_xll.xSPRDOPT(L235,$E235,$CI235,0,($CD235+IF(Smile=TRUE,VLOOKUP(MAX(-5,$H235-L235),Volsmile,2),0)),$CG235,$CH235,($A235-DateToday)+15,1,0)),L235-$H235),0)))</f>
        <v xml:space="preserve"> </v>
      </c>
      <c r="V235" s="405" t="str">
        <f>IF($A235="N/A"," ",IF(Pricetype=2,MAX(M235-$H235,0),IF(M235&lt;&gt;0,IF(Pricetype=1,(_xll.xSPRDOPT(M235,$E235,$CI235,0,($CD235+IF(Smile=TRUE,VLOOKUP(MAX(-5,$H235-M235),Volsmile,2),0)),$CG235,$CH235,($A235-DateToday)+15,1,0)),M235-$H235),0)))</f>
        <v xml:space="preserve"> </v>
      </c>
      <c r="W235" s="406" t="str">
        <f t="shared" si="511"/>
        <v xml:space="preserve"> </v>
      </c>
      <c r="X235" s="405" t="str">
        <f>IF($A235="N/A"," ",IF(Pricetype=2,MAX(O235-$H235,0),IF(O235&lt;&gt;0,IF(Pricetype=1,(_xll.xSPRDOPT(O235,$E235,$CI235,0,($CD235+IF(Smile=TRUE,VLOOKUP(MAX(-5,$H235-O235),Volsmile,2),0)),$CG235,$CH235,($A235-DateToday)+15,1,0)),O235-$H235),0)))</f>
        <v xml:space="preserve"> </v>
      </c>
      <c r="Y235" s="405" t="str">
        <f>IF($A235="N/A"," ",IF(Pricetype=2,MAX(P235-$H235,0),IF(P235&lt;&gt;0,IF(Pricetype=1,(_xll.xSPRDOPT(P235,$E235,$CI235,0,($CD235+IF(Smile=TRUE,VLOOKUP(MAX(-5,$H235-P235),Volsmile,2),0)),$CG235,$CH235,($A235-DateToday)+15,1,0)),P235-$H235),0)))</f>
        <v xml:space="preserve"> </v>
      </c>
      <c r="Z235" s="406" t="str">
        <f t="shared" si="512"/>
        <v xml:space="preserve"> </v>
      </c>
      <c r="AA235" s="254" t="str">
        <f>IF($A235="N/A"," ",IF(VLOOKUP(MONTH(A235),ManualTable,2)=1,(IF(0&lt;&gt;R235,IF(Pricetype=1,(_xll.xSPRDOPT(I235,$E235,$CI235,0,($CD235+IF(Smile=TRUE,VLOOKUP(MAX(-5,$H235-I235),Volsmile,2),0)),$CG235,$CH235,($A235-DateToday)+15,1,1))*(8*$HD235),8*$HD235),0)),0))</f>
        <v xml:space="preserve"> </v>
      </c>
      <c r="AB235" s="254" t="str">
        <f>IF($A235="N/A"," ",IF(VLOOKUP(MONTH(A235),ManualTable,3)=1,(IF(S235&lt;&gt;0,IF(Pricetype=1,(_xll.xSPRDOPT(J235,$E235,$CI235,0,($CD235+IF(Smile=TRUE,VLOOKUP(MAX(-5,$H235-J235),Volsmile,2),0)),$CG235,$CH235,($A235-DateToday)+15,1,1))*(8*$HD235),8*$HD235),0)),0))</f>
        <v xml:space="preserve"> </v>
      </c>
      <c r="AC235" s="254" t="str">
        <f t="shared" si="561"/>
        <v xml:space="preserve"> </v>
      </c>
      <c r="AD235" s="254" t="str">
        <f>IF($A235="N/A"," ",IF(VLOOKUP(MONTH(A235),ManualTable,5)=1,(IF(U235&lt;&gt;0,IF(Pricetype=1,(_xll.xSPRDOPT(L235,$E235,$CI235,0,($CD235+IF(Smile=TRUE,VLOOKUP(MAX(-5,$H235-L235),Volsmile,2),0)),$CG235,$CH235,($A235-DateToday)+15,1,1))*(8*$HE235),8*$HE235),0)),0))</f>
        <v xml:space="preserve"> </v>
      </c>
      <c r="AE235" s="254" t="str">
        <f>IF($A235="N/A"," ",IF(VLOOKUP(MONTH(A235),ManualTable,6)=1,(IF(V235&lt;&gt;0,IF(Pricetype=1,(_xll.xSPRDOPT(M235,$E235,$CI235,0,($CD235+IF(Smile=TRUE,VLOOKUP(MAX(-5,$H235-M235),Volsmile,2),0)),$CG235,$CH235,($A235-DateToday)+15,1,1))*(8*$HE235),8*$HE235),0)),0))</f>
        <v xml:space="preserve"> </v>
      </c>
      <c r="AF235" s="254" t="str">
        <f t="shared" si="562"/>
        <v xml:space="preserve"> </v>
      </c>
      <c r="AG235" s="254" t="str">
        <f>IF($A235="N/A"," ",IF(VLOOKUP(MONTH(A235),ManualTable,8)=1,(IF(X235&lt;&gt;0,IF(Pricetype=1,(_xll.xSPRDOPT(O235,$E235,$CI235,0,($CD235+IF(Smile=TRUE,VLOOKUP(MAX(-5,$H235-O235),Volsmile,2),0)),$CG235,$CH235,($A235-DateToday)+15,1,1))*(8*$HF235),8*$HF235),0)),0))</f>
        <v xml:space="preserve"> </v>
      </c>
      <c r="AH235" s="254" t="str">
        <f>IF($A235="N/A"," ",IF(VLOOKUP(MONTH(A235),ManualTable,9)=1,(IF(Y235&lt;&gt;0,IF(Pricetype=1,(_xll.xSPRDOPT(P235,$E235,$CI235,0,($CD235+IF(Smile=TRUE,VLOOKUP(MAX(-5,$H235-P235),Volsmile,2),0)),$CG235,$CH235,($A235-DateToday)+15,1,1))*(8*$HF235),8*$HF235),0)),0))</f>
        <v xml:space="preserve"> </v>
      </c>
      <c r="AI235" s="254" t="str">
        <f t="shared" si="563"/>
        <v xml:space="preserve"> </v>
      </c>
      <c r="AJ235" s="227" t="str">
        <f t="shared" si="638"/>
        <v xml:space="preserve"> </v>
      </c>
      <c r="AK235" s="228" t="str">
        <f t="shared" si="639"/>
        <v xml:space="preserve"> </v>
      </c>
      <c r="AL235" s="228" t="str">
        <f t="shared" si="639"/>
        <v xml:space="preserve"> </v>
      </c>
      <c r="AM235" s="228" t="str">
        <f t="shared" si="640"/>
        <v xml:space="preserve"> </v>
      </c>
      <c r="AN235" s="228" t="str">
        <f t="shared" si="641"/>
        <v xml:space="preserve"> </v>
      </c>
      <c r="AO235" s="228" t="str">
        <f t="shared" si="641"/>
        <v xml:space="preserve"> </v>
      </c>
      <c r="AP235" s="228" t="str">
        <f t="shared" si="642"/>
        <v xml:space="preserve"> </v>
      </c>
      <c r="AQ235" s="228" t="str">
        <f t="shared" si="643"/>
        <v xml:space="preserve"> </v>
      </c>
      <c r="AR235" s="229" t="str">
        <f t="shared" si="644"/>
        <v xml:space="preserve"> </v>
      </c>
      <c r="AS235" s="262" t="str">
        <f t="shared" si="593"/>
        <v xml:space="preserve"> </v>
      </c>
      <c r="AT235" s="263" t="str">
        <f t="shared" si="594"/>
        <v xml:space="preserve"> </v>
      </c>
      <c r="AU235" s="263" t="str">
        <f t="shared" si="594"/>
        <v xml:space="preserve"> </v>
      </c>
      <c r="AV235" s="263" t="str">
        <f t="shared" si="595"/>
        <v xml:space="preserve"> </v>
      </c>
      <c r="AW235" s="263" t="str">
        <f t="shared" si="596"/>
        <v xml:space="preserve"> </v>
      </c>
      <c r="AX235" s="263" t="str">
        <f t="shared" si="596"/>
        <v xml:space="preserve"> </v>
      </c>
      <c r="AY235" s="263" t="str">
        <f t="shared" si="597"/>
        <v xml:space="preserve"> </v>
      </c>
      <c r="AZ235" s="263" t="str">
        <f t="shared" si="598"/>
        <v xml:space="preserve"> </v>
      </c>
      <c r="BA235" s="263" t="str">
        <f t="shared" si="599"/>
        <v xml:space="preserve"> </v>
      </c>
      <c r="BB235" s="229"/>
      <c r="BC235" s="266" t="str">
        <f t="shared" si="631"/>
        <v xml:space="preserve"> </v>
      </c>
      <c r="BD235" s="269" t="str">
        <f t="shared" si="632"/>
        <v xml:space="preserve"> </v>
      </c>
      <c r="BE235" s="269" t="str">
        <f t="shared" si="632"/>
        <v xml:space="preserve"> </v>
      </c>
      <c r="BF235" s="269" t="str">
        <f t="shared" si="633"/>
        <v xml:space="preserve"> </v>
      </c>
      <c r="BG235" s="269" t="str">
        <f t="shared" si="634"/>
        <v xml:space="preserve"> </v>
      </c>
      <c r="BH235" s="269" t="str">
        <f t="shared" si="634"/>
        <v xml:space="preserve"> </v>
      </c>
      <c r="BI235" s="269" t="str">
        <f t="shared" si="635"/>
        <v xml:space="preserve"> </v>
      </c>
      <c r="BJ235" s="269" t="str">
        <f t="shared" si="636"/>
        <v xml:space="preserve"> </v>
      </c>
      <c r="BK235" s="269" t="str">
        <f t="shared" si="637"/>
        <v xml:space="preserve"> </v>
      </c>
      <c r="BL235" s="229"/>
      <c r="BM235" s="220" t="str">
        <f>IF($A235="N/A"," ",(IF(MONTH(A235)&gt;=4,IF(MONTH(A235)&lt;=10,Inputs!$F$13-Inputs!$G$13,Inputs!$F$14-Inputs!$G$14),Inputs!$F$14-Inputs!$G$14))*$CK235*Availability)</f>
        <v xml:space="preserve"> </v>
      </c>
      <c r="BN235" s="221" t="str">
        <f t="shared" si="571"/>
        <v xml:space="preserve"> </v>
      </c>
      <c r="BO235" s="221" t="str">
        <f t="shared" si="572"/>
        <v xml:space="preserve"> </v>
      </c>
      <c r="BP235" s="221" t="str">
        <f t="shared" si="573"/>
        <v xml:space="preserve"> </v>
      </c>
      <c r="BQ235" s="221" t="str">
        <f t="shared" si="574"/>
        <v xml:space="preserve"> </v>
      </c>
      <c r="BR235" s="221" t="str">
        <f t="shared" si="575"/>
        <v xml:space="preserve"> </v>
      </c>
      <c r="BS235" s="221" t="str">
        <f t="shared" si="576"/>
        <v xml:space="preserve"> </v>
      </c>
      <c r="BT235" s="221" t="str">
        <f t="shared" si="577"/>
        <v xml:space="preserve"> </v>
      </c>
      <c r="BU235" s="221" t="str">
        <f t="shared" si="578"/>
        <v xml:space="preserve"> </v>
      </c>
      <c r="BV235" s="221" t="str">
        <f t="shared" si="579"/>
        <v xml:space="preserve"> </v>
      </c>
      <c r="BW235" s="221" t="str">
        <f t="shared" si="580"/>
        <v xml:space="preserve"> </v>
      </c>
      <c r="BX235" s="421" t="str">
        <f t="shared" si="581"/>
        <v xml:space="preserve"> </v>
      </c>
      <c r="BY235" s="417" t="str">
        <f t="shared" si="582"/>
        <v xml:space="preserve"> </v>
      </c>
      <c r="BZ235" s="417" t="str">
        <f t="shared" si="583"/>
        <v xml:space="preserve"> </v>
      </c>
      <c r="CA235" s="422" t="str">
        <f t="shared" si="584"/>
        <v xml:space="preserve"> </v>
      </c>
      <c r="CB235" s="347" t="str">
        <f t="shared" si="521"/>
        <v xml:space="preserve"> </v>
      </c>
      <c r="CC235" s="347" t="str">
        <f t="shared" si="585"/>
        <v xml:space="preserve"> </v>
      </c>
      <c r="CD235" s="348" t="str">
        <f t="shared" si="522"/>
        <v xml:space="preserve"> </v>
      </c>
      <c r="CE235" s="347" t="str">
        <f t="shared" si="523"/>
        <v xml:space="preserve"> </v>
      </c>
      <c r="CF235" s="347" t="str">
        <f t="shared" si="524"/>
        <v xml:space="preserve"> </v>
      </c>
      <c r="CG235" s="348" t="str">
        <f t="shared" si="525"/>
        <v xml:space="preserve"> </v>
      </c>
      <c r="CH235" s="347" t="str">
        <f t="shared" si="586"/>
        <v xml:space="preserve"> </v>
      </c>
      <c r="CI235" s="349" t="str">
        <f>IF($A235="N/A"," ",F235+G235+(D235*('Pricing Inputs'!T268)))</f>
        <v xml:space="preserve"> </v>
      </c>
      <c r="CJ235" s="347" t="str">
        <f>IF($A235="N/A"," ",IF(PV=1,0,'Pricing Inputs'!U268))</f>
        <v xml:space="preserve"> </v>
      </c>
      <c r="CK235" s="350" t="str">
        <f t="shared" si="526"/>
        <v xml:space="preserve"> </v>
      </c>
      <c r="CL235" s="365" t="str">
        <f t="shared" si="527"/>
        <v xml:space="preserve"> </v>
      </c>
      <c r="CM235" s="380" t="str">
        <f t="shared" si="587"/>
        <v xml:space="preserve"> </v>
      </c>
      <c r="CN235" s="378" t="str">
        <f t="shared" si="528"/>
        <v xml:space="preserve"> </v>
      </c>
      <c r="CO235" s="378" t="str">
        <f t="shared" si="529"/>
        <v xml:space="preserve"> </v>
      </c>
      <c r="CP235" s="378" t="str">
        <f t="shared" si="530"/>
        <v xml:space="preserve"> </v>
      </c>
      <c r="CQ235" s="378" t="str">
        <f t="shared" si="531"/>
        <v xml:space="preserve"> </v>
      </c>
      <c r="CR235" s="378" t="str">
        <f t="shared" si="532"/>
        <v xml:space="preserve"> </v>
      </c>
      <c r="CS235" s="378" t="str">
        <f t="shared" si="533"/>
        <v xml:space="preserve"> </v>
      </c>
      <c r="CT235" s="378" t="str">
        <f t="shared" si="534"/>
        <v xml:space="preserve"> </v>
      </c>
      <c r="CU235" s="378" t="str">
        <f t="shared" si="535"/>
        <v xml:space="preserve"> </v>
      </c>
      <c r="CV235" s="378" t="str">
        <f t="shared" si="536"/>
        <v xml:space="preserve"> </v>
      </c>
      <c r="CW235" s="254" t="str">
        <f t="shared" si="537"/>
        <v xml:space="preserve"> </v>
      </c>
      <c r="CX235" s="254" t="str">
        <f t="shared" si="538"/>
        <v xml:space="preserve"> </v>
      </c>
      <c r="CY235" s="254" t="str">
        <f t="shared" si="539"/>
        <v xml:space="preserve"> </v>
      </c>
      <c r="CZ235" s="254" t="str">
        <f t="shared" si="540"/>
        <v xml:space="preserve"> </v>
      </c>
      <c r="DA235" s="254" t="str">
        <f t="shared" si="541"/>
        <v xml:space="preserve"> </v>
      </c>
      <c r="DB235" s="254" t="str">
        <f t="shared" si="542"/>
        <v xml:space="preserve"> </v>
      </c>
      <c r="DC235" s="254" t="str">
        <f t="shared" si="543"/>
        <v xml:space="preserve"> </v>
      </c>
      <c r="DD235" s="254" t="str">
        <f t="shared" si="544"/>
        <v xml:space="preserve"> </v>
      </c>
      <c r="DE235" s="254" t="str">
        <f t="shared" si="545"/>
        <v xml:space="preserve"> </v>
      </c>
      <c r="DF235" s="374" t="str">
        <f>IF($A235="N/A"," ",IF(CC=2,(IF(MONTH(A235)&gt;=4,IF(MONTH(A235)&lt;=10,Inputs!$G$13,Inputs!$G$14),Inputs!$G$14))*$CK235,0))</f>
        <v xml:space="preserve"> </v>
      </c>
      <c r="DG235" s="373" t="str">
        <f t="shared" si="546"/>
        <v xml:space="preserve"> </v>
      </c>
      <c r="DH235" s="373" t="str">
        <f t="shared" si="547"/>
        <v xml:space="preserve"> </v>
      </c>
      <c r="DI235" s="373" t="str">
        <f t="shared" si="548"/>
        <v xml:space="preserve"> </v>
      </c>
      <c r="DJ235" s="373" t="str">
        <f t="shared" si="549"/>
        <v xml:space="preserve"> </v>
      </c>
      <c r="DK235" s="373" t="str">
        <f t="shared" si="550"/>
        <v xml:space="preserve"> </v>
      </c>
      <c r="DL235" s="373" t="str">
        <f t="shared" si="551"/>
        <v xml:space="preserve"> </v>
      </c>
      <c r="DM235" s="373" t="str">
        <f t="shared" si="552"/>
        <v xml:space="preserve"> </v>
      </c>
      <c r="DN235" s="373" t="str">
        <f t="shared" si="553"/>
        <v xml:space="preserve"> </v>
      </c>
      <c r="DO235" s="373" t="str">
        <f t="shared" si="554"/>
        <v xml:space="preserve"> </v>
      </c>
      <c r="DP235" s="375" t="str">
        <f t="shared" si="555"/>
        <v xml:space="preserve"> </v>
      </c>
      <c r="DQ235" t="str">
        <f t="shared" si="588"/>
        <v xml:space="preserve"> </v>
      </c>
      <c r="HD235" t="str">
        <f t="shared" si="589"/>
        <v xml:space="preserve"> </v>
      </c>
      <c r="HE235" t="str">
        <f t="shared" si="590"/>
        <v xml:space="preserve"> </v>
      </c>
      <c r="HF235" t="str">
        <f t="shared" si="591"/>
        <v xml:space="preserve"> </v>
      </c>
    </row>
    <row r="236" spans="1:214">
      <c r="A236" s="415" t="str">
        <f>IF(A235="N/A","N/A",IF(EDATE(A235,1)&gt;Inputs!$K$3,"N/A",EDATE(A235,1)))</f>
        <v>N/A</v>
      </c>
      <c r="B236" s="410" t="str">
        <f t="shared" si="556"/>
        <v xml:space="preserve"> </v>
      </c>
      <c r="C236" s="411" t="str">
        <f t="shared" si="557"/>
        <v xml:space="preserve"> </v>
      </c>
      <c r="D236" s="412" t="str">
        <f t="shared" si="558"/>
        <v xml:space="preserve"> </v>
      </c>
      <c r="E236" s="413" t="str">
        <f>IF($A236="N/A"," ",(C236-'Pricing Inputs'!T269)*D236)</f>
        <v xml:space="preserve"> </v>
      </c>
      <c r="F236" s="414" t="str">
        <f t="shared" si="607"/>
        <v xml:space="preserve"> </v>
      </c>
      <c r="G236" s="414" t="str">
        <f t="shared" si="559"/>
        <v xml:space="preserve"> </v>
      </c>
      <c r="H236" s="416" t="str">
        <f t="shared" si="560"/>
        <v xml:space="preserve"> </v>
      </c>
      <c r="I236" s="213" t="str">
        <f t="shared" si="501"/>
        <v xml:space="preserve"> </v>
      </c>
      <c r="J236" s="213" t="str">
        <f t="shared" si="502"/>
        <v xml:space="preserve"> </v>
      </c>
      <c r="K236" s="213" t="str">
        <f t="shared" si="503"/>
        <v xml:space="preserve"> </v>
      </c>
      <c r="L236" s="213" t="str">
        <f t="shared" si="504"/>
        <v xml:space="preserve"> </v>
      </c>
      <c r="M236" s="213" t="str">
        <f t="shared" si="505"/>
        <v xml:space="preserve"> </v>
      </c>
      <c r="N236" s="213" t="str">
        <f t="shared" si="506"/>
        <v xml:space="preserve"> </v>
      </c>
      <c r="O236" s="213" t="str">
        <f t="shared" si="507"/>
        <v xml:space="preserve"> </v>
      </c>
      <c r="P236" s="213" t="str">
        <f t="shared" si="508"/>
        <v xml:space="preserve"> </v>
      </c>
      <c r="Q236" s="213" t="str">
        <f t="shared" si="509"/>
        <v xml:space="preserve"> </v>
      </c>
      <c r="R236" s="405" t="str">
        <f>IF($A236="N/A"," ",IF(Pricetype=2,MAX(I236-$H236,0),IF(Pricetype=1,(_xll.xSPRDOPT(I236,$E236,$CI236,0,($CD236+IF(Smile=TRUE,VLOOKUP(MAX(-5,$H236-I236),Volsmile,2),0)),$CG236,$CH236,($A236-DateToday)+15,1,0)),I236-$H236)))</f>
        <v xml:space="preserve"> </v>
      </c>
      <c r="S236" s="405" t="str">
        <f>IF($A236="N/A"," ",IF(Pricetype=2,MAX(J236-$H236,0),IF(Pricetype=1,(_xll.xSPRDOPT(J236,$E236,$CI236,0,($CD236+IF(Smile=TRUE,VLOOKUP(MAX(-5,$H236-J236),Volsmile,2),0)),$CG236,$CH236,($A236-DateToday)+15,1,0)),J236-$H236)))</f>
        <v xml:space="preserve"> </v>
      </c>
      <c r="T236" s="406" t="str">
        <f t="shared" si="510"/>
        <v xml:space="preserve"> </v>
      </c>
      <c r="U236" s="405" t="str">
        <f>IF($A236="N/A"," ",IF(Pricetype=2,MAX(L236-$H236,0),IF(L236&lt;&gt;0,IF(Pricetype=1,(_xll.xSPRDOPT(L236,$E236,$CI236,0,($CD236+IF(Smile=TRUE,VLOOKUP(MAX(-5,$H236-L236),Volsmile,2),0)),$CG236,$CH236,($A236-DateToday)+15,1,0)),L236-$H236),0)))</f>
        <v xml:space="preserve"> </v>
      </c>
      <c r="V236" s="405" t="str">
        <f>IF($A236="N/A"," ",IF(Pricetype=2,MAX(M236-$H236,0),IF(M236&lt;&gt;0,IF(Pricetype=1,(_xll.xSPRDOPT(M236,$E236,$CI236,0,($CD236+IF(Smile=TRUE,VLOOKUP(MAX(-5,$H236-M236),Volsmile,2),0)),$CG236,$CH236,($A236-DateToday)+15,1,0)),M236-$H236),0)))</f>
        <v xml:space="preserve"> </v>
      </c>
      <c r="W236" s="406" t="str">
        <f t="shared" si="511"/>
        <v xml:space="preserve"> </v>
      </c>
      <c r="X236" s="405" t="str">
        <f>IF($A236="N/A"," ",IF(Pricetype=2,MAX(O236-$H236,0),IF(O236&lt;&gt;0,IF(Pricetype=1,(_xll.xSPRDOPT(O236,$E236,$CI236,0,($CD236+IF(Smile=TRUE,VLOOKUP(MAX(-5,$H236-O236),Volsmile,2),0)),$CG236,$CH236,($A236-DateToday)+15,1,0)),O236-$H236),0)))</f>
        <v xml:space="preserve"> </v>
      </c>
      <c r="Y236" s="405" t="str">
        <f>IF($A236="N/A"," ",IF(Pricetype=2,MAX(P236-$H236,0),IF(P236&lt;&gt;0,IF(Pricetype=1,(_xll.xSPRDOPT(P236,$E236,$CI236,0,($CD236+IF(Smile=TRUE,VLOOKUP(MAX(-5,$H236-P236),Volsmile,2),0)),$CG236,$CH236,($A236-DateToday)+15,1,0)),P236-$H236),0)))</f>
        <v xml:space="preserve"> </v>
      </c>
      <c r="Z236" s="406" t="str">
        <f t="shared" si="512"/>
        <v xml:space="preserve"> </v>
      </c>
      <c r="AA236" s="254" t="str">
        <f>IF($A236="N/A"," ",IF(VLOOKUP(MONTH(A236),ManualTable,2)=1,(IF(0&lt;&gt;R236,IF(Pricetype=1,(_xll.xSPRDOPT(I236,$E236,$CI236,0,($CD236+IF(Smile=TRUE,VLOOKUP(MAX(-5,$H236-I236),Volsmile,2),0)),$CG236,$CH236,($A236-DateToday)+15,1,1))*(8*$HD236),8*$HD236),0)),0))</f>
        <v xml:space="preserve"> </v>
      </c>
      <c r="AB236" s="254" t="str">
        <f>IF($A236="N/A"," ",IF(VLOOKUP(MONTH(A236),ManualTable,3)=1,(IF(S236&lt;&gt;0,IF(Pricetype=1,(_xll.xSPRDOPT(J236,$E236,$CI236,0,($CD236+IF(Smile=TRUE,VLOOKUP(MAX(-5,$H236-J236),Volsmile,2),0)),$CG236,$CH236,($A236-DateToday)+15,1,1))*(8*$HD236),8*$HD236),0)),0))</f>
        <v xml:space="preserve"> </v>
      </c>
      <c r="AC236" s="254" t="str">
        <f t="shared" si="561"/>
        <v xml:space="preserve"> </v>
      </c>
      <c r="AD236" s="254" t="str">
        <f>IF($A236="N/A"," ",IF(VLOOKUP(MONTH(A236),ManualTable,5)=1,(IF(U236&lt;&gt;0,IF(Pricetype=1,(_xll.xSPRDOPT(L236,$E236,$CI236,0,($CD236+IF(Smile=TRUE,VLOOKUP(MAX(-5,$H236-L236),Volsmile,2),0)),$CG236,$CH236,($A236-DateToday)+15,1,1))*(8*$HE236),8*$HE236),0)),0))</f>
        <v xml:space="preserve"> </v>
      </c>
      <c r="AE236" s="254" t="str">
        <f>IF($A236="N/A"," ",IF(VLOOKUP(MONTH(A236),ManualTable,6)=1,(IF(V236&lt;&gt;0,IF(Pricetype=1,(_xll.xSPRDOPT(M236,$E236,$CI236,0,($CD236+IF(Smile=TRUE,VLOOKUP(MAX(-5,$H236-M236),Volsmile,2),0)),$CG236,$CH236,($A236-DateToday)+15,1,1))*(8*$HE236),8*$HE236),0)),0))</f>
        <v xml:space="preserve"> </v>
      </c>
      <c r="AF236" s="254" t="str">
        <f t="shared" si="562"/>
        <v xml:space="preserve"> </v>
      </c>
      <c r="AG236" s="254" t="str">
        <f>IF($A236="N/A"," ",IF(VLOOKUP(MONTH(A236),ManualTable,8)=1,(IF(X236&lt;&gt;0,IF(Pricetype=1,(_xll.xSPRDOPT(O236,$E236,$CI236,0,($CD236+IF(Smile=TRUE,VLOOKUP(MAX(-5,$H236-O236),Volsmile,2),0)),$CG236,$CH236,($A236-DateToday)+15,1,1))*(8*$HF236),8*$HF236),0)),0))</f>
        <v xml:space="preserve"> </v>
      </c>
      <c r="AH236" s="254" t="str">
        <f>IF($A236="N/A"," ",IF(VLOOKUP(MONTH(A236),ManualTable,9)=1,(IF(Y236&lt;&gt;0,IF(Pricetype=1,(_xll.xSPRDOPT(P236,$E236,$CI236,0,($CD236+IF(Smile=TRUE,VLOOKUP(MAX(-5,$H236-P236),Volsmile,2),0)),$CG236,$CH236,($A236-DateToday)+15,1,1))*(8*$HF236),8*$HF236),0)),0))</f>
        <v xml:space="preserve"> </v>
      </c>
      <c r="AI236" s="254" t="str">
        <f t="shared" si="563"/>
        <v xml:space="preserve"> </v>
      </c>
      <c r="AJ236" s="227" t="str">
        <f t="shared" si="638"/>
        <v xml:space="preserve"> </v>
      </c>
      <c r="AK236" s="228" t="str">
        <f t="shared" si="639"/>
        <v xml:space="preserve"> </v>
      </c>
      <c r="AL236" s="228" t="str">
        <f t="shared" si="639"/>
        <v xml:space="preserve"> </v>
      </c>
      <c r="AM236" s="228" t="str">
        <f t="shared" si="640"/>
        <v xml:space="preserve"> </v>
      </c>
      <c r="AN236" s="228" t="str">
        <f t="shared" si="641"/>
        <v xml:space="preserve"> </v>
      </c>
      <c r="AO236" s="228" t="str">
        <f t="shared" si="641"/>
        <v xml:space="preserve"> </v>
      </c>
      <c r="AP236" s="228" t="str">
        <f t="shared" si="642"/>
        <v xml:space="preserve"> </v>
      </c>
      <c r="AQ236" s="228" t="str">
        <f t="shared" si="643"/>
        <v xml:space="preserve"> </v>
      </c>
      <c r="AR236" s="229" t="str">
        <f t="shared" si="644"/>
        <v xml:space="preserve"> </v>
      </c>
      <c r="AS236" s="262" t="str">
        <f t="shared" si="593"/>
        <v xml:space="preserve"> </v>
      </c>
      <c r="AT236" s="263" t="str">
        <f t="shared" si="594"/>
        <v xml:space="preserve"> </v>
      </c>
      <c r="AU236" s="263" t="str">
        <f t="shared" si="594"/>
        <v xml:space="preserve"> </v>
      </c>
      <c r="AV236" s="263" t="str">
        <f t="shared" si="595"/>
        <v xml:space="preserve"> </v>
      </c>
      <c r="AW236" s="263" t="str">
        <f t="shared" si="596"/>
        <v xml:space="preserve"> </v>
      </c>
      <c r="AX236" s="263" t="str">
        <f t="shared" si="596"/>
        <v xml:space="preserve"> </v>
      </c>
      <c r="AY236" s="263" t="str">
        <f t="shared" si="597"/>
        <v xml:space="preserve"> </v>
      </c>
      <c r="AZ236" s="263" t="str">
        <f t="shared" si="598"/>
        <v xml:space="preserve"> </v>
      </c>
      <c r="BA236" s="263" t="str">
        <f t="shared" si="599"/>
        <v xml:space="preserve"> </v>
      </c>
      <c r="BB236" s="229"/>
      <c r="BC236" s="266" t="str">
        <f t="shared" si="631"/>
        <v xml:space="preserve"> </v>
      </c>
      <c r="BD236" s="269" t="str">
        <f t="shared" si="632"/>
        <v xml:space="preserve"> </v>
      </c>
      <c r="BE236" s="269" t="str">
        <f t="shared" si="632"/>
        <v xml:space="preserve"> </v>
      </c>
      <c r="BF236" s="269" t="str">
        <f t="shared" si="633"/>
        <v xml:space="preserve"> </v>
      </c>
      <c r="BG236" s="269" t="str">
        <f t="shared" si="634"/>
        <v xml:space="preserve"> </v>
      </c>
      <c r="BH236" s="269" t="str">
        <f t="shared" si="634"/>
        <v xml:space="preserve"> </v>
      </c>
      <c r="BI236" s="269" t="str">
        <f t="shared" si="635"/>
        <v xml:space="preserve"> </v>
      </c>
      <c r="BJ236" s="269" t="str">
        <f t="shared" si="636"/>
        <v xml:space="preserve"> </v>
      </c>
      <c r="BK236" s="269" t="str">
        <f t="shared" si="637"/>
        <v xml:space="preserve"> </v>
      </c>
      <c r="BL236" s="229"/>
      <c r="BM236" s="220" t="str">
        <f>IF($A236="N/A"," ",(IF(MONTH(A236)&gt;=4,IF(MONTH(A236)&lt;=10,Inputs!$F$13-Inputs!$G$13,Inputs!$F$14-Inputs!$G$14),Inputs!$F$14-Inputs!$G$14))*$CK236*Availability)</f>
        <v xml:space="preserve"> </v>
      </c>
      <c r="BN236" s="221" t="str">
        <f t="shared" si="571"/>
        <v xml:space="preserve"> </v>
      </c>
      <c r="BO236" s="221" t="str">
        <f t="shared" si="572"/>
        <v xml:space="preserve"> </v>
      </c>
      <c r="BP236" s="221" t="str">
        <f t="shared" si="573"/>
        <v xml:space="preserve"> </v>
      </c>
      <c r="BQ236" s="221" t="str">
        <f t="shared" si="574"/>
        <v xml:space="preserve"> </v>
      </c>
      <c r="BR236" s="221" t="str">
        <f t="shared" si="575"/>
        <v xml:space="preserve"> </v>
      </c>
      <c r="BS236" s="221" t="str">
        <f t="shared" si="576"/>
        <v xml:space="preserve"> </v>
      </c>
      <c r="BT236" s="221" t="str">
        <f t="shared" si="577"/>
        <v xml:space="preserve"> </v>
      </c>
      <c r="BU236" s="221" t="str">
        <f t="shared" si="578"/>
        <v xml:space="preserve"> </v>
      </c>
      <c r="BV236" s="221" t="str">
        <f t="shared" si="579"/>
        <v xml:space="preserve"> </v>
      </c>
      <c r="BW236" s="221" t="str">
        <f t="shared" si="580"/>
        <v xml:space="preserve"> </v>
      </c>
      <c r="BX236" s="421" t="str">
        <f t="shared" si="581"/>
        <v xml:space="preserve"> </v>
      </c>
      <c r="BY236" s="417" t="str">
        <f t="shared" si="582"/>
        <v xml:space="preserve"> </v>
      </c>
      <c r="BZ236" s="417" t="str">
        <f t="shared" si="583"/>
        <v xml:space="preserve"> </v>
      </c>
      <c r="CA236" s="422" t="str">
        <f t="shared" si="584"/>
        <v xml:space="preserve"> </v>
      </c>
      <c r="CB236" s="347" t="str">
        <f t="shared" si="521"/>
        <v xml:space="preserve"> </v>
      </c>
      <c r="CC236" s="347" t="str">
        <f t="shared" si="585"/>
        <v xml:space="preserve"> </v>
      </c>
      <c r="CD236" s="348" t="str">
        <f t="shared" si="522"/>
        <v xml:space="preserve"> </v>
      </c>
      <c r="CE236" s="347" t="str">
        <f t="shared" si="523"/>
        <v xml:space="preserve"> </v>
      </c>
      <c r="CF236" s="347" t="str">
        <f t="shared" si="524"/>
        <v xml:space="preserve"> </v>
      </c>
      <c r="CG236" s="348" t="str">
        <f t="shared" si="525"/>
        <v xml:space="preserve"> </v>
      </c>
      <c r="CH236" s="347" t="str">
        <f t="shared" si="586"/>
        <v xml:space="preserve"> </v>
      </c>
      <c r="CI236" s="349" t="str">
        <f>IF($A236="N/A"," ",F236+G236+(D236*('Pricing Inputs'!T269)))</f>
        <v xml:space="preserve"> </v>
      </c>
      <c r="CJ236" s="347" t="str">
        <f>IF($A236="N/A"," ",IF(PV=1,0,'Pricing Inputs'!U269))</f>
        <v xml:space="preserve"> </v>
      </c>
      <c r="CK236" s="350" t="str">
        <f t="shared" si="526"/>
        <v xml:space="preserve"> </v>
      </c>
      <c r="CL236" s="365" t="str">
        <f t="shared" si="527"/>
        <v xml:space="preserve"> </v>
      </c>
      <c r="CM236" s="380" t="str">
        <f t="shared" si="587"/>
        <v xml:space="preserve"> </v>
      </c>
      <c r="CN236" s="378" t="str">
        <f t="shared" si="528"/>
        <v xml:space="preserve"> </v>
      </c>
      <c r="CO236" s="378" t="str">
        <f t="shared" si="529"/>
        <v xml:space="preserve"> </v>
      </c>
      <c r="CP236" s="378" t="str">
        <f t="shared" si="530"/>
        <v xml:space="preserve"> </v>
      </c>
      <c r="CQ236" s="378" t="str">
        <f t="shared" si="531"/>
        <v xml:space="preserve"> </v>
      </c>
      <c r="CR236" s="378" t="str">
        <f t="shared" si="532"/>
        <v xml:space="preserve"> </v>
      </c>
      <c r="CS236" s="378" t="str">
        <f t="shared" si="533"/>
        <v xml:space="preserve"> </v>
      </c>
      <c r="CT236" s="378" t="str">
        <f t="shared" si="534"/>
        <v xml:space="preserve"> </v>
      </c>
      <c r="CU236" s="378" t="str">
        <f t="shared" si="535"/>
        <v xml:space="preserve"> </v>
      </c>
      <c r="CV236" s="378" t="str">
        <f t="shared" si="536"/>
        <v xml:space="preserve"> </v>
      </c>
      <c r="CW236" s="254" t="str">
        <f t="shared" si="537"/>
        <v xml:space="preserve"> </v>
      </c>
      <c r="CX236" s="254" t="str">
        <f t="shared" si="538"/>
        <v xml:space="preserve"> </v>
      </c>
      <c r="CY236" s="254" t="str">
        <f t="shared" si="539"/>
        <v xml:space="preserve"> </v>
      </c>
      <c r="CZ236" s="254" t="str">
        <f t="shared" si="540"/>
        <v xml:space="preserve"> </v>
      </c>
      <c r="DA236" s="254" t="str">
        <f t="shared" si="541"/>
        <v xml:space="preserve"> </v>
      </c>
      <c r="DB236" s="254" t="str">
        <f t="shared" si="542"/>
        <v xml:space="preserve"> </v>
      </c>
      <c r="DC236" s="254" t="str">
        <f t="shared" si="543"/>
        <v xml:space="preserve"> </v>
      </c>
      <c r="DD236" s="254" t="str">
        <f t="shared" si="544"/>
        <v xml:space="preserve"> </v>
      </c>
      <c r="DE236" s="254" t="str">
        <f t="shared" si="545"/>
        <v xml:space="preserve"> </v>
      </c>
      <c r="DF236" s="374" t="str">
        <f>IF($A236="N/A"," ",IF(CC=2,(IF(MONTH(A236)&gt;=4,IF(MONTH(A236)&lt;=10,Inputs!$G$13,Inputs!$G$14),Inputs!$G$14))*$CK236,0))</f>
        <v xml:space="preserve"> </v>
      </c>
      <c r="DG236" s="373" t="str">
        <f t="shared" si="546"/>
        <v xml:space="preserve"> </v>
      </c>
      <c r="DH236" s="373" t="str">
        <f t="shared" si="547"/>
        <v xml:space="preserve"> </v>
      </c>
      <c r="DI236" s="373" t="str">
        <f t="shared" si="548"/>
        <v xml:space="preserve"> </v>
      </c>
      <c r="DJ236" s="373" t="str">
        <f t="shared" si="549"/>
        <v xml:space="preserve"> </v>
      </c>
      <c r="DK236" s="373" t="str">
        <f t="shared" si="550"/>
        <v xml:space="preserve"> </v>
      </c>
      <c r="DL236" s="373" t="str">
        <f t="shared" si="551"/>
        <v xml:space="preserve"> </v>
      </c>
      <c r="DM236" s="373" t="str">
        <f t="shared" si="552"/>
        <v xml:space="preserve"> </v>
      </c>
      <c r="DN236" s="373" t="str">
        <f t="shared" si="553"/>
        <v xml:space="preserve"> </v>
      </c>
      <c r="DO236" s="373" t="str">
        <f t="shared" si="554"/>
        <v xml:space="preserve"> </v>
      </c>
      <c r="DP236" s="375" t="str">
        <f t="shared" si="555"/>
        <v xml:space="preserve"> </v>
      </c>
      <c r="DQ236" t="str">
        <f t="shared" si="588"/>
        <v xml:space="preserve"> </v>
      </c>
      <c r="HD236" t="str">
        <f t="shared" si="589"/>
        <v xml:space="preserve"> </v>
      </c>
      <c r="HE236" t="str">
        <f t="shared" si="590"/>
        <v xml:space="preserve"> </v>
      </c>
      <c r="HF236" t="str">
        <f t="shared" si="591"/>
        <v xml:space="preserve"> </v>
      </c>
    </row>
    <row r="237" spans="1:214">
      <c r="A237" s="415" t="str">
        <f>IF(A236="N/A","N/A",IF(EDATE(A236,1)&gt;Inputs!$K$3,"N/A",EDATE(A236,1)))</f>
        <v>N/A</v>
      </c>
      <c r="B237" s="410" t="str">
        <f t="shared" si="556"/>
        <v xml:space="preserve"> </v>
      </c>
      <c r="C237" s="411" t="str">
        <f t="shared" si="557"/>
        <v xml:space="preserve"> </v>
      </c>
      <c r="D237" s="412" t="str">
        <f t="shared" si="558"/>
        <v xml:space="preserve"> </v>
      </c>
      <c r="E237" s="413" t="str">
        <f>IF($A237="N/A"," ",(C237-'Pricing Inputs'!T270)*D237)</f>
        <v xml:space="preserve"> </v>
      </c>
      <c r="F237" s="414" t="str">
        <f t="shared" si="607"/>
        <v xml:space="preserve"> </v>
      </c>
      <c r="G237" s="414" t="str">
        <f t="shared" si="559"/>
        <v xml:space="preserve"> </v>
      </c>
      <c r="H237" s="416" t="str">
        <f t="shared" si="560"/>
        <v xml:space="preserve"> </v>
      </c>
      <c r="I237" s="213" t="str">
        <f t="shared" si="501"/>
        <v xml:space="preserve"> </v>
      </c>
      <c r="J237" s="213" t="str">
        <f t="shared" si="502"/>
        <v xml:space="preserve"> </v>
      </c>
      <c r="K237" s="213" t="str">
        <f t="shared" si="503"/>
        <v xml:space="preserve"> </v>
      </c>
      <c r="L237" s="213" t="str">
        <f t="shared" si="504"/>
        <v xml:space="preserve"> </v>
      </c>
      <c r="M237" s="213" t="str">
        <f t="shared" si="505"/>
        <v xml:space="preserve"> </v>
      </c>
      <c r="N237" s="213" t="str">
        <f t="shared" si="506"/>
        <v xml:space="preserve"> </v>
      </c>
      <c r="O237" s="213" t="str">
        <f t="shared" si="507"/>
        <v xml:space="preserve"> </v>
      </c>
      <c r="P237" s="213" t="str">
        <f t="shared" si="508"/>
        <v xml:space="preserve"> </v>
      </c>
      <c r="Q237" s="213" t="str">
        <f t="shared" si="509"/>
        <v xml:space="preserve"> </v>
      </c>
      <c r="R237" s="405" t="str">
        <f>IF($A237="N/A"," ",IF(Pricetype=2,MAX(I237-$H237,0),IF(Pricetype=1,(_xll.xSPRDOPT(I237,$E237,$CI237,0,($CD237+IF(Smile=TRUE,VLOOKUP(MAX(-5,$H237-I237),Volsmile,2),0)),$CG237,$CH237,($A237-DateToday)+15,1,0)),I237-$H237)))</f>
        <v xml:space="preserve"> </v>
      </c>
      <c r="S237" s="405" t="str">
        <f>IF($A237="N/A"," ",IF(Pricetype=2,MAX(J237-$H237,0),IF(Pricetype=1,(_xll.xSPRDOPT(J237,$E237,$CI237,0,($CD237+IF(Smile=TRUE,VLOOKUP(MAX(-5,$H237-J237),Volsmile,2),0)),$CG237,$CH237,($A237-DateToday)+15,1,0)),J237-$H237)))</f>
        <v xml:space="preserve"> </v>
      </c>
      <c r="T237" s="406" t="str">
        <f t="shared" si="510"/>
        <v xml:space="preserve"> </v>
      </c>
      <c r="U237" s="405" t="str">
        <f>IF($A237="N/A"," ",IF(Pricetype=2,MAX(L237-$H237,0),IF(L237&lt;&gt;0,IF(Pricetype=1,(_xll.xSPRDOPT(L237,$E237,$CI237,0,($CD237+IF(Smile=TRUE,VLOOKUP(MAX(-5,$H237-L237),Volsmile,2),0)),$CG237,$CH237,($A237-DateToday)+15,1,0)),L237-$H237),0)))</f>
        <v xml:space="preserve"> </v>
      </c>
      <c r="V237" s="405" t="str">
        <f>IF($A237="N/A"," ",IF(Pricetype=2,MAX(M237-$H237,0),IF(M237&lt;&gt;0,IF(Pricetype=1,(_xll.xSPRDOPT(M237,$E237,$CI237,0,($CD237+IF(Smile=TRUE,VLOOKUP(MAX(-5,$H237-M237),Volsmile,2),0)),$CG237,$CH237,($A237-DateToday)+15,1,0)),M237-$H237),0)))</f>
        <v xml:space="preserve"> </v>
      </c>
      <c r="W237" s="406" t="str">
        <f t="shared" si="511"/>
        <v xml:space="preserve"> </v>
      </c>
      <c r="X237" s="405" t="str">
        <f>IF($A237="N/A"," ",IF(Pricetype=2,MAX(O237-$H237,0),IF(O237&lt;&gt;0,IF(Pricetype=1,(_xll.xSPRDOPT(O237,$E237,$CI237,0,($CD237+IF(Smile=TRUE,VLOOKUP(MAX(-5,$H237-O237),Volsmile,2),0)),$CG237,$CH237,($A237-DateToday)+15,1,0)),O237-$H237),0)))</f>
        <v xml:space="preserve"> </v>
      </c>
      <c r="Y237" s="405" t="str">
        <f>IF($A237="N/A"," ",IF(Pricetype=2,MAX(P237-$H237,0),IF(P237&lt;&gt;0,IF(Pricetype=1,(_xll.xSPRDOPT(P237,$E237,$CI237,0,($CD237+IF(Smile=TRUE,VLOOKUP(MAX(-5,$H237-P237),Volsmile,2),0)),$CG237,$CH237,($A237-DateToday)+15,1,0)),P237-$H237),0)))</f>
        <v xml:space="preserve"> </v>
      </c>
      <c r="Z237" s="406" t="str">
        <f t="shared" si="512"/>
        <v xml:space="preserve"> </v>
      </c>
      <c r="AA237" s="254" t="str">
        <f>IF($A237="N/A"," ",IF(VLOOKUP(MONTH(A237),ManualTable,2)=1,(IF(0&lt;&gt;R237,IF(Pricetype=1,(_xll.xSPRDOPT(I237,$E237,$CI237,0,($CD237+IF(Smile=TRUE,VLOOKUP(MAX(-5,$H237-I237),Volsmile,2),0)),$CG237,$CH237,($A237-DateToday)+15,1,1))*(8*$HD237),8*$HD237),0)),0))</f>
        <v xml:space="preserve"> </v>
      </c>
      <c r="AB237" s="254" t="str">
        <f>IF($A237="N/A"," ",IF(VLOOKUP(MONTH(A237),ManualTable,3)=1,(IF(S237&lt;&gt;0,IF(Pricetype=1,(_xll.xSPRDOPT(J237,$E237,$CI237,0,($CD237+IF(Smile=TRUE,VLOOKUP(MAX(-5,$H237-J237),Volsmile,2),0)),$CG237,$CH237,($A237-DateToday)+15,1,1))*(8*$HD237),8*$HD237),0)),0))</f>
        <v xml:space="preserve"> </v>
      </c>
      <c r="AC237" s="254" t="str">
        <f t="shared" si="561"/>
        <v xml:space="preserve"> </v>
      </c>
      <c r="AD237" s="254" t="str">
        <f>IF($A237="N/A"," ",IF(VLOOKUP(MONTH(A237),ManualTable,5)=1,(IF(U237&lt;&gt;0,IF(Pricetype=1,(_xll.xSPRDOPT(L237,$E237,$CI237,0,($CD237+IF(Smile=TRUE,VLOOKUP(MAX(-5,$H237-L237),Volsmile,2),0)),$CG237,$CH237,($A237-DateToday)+15,1,1))*(8*$HE237),8*$HE237),0)),0))</f>
        <v xml:space="preserve"> </v>
      </c>
      <c r="AE237" s="254" t="str">
        <f>IF($A237="N/A"," ",IF(VLOOKUP(MONTH(A237),ManualTable,6)=1,(IF(V237&lt;&gt;0,IF(Pricetype=1,(_xll.xSPRDOPT(M237,$E237,$CI237,0,($CD237+IF(Smile=TRUE,VLOOKUP(MAX(-5,$H237-M237),Volsmile,2),0)),$CG237,$CH237,($A237-DateToday)+15,1,1))*(8*$HE237),8*$HE237),0)),0))</f>
        <v xml:space="preserve"> </v>
      </c>
      <c r="AF237" s="254" t="str">
        <f t="shared" si="562"/>
        <v xml:space="preserve"> </v>
      </c>
      <c r="AG237" s="254" t="str">
        <f>IF($A237="N/A"," ",IF(VLOOKUP(MONTH(A237),ManualTable,8)=1,(IF(X237&lt;&gt;0,IF(Pricetype=1,(_xll.xSPRDOPT(O237,$E237,$CI237,0,($CD237+IF(Smile=TRUE,VLOOKUP(MAX(-5,$H237-O237),Volsmile,2),0)),$CG237,$CH237,($A237-DateToday)+15,1,1))*(8*$HF237),8*$HF237),0)),0))</f>
        <v xml:space="preserve"> </v>
      </c>
      <c r="AH237" s="254" t="str">
        <f>IF($A237="N/A"," ",IF(VLOOKUP(MONTH(A237),ManualTable,9)=1,(IF(Y237&lt;&gt;0,IF(Pricetype=1,(_xll.xSPRDOPT(P237,$E237,$CI237,0,($CD237+IF(Smile=TRUE,VLOOKUP(MAX(-5,$H237-P237),Volsmile,2),0)),$CG237,$CH237,($A237-DateToday)+15,1,1))*(8*$HF237),8*$HF237),0)),0))</f>
        <v xml:space="preserve"> </v>
      </c>
      <c r="AI237" s="254" t="str">
        <f t="shared" si="563"/>
        <v xml:space="preserve"> </v>
      </c>
      <c r="AJ237" s="227" t="str">
        <f t="shared" si="638"/>
        <v xml:space="preserve"> </v>
      </c>
      <c r="AK237" s="228" t="str">
        <f t="shared" si="639"/>
        <v xml:space="preserve"> </v>
      </c>
      <c r="AL237" s="228" t="str">
        <f t="shared" si="639"/>
        <v xml:space="preserve"> </v>
      </c>
      <c r="AM237" s="228" t="str">
        <f t="shared" si="640"/>
        <v xml:space="preserve"> </v>
      </c>
      <c r="AN237" s="228" t="str">
        <f t="shared" si="641"/>
        <v xml:space="preserve"> </v>
      </c>
      <c r="AO237" s="228" t="str">
        <f t="shared" si="641"/>
        <v xml:space="preserve"> </v>
      </c>
      <c r="AP237" s="228" t="str">
        <f t="shared" si="642"/>
        <v xml:space="preserve"> </v>
      </c>
      <c r="AQ237" s="228" t="str">
        <f t="shared" si="643"/>
        <v xml:space="preserve"> </v>
      </c>
      <c r="AR237" s="229" t="str">
        <f t="shared" si="644"/>
        <v xml:space="preserve"> </v>
      </c>
      <c r="AS237" s="262" t="str">
        <f t="shared" si="593"/>
        <v xml:space="preserve"> </v>
      </c>
      <c r="AT237" s="263" t="str">
        <f t="shared" si="594"/>
        <v xml:space="preserve"> </v>
      </c>
      <c r="AU237" s="263" t="str">
        <f t="shared" si="594"/>
        <v xml:space="preserve"> </v>
      </c>
      <c r="AV237" s="263" t="str">
        <f t="shared" si="595"/>
        <v xml:space="preserve"> </v>
      </c>
      <c r="AW237" s="263" t="str">
        <f t="shared" si="596"/>
        <v xml:space="preserve"> </v>
      </c>
      <c r="AX237" s="263" t="str">
        <f t="shared" si="596"/>
        <v xml:space="preserve"> </v>
      </c>
      <c r="AY237" s="263" t="str">
        <f t="shared" si="597"/>
        <v xml:space="preserve"> </v>
      </c>
      <c r="AZ237" s="263" t="str">
        <f t="shared" si="598"/>
        <v xml:space="preserve"> </v>
      </c>
      <c r="BA237" s="263" t="str">
        <f t="shared" si="599"/>
        <v xml:space="preserve"> </v>
      </c>
      <c r="BB237" s="229"/>
      <c r="BC237" s="266" t="str">
        <f t="shared" si="631"/>
        <v xml:space="preserve"> </v>
      </c>
      <c r="BD237" s="269" t="str">
        <f t="shared" si="632"/>
        <v xml:space="preserve"> </v>
      </c>
      <c r="BE237" s="269" t="str">
        <f t="shared" si="632"/>
        <v xml:space="preserve"> </v>
      </c>
      <c r="BF237" s="269" t="str">
        <f t="shared" si="633"/>
        <v xml:space="preserve"> </v>
      </c>
      <c r="BG237" s="269" t="str">
        <f t="shared" si="634"/>
        <v xml:space="preserve"> </v>
      </c>
      <c r="BH237" s="269" t="str">
        <f t="shared" si="634"/>
        <v xml:space="preserve"> </v>
      </c>
      <c r="BI237" s="269" t="str">
        <f t="shared" si="635"/>
        <v xml:space="preserve"> </v>
      </c>
      <c r="BJ237" s="269" t="str">
        <f t="shared" si="636"/>
        <v xml:space="preserve"> </v>
      </c>
      <c r="BK237" s="269" t="str">
        <f t="shared" si="637"/>
        <v xml:space="preserve"> </v>
      </c>
      <c r="BL237" s="229"/>
      <c r="BM237" s="220" t="str">
        <f>IF($A237="N/A"," ",(IF(MONTH(A237)&gt;=4,IF(MONTH(A237)&lt;=10,Inputs!$F$13-Inputs!$G$13,Inputs!$F$14-Inputs!$G$14),Inputs!$F$14-Inputs!$G$14))*$CK237*Availability)</f>
        <v xml:space="preserve"> </v>
      </c>
      <c r="BN237" s="221" t="str">
        <f t="shared" si="571"/>
        <v xml:space="preserve"> </v>
      </c>
      <c r="BO237" s="221" t="str">
        <f t="shared" si="572"/>
        <v xml:space="preserve"> </v>
      </c>
      <c r="BP237" s="221" t="str">
        <f t="shared" si="573"/>
        <v xml:space="preserve"> </v>
      </c>
      <c r="BQ237" s="221" t="str">
        <f t="shared" si="574"/>
        <v xml:space="preserve"> </v>
      </c>
      <c r="BR237" s="221" t="str">
        <f t="shared" si="575"/>
        <v xml:space="preserve"> </v>
      </c>
      <c r="BS237" s="221" t="str">
        <f t="shared" si="576"/>
        <v xml:space="preserve"> </v>
      </c>
      <c r="BT237" s="221" t="str">
        <f t="shared" si="577"/>
        <v xml:space="preserve"> </v>
      </c>
      <c r="BU237" s="221" t="str">
        <f t="shared" si="578"/>
        <v xml:space="preserve"> </v>
      </c>
      <c r="BV237" s="221" t="str">
        <f t="shared" si="579"/>
        <v xml:space="preserve"> </v>
      </c>
      <c r="BW237" s="221" t="str">
        <f t="shared" si="580"/>
        <v xml:space="preserve"> </v>
      </c>
      <c r="BX237" s="421" t="str">
        <f t="shared" si="581"/>
        <v xml:space="preserve"> </v>
      </c>
      <c r="BY237" s="417" t="str">
        <f t="shared" si="582"/>
        <v xml:space="preserve"> </v>
      </c>
      <c r="BZ237" s="417" t="str">
        <f t="shared" si="583"/>
        <v xml:space="preserve"> </v>
      </c>
      <c r="CA237" s="422" t="str">
        <f t="shared" si="584"/>
        <v xml:space="preserve"> </v>
      </c>
      <c r="CB237" s="347" t="str">
        <f t="shared" si="521"/>
        <v xml:space="preserve"> </v>
      </c>
      <c r="CC237" s="347" t="str">
        <f t="shared" si="585"/>
        <v xml:space="preserve"> </v>
      </c>
      <c r="CD237" s="348" t="str">
        <f t="shared" si="522"/>
        <v xml:space="preserve"> </v>
      </c>
      <c r="CE237" s="347" t="str">
        <f t="shared" si="523"/>
        <v xml:space="preserve"> </v>
      </c>
      <c r="CF237" s="347" t="str">
        <f t="shared" si="524"/>
        <v xml:space="preserve"> </v>
      </c>
      <c r="CG237" s="348" t="str">
        <f t="shared" si="525"/>
        <v xml:space="preserve"> </v>
      </c>
      <c r="CH237" s="347" t="str">
        <f t="shared" si="586"/>
        <v xml:space="preserve"> </v>
      </c>
      <c r="CI237" s="349" t="str">
        <f>IF($A237="N/A"," ",F237+G237+(D237*('Pricing Inputs'!T270)))</f>
        <v xml:space="preserve"> </v>
      </c>
      <c r="CJ237" s="347" t="str">
        <f>IF($A237="N/A"," ",IF(PV=1,0,'Pricing Inputs'!U270))</f>
        <v xml:space="preserve"> </v>
      </c>
      <c r="CK237" s="350" t="str">
        <f t="shared" si="526"/>
        <v xml:space="preserve"> </v>
      </c>
      <c r="CL237" s="365" t="str">
        <f t="shared" si="527"/>
        <v xml:space="preserve"> </v>
      </c>
      <c r="CM237" s="380" t="str">
        <f t="shared" si="587"/>
        <v xml:space="preserve"> </v>
      </c>
      <c r="CN237" s="378" t="str">
        <f t="shared" si="528"/>
        <v xml:space="preserve"> </v>
      </c>
      <c r="CO237" s="378" t="str">
        <f t="shared" si="529"/>
        <v xml:space="preserve"> </v>
      </c>
      <c r="CP237" s="378" t="str">
        <f t="shared" si="530"/>
        <v xml:space="preserve"> </v>
      </c>
      <c r="CQ237" s="378" t="str">
        <f t="shared" si="531"/>
        <v xml:space="preserve"> </v>
      </c>
      <c r="CR237" s="378" t="str">
        <f t="shared" si="532"/>
        <v xml:space="preserve"> </v>
      </c>
      <c r="CS237" s="378" t="str">
        <f t="shared" si="533"/>
        <v xml:space="preserve"> </v>
      </c>
      <c r="CT237" s="378" t="str">
        <f t="shared" si="534"/>
        <v xml:space="preserve"> </v>
      </c>
      <c r="CU237" s="378" t="str">
        <f t="shared" si="535"/>
        <v xml:space="preserve"> </v>
      </c>
      <c r="CV237" s="378" t="str">
        <f t="shared" si="536"/>
        <v xml:space="preserve"> </v>
      </c>
      <c r="CW237" s="254" t="str">
        <f t="shared" si="537"/>
        <v xml:space="preserve"> </v>
      </c>
      <c r="CX237" s="254" t="str">
        <f t="shared" si="538"/>
        <v xml:space="preserve"> </v>
      </c>
      <c r="CY237" s="254" t="str">
        <f t="shared" si="539"/>
        <v xml:space="preserve"> </v>
      </c>
      <c r="CZ237" s="254" t="str">
        <f t="shared" si="540"/>
        <v xml:space="preserve"> </v>
      </c>
      <c r="DA237" s="254" t="str">
        <f t="shared" si="541"/>
        <v xml:space="preserve"> </v>
      </c>
      <c r="DB237" s="254" t="str">
        <f t="shared" si="542"/>
        <v xml:space="preserve"> </v>
      </c>
      <c r="DC237" s="254" t="str">
        <f t="shared" si="543"/>
        <v xml:space="preserve"> </v>
      </c>
      <c r="DD237" s="254" t="str">
        <f t="shared" si="544"/>
        <v xml:space="preserve"> </v>
      </c>
      <c r="DE237" s="254" t="str">
        <f t="shared" si="545"/>
        <v xml:space="preserve"> </v>
      </c>
      <c r="DF237" s="374" t="str">
        <f>IF($A237="N/A"," ",IF(CC=2,(IF(MONTH(A237)&gt;=4,IF(MONTH(A237)&lt;=10,Inputs!$G$13,Inputs!$G$14),Inputs!$G$14))*$CK237,0))</f>
        <v xml:space="preserve"> </v>
      </c>
      <c r="DG237" s="373" t="str">
        <f t="shared" si="546"/>
        <v xml:space="preserve"> </v>
      </c>
      <c r="DH237" s="373" t="str">
        <f t="shared" si="547"/>
        <v xml:space="preserve"> </v>
      </c>
      <c r="DI237" s="373" t="str">
        <f t="shared" si="548"/>
        <v xml:space="preserve"> </v>
      </c>
      <c r="DJ237" s="373" t="str">
        <f t="shared" si="549"/>
        <v xml:space="preserve"> </v>
      </c>
      <c r="DK237" s="373" t="str">
        <f t="shared" si="550"/>
        <v xml:space="preserve"> </v>
      </c>
      <c r="DL237" s="373" t="str">
        <f t="shared" si="551"/>
        <v xml:space="preserve"> </v>
      </c>
      <c r="DM237" s="373" t="str">
        <f t="shared" si="552"/>
        <v xml:space="preserve"> </v>
      </c>
      <c r="DN237" s="373" t="str">
        <f t="shared" si="553"/>
        <v xml:space="preserve"> </v>
      </c>
      <c r="DO237" s="373" t="str">
        <f t="shared" si="554"/>
        <v xml:space="preserve"> </v>
      </c>
      <c r="DP237" s="375" t="str">
        <f t="shared" si="555"/>
        <v xml:space="preserve"> </v>
      </c>
      <c r="DQ237" t="str">
        <f t="shared" si="588"/>
        <v xml:space="preserve"> </v>
      </c>
      <c r="HD237" t="str">
        <f t="shared" si="589"/>
        <v xml:space="preserve"> </v>
      </c>
      <c r="HE237" t="str">
        <f t="shared" si="590"/>
        <v xml:space="preserve"> </v>
      </c>
      <c r="HF237" t="str">
        <f t="shared" si="591"/>
        <v xml:space="preserve"> </v>
      </c>
    </row>
    <row r="238" spans="1:214">
      <c r="A238" s="415" t="str">
        <f>IF(A237="N/A","N/A",IF(EDATE(A237,1)&gt;Inputs!$K$3,"N/A",EDATE(A237,1)))</f>
        <v>N/A</v>
      </c>
      <c r="B238" s="410" t="str">
        <f t="shared" si="556"/>
        <v xml:space="preserve"> </v>
      </c>
      <c r="C238" s="411" t="str">
        <f t="shared" si="557"/>
        <v xml:space="preserve"> </v>
      </c>
      <c r="D238" s="412" t="str">
        <f t="shared" si="558"/>
        <v xml:space="preserve"> </v>
      </c>
      <c r="E238" s="413" t="str">
        <f>IF($A238="N/A"," ",(C238-'Pricing Inputs'!T271)*D238)</f>
        <v xml:space="preserve"> </v>
      </c>
      <c r="F238" s="414" t="str">
        <f t="shared" si="607"/>
        <v xml:space="preserve"> </v>
      </c>
      <c r="G238" s="414" t="str">
        <f t="shared" si="559"/>
        <v xml:space="preserve"> </v>
      </c>
      <c r="H238" s="416" t="str">
        <f t="shared" si="560"/>
        <v xml:space="preserve"> </v>
      </c>
      <c r="I238" s="213" t="str">
        <f t="shared" si="501"/>
        <v xml:space="preserve"> </v>
      </c>
      <c r="J238" s="213" t="str">
        <f t="shared" si="502"/>
        <v xml:space="preserve"> </v>
      </c>
      <c r="K238" s="213" t="str">
        <f t="shared" si="503"/>
        <v xml:space="preserve"> </v>
      </c>
      <c r="L238" s="213" t="str">
        <f t="shared" si="504"/>
        <v xml:space="preserve"> </v>
      </c>
      <c r="M238" s="213" t="str">
        <f t="shared" si="505"/>
        <v xml:space="preserve"> </v>
      </c>
      <c r="N238" s="213" t="str">
        <f t="shared" si="506"/>
        <v xml:space="preserve"> </v>
      </c>
      <c r="O238" s="213" t="str">
        <f t="shared" si="507"/>
        <v xml:space="preserve"> </v>
      </c>
      <c r="P238" s="213" t="str">
        <f t="shared" si="508"/>
        <v xml:space="preserve"> </v>
      </c>
      <c r="Q238" s="213" t="str">
        <f t="shared" si="509"/>
        <v xml:space="preserve"> </v>
      </c>
      <c r="R238" s="405" t="str">
        <f>IF($A238="N/A"," ",IF(Pricetype=2,MAX(I238-$H238,0),IF(Pricetype=1,(_xll.xSPRDOPT(I238,$E238,$CI238,0,($CD238+IF(Smile=TRUE,VLOOKUP(MAX(-5,$H238-I238),Volsmile,2),0)),$CG238,$CH238,($A238-DateToday)+15,1,0)),I238-$H238)))</f>
        <v xml:space="preserve"> </v>
      </c>
      <c r="S238" s="405" t="str">
        <f>IF($A238="N/A"," ",IF(Pricetype=2,MAX(J238-$H238,0),IF(Pricetype=1,(_xll.xSPRDOPT(J238,$E238,$CI238,0,($CD238+IF(Smile=TRUE,VLOOKUP(MAX(-5,$H238-J238),Volsmile,2),0)),$CG238,$CH238,($A238-DateToday)+15,1,0)),J238-$H238)))</f>
        <v xml:space="preserve"> </v>
      </c>
      <c r="T238" s="406" t="str">
        <f t="shared" si="510"/>
        <v xml:space="preserve"> </v>
      </c>
      <c r="U238" s="405" t="str">
        <f>IF($A238="N/A"," ",IF(Pricetype=2,MAX(L238-$H238,0),IF(L238&lt;&gt;0,IF(Pricetype=1,(_xll.xSPRDOPT(L238,$E238,$CI238,0,($CD238+IF(Smile=TRUE,VLOOKUP(MAX(-5,$H238-L238),Volsmile,2),0)),$CG238,$CH238,($A238-DateToday)+15,1,0)),L238-$H238),0)))</f>
        <v xml:space="preserve"> </v>
      </c>
      <c r="V238" s="405" t="str">
        <f>IF($A238="N/A"," ",IF(Pricetype=2,MAX(M238-$H238,0),IF(M238&lt;&gt;0,IF(Pricetype=1,(_xll.xSPRDOPT(M238,$E238,$CI238,0,($CD238+IF(Smile=TRUE,VLOOKUP(MAX(-5,$H238-M238),Volsmile,2),0)),$CG238,$CH238,($A238-DateToday)+15,1,0)),M238-$H238),0)))</f>
        <v xml:space="preserve"> </v>
      </c>
      <c r="W238" s="406" t="str">
        <f t="shared" si="511"/>
        <v xml:space="preserve"> </v>
      </c>
      <c r="X238" s="405" t="str">
        <f>IF($A238="N/A"," ",IF(Pricetype=2,MAX(O238-$H238,0),IF(O238&lt;&gt;0,IF(Pricetype=1,(_xll.xSPRDOPT(O238,$E238,$CI238,0,($CD238+IF(Smile=TRUE,VLOOKUP(MAX(-5,$H238-O238),Volsmile,2),0)),$CG238,$CH238,($A238-DateToday)+15,1,0)),O238-$H238),0)))</f>
        <v xml:space="preserve"> </v>
      </c>
      <c r="Y238" s="405" t="str">
        <f>IF($A238="N/A"," ",IF(Pricetype=2,MAX(P238-$H238,0),IF(P238&lt;&gt;0,IF(Pricetype=1,(_xll.xSPRDOPT(P238,$E238,$CI238,0,($CD238+IF(Smile=TRUE,VLOOKUP(MAX(-5,$H238-P238),Volsmile,2),0)),$CG238,$CH238,($A238-DateToday)+15,1,0)),P238-$H238),0)))</f>
        <v xml:space="preserve"> </v>
      </c>
      <c r="Z238" s="406" t="str">
        <f t="shared" si="512"/>
        <v xml:space="preserve"> </v>
      </c>
      <c r="AA238" s="254" t="str">
        <f>IF($A238="N/A"," ",IF(VLOOKUP(MONTH(A238),ManualTable,2)=1,(IF(0&lt;&gt;R238,IF(Pricetype=1,(_xll.xSPRDOPT(I238,$E238,$CI238,0,($CD238+IF(Smile=TRUE,VLOOKUP(MAX(-5,$H238-I238),Volsmile,2),0)),$CG238,$CH238,($A238-DateToday)+15,1,1))*(8*$HD238),8*$HD238),0)),0))</f>
        <v xml:space="preserve"> </v>
      </c>
      <c r="AB238" s="254" t="str">
        <f>IF($A238="N/A"," ",IF(VLOOKUP(MONTH(A238),ManualTable,3)=1,(IF(S238&lt;&gt;0,IF(Pricetype=1,(_xll.xSPRDOPT(J238,$E238,$CI238,0,($CD238+IF(Smile=TRUE,VLOOKUP(MAX(-5,$H238-J238),Volsmile,2),0)),$CG238,$CH238,($A238-DateToday)+15,1,1))*(8*$HD238),8*$HD238),0)),0))</f>
        <v xml:space="preserve"> </v>
      </c>
      <c r="AC238" s="254" t="str">
        <f t="shared" si="561"/>
        <v xml:space="preserve"> </v>
      </c>
      <c r="AD238" s="254" t="str">
        <f>IF($A238="N/A"," ",IF(VLOOKUP(MONTH(A238),ManualTable,5)=1,(IF(U238&lt;&gt;0,IF(Pricetype=1,(_xll.xSPRDOPT(L238,$E238,$CI238,0,($CD238+IF(Smile=TRUE,VLOOKUP(MAX(-5,$H238-L238),Volsmile,2),0)),$CG238,$CH238,($A238-DateToday)+15,1,1))*(8*$HE238),8*$HE238),0)),0))</f>
        <v xml:space="preserve"> </v>
      </c>
      <c r="AE238" s="254" t="str">
        <f>IF($A238="N/A"," ",IF(VLOOKUP(MONTH(A238),ManualTable,6)=1,(IF(V238&lt;&gt;0,IF(Pricetype=1,(_xll.xSPRDOPT(M238,$E238,$CI238,0,($CD238+IF(Smile=TRUE,VLOOKUP(MAX(-5,$H238-M238),Volsmile,2),0)),$CG238,$CH238,($A238-DateToday)+15,1,1))*(8*$HE238),8*$HE238),0)),0))</f>
        <v xml:space="preserve"> </v>
      </c>
      <c r="AF238" s="254" t="str">
        <f t="shared" si="562"/>
        <v xml:space="preserve"> </v>
      </c>
      <c r="AG238" s="254" t="str">
        <f>IF($A238="N/A"," ",IF(VLOOKUP(MONTH(A238),ManualTable,8)=1,(IF(X238&lt;&gt;0,IF(Pricetype=1,(_xll.xSPRDOPT(O238,$E238,$CI238,0,($CD238+IF(Smile=TRUE,VLOOKUP(MAX(-5,$H238-O238),Volsmile,2),0)),$CG238,$CH238,($A238-DateToday)+15,1,1))*(8*$HF238),8*$HF238),0)),0))</f>
        <v xml:space="preserve"> </v>
      </c>
      <c r="AH238" s="254" t="str">
        <f>IF($A238="N/A"," ",IF(VLOOKUP(MONTH(A238),ManualTable,9)=1,(IF(Y238&lt;&gt;0,IF(Pricetype=1,(_xll.xSPRDOPT(P238,$E238,$CI238,0,($CD238+IF(Smile=TRUE,VLOOKUP(MAX(-5,$H238-P238),Volsmile,2),0)),$CG238,$CH238,($A238-DateToday)+15,1,1))*(8*$HF238),8*$HF238),0)),0))</f>
        <v xml:space="preserve"> </v>
      </c>
      <c r="AI238" s="254" t="str">
        <f t="shared" si="563"/>
        <v xml:space="preserve"> </v>
      </c>
      <c r="AJ238" s="227" t="str">
        <f t="shared" si="638"/>
        <v xml:space="preserve"> </v>
      </c>
      <c r="AK238" s="228" t="str">
        <f t="shared" si="639"/>
        <v xml:space="preserve"> </v>
      </c>
      <c r="AL238" s="228" t="str">
        <f t="shared" si="639"/>
        <v xml:space="preserve"> </v>
      </c>
      <c r="AM238" s="228" t="str">
        <f t="shared" si="640"/>
        <v xml:space="preserve"> </v>
      </c>
      <c r="AN238" s="228" t="str">
        <f t="shared" si="641"/>
        <v xml:space="preserve"> </v>
      </c>
      <c r="AO238" s="228" t="str">
        <f t="shared" si="641"/>
        <v xml:space="preserve"> </v>
      </c>
      <c r="AP238" s="228" t="str">
        <f t="shared" si="642"/>
        <v xml:space="preserve"> </v>
      </c>
      <c r="AQ238" s="228" t="str">
        <f t="shared" si="643"/>
        <v xml:space="preserve"> </v>
      </c>
      <c r="AR238" s="229" t="str">
        <f t="shared" si="644"/>
        <v xml:space="preserve"> </v>
      </c>
      <c r="AS238" s="262" t="str">
        <f t="shared" si="593"/>
        <v xml:space="preserve"> </v>
      </c>
      <c r="AT238" s="263" t="str">
        <f t="shared" si="594"/>
        <v xml:space="preserve"> </v>
      </c>
      <c r="AU238" s="263" t="str">
        <f t="shared" si="594"/>
        <v xml:space="preserve"> </v>
      </c>
      <c r="AV238" s="263" t="str">
        <f t="shared" si="595"/>
        <v xml:space="preserve"> </v>
      </c>
      <c r="AW238" s="263" t="str">
        <f t="shared" si="596"/>
        <v xml:space="preserve"> </v>
      </c>
      <c r="AX238" s="263" t="str">
        <f t="shared" si="596"/>
        <v xml:space="preserve"> </v>
      </c>
      <c r="AY238" s="263" t="str">
        <f t="shared" si="597"/>
        <v xml:space="preserve"> </v>
      </c>
      <c r="AZ238" s="263" t="str">
        <f t="shared" si="598"/>
        <v xml:space="preserve"> </v>
      </c>
      <c r="BA238" s="263" t="str">
        <f t="shared" si="599"/>
        <v xml:space="preserve"> </v>
      </c>
      <c r="BB238" s="229"/>
      <c r="BC238" s="266" t="str">
        <f t="shared" si="631"/>
        <v xml:space="preserve"> </v>
      </c>
      <c r="BD238" s="269" t="str">
        <f t="shared" si="632"/>
        <v xml:space="preserve"> </v>
      </c>
      <c r="BE238" s="269" t="str">
        <f t="shared" si="632"/>
        <v xml:space="preserve"> </v>
      </c>
      <c r="BF238" s="269" t="str">
        <f t="shared" si="633"/>
        <v xml:space="preserve"> </v>
      </c>
      <c r="BG238" s="269" t="str">
        <f t="shared" si="634"/>
        <v xml:space="preserve"> </v>
      </c>
      <c r="BH238" s="269" t="str">
        <f t="shared" si="634"/>
        <v xml:space="preserve"> </v>
      </c>
      <c r="BI238" s="269" t="str">
        <f t="shared" si="635"/>
        <v xml:space="preserve"> </v>
      </c>
      <c r="BJ238" s="269" t="str">
        <f t="shared" si="636"/>
        <v xml:space="preserve"> </v>
      </c>
      <c r="BK238" s="269" t="str">
        <f t="shared" si="637"/>
        <v xml:space="preserve"> </v>
      </c>
      <c r="BL238" s="229"/>
      <c r="BM238" s="220" t="str">
        <f>IF($A238="N/A"," ",(IF(MONTH(A238)&gt;=4,IF(MONTH(A238)&lt;=10,Inputs!$F$13-Inputs!$G$13,Inputs!$F$14-Inputs!$G$14),Inputs!$F$14-Inputs!$G$14))*$CK238*Availability)</f>
        <v xml:space="preserve"> </v>
      </c>
      <c r="BN238" s="221" t="str">
        <f t="shared" si="571"/>
        <v xml:space="preserve"> </v>
      </c>
      <c r="BO238" s="221" t="str">
        <f t="shared" si="572"/>
        <v xml:space="preserve"> </v>
      </c>
      <c r="BP238" s="221" t="str">
        <f t="shared" si="573"/>
        <v xml:space="preserve"> </v>
      </c>
      <c r="BQ238" s="221" t="str">
        <f t="shared" si="574"/>
        <v xml:space="preserve"> </v>
      </c>
      <c r="BR238" s="221" t="str">
        <f t="shared" si="575"/>
        <v xml:space="preserve"> </v>
      </c>
      <c r="BS238" s="221" t="str">
        <f t="shared" si="576"/>
        <v xml:space="preserve"> </v>
      </c>
      <c r="BT238" s="221" t="str">
        <f t="shared" si="577"/>
        <v xml:space="preserve"> </v>
      </c>
      <c r="BU238" s="221" t="str">
        <f t="shared" si="578"/>
        <v xml:space="preserve"> </v>
      </c>
      <c r="BV238" s="221" t="str">
        <f t="shared" si="579"/>
        <v xml:space="preserve"> </v>
      </c>
      <c r="BW238" s="221" t="str">
        <f t="shared" si="580"/>
        <v xml:space="preserve"> </v>
      </c>
      <c r="BX238" s="421" t="str">
        <f t="shared" si="581"/>
        <v xml:space="preserve"> </v>
      </c>
      <c r="BY238" s="417" t="str">
        <f t="shared" si="582"/>
        <v xml:space="preserve"> </v>
      </c>
      <c r="BZ238" s="417" t="str">
        <f t="shared" si="583"/>
        <v xml:space="preserve"> </v>
      </c>
      <c r="CA238" s="422" t="str">
        <f t="shared" si="584"/>
        <v xml:space="preserve"> </v>
      </c>
      <c r="CB238" s="347" t="str">
        <f t="shared" si="521"/>
        <v xml:space="preserve"> </v>
      </c>
      <c r="CC238" s="347" t="str">
        <f t="shared" si="585"/>
        <v xml:space="preserve"> </v>
      </c>
      <c r="CD238" s="348" t="str">
        <f t="shared" si="522"/>
        <v xml:space="preserve"> </v>
      </c>
      <c r="CE238" s="347" t="str">
        <f t="shared" si="523"/>
        <v xml:space="preserve"> </v>
      </c>
      <c r="CF238" s="347" t="str">
        <f t="shared" si="524"/>
        <v xml:space="preserve"> </v>
      </c>
      <c r="CG238" s="348" t="str">
        <f t="shared" si="525"/>
        <v xml:space="preserve"> </v>
      </c>
      <c r="CH238" s="347" t="str">
        <f t="shared" si="586"/>
        <v xml:space="preserve"> </v>
      </c>
      <c r="CI238" s="349" t="str">
        <f>IF($A238="N/A"," ",F238+G238+(D238*('Pricing Inputs'!T271)))</f>
        <v xml:space="preserve"> </v>
      </c>
      <c r="CJ238" s="347" t="str">
        <f>IF($A238="N/A"," ",IF(PV=1,0,'Pricing Inputs'!U271))</f>
        <v xml:space="preserve"> </v>
      </c>
      <c r="CK238" s="350" t="str">
        <f t="shared" si="526"/>
        <v xml:space="preserve"> </v>
      </c>
      <c r="CL238" s="365" t="str">
        <f t="shared" si="527"/>
        <v xml:space="preserve"> </v>
      </c>
      <c r="CM238" s="380" t="str">
        <f t="shared" si="587"/>
        <v xml:space="preserve"> </v>
      </c>
      <c r="CN238" s="378" t="str">
        <f t="shared" si="528"/>
        <v xml:space="preserve"> </v>
      </c>
      <c r="CO238" s="378" t="str">
        <f t="shared" si="529"/>
        <v xml:space="preserve"> </v>
      </c>
      <c r="CP238" s="378" t="str">
        <f t="shared" si="530"/>
        <v xml:space="preserve"> </v>
      </c>
      <c r="CQ238" s="378" t="str">
        <f t="shared" si="531"/>
        <v xml:space="preserve"> </v>
      </c>
      <c r="CR238" s="378" t="str">
        <f t="shared" si="532"/>
        <v xml:space="preserve"> </v>
      </c>
      <c r="CS238" s="378" t="str">
        <f t="shared" si="533"/>
        <v xml:space="preserve"> </v>
      </c>
      <c r="CT238" s="378" t="str">
        <f t="shared" si="534"/>
        <v xml:space="preserve"> </v>
      </c>
      <c r="CU238" s="378" t="str">
        <f t="shared" si="535"/>
        <v xml:space="preserve"> </v>
      </c>
      <c r="CV238" s="378" t="str">
        <f t="shared" si="536"/>
        <v xml:space="preserve"> </v>
      </c>
      <c r="CW238" s="254" t="str">
        <f t="shared" si="537"/>
        <v xml:space="preserve"> </v>
      </c>
      <c r="CX238" s="254" t="str">
        <f t="shared" si="538"/>
        <v xml:space="preserve"> </v>
      </c>
      <c r="CY238" s="254" t="str">
        <f t="shared" si="539"/>
        <v xml:space="preserve"> </v>
      </c>
      <c r="CZ238" s="254" t="str">
        <f t="shared" si="540"/>
        <v xml:space="preserve"> </v>
      </c>
      <c r="DA238" s="254" t="str">
        <f t="shared" si="541"/>
        <v xml:space="preserve"> </v>
      </c>
      <c r="DB238" s="254" t="str">
        <f t="shared" si="542"/>
        <v xml:space="preserve"> </v>
      </c>
      <c r="DC238" s="254" t="str">
        <f t="shared" si="543"/>
        <v xml:space="preserve"> </v>
      </c>
      <c r="DD238" s="254" t="str">
        <f t="shared" si="544"/>
        <v xml:space="preserve"> </v>
      </c>
      <c r="DE238" s="254" t="str">
        <f t="shared" si="545"/>
        <v xml:space="preserve"> </v>
      </c>
      <c r="DF238" s="374" t="str">
        <f>IF($A238="N/A"," ",IF(CC=2,(IF(MONTH(A238)&gt;=4,IF(MONTH(A238)&lt;=10,Inputs!$G$13,Inputs!$G$14),Inputs!$G$14))*$CK238,0))</f>
        <v xml:space="preserve"> </v>
      </c>
      <c r="DG238" s="373" t="str">
        <f t="shared" si="546"/>
        <v xml:space="preserve"> </v>
      </c>
      <c r="DH238" s="373" t="str">
        <f t="shared" si="547"/>
        <v xml:space="preserve"> </v>
      </c>
      <c r="DI238" s="373" t="str">
        <f t="shared" si="548"/>
        <v xml:space="preserve"> </v>
      </c>
      <c r="DJ238" s="373" t="str">
        <f t="shared" si="549"/>
        <v xml:space="preserve"> </v>
      </c>
      <c r="DK238" s="373" t="str">
        <f t="shared" si="550"/>
        <v xml:space="preserve"> </v>
      </c>
      <c r="DL238" s="373" t="str">
        <f t="shared" si="551"/>
        <v xml:space="preserve"> </v>
      </c>
      <c r="DM238" s="373" t="str">
        <f t="shared" si="552"/>
        <v xml:space="preserve"> </v>
      </c>
      <c r="DN238" s="373" t="str">
        <f t="shared" si="553"/>
        <v xml:space="preserve"> </v>
      </c>
      <c r="DO238" s="373" t="str">
        <f t="shared" si="554"/>
        <v xml:space="preserve"> </v>
      </c>
      <c r="DP238" s="375" t="str">
        <f t="shared" si="555"/>
        <v xml:space="preserve"> </v>
      </c>
      <c r="DQ238" t="str">
        <f t="shared" si="588"/>
        <v xml:space="preserve"> </v>
      </c>
      <c r="HD238" t="str">
        <f t="shared" si="589"/>
        <v xml:space="preserve"> </v>
      </c>
      <c r="HE238" t="str">
        <f t="shared" si="590"/>
        <v xml:space="preserve"> </v>
      </c>
      <c r="HF238" t="str">
        <f t="shared" si="591"/>
        <v xml:space="preserve"> </v>
      </c>
    </row>
    <row r="239" spans="1:214">
      <c r="A239" s="415" t="str">
        <f>IF(A238="N/A","N/A",IF(EDATE(A238,1)&gt;Inputs!$K$3,"N/A",EDATE(A238,1)))</f>
        <v>N/A</v>
      </c>
      <c r="B239" s="410" t="str">
        <f t="shared" si="556"/>
        <v xml:space="preserve"> </v>
      </c>
      <c r="C239" s="411" t="str">
        <f t="shared" si="557"/>
        <v xml:space="preserve"> </v>
      </c>
      <c r="D239" s="412" t="str">
        <f t="shared" si="558"/>
        <v xml:space="preserve"> </v>
      </c>
      <c r="E239" s="413" t="str">
        <f>IF($A239="N/A"," ",(C239-'Pricing Inputs'!T272)*D239)</f>
        <v xml:space="preserve"> </v>
      </c>
      <c r="F239" s="414" t="str">
        <f t="shared" si="607"/>
        <v xml:space="preserve"> </v>
      </c>
      <c r="G239" s="414" t="str">
        <f t="shared" si="559"/>
        <v xml:space="preserve"> </v>
      </c>
      <c r="H239" s="416" t="str">
        <f t="shared" si="560"/>
        <v xml:space="preserve"> </v>
      </c>
      <c r="I239" s="213" t="str">
        <f t="shared" si="501"/>
        <v xml:space="preserve"> </v>
      </c>
      <c r="J239" s="213" t="str">
        <f t="shared" si="502"/>
        <v xml:space="preserve"> </v>
      </c>
      <c r="K239" s="213" t="str">
        <f t="shared" si="503"/>
        <v xml:space="preserve"> </v>
      </c>
      <c r="L239" s="213" t="str">
        <f t="shared" si="504"/>
        <v xml:space="preserve"> </v>
      </c>
      <c r="M239" s="213" t="str">
        <f t="shared" si="505"/>
        <v xml:space="preserve"> </v>
      </c>
      <c r="N239" s="213" t="str">
        <f t="shared" si="506"/>
        <v xml:space="preserve"> </v>
      </c>
      <c r="O239" s="213" t="str">
        <f t="shared" si="507"/>
        <v xml:space="preserve"> </v>
      </c>
      <c r="P239" s="213" t="str">
        <f t="shared" si="508"/>
        <v xml:space="preserve"> </v>
      </c>
      <c r="Q239" s="213" t="str">
        <f t="shared" si="509"/>
        <v xml:space="preserve"> </v>
      </c>
      <c r="R239" s="405" t="str">
        <f>IF($A239="N/A"," ",IF(Pricetype=2,MAX(I239-$H239,0),IF(Pricetype=1,(_xll.xSPRDOPT(I239,$E239,$CI239,0,($CD239+IF(Smile=TRUE,VLOOKUP(MAX(-5,$H239-I239),Volsmile,2),0)),$CG239,$CH239,($A239-DateToday)+15,1,0)),I239-$H239)))</f>
        <v xml:space="preserve"> </v>
      </c>
      <c r="S239" s="405" t="str">
        <f>IF($A239="N/A"," ",IF(Pricetype=2,MAX(J239-$H239,0),IF(Pricetype=1,(_xll.xSPRDOPT(J239,$E239,$CI239,0,($CD239+IF(Smile=TRUE,VLOOKUP(MAX(-5,$H239-J239),Volsmile,2),0)),$CG239,$CH239,($A239-DateToday)+15,1,0)),J239-$H239)))</f>
        <v xml:space="preserve"> </v>
      </c>
      <c r="T239" s="406" t="str">
        <f t="shared" si="510"/>
        <v xml:space="preserve"> </v>
      </c>
      <c r="U239" s="405" t="str">
        <f>IF($A239="N/A"," ",IF(Pricetype=2,MAX(L239-$H239,0),IF(L239&lt;&gt;0,IF(Pricetype=1,(_xll.xSPRDOPT(L239,$E239,$CI239,0,($CD239+IF(Smile=TRUE,VLOOKUP(MAX(-5,$H239-L239),Volsmile,2),0)),$CG239,$CH239,($A239-DateToday)+15,1,0)),L239-$H239),0)))</f>
        <v xml:space="preserve"> </v>
      </c>
      <c r="V239" s="405" t="str">
        <f>IF($A239="N/A"," ",IF(Pricetype=2,MAX(M239-$H239,0),IF(M239&lt;&gt;0,IF(Pricetype=1,(_xll.xSPRDOPT(M239,$E239,$CI239,0,($CD239+IF(Smile=TRUE,VLOOKUP(MAX(-5,$H239-M239),Volsmile,2),0)),$CG239,$CH239,($A239-DateToday)+15,1,0)),M239-$H239),0)))</f>
        <v xml:space="preserve"> </v>
      </c>
      <c r="W239" s="406" t="str">
        <f t="shared" si="511"/>
        <v xml:space="preserve"> </v>
      </c>
      <c r="X239" s="405" t="str">
        <f>IF($A239="N/A"," ",IF(Pricetype=2,MAX(O239-$H239,0),IF(O239&lt;&gt;0,IF(Pricetype=1,(_xll.xSPRDOPT(O239,$E239,$CI239,0,($CD239+IF(Smile=TRUE,VLOOKUP(MAX(-5,$H239-O239),Volsmile,2),0)),$CG239,$CH239,($A239-DateToday)+15,1,0)),O239-$H239),0)))</f>
        <v xml:space="preserve"> </v>
      </c>
      <c r="Y239" s="405" t="str">
        <f>IF($A239="N/A"," ",IF(Pricetype=2,MAX(P239-$H239,0),IF(P239&lt;&gt;0,IF(Pricetype=1,(_xll.xSPRDOPT(P239,$E239,$CI239,0,($CD239+IF(Smile=TRUE,VLOOKUP(MAX(-5,$H239-P239),Volsmile,2),0)),$CG239,$CH239,($A239-DateToday)+15,1,0)),P239-$H239),0)))</f>
        <v xml:space="preserve"> </v>
      </c>
      <c r="Z239" s="406" t="str">
        <f t="shared" si="512"/>
        <v xml:space="preserve"> </v>
      </c>
      <c r="AA239" s="254" t="str">
        <f>IF($A239="N/A"," ",IF(VLOOKUP(MONTH(A239),ManualTable,2)=1,(IF(0&lt;&gt;R239,IF(Pricetype=1,(_xll.xSPRDOPT(I239,$E239,$CI239,0,($CD239+IF(Smile=TRUE,VLOOKUP(MAX(-5,$H239-I239),Volsmile,2),0)),$CG239,$CH239,($A239-DateToday)+15,1,1))*(8*$HD239),8*$HD239),0)),0))</f>
        <v xml:space="preserve"> </v>
      </c>
      <c r="AB239" s="254" t="str">
        <f>IF($A239="N/A"," ",IF(VLOOKUP(MONTH(A239),ManualTable,3)=1,(IF(S239&lt;&gt;0,IF(Pricetype=1,(_xll.xSPRDOPT(J239,$E239,$CI239,0,($CD239+IF(Smile=TRUE,VLOOKUP(MAX(-5,$H239-J239),Volsmile,2),0)),$CG239,$CH239,($A239-DateToday)+15,1,1))*(8*$HD239),8*$HD239),0)),0))</f>
        <v xml:space="preserve"> </v>
      </c>
      <c r="AC239" s="254" t="str">
        <f t="shared" si="561"/>
        <v xml:space="preserve"> </v>
      </c>
      <c r="AD239" s="254" t="str">
        <f>IF($A239="N/A"," ",IF(VLOOKUP(MONTH(A239),ManualTable,5)=1,(IF(U239&lt;&gt;0,IF(Pricetype=1,(_xll.xSPRDOPT(L239,$E239,$CI239,0,($CD239+IF(Smile=TRUE,VLOOKUP(MAX(-5,$H239-L239),Volsmile,2),0)),$CG239,$CH239,($A239-DateToday)+15,1,1))*(8*$HE239),8*$HE239),0)),0))</f>
        <v xml:space="preserve"> </v>
      </c>
      <c r="AE239" s="254" t="str">
        <f>IF($A239="N/A"," ",IF(VLOOKUP(MONTH(A239),ManualTable,6)=1,(IF(V239&lt;&gt;0,IF(Pricetype=1,(_xll.xSPRDOPT(M239,$E239,$CI239,0,($CD239+IF(Smile=TRUE,VLOOKUP(MAX(-5,$H239-M239),Volsmile,2),0)),$CG239,$CH239,($A239-DateToday)+15,1,1))*(8*$HE239),8*$HE239),0)),0))</f>
        <v xml:space="preserve"> </v>
      </c>
      <c r="AF239" s="254" t="str">
        <f t="shared" si="562"/>
        <v xml:space="preserve"> </v>
      </c>
      <c r="AG239" s="254" t="str">
        <f>IF($A239="N/A"," ",IF(VLOOKUP(MONTH(A239),ManualTable,8)=1,(IF(X239&lt;&gt;0,IF(Pricetype=1,(_xll.xSPRDOPT(O239,$E239,$CI239,0,($CD239+IF(Smile=TRUE,VLOOKUP(MAX(-5,$H239-O239),Volsmile,2),0)),$CG239,$CH239,($A239-DateToday)+15,1,1))*(8*$HF239),8*$HF239),0)),0))</f>
        <v xml:space="preserve"> </v>
      </c>
      <c r="AH239" s="254" t="str">
        <f>IF($A239="N/A"," ",IF(VLOOKUP(MONTH(A239),ManualTable,9)=1,(IF(Y239&lt;&gt;0,IF(Pricetype=1,(_xll.xSPRDOPT(P239,$E239,$CI239,0,($CD239+IF(Smile=TRUE,VLOOKUP(MAX(-5,$H239-P239),Volsmile,2),0)),$CG239,$CH239,($A239-DateToday)+15,1,1))*(8*$HF239),8*$HF239),0)),0))</f>
        <v xml:space="preserve"> </v>
      </c>
      <c r="AI239" s="254" t="str">
        <f t="shared" si="563"/>
        <v xml:space="preserve"> </v>
      </c>
      <c r="AJ239" s="227" t="str">
        <f t="shared" si="638"/>
        <v xml:space="preserve"> </v>
      </c>
      <c r="AK239" s="228" t="str">
        <f t="shared" si="639"/>
        <v xml:space="preserve"> </v>
      </c>
      <c r="AL239" s="228" t="str">
        <f t="shared" si="639"/>
        <v xml:space="preserve"> </v>
      </c>
      <c r="AM239" s="228" t="str">
        <f t="shared" si="640"/>
        <v xml:space="preserve"> </v>
      </c>
      <c r="AN239" s="228" t="str">
        <f t="shared" si="641"/>
        <v xml:space="preserve"> </v>
      </c>
      <c r="AO239" s="228" t="str">
        <f t="shared" si="641"/>
        <v xml:space="preserve"> </v>
      </c>
      <c r="AP239" s="228" t="str">
        <f t="shared" si="642"/>
        <v xml:space="preserve"> </v>
      </c>
      <c r="AQ239" s="228" t="str">
        <f t="shared" si="643"/>
        <v xml:space="preserve"> </v>
      </c>
      <c r="AR239" s="229" t="str">
        <f t="shared" si="644"/>
        <v xml:space="preserve"> </v>
      </c>
      <c r="AS239" s="262" t="str">
        <f t="shared" si="593"/>
        <v xml:space="preserve"> </v>
      </c>
      <c r="AT239" s="263" t="str">
        <f t="shared" si="594"/>
        <v xml:space="preserve"> </v>
      </c>
      <c r="AU239" s="263" t="str">
        <f t="shared" si="594"/>
        <v xml:space="preserve"> </v>
      </c>
      <c r="AV239" s="263" t="str">
        <f t="shared" si="595"/>
        <v xml:space="preserve"> </v>
      </c>
      <c r="AW239" s="263" t="str">
        <f t="shared" si="596"/>
        <v xml:space="preserve"> </v>
      </c>
      <c r="AX239" s="263" t="str">
        <f t="shared" si="596"/>
        <v xml:space="preserve"> </v>
      </c>
      <c r="AY239" s="263" t="str">
        <f t="shared" si="597"/>
        <v xml:space="preserve"> </v>
      </c>
      <c r="AZ239" s="263" t="str">
        <f t="shared" si="598"/>
        <v xml:space="preserve"> </v>
      </c>
      <c r="BA239" s="263" t="str">
        <f t="shared" si="599"/>
        <v xml:space="preserve"> </v>
      </c>
      <c r="BB239" s="229"/>
      <c r="BC239" s="266" t="str">
        <f t="shared" si="631"/>
        <v xml:space="preserve"> </v>
      </c>
      <c r="BD239" s="269" t="str">
        <f t="shared" si="632"/>
        <v xml:space="preserve"> </v>
      </c>
      <c r="BE239" s="269" t="str">
        <f t="shared" si="632"/>
        <v xml:space="preserve"> </v>
      </c>
      <c r="BF239" s="269" t="str">
        <f t="shared" si="633"/>
        <v xml:space="preserve"> </v>
      </c>
      <c r="BG239" s="269" t="str">
        <f t="shared" si="634"/>
        <v xml:space="preserve"> </v>
      </c>
      <c r="BH239" s="269" t="str">
        <f t="shared" si="634"/>
        <v xml:space="preserve"> </v>
      </c>
      <c r="BI239" s="269" t="str">
        <f t="shared" si="635"/>
        <v xml:space="preserve"> </v>
      </c>
      <c r="BJ239" s="269" t="str">
        <f t="shared" si="636"/>
        <v xml:space="preserve"> </v>
      </c>
      <c r="BK239" s="269" t="str">
        <f t="shared" si="637"/>
        <v xml:space="preserve"> </v>
      </c>
      <c r="BL239" s="229"/>
      <c r="BM239" s="220" t="str">
        <f>IF($A239="N/A"," ",(IF(MONTH(A239)&gt;=4,IF(MONTH(A239)&lt;=10,Inputs!$F$13-Inputs!$G$13,Inputs!$F$14-Inputs!$G$14),Inputs!$F$14-Inputs!$G$14))*$CK239*Availability)</f>
        <v xml:space="preserve"> </v>
      </c>
      <c r="BN239" s="221" t="str">
        <f t="shared" si="571"/>
        <v xml:space="preserve"> </v>
      </c>
      <c r="BO239" s="221" t="str">
        <f t="shared" si="572"/>
        <v xml:space="preserve"> </v>
      </c>
      <c r="BP239" s="221" t="str">
        <f t="shared" si="573"/>
        <v xml:space="preserve"> </v>
      </c>
      <c r="BQ239" s="221" t="str">
        <f t="shared" si="574"/>
        <v xml:space="preserve"> </v>
      </c>
      <c r="BR239" s="221" t="str">
        <f t="shared" si="575"/>
        <v xml:space="preserve"> </v>
      </c>
      <c r="BS239" s="221" t="str">
        <f t="shared" si="576"/>
        <v xml:space="preserve"> </v>
      </c>
      <c r="BT239" s="221" t="str">
        <f t="shared" si="577"/>
        <v xml:space="preserve"> </v>
      </c>
      <c r="BU239" s="221" t="str">
        <f t="shared" si="578"/>
        <v xml:space="preserve"> </v>
      </c>
      <c r="BV239" s="221" t="str">
        <f t="shared" si="579"/>
        <v xml:space="preserve"> </v>
      </c>
      <c r="BW239" s="221" t="str">
        <f t="shared" si="580"/>
        <v xml:space="preserve"> </v>
      </c>
      <c r="BX239" s="421" t="str">
        <f t="shared" si="581"/>
        <v xml:space="preserve"> </v>
      </c>
      <c r="BY239" s="417" t="str">
        <f t="shared" si="582"/>
        <v xml:space="preserve"> </v>
      </c>
      <c r="BZ239" s="417" t="str">
        <f t="shared" si="583"/>
        <v xml:space="preserve"> </v>
      </c>
      <c r="CA239" s="422" t="str">
        <f t="shared" si="584"/>
        <v xml:space="preserve"> </v>
      </c>
      <c r="CB239" s="347" t="str">
        <f t="shared" si="521"/>
        <v xml:space="preserve"> </v>
      </c>
      <c r="CC239" s="347" t="str">
        <f t="shared" si="585"/>
        <v xml:space="preserve"> </v>
      </c>
      <c r="CD239" s="348" t="str">
        <f t="shared" si="522"/>
        <v xml:space="preserve"> </v>
      </c>
      <c r="CE239" s="347" t="str">
        <f t="shared" si="523"/>
        <v xml:space="preserve"> </v>
      </c>
      <c r="CF239" s="347" t="str">
        <f t="shared" si="524"/>
        <v xml:space="preserve"> </v>
      </c>
      <c r="CG239" s="348" t="str">
        <f t="shared" si="525"/>
        <v xml:space="preserve"> </v>
      </c>
      <c r="CH239" s="347" t="str">
        <f t="shared" si="586"/>
        <v xml:space="preserve"> </v>
      </c>
      <c r="CI239" s="349" t="str">
        <f>IF($A239="N/A"," ",F239+G239+(D239*('Pricing Inputs'!T272)))</f>
        <v xml:space="preserve"> </v>
      </c>
      <c r="CJ239" s="347" t="str">
        <f>IF($A239="N/A"," ",IF(PV=1,0,'Pricing Inputs'!U272))</f>
        <v xml:space="preserve"> </v>
      </c>
      <c r="CK239" s="350" t="str">
        <f t="shared" si="526"/>
        <v xml:space="preserve"> </v>
      </c>
      <c r="CL239" s="365" t="str">
        <f t="shared" si="527"/>
        <v xml:space="preserve"> </v>
      </c>
      <c r="CM239" s="380" t="str">
        <f t="shared" si="587"/>
        <v xml:space="preserve"> </v>
      </c>
      <c r="CN239" s="378" t="str">
        <f t="shared" si="528"/>
        <v xml:space="preserve"> </v>
      </c>
      <c r="CO239" s="378" t="str">
        <f t="shared" si="529"/>
        <v xml:space="preserve"> </v>
      </c>
      <c r="CP239" s="378" t="str">
        <f t="shared" si="530"/>
        <v xml:space="preserve"> </v>
      </c>
      <c r="CQ239" s="378" t="str">
        <f t="shared" si="531"/>
        <v xml:space="preserve"> </v>
      </c>
      <c r="CR239" s="378" t="str">
        <f t="shared" si="532"/>
        <v xml:space="preserve"> </v>
      </c>
      <c r="CS239" s="378" t="str">
        <f t="shared" si="533"/>
        <v xml:space="preserve"> </v>
      </c>
      <c r="CT239" s="378" t="str">
        <f t="shared" si="534"/>
        <v xml:space="preserve"> </v>
      </c>
      <c r="CU239" s="378" t="str">
        <f t="shared" si="535"/>
        <v xml:space="preserve"> </v>
      </c>
      <c r="CV239" s="378" t="str">
        <f t="shared" si="536"/>
        <v xml:space="preserve"> </v>
      </c>
      <c r="CW239" s="254" t="str">
        <f t="shared" si="537"/>
        <v xml:space="preserve"> </v>
      </c>
      <c r="CX239" s="254" t="str">
        <f t="shared" si="538"/>
        <v xml:space="preserve"> </v>
      </c>
      <c r="CY239" s="254" t="str">
        <f t="shared" si="539"/>
        <v xml:space="preserve"> </v>
      </c>
      <c r="CZ239" s="254" t="str">
        <f t="shared" si="540"/>
        <v xml:space="preserve"> </v>
      </c>
      <c r="DA239" s="254" t="str">
        <f t="shared" si="541"/>
        <v xml:space="preserve"> </v>
      </c>
      <c r="DB239" s="254" t="str">
        <f t="shared" si="542"/>
        <v xml:space="preserve"> </v>
      </c>
      <c r="DC239" s="254" t="str">
        <f t="shared" si="543"/>
        <v xml:space="preserve"> </v>
      </c>
      <c r="DD239" s="254" t="str">
        <f t="shared" si="544"/>
        <v xml:space="preserve"> </v>
      </c>
      <c r="DE239" s="254" t="str">
        <f t="shared" si="545"/>
        <v xml:space="preserve"> </v>
      </c>
      <c r="DF239" s="374" t="str">
        <f>IF($A239="N/A"," ",IF(CC=2,(IF(MONTH(A239)&gt;=4,IF(MONTH(A239)&lt;=10,Inputs!$G$13,Inputs!$G$14),Inputs!$G$14))*$CK239,0))</f>
        <v xml:space="preserve"> </v>
      </c>
      <c r="DG239" s="373" t="str">
        <f t="shared" si="546"/>
        <v xml:space="preserve"> </v>
      </c>
      <c r="DH239" s="373" t="str">
        <f t="shared" si="547"/>
        <v xml:space="preserve"> </v>
      </c>
      <c r="DI239" s="373" t="str">
        <f t="shared" si="548"/>
        <v xml:space="preserve"> </v>
      </c>
      <c r="DJ239" s="373" t="str">
        <f t="shared" si="549"/>
        <v xml:space="preserve"> </v>
      </c>
      <c r="DK239" s="373" t="str">
        <f t="shared" si="550"/>
        <v xml:space="preserve"> </v>
      </c>
      <c r="DL239" s="373" t="str">
        <f t="shared" si="551"/>
        <v xml:space="preserve"> </v>
      </c>
      <c r="DM239" s="373" t="str">
        <f t="shared" si="552"/>
        <v xml:space="preserve"> </v>
      </c>
      <c r="DN239" s="373" t="str">
        <f t="shared" si="553"/>
        <v xml:space="preserve"> </v>
      </c>
      <c r="DO239" s="373" t="str">
        <f t="shared" si="554"/>
        <v xml:space="preserve"> </v>
      </c>
      <c r="DP239" s="375" t="str">
        <f t="shared" si="555"/>
        <v xml:space="preserve"> </v>
      </c>
      <c r="DQ239" t="str">
        <f t="shared" si="588"/>
        <v xml:space="preserve"> </v>
      </c>
      <c r="HD239" t="str">
        <f t="shared" si="589"/>
        <v xml:space="preserve"> </v>
      </c>
      <c r="HE239" t="str">
        <f t="shared" si="590"/>
        <v xml:space="preserve"> </v>
      </c>
      <c r="HF239" t="str">
        <f t="shared" si="591"/>
        <v xml:space="preserve"> </v>
      </c>
    </row>
    <row r="240" spans="1:214">
      <c r="A240" s="415" t="str">
        <f>IF(A239="N/A","N/A",IF(EDATE(A239,1)&gt;Inputs!$K$3,"N/A",EDATE(A239,1)))</f>
        <v>N/A</v>
      </c>
      <c r="B240" s="410" t="str">
        <f t="shared" si="556"/>
        <v xml:space="preserve"> </v>
      </c>
      <c r="C240" s="411" t="str">
        <f t="shared" si="557"/>
        <v xml:space="preserve"> </v>
      </c>
      <c r="D240" s="412" t="str">
        <f t="shared" si="558"/>
        <v xml:space="preserve"> </v>
      </c>
      <c r="E240" s="413" t="str">
        <f>IF($A240="N/A"," ",(C240-'Pricing Inputs'!T273)*D240)</f>
        <v xml:space="preserve"> </v>
      </c>
      <c r="F240" s="414" t="str">
        <f t="shared" si="607"/>
        <v xml:space="preserve"> </v>
      </c>
      <c r="G240" s="414" t="str">
        <f t="shared" si="559"/>
        <v xml:space="preserve"> </v>
      </c>
      <c r="H240" s="416" t="str">
        <f t="shared" si="560"/>
        <v xml:space="preserve"> </v>
      </c>
      <c r="I240" s="213" t="str">
        <f t="shared" si="501"/>
        <v xml:space="preserve"> </v>
      </c>
      <c r="J240" s="213" t="str">
        <f t="shared" si="502"/>
        <v xml:space="preserve"> </v>
      </c>
      <c r="K240" s="213" t="str">
        <f t="shared" si="503"/>
        <v xml:space="preserve"> </v>
      </c>
      <c r="L240" s="213" t="str">
        <f t="shared" si="504"/>
        <v xml:space="preserve"> </v>
      </c>
      <c r="M240" s="213" t="str">
        <f t="shared" si="505"/>
        <v xml:space="preserve"> </v>
      </c>
      <c r="N240" s="213" t="str">
        <f t="shared" si="506"/>
        <v xml:space="preserve"> </v>
      </c>
      <c r="O240" s="213" t="str">
        <f t="shared" si="507"/>
        <v xml:space="preserve"> </v>
      </c>
      <c r="P240" s="213" t="str">
        <f t="shared" si="508"/>
        <v xml:space="preserve"> </v>
      </c>
      <c r="Q240" s="213" t="str">
        <f t="shared" si="509"/>
        <v xml:space="preserve"> </v>
      </c>
      <c r="R240" s="405" t="str">
        <f>IF($A240="N/A"," ",IF(Pricetype=2,MAX(I240-$H240,0),IF(Pricetype=1,(_xll.xSPRDOPT(I240,$E240,$CI240,0,($CD240+IF(Smile=TRUE,VLOOKUP(MAX(-5,$H240-I240),Volsmile,2),0)),$CG240,$CH240,($A240-DateToday)+15,1,0)),I240-$H240)))</f>
        <v xml:space="preserve"> </v>
      </c>
      <c r="S240" s="405" t="str">
        <f>IF($A240="N/A"," ",IF(Pricetype=2,MAX(J240-$H240,0),IF(Pricetype=1,(_xll.xSPRDOPT(J240,$E240,$CI240,0,($CD240+IF(Smile=TRUE,VLOOKUP(MAX(-5,$H240-J240),Volsmile,2),0)),$CG240,$CH240,($A240-DateToday)+15,1,0)),J240-$H240)))</f>
        <v xml:space="preserve"> </v>
      </c>
      <c r="T240" s="406" t="str">
        <f t="shared" si="510"/>
        <v xml:space="preserve"> </v>
      </c>
      <c r="U240" s="405" t="str">
        <f>IF($A240="N/A"," ",IF(Pricetype=2,MAX(L240-$H240,0),IF(L240&lt;&gt;0,IF(Pricetype=1,(_xll.xSPRDOPT(L240,$E240,$CI240,0,($CD240+IF(Smile=TRUE,VLOOKUP(MAX(-5,$H240-L240),Volsmile,2),0)),$CG240,$CH240,($A240-DateToday)+15,1,0)),L240-$H240),0)))</f>
        <v xml:space="preserve"> </v>
      </c>
      <c r="V240" s="405" t="str">
        <f>IF($A240="N/A"," ",IF(Pricetype=2,MAX(M240-$H240,0),IF(M240&lt;&gt;0,IF(Pricetype=1,(_xll.xSPRDOPT(M240,$E240,$CI240,0,($CD240+IF(Smile=TRUE,VLOOKUP(MAX(-5,$H240-M240),Volsmile,2),0)),$CG240,$CH240,($A240-DateToday)+15,1,0)),M240-$H240),0)))</f>
        <v xml:space="preserve"> </v>
      </c>
      <c r="W240" s="406" t="str">
        <f t="shared" si="511"/>
        <v xml:space="preserve"> </v>
      </c>
      <c r="X240" s="405" t="str">
        <f>IF($A240="N/A"," ",IF(Pricetype=2,MAX(O240-$H240,0),IF(O240&lt;&gt;0,IF(Pricetype=1,(_xll.xSPRDOPT(O240,$E240,$CI240,0,($CD240+IF(Smile=TRUE,VLOOKUP(MAX(-5,$H240-O240),Volsmile,2),0)),$CG240,$CH240,($A240-DateToday)+15,1,0)),O240-$H240),0)))</f>
        <v xml:space="preserve"> </v>
      </c>
      <c r="Y240" s="405" t="str">
        <f>IF($A240="N/A"," ",IF(Pricetype=2,MAX(P240-$H240,0),IF(P240&lt;&gt;0,IF(Pricetype=1,(_xll.xSPRDOPT(P240,$E240,$CI240,0,($CD240+IF(Smile=TRUE,VLOOKUP(MAX(-5,$H240-P240),Volsmile,2),0)),$CG240,$CH240,($A240-DateToday)+15,1,0)),P240-$H240),0)))</f>
        <v xml:space="preserve"> </v>
      </c>
      <c r="Z240" s="406" t="str">
        <f t="shared" si="512"/>
        <v xml:space="preserve"> </v>
      </c>
      <c r="AA240" s="254" t="str">
        <f>IF($A240="N/A"," ",IF(VLOOKUP(MONTH(A240),ManualTable,2)=1,(IF(0&lt;&gt;R240,IF(Pricetype=1,(_xll.xSPRDOPT(I240,$E240,$CI240,0,($CD240+IF(Smile=TRUE,VLOOKUP(MAX(-5,$H240-I240),Volsmile,2),0)),$CG240,$CH240,($A240-DateToday)+15,1,1))*(8*$HD240),8*$HD240),0)),0))</f>
        <v xml:space="preserve"> </v>
      </c>
      <c r="AB240" s="254" t="str">
        <f>IF($A240="N/A"," ",IF(VLOOKUP(MONTH(A240),ManualTable,3)=1,(IF(S240&lt;&gt;0,IF(Pricetype=1,(_xll.xSPRDOPT(J240,$E240,$CI240,0,($CD240+IF(Smile=TRUE,VLOOKUP(MAX(-5,$H240-J240),Volsmile,2),0)),$CG240,$CH240,($A240-DateToday)+15,1,1))*(8*$HD240),8*$HD240),0)),0))</f>
        <v xml:space="preserve"> </v>
      </c>
      <c r="AC240" s="254" t="str">
        <f t="shared" si="561"/>
        <v xml:space="preserve"> </v>
      </c>
      <c r="AD240" s="254" t="str">
        <f>IF($A240="N/A"," ",IF(VLOOKUP(MONTH(A240),ManualTable,5)=1,(IF(U240&lt;&gt;0,IF(Pricetype=1,(_xll.xSPRDOPT(L240,$E240,$CI240,0,($CD240+IF(Smile=TRUE,VLOOKUP(MAX(-5,$H240-L240),Volsmile,2),0)),$CG240,$CH240,($A240-DateToday)+15,1,1))*(8*$HE240),8*$HE240),0)),0))</f>
        <v xml:space="preserve"> </v>
      </c>
      <c r="AE240" s="254" t="str">
        <f>IF($A240="N/A"," ",IF(VLOOKUP(MONTH(A240),ManualTable,6)=1,(IF(V240&lt;&gt;0,IF(Pricetype=1,(_xll.xSPRDOPT(M240,$E240,$CI240,0,($CD240+IF(Smile=TRUE,VLOOKUP(MAX(-5,$H240-M240),Volsmile,2),0)),$CG240,$CH240,($A240-DateToday)+15,1,1))*(8*$HE240),8*$HE240),0)),0))</f>
        <v xml:space="preserve"> </v>
      </c>
      <c r="AF240" s="254" t="str">
        <f t="shared" si="562"/>
        <v xml:space="preserve"> </v>
      </c>
      <c r="AG240" s="254" t="str">
        <f>IF($A240="N/A"," ",IF(VLOOKUP(MONTH(A240),ManualTable,8)=1,(IF(X240&lt;&gt;0,IF(Pricetype=1,(_xll.xSPRDOPT(O240,$E240,$CI240,0,($CD240+IF(Smile=TRUE,VLOOKUP(MAX(-5,$H240-O240),Volsmile,2),0)),$CG240,$CH240,($A240-DateToday)+15,1,1))*(8*$HF240),8*$HF240),0)),0))</f>
        <v xml:space="preserve"> </v>
      </c>
      <c r="AH240" s="254" t="str">
        <f>IF($A240="N/A"," ",IF(VLOOKUP(MONTH(A240),ManualTable,9)=1,(IF(Y240&lt;&gt;0,IF(Pricetype=1,(_xll.xSPRDOPT(P240,$E240,$CI240,0,($CD240+IF(Smile=TRUE,VLOOKUP(MAX(-5,$H240-P240),Volsmile,2),0)),$CG240,$CH240,($A240-DateToday)+15,1,1))*(8*$HF240),8*$HF240),0)),0))</f>
        <v xml:space="preserve"> </v>
      </c>
      <c r="AI240" s="254" t="str">
        <f t="shared" si="563"/>
        <v xml:space="preserve"> </v>
      </c>
      <c r="AJ240" s="227" t="str">
        <f t="shared" si="638"/>
        <v xml:space="preserve"> </v>
      </c>
      <c r="AK240" s="228" t="str">
        <f t="shared" si="639"/>
        <v xml:space="preserve"> </v>
      </c>
      <c r="AL240" s="228" t="str">
        <f t="shared" si="639"/>
        <v xml:space="preserve"> </v>
      </c>
      <c r="AM240" s="228" t="str">
        <f t="shared" si="640"/>
        <v xml:space="preserve"> </v>
      </c>
      <c r="AN240" s="228" t="str">
        <f t="shared" si="641"/>
        <v xml:space="preserve"> </v>
      </c>
      <c r="AO240" s="228" t="str">
        <f t="shared" si="641"/>
        <v xml:space="preserve"> </v>
      </c>
      <c r="AP240" s="228" t="str">
        <f t="shared" si="642"/>
        <v xml:space="preserve"> </v>
      </c>
      <c r="AQ240" s="228" t="str">
        <f t="shared" si="643"/>
        <v xml:space="preserve"> </v>
      </c>
      <c r="AR240" s="229" t="str">
        <f t="shared" si="644"/>
        <v xml:space="preserve"> </v>
      </c>
      <c r="AS240" s="262" t="str">
        <f t="shared" si="593"/>
        <v xml:space="preserve"> </v>
      </c>
      <c r="AT240" s="263" t="str">
        <f t="shared" si="594"/>
        <v xml:space="preserve"> </v>
      </c>
      <c r="AU240" s="263" t="str">
        <f t="shared" si="594"/>
        <v xml:space="preserve"> </v>
      </c>
      <c r="AV240" s="263" t="str">
        <f t="shared" si="595"/>
        <v xml:space="preserve"> </v>
      </c>
      <c r="AW240" s="263" t="str">
        <f t="shared" si="596"/>
        <v xml:space="preserve"> </v>
      </c>
      <c r="AX240" s="263" t="str">
        <f t="shared" si="596"/>
        <v xml:space="preserve"> </v>
      </c>
      <c r="AY240" s="263" t="str">
        <f t="shared" si="597"/>
        <v xml:space="preserve"> </v>
      </c>
      <c r="AZ240" s="263" t="str">
        <f t="shared" si="598"/>
        <v xml:space="preserve"> </v>
      </c>
      <c r="BA240" s="263" t="str">
        <f t="shared" si="599"/>
        <v xml:space="preserve"> </v>
      </c>
      <c r="BB240" s="229"/>
      <c r="BC240" s="266" t="str">
        <f t="shared" si="631"/>
        <v xml:space="preserve"> </v>
      </c>
      <c r="BD240" s="269" t="str">
        <f t="shared" si="632"/>
        <v xml:space="preserve"> </v>
      </c>
      <c r="BE240" s="269" t="str">
        <f t="shared" si="632"/>
        <v xml:space="preserve"> </v>
      </c>
      <c r="BF240" s="269" t="str">
        <f t="shared" si="633"/>
        <v xml:space="preserve"> </v>
      </c>
      <c r="BG240" s="269" t="str">
        <f t="shared" si="634"/>
        <v xml:space="preserve"> </v>
      </c>
      <c r="BH240" s="269" t="str">
        <f t="shared" si="634"/>
        <v xml:space="preserve"> </v>
      </c>
      <c r="BI240" s="269" t="str">
        <f t="shared" si="635"/>
        <v xml:space="preserve"> </v>
      </c>
      <c r="BJ240" s="269" t="str">
        <f t="shared" si="636"/>
        <v xml:space="preserve"> </v>
      </c>
      <c r="BK240" s="269" t="str">
        <f t="shared" si="637"/>
        <v xml:space="preserve"> </v>
      </c>
      <c r="BL240" s="229"/>
      <c r="BM240" s="220" t="str">
        <f>IF($A240="N/A"," ",(IF(MONTH(A240)&gt;=4,IF(MONTH(A240)&lt;=10,Inputs!$F$13-Inputs!$G$13,Inputs!$F$14-Inputs!$G$14),Inputs!$F$14-Inputs!$G$14))*$CK240*Availability)</f>
        <v xml:space="preserve"> </v>
      </c>
      <c r="BN240" s="221" t="str">
        <f t="shared" si="571"/>
        <v xml:space="preserve"> </v>
      </c>
      <c r="BO240" s="221" t="str">
        <f t="shared" si="572"/>
        <v xml:space="preserve"> </v>
      </c>
      <c r="BP240" s="221" t="str">
        <f t="shared" si="573"/>
        <v xml:space="preserve"> </v>
      </c>
      <c r="BQ240" s="221" t="str">
        <f t="shared" si="574"/>
        <v xml:space="preserve"> </v>
      </c>
      <c r="BR240" s="221" t="str">
        <f t="shared" si="575"/>
        <v xml:space="preserve"> </v>
      </c>
      <c r="BS240" s="221" t="str">
        <f t="shared" si="576"/>
        <v xml:space="preserve"> </v>
      </c>
      <c r="BT240" s="221" t="str">
        <f t="shared" si="577"/>
        <v xml:space="preserve"> </v>
      </c>
      <c r="BU240" s="221" t="str">
        <f t="shared" si="578"/>
        <v xml:space="preserve"> </v>
      </c>
      <c r="BV240" s="221" t="str">
        <f t="shared" si="579"/>
        <v xml:space="preserve"> </v>
      </c>
      <c r="BW240" s="221" t="str">
        <f t="shared" si="580"/>
        <v xml:space="preserve"> </v>
      </c>
      <c r="BX240" s="421" t="str">
        <f t="shared" si="581"/>
        <v xml:space="preserve"> </v>
      </c>
      <c r="BY240" s="417" t="str">
        <f t="shared" si="582"/>
        <v xml:space="preserve"> </v>
      </c>
      <c r="BZ240" s="417" t="str">
        <f t="shared" si="583"/>
        <v xml:space="preserve"> </v>
      </c>
      <c r="CA240" s="422" t="str">
        <f t="shared" si="584"/>
        <v xml:space="preserve"> </v>
      </c>
      <c r="CB240" s="347" t="str">
        <f t="shared" si="521"/>
        <v xml:space="preserve"> </v>
      </c>
      <c r="CC240" s="347" t="str">
        <f t="shared" si="585"/>
        <v xml:space="preserve"> </v>
      </c>
      <c r="CD240" s="348" t="str">
        <f t="shared" si="522"/>
        <v xml:space="preserve"> </v>
      </c>
      <c r="CE240" s="347" t="str">
        <f t="shared" si="523"/>
        <v xml:space="preserve"> </v>
      </c>
      <c r="CF240" s="347" t="str">
        <f t="shared" si="524"/>
        <v xml:space="preserve"> </v>
      </c>
      <c r="CG240" s="348" t="str">
        <f t="shared" si="525"/>
        <v xml:space="preserve"> </v>
      </c>
      <c r="CH240" s="347" t="str">
        <f t="shared" si="586"/>
        <v xml:space="preserve"> </v>
      </c>
      <c r="CI240" s="349" t="str">
        <f>IF($A240="N/A"," ",F240+G240+(D240*('Pricing Inputs'!T273)))</f>
        <v xml:space="preserve"> </v>
      </c>
      <c r="CJ240" s="347" t="str">
        <f>IF($A240="N/A"," ",IF(PV=1,0,'Pricing Inputs'!U273))</f>
        <v xml:space="preserve"> </v>
      </c>
      <c r="CK240" s="350" t="str">
        <f t="shared" si="526"/>
        <v xml:space="preserve"> </v>
      </c>
      <c r="CL240" s="365" t="str">
        <f t="shared" si="527"/>
        <v xml:space="preserve"> </v>
      </c>
      <c r="CM240" s="380" t="str">
        <f t="shared" si="587"/>
        <v xml:space="preserve"> </v>
      </c>
      <c r="CN240" s="378" t="str">
        <f t="shared" si="528"/>
        <v xml:space="preserve"> </v>
      </c>
      <c r="CO240" s="378" t="str">
        <f t="shared" si="529"/>
        <v xml:space="preserve"> </v>
      </c>
      <c r="CP240" s="378" t="str">
        <f t="shared" si="530"/>
        <v xml:space="preserve"> </v>
      </c>
      <c r="CQ240" s="378" t="str">
        <f t="shared" si="531"/>
        <v xml:space="preserve"> </v>
      </c>
      <c r="CR240" s="378" t="str">
        <f t="shared" si="532"/>
        <v xml:space="preserve"> </v>
      </c>
      <c r="CS240" s="378" t="str">
        <f t="shared" si="533"/>
        <v xml:space="preserve"> </v>
      </c>
      <c r="CT240" s="378" t="str">
        <f t="shared" si="534"/>
        <v xml:space="preserve"> </v>
      </c>
      <c r="CU240" s="378" t="str">
        <f t="shared" si="535"/>
        <v xml:space="preserve"> </v>
      </c>
      <c r="CV240" s="378" t="str">
        <f t="shared" si="536"/>
        <v xml:space="preserve"> </v>
      </c>
      <c r="CW240" s="254" t="str">
        <f t="shared" si="537"/>
        <v xml:space="preserve"> </v>
      </c>
      <c r="CX240" s="254" t="str">
        <f t="shared" si="538"/>
        <v xml:space="preserve"> </v>
      </c>
      <c r="CY240" s="254" t="str">
        <f t="shared" si="539"/>
        <v xml:space="preserve"> </v>
      </c>
      <c r="CZ240" s="254" t="str">
        <f t="shared" si="540"/>
        <v xml:space="preserve"> </v>
      </c>
      <c r="DA240" s="254" t="str">
        <f t="shared" si="541"/>
        <v xml:space="preserve"> </v>
      </c>
      <c r="DB240" s="254" t="str">
        <f t="shared" si="542"/>
        <v xml:space="preserve"> </v>
      </c>
      <c r="DC240" s="254" t="str">
        <f t="shared" si="543"/>
        <v xml:space="preserve"> </v>
      </c>
      <c r="DD240" s="254" t="str">
        <f t="shared" si="544"/>
        <v xml:space="preserve"> </v>
      </c>
      <c r="DE240" s="254" t="str">
        <f t="shared" si="545"/>
        <v xml:space="preserve"> </v>
      </c>
      <c r="DF240" s="374" t="str">
        <f>IF($A240="N/A"," ",IF(CC=2,(IF(MONTH(A240)&gt;=4,IF(MONTH(A240)&lt;=10,Inputs!$G$13,Inputs!$G$14),Inputs!$G$14))*$CK240,0))</f>
        <v xml:space="preserve"> </v>
      </c>
      <c r="DG240" s="373" t="str">
        <f t="shared" si="546"/>
        <v xml:space="preserve"> </v>
      </c>
      <c r="DH240" s="373" t="str">
        <f t="shared" si="547"/>
        <v xml:space="preserve"> </v>
      </c>
      <c r="DI240" s="373" t="str">
        <f t="shared" si="548"/>
        <v xml:space="preserve"> </v>
      </c>
      <c r="DJ240" s="373" t="str">
        <f t="shared" si="549"/>
        <v xml:space="preserve"> </v>
      </c>
      <c r="DK240" s="373" t="str">
        <f t="shared" si="550"/>
        <v xml:space="preserve"> </v>
      </c>
      <c r="DL240" s="373" t="str">
        <f t="shared" si="551"/>
        <v xml:space="preserve"> </v>
      </c>
      <c r="DM240" s="373" t="str">
        <f t="shared" si="552"/>
        <v xml:space="preserve"> </v>
      </c>
      <c r="DN240" s="373" t="str">
        <f t="shared" si="553"/>
        <v xml:space="preserve"> </v>
      </c>
      <c r="DO240" s="373" t="str">
        <f t="shared" si="554"/>
        <v xml:space="preserve"> </v>
      </c>
      <c r="DP240" s="375" t="str">
        <f t="shared" si="555"/>
        <v xml:space="preserve"> </v>
      </c>
      <c r="DQ240" t="str">
        <f t="shared" si="588"/>
        <v xml:space="preserve"> </v>
      </c>
      <c r="HD240" t="str">
        <f t="shared" si="589"/>
        <v xml:space="preserve"> </v>
      </c>
      <c r="HE240" t="str">
        <f t="shared" si="590"/>
        <v xml:space="preserve"> </v>
      </c>
      <c r="HF240" t="str">
        <f t="shared" si="591"/>
        <v xml:space="preserve"> </v>
      </c>
    </row>
    <row r="241" spans="1:214">
      <c r="A241" s="415" t="str">
        <f>IF(A240="N/A","N/A",IF(EDATE(A240,1)&gt;Inputs!$K$3,"N/A",EDATE(A240,1)))</f>
        <v>N/A</v>
      </c>
      <c r="B241" s="410" t="str">
        <f t="shared" si="556"/>
        <v xml:space="preserve"> </v>
      </c>
      <c r="C241" s="411" t="str">
        <f t="shared" si="557"/>
        <v xml:space="preserve"> </v>
      </c>
      <c r="D241" s="412" t="str">
        <f t="shared" si="558"/>
        <v xml:space="preserve"> </v>
      </c>
      <c r="E241" s="413" t="str">
        <f>IF($A241="N/A"," ",(C241-'Pricing Inputs'!T274)*D241)</f>
        <v xml:space="preserve"> </v>
      </c>
      <c r="F241" s="414" t="str">
        <f t="shared" si="607"/>
        <v xml:space="preserve"> </v>
      </c>
      <c r="G241" s="414" t="str">
        <f t="shared" si="559"/>
        <v xml:space="preserve"> </v>
      </c>
      <c r="H241" s="416" t="str">
        <f t="shared" si="560"/>
        <v xml:space="preserve"> </v>
      </c>
      <c r="I241" s="213" t="str">
        <f t="shared" si="501"/>
        <v xml:space="preserve"> </v>
      </c>
      <c r="J241" s="213" t="str">
        <f t="shared" si="502"/>
        <v xml:space="preserve"> </v>
      </c>
      <c r="K241" s="213" t="str">
        <f t="shared" si="503"/>
        <v xml:space="preserve"> </v>
      </c>
      <c r="L241" s="213" t="str">
        <f t="shared" si="504"/>
        <v xml:space="preserve"> </v>
      </c>
      <c r="M241" s="213" t="str">
        <f t="shared" si="505"/>
        <v xml:space="preserve"> </v>
      </c>
      <c r="N241" s="213" t="str">
        <f t="shared" si="506"/>
        <v xml:space="preserve"> </v>
      </c>
      <c r="O241" s="213" t="str">
        <f t="shared" si="507"/>
        <v xml:space="preserve"> </v>
      </c>
      <c r="P241" s="213" t="str">
        <f t="shared" si="508"/>
        <v xml:space="preserve"> </v>
      </c>
      <c r="Q241" s="213" t="str">
        <f t="shared" si="509"/>
        <v xml:space="preserve"> </v>
      </c>
      <c r="R241" s="405" t="str">
        <f>IF($A241="N/A"," ",IF(Pricetype=2,MAX(I241-$H241,0),IF(Pricetype=1,(_xll.xSPRDOPT(I241,$E241,$CI241,0,($CD241+IF(Smile=TRUE,VLOOKUP(MAX(-5,$H241-I241),Volsmile,2),0)),$CG241,$CH241,($A241-DateToday)+15,1,0)),I241-$H241)))</f>
        <v xml:space="preserve"> </v>
      </c>
      <c r="S241" s="405" t="str">
        <f>IF($A241="N/A"," ",IF(Pricetype=2,MAX(J241-$H241,0),IF(Pricetype=1,(_xll.xSPRDOPT(J241,$E241,$CI241,0,($CD241+IF(Smile=TRUE,VLOOKUP(MAX(-5,$H241-J241),Volsmile,2),0)),$CG241,$CH241,($A241-DateToday)+15,1,0)),J241-$H241)))</f>
        <v xml:space="preserve"> </v>
      </c>
      <c r="T241" s="406" t="str">
        <f t="shared" si="510"/>
        <v xml:space="preserve"> </v>
      </c>
      <c r="U241" s="405" t="str">
        <f>IF($A241="N/A"," ",IF(Pricetype=2,MAX(L241-$H241,0),IF(L241&lt;&gt;0,IF(Pricetype=1,(_xll.xSPRDOPT(L241,$E241,$CI241,0,($CD241+IF(Smile=TRUE,VLOOKUP(MAX(-5,$H241-L241),Volsmile,2),0)),$CG241,$CH241,($A241-DateToday)+15,1,0)),L241-$H241),0)))</f>
        <v xml:space="preserve"> </v>
      </c>
      <c r="V241" s="405" t="str">
        <f>IF($A241="N/A"," ",IF(Pricetype=2,MAX(M241-$H241,0),IF(M241&lt;&gt;0,IF(Pricetype=1,(_xll.xSPRDOPT(M241,$E241,$CI241,0,($CD241+IF(Smile=TRUE,VLOOKUP(MAX(-5,$H241-M241),Volsmile,2),0)),$CG241,$CH241,($A241-DateToday)+15,1,0)),M241-$H241),0)))</f>
        <v xml:space="preserve"> </v>
      </c>
      <c r="W241" s="406" t="str">
        <f t="shared" si="511"/>
        <v xml:space="preserve"> </v>
      </c>
      <c r="X241" s="405" t="str">
        <f>IF($A241="N/A"," ",IF(Pricetype=2,MAX(O241-$H241,0),IF(O241&lt;&gt;0,IF(Pricetype=1,(_xll.xSPRDOPT(O241,$E241,$CI241,0,($CD241+IF(Smile=TRUE,VLOOKUP(MAX(-5,$H241-O241),Volsmile,2),0)),$CG241,$CH241,($A241-DateToday)+15,1,0)),O241-$H241),0)))</f>
        <v xml:space="preserve"> </v>
      </c>
      <c r="Y241" s="405" t="str">
        <f>IF($A241="N/A"," ",IF(Pricetype=2,MAX(P241-$H241,0),IF(P241&lt;&gt;0,IF(Pricetype=1,(_xll.xSPRDOPT(P241,$E241,$CI241,0,($CD241+IF(Smile=TRUE,VLOOKUP(MAX(-5,$H241-P241),Volsmile,2),0)),$CG241,$CH241,($A241-DateToday)+15,1,0)),P241-$H241),0)))</f>
        <v xml:space="preserve"> </v>
      </c>
      <c r="Z241" s="406" t="str">
        <f t="shared" si="512"/>
        <v xml:space="preserve"> </v>
      </c>
      <c r="AA241" s="254" t="str">
        <f>IF($A241="N/A"," ",IF(VLOOKUP(MONTH(A241),ManualTable,2)=1,(IF(0&lt;&gt;R241,IF(Pricetype=1,(_xll.xSPRDOPT(I241,$E241,$CI241,0,($CD241+IF(Smile=TRUE,VLOOKUP(MAX(-5,$H241-I241),Volsmile,2),0)),$CG241,$CH241,($A241-DateToday)+15,1,1))*(8*$HD241),8*$HD241),0)),0))</f>
        <v xml:space="preserve"> </v>
      </c>
      <c r="AB241" s="254" t="str">
        <f>IF($A241="N/A"," ",IF(VLOOKUP(MONTH(A241),ManualTable,3)=1,(IF(S241&lt;&gt;0,IF(Pricetype=1,(_xll.xSPRDOPT(J241,$E241,$CI241,0,($CD241+IF(Smile=TRUE,VLOOKUP(MAX(-5,$H241-J241),Volsmile,2),0)),$CG241,$CH241,($A241-DateToday)+15,1,1))*(8*$HD241),8*$HD241),0)),0))</f>
        <v xml:space="preserve"> </v>
      </c>
      <c r="AC241" s="254" t="str">
        <f t="shared" si="561"/>
        <v xml:space="preserve"> </v>
      </c>
      <c r="AD241" s="254" t="str">
        <f>IF($A241="N/A"," ",IF(VLOOKUP(MONTH(A241),ManualTable,5)=1,(IF(U241&lt;&gt;0,IF(Pricetype=1,(_xll.xSPRDOPT(L241,$E241,$CI241,0,($CD241+IF(Smile=TRUE,VLOOKUP(MAX(-5,$H241-L241),Volsmile,2),0)),$CG241,$CH241,($A241-DateToday)+15,1,1))*(8*$HE241),8*$HE241),0)),0))</f>
        <v xml:space="preserve"> </v>
      </c>
      <c r="AE241" s="254" t="str">
        <f>IF($A241="N/A"," ",IF(VLOOKUP(MONTH(A241),ManualTable,6)=1,(IF(V241&lt;&gt;0,IF(Pricetype=1,(_xll.xSPRDOPT(M241,$E241,$CI241,0,($CD241+IF(Smile=TRUE,VLOOKUP(MAX(-5,$H241-M241),Volsmile,2),0)),$CG241,$CH241,($A241-DateToday)+15,1,1))*(8*$HE241),8*$HE241),0)),0))</f>
        <v xml:space="preserve"> </v>
      </c>
      <c r="AF241" s="254" t="str">
        <f t="shared" si="562"/>
        <v xml:space="preserve"> </v>
      </c>
      <c r="AG241" s="254" t="str">
        <f>IF($A241="N/A"," ",IF(VLOOKUP(MONTH(A241),ManualTable,8)=1,(IF(X241&lt;&gt;0,IF(Pricetype=1,(_xll.xSPRDOPT(O241,$E241,$CI241,0,($CD241+IF(Smile=TRUE,VLOOKUP(MAX(-5,$H241-O241),Volsmile,2),0)),$CG241,$CH241,($A241-DateToday)+15,1,1))*(8*$HF241),8*$HF241),0)),0))</f>
        <v xml:space="preserve"> </v>
      </c>
      <c r="AH241" s="254" t="str">
        <f>IF($A241="N/A"," ",IF(VLOOKUP(MONTH(A241),ManualTable,9)=1,(IF(Y241&lt;&gt;0,IF(Pricetype=1,(_xll.xSPRDOPT(P241,$E241,$CI241,0,($CD241+IF(Smile=TRUE,VLOOKUP(MAX(-5,$H241-P241),Volsmile,2),0)),$CG241,$CH241,($A241-DateToday)+15,1,1))*(8*$HF241),8*$HF241),0)),0))</f>
        <v xml:space="preserve"> </v>
      </c>
      <c r="AI241" s="254" t="str">
        <f t="shared" si="563"/>
        <v xml:space="preserve"> </v>
      </c>
      <c r="AJ241" s="227" t="str">
        <f t="shared" si="638"/>
        <v xml:space="preserve"> </v>
      </c>
      <c r="AK241" s="228" t="str">
        <f t="shared" si="639"/>
        <v xml:space="preserve"> </v>
      </c>
      <c r="AL241" s="228" t="str">
        <f t="shared" si="639"/>
        <v xml:space="preserve"> </v>
      </c>
      <c r="AM241" s="228" t="str">
        <f t="shared" si="640"/>
        <v xml:space="preserve"> </v>
      </c>
      <c r="AN241" s="228" t="str">
        <f t="shared" si="641"/>
        <v xml:space="preserve"> </v>
      </c>
      <c r="AO241" s="228" t="str">
        <f t="shared" si="641"/>
        <v xml:space="preserve"> </v>
      </c>
      <c r="AP241" s="228" t="str">
        <f t="shared" si="642"/>
        <v xml:space="preserve"> </v>
      </c>
      <c r="AQ241" s="228" t="str">
        <f t="shared" si="643"/>
        <v xml:space="preserve"> </v>
      </c>
      <c r="AR241" s="229" t="str">
        <f t="shared" si="644"/>
        <v xml:space="preserve"> </v>
      </c>
      <c r="AS241" s="262" t="str">
        <f t="shared" si="593"/>
        <v xml:space="preserve"> </v>
      </c>
      <c r="AT241" s="263" t="str">
        <f t="shared" si="594"/>
        <v xml:space="preserve"> </v>
      </c>
      <c r="AU241" s="263" t="str">
        <f t="shared" si="594"/>
        <v xml:space="preserve"> </v>
      </c>
      <c r="AV241" s="263" t="str">
        <f t="shared" si="595"/>
        <v xml:space="preserve"> </v>
      </c>
      <c r="AW241" s="263" t="str">
        <f t="shared" si="596"/>
        <v xml:space="preserve"> </v>
      </c>
      <c r="AX241" s="263" t="str">
        <f t="shared" si="596"/>
        <v xml:space="preserve"> </v>
      </c>
      <c r="AY241" s="263" t="str">
        <f t="shared" si="597"/>
        <v xml:space="preserve"> </v>
      </c>
      <c r="AZ241" s="263" t="str">
        <f t="shared" si="598"/>
        <v xml:space="preserve"> </v>
      </c>
      <c r="BA241" s="263" t="str">
        <f t="shared" si="599"/>
        <v xml:space="preserve"> </v>
      </c>
      <c r="BB241" s="234" t="s">
        <v>1271</v>
      </c>
      <c r="BC241" s="266" t="str">
        <f t="shared" si="631"/>
        <v xml:space="preserve"> </v>
      </c>
      <c r="BD241" s="269" t="str">
        <f t="shared" si="632"/>
        <v xml:space="preserve"> </v>
      </c>
      <c r="BE241" s="269" t="str">
        <f t="shared" si="632"/>
        <v xml:space="preserve"> </v>
      </c>
      <c r="BF241" s="269" t="str">
        <f t="shared" si="633"/>
        <v xml:space="preserve"> </v>
      </c>
      <c r="BG241" s="269" t="str">
        <f t="shared" si="634"/>
        <v xml:space="preserve"> </v>
      </c>
      <c r="BH241" s="269" t="str">
        <f t="shared" si="634"/>
        <v xml:space="preserve"> </v>
      </c>
      <c r="BI241" s="269" t="str">
        <f t="shared" si="635"/>
        <v xml:space="preserve"> </v>
      </c>
      <c r="BJ241" s="269" t="str">
        <f t="shared" si="636"/>
        <v xml:space="preserve"> </v>
      </c>
      <c r="BK241" s="269" t="str">
        <f t="shared" si="637"/>
        <v xml:space="preserve"> </v>
      </c>
      <c r="BL241" s="233" t="s">
        <v>1283</v>
      </c>
      <c r="BM241" s="220" t="str">
        <f>IF($A241="N/A"," ",(IF(MONTH(A241)&gt;=4,IF(MONTH(A241)&lt;=10,Inputs!$F$13-Inputs!$G$13,Inputs!$F$14-Inputs!$G$14),Inputs!$F$14-Inputs!$G$14))*$CK241*Availability)</f>
        <v xml:space="preserve"> </v>
      </c>
      <c r="BN241" s="221" t="str">
        <f t="shared" si="571"/>
        <v xml:space="preserve"> </v>
      </c>
      <c r="BO241" s="221" t="str">
        <f t="shared" si="572"/>
        <v xml:space="preserve"> </v>
      </c>
      <c r="BP241" s="221" t="str">
        <f t="shared" si="573"/>
        <v xml:space="preserve"> </v>
      </c>
      <c r="BQ241" s="221" t="str">
        <f t="shared" si="574"/>
        <v xml:space="preserve"> </v>
      </c>
      <c r="BR241" s="221" t="str">
        <f t="shared" si="575"/>
        <v xml:space="preserve"> </v>
      </c>
      <c r="BS241" s="221" t="str">
        <f t="shared" si="576"/>
        <v xml:space="preserve"> </v>
      </c>
      <c r="BT241" s="221" t="str">
        <f t="shared" si="577"/>
        <v xml:space="preserve"> </v>
      </c>
      <c r="BU241" s="221" t="str">
        <f t="shared" si="578"/>
        <v xml:space="preserve"> </v>
      </c>
      <c r="BV241" s="221" t="str">
        <f t="shared" si="579"/>
        <v xml:space="preserve"> </v>
      </c>
      <c r="BW241" s="221" t="str">
        <f t="shared" si="580"/>
        <v xml:space="preserve"> </v>
      </c>
      <c r="BX241" s="421" t="str">
        <f t="shared" si="581"/>
        <v xml:space="preserve"> </v>
      </c>
      <c r="BY241" s="417" t="str">
        <f t="shared" si="582"/>
        <v xml:space="preserve"> </v>
      </c>
      <c r="BZ241" s="417" t="str">
        <f t="shared" si="583"/>
        <v xml:space="preserve"> </v>
      </c>
      <c r="CA241" s="422" t="str">
        <f t="shared" si="584"/>
        <v xml:space="preserve"> </v>
      </c>
      <c r="CB241" s="347" t="str">
        <f t="shared" si="521"/>
        <v xml:space="preserve"> </v>
      </c>
      <c r="CC241" s="347" t="str">
        <f t="shared" si="585"/>
        <v xml:space="preserve"> </v>
      </c>
      <c r="CD241" s="348" t="str">
        <f t="shared" si="522"/>
        <v xml:space="preserve"> </v>
      </c>
      <c r="CE241" s="347" t="str">
        <f t="shared" si="523"/>
        <v xml:space="preserve"> </v>
      </c>
      <c r="CF241" s="347" t="str">
        <f t="shared" si="524"/>
        <v xml:space="preserve"> </v>
      </c>
      <c r="CG241" s="348" t="str">
        <f t="shared" si="525"/>
        <v xml:space="preserve"> </v>
      </c>
      <c r="CH241" s="347" t="str">
        <f t="shared" si="586"/>
        <v xml:space="preserve"> </v>
      </c>
      <c r="CI241" s="349" t="str">
        <f>IF($A241="N/A"," ",F241+G241+(D241*('Pricing Inputs'!T274)))</f>
        <v xml:space="preserve"> </v>
      </c>
      <c r="CJ241" s="347" t="str">
        <f>IF($A241="N/A"," ",IF(PV=1,0,'Pricing Inputs'!U274))</f>
        <v xml:space="preserve"> </v>
      </c>
      <c r="CK241" s="350" t="str">
        <f t="shared" si="526"/>
        <v xml:space="preserve"> </v>
      </c>
      <c r="CL241" s="365" t="str">
        <f t="shared" si="527"/>
        <v xml:space="preserve"> </v>
      </c>
      <c r="CM241" s="380" t="str">
        <f t="shared" si="587"/>
        <v xml:space="preserve"> </v>
      </c>
      <c r="CN241" s="378" t="str">
        <f t="shared" si="528"/>
        <v xml:space="preserve"> </v>
      </c>
      <c r="CO241" s="378" t="str">
        <f t="shared" si="529"/>
        <v xml:space="preserve"> </v>
      </c>
      <c r="CP241" s="378" t="str">
        <f t="shared" si="530"/>
        <v xml:space="preserve"> </v>
      </c>
      <c r="CQ241" s="378" t="str">
        <f t="shared" si="531"/>
        <v xml:space="preserve"> </v>
      </c>
      <c r="CR241" s="378" t="str">
        <f t="shared" si="532"/>
        <v xml:space="preserve"> </v>
      </c>
      <c r="CS241" s="378" t="str">
        <f t="shared" si="533"/>
        <v xml:space="preserve"> </v>
      </c>
      <c r="CT241" s="378" t="str">
        <f t="shared" si="534"/>
        <v xml:space="preserve"> </v>
      </c>
      <c r="CU241" s="378" t="str">
        <f t="shared" si="535"/>
        <v xml:space="preserve"> </v>
      </c>
      <c r="CV241" s="378" t="str">
        <f t="shared" si="536"/>
        <v xml:space="preserve"> </v>
      </c>
      <c r="CW241" s="254" t="str">
        <f t="shared" si="537"/>
        <v xml:space="preserve"> </v>
      </c>
      <c r="CX241" s="254" t="str">
        <f t="shared" si="538"/>
        <v xml:space="preserve"> </v>
      </c>
      <c r="CY241" s="254" t="str">
        <f t="shared" si="539"/>
        <v xml:space="preserve"> </v>
      </c>
      <c r="CZ241" s="254" t="str">
        <f t="shared" si="540"/>
        <v xml:space="preserve"> </v>
      </c>
      <c r="DA241" s="254" t="str">
        <f t="shared" si="541"/>
        <v xml:space="preserve"> </v>
      </c>
      <c r="DB241" s="254" t="str">
        <f t="shared" si="542"/>
        <v xml:space="preserve"> </v>
      </c>
      <c r="DC241" s="254" t="str">
        <f t="shared" si="543"/>
        <v xml:space="preserve"> </v>
      </c>
      <c r="DD241" s="254" t="str">
        <f t="shared" si="544"/>
        <v xml:space="preserve"> </v>
      </c>
      <c r="DE241" s="254" t="str">
        <f t="shared" si="545"/>
        <v xml:space="preserve"> </v>
      </c>
      <c r="DF241" s="374" t="str">
        <f>IF($A241="N/A"," ",IF(CC=2,(IF(MONTH(A241)&gt;=4,IF(MONTH(A241)&lt;=10,Inputs!$G$13,Inputs!$G$14),Inputs!$G$14))*$CK241,0))</f>
        <v xml:space="preserve"> </v>
      </c>
      <c r="DG241" s="373" t="str">
        <f t="shared" si="546"/>
        <v xml:space="preserve"> </v>
      </c>
      <c r="DH241" s="373" t="str">
        <f t="shared" si="547"/>
        <v xml:space="preserve"> </v>
      </c>
      <c r="DI241" s="373" t="str">
        <f t="shared" si="548"/>
        <v xml:space="preserve"> </v>
      </c>
      <c r="DJ241" s="373" t="str">
        <f t="shared" si="549"/>
        <v xml:space="preserve"> </v>
      </c>
      <c r="DK241" s="373" t="str">
        <f t="shared" si="550"/>
        <v xml:space="preserve"> </v>
      </c>
      <c r="DL241" s="373" t="str">
        <f t="shared" si="551"/>
        <v xml:space="preserve"> </v>
      </c>
      <c r="DM241" s="373" t="str">
        <f t="shared" si="552"/>
        <v xml:space="preserve"> </v>
      </c>
      <c r="DN241" s="373" t="str">
        <f t="shared" si="553"/>
        <v xml:space="preserve"> </v>
      </c>
      <c r="DO241" s="373" t="str">
        <f t="shared" si="554"/>
        <v xml:space="preserve"> </v>
      </c>
      <c r="DP241" s="375" t="str">
        <f t="shared" si="555"/>
        <v xml:space="preserve"> </v>
      </c>
      <c r="DQ241" t="str">
        <f t="shared" si="588"/>
        <v xml:space="preserve"> </v>
      </c>
      <c r="HD241" t="str">
        <f t="shared" si="589"/>
        <v xml:space="preserve"> </v>
      </c>
      <c r="HE241" t="str">
        <f t="shared" si="590"/>
        <v xml:space="preserve"> </v>
      </c>
      <c r="HF241" t="str">
        <f t="shared" si="591"/>
        <v xml:space="preserve"> </v>
      </c>
    </row>
    <row r="242" spans="1:214">
      <c r="A242" s="415" t="str">
        <f>IF(A241="N/A","N/A",IF(EDATE(A241,1)&gt;Inputs!$K$3,"N/A",EDATE(A241,1)))</f>
        <v>N/A</v>
      </c>
      <c r="B242" s="410" t="str">
        <f t="shared" si="556"/>
        <v xml:space="preserve"> </v>
      </c>
      <c r="C242" s="411" t="str">
        <f t="shared" si="557"/>
        <v xml:space="preserve"> </v>
      </c>
      <c r="D242" s="412" t="str">
        <f t="shared" si="558"/>
        <v xml:space="preserve"> </v>
      </c>
      <c r="E242" s="413" t="str">
        <f>IF($A242="N/A"," ",(C242-'Pricing Inputs'!T275)*D242)</f>
        <v xml:space="preserve"> </v>
      </c>
      <c r="F242" s="414" t="str">
        <f t="shared" si="607"/>
        <v xml:space="preserve"> </v>
      </c>
      <c r="G242" s="414" t="str">
        <f t="shared" si="559"/>
        <v xml:space="preserve"> </v>
      </c>
      <c r="H242" s="416" t="str">
        <f t="shared" si="560"/>
        <v xml:space="preserve"> </v>
      </c>
      <c r="I242" s="213" t="str">
        <f t="shared" si="501"/>
        <v xml:space="preserve"> </v>
      </c>
      <c r="J242" s="213" t="str">
        <f t="shared" si="502"/>
        <v xml:space="preserve"> </v>
      </c>
      <c r="K242" s="213" t="str">
        <f t="shared" si="503"/>
        <v xml:space="preserve"> </v>
      </c>
      <c r="L242" s="213" t="str">
        <f t="shared" si="504"/>
        <v xml:space="preserve"> </v>
      </c>
      <c r="M242" s="213" t="str">
        <f t="shared" si="505"/>
        <v xml:space="preserve"> </v>
      </c>
      <c r="N242" s="213" t="str">
        <f t="shared" si="506"/>
        <v xml:space="preserve"> </v>
      </c>
      <c r="O242" s="213" t="str">
        <f t="shared" si="507"/>
        <v xml:space="preserve"> </v>
      </c>
      <c r="P242" s="213" t="str">
        <f t="shared" si="508"/>
        <v xml:space="preserve"> </v>
      </c>
      <c r="Q242" s="213" t="str">
        <f t="shared" si="509"/>
        <v xml:space="preserve"> </v>
      </c>
      <c r="R242" s="405" t="str">
        <f>IF($A242="N/A"," ",IF(Pricetype=2,MAX(I242-$H242,0),IF(Pricetype=1,(_xll.xSPRDOPT(I242,$E242,$CI242,0,($CD242+IF(Smile=TRUE,VLOOKUP(MAX(-5,$H242-I242),Volsmile,2),0)),$CG242,$CH242,($A242-DateToday)+15,1,0)),I242-$H242)))</f>
        <v xml:space="preserve"> </v>
      </c>
      <c r="S242" s="405" t="str">
        <f>IF($A242="N/A"," ",IF(Pricetype=2,MAX(J242-$H242,0),IF(Pricetype=1,(_xll.xSPRDOPT(J242,$E242,$CI242,0,($CD242+IF(Smile=TRUE,VLOOKUP(MAX(-5,$H242-J242),Volsmile,2),0)),$CG242,$CH242,($A242-DateToday)+15,1,0)),J242-$H242)))</f>
        <v xml:space="preserve"> </v>
      </c>
      <c r="T242" s="406" t="str">
        <f t="shared" si="510"/>
        <v xml:space="preserve"> </v>
      </c>
      <c r="U242" s="405" t="str">
        <f>IF($A242="N/A"," ",IF(Pricetype=2,MAX(L242-$H242,0),IF(L242&lt;&gt;0,IF(Pricetype=1,(_xll.xSPRDOPT(L242,$E242,$CI242,0,($CD242+IF(Smile=TRUE,VLOOKUP(MAX(-5,$H242-L242),Volsmile,2),0)),$CG242,$CH242,($A242-DateToday)+15,1,0)),L242-$H242),0)))</f>
        <v xml:space="preserve"> </v>
      </c>
      <c r="V242" s="405" t="str">
        <f>IF($A242="N/A"," ",IF(Pricetype=2,MAX(M242-$H242,0),IF(M242&lt;&gt;0,IF(Pricetype=1,(_xll.xSPRDOPT(M242,$E242,$CI242,0,($CD242+IF(Smile=TRUE,VLOOKUP(MAX(-5,$H242-M242),Volsmile,2),0)),$CG242,$CH242,($A242-DateToday)+15,1,0)),M242-$H242),0)))</f>
        <v xml:space="preserve"> </v>
      </c>
      <c r="W242" s="406" t="str">
        <f t="shared" si="511"/>
        <v xml:space="preserve"> </v>
      </c>
      <c r="X242" s="405" t="str">
        <f>IF($A242="N/A"," ",IF(Pricetype=2,MAX(O242-$H242,0),IF(O242&lt;&gt;0,IF(Pricetype=1,(_xll.xSPRDOPT(O242,$E242,$CI242,0,($CD242+IF(Smile=TRUE,VLOOKUP(MAX(-5,$H242-O242),Volsmile,2),0)),$CG242,$CH242,($A242-DateToday)+15,1,0)),O242-$H242),0)))</f>
        <v xml:space="preserve"> </v>
      </c>
      <c r="Y242" s="405" t="str">
        <f>IF($A242="N/A"," ",IF(Pricetype=2,MAX(P242-$H242,0),IF(P242&lt;&gt;0,IF(Pricetype=1,(_xll.xSPRDOPT(P242,$E242,$CI242,0,($CD242+IF(Smile=TRUE,VLOOKUP(MAX(-5,$H242-P242),Volsmile,2),0)),$CG242,$CH242,($A242-DateToday)+15,1,0)),P242-$H242),0)))</f>
        <v xml:space="preserve"> </v>
      </c>
      <c r="Z242" s="406" t="str">
        <f t="shared" si="512"/>
        <v xml:space="preserve"> </v>
      </c>
      <c r="AA242" s="254" t="str">
        <f>IF($A242="N/A"," ",IF(VLOOKUP(MONTH(A242),ManualTable,2)=1,(IF(0&lt;&gt;R242,IF(Pricetype=1,(_xll.xSPRDOPT(I242,$E242,$CI242,0,($CD242+IF(Smile=TRUE,VLOOKUP(MAX(-5,$H242-I242),Volsmile,2),0)),$CG242,$CH242,($A242-DateToday)+15,1,1))*(8*$HD242),8*$HD242),0)),0))</f>
        <v xml:space="preserve"> </v>
      </c>
      <c r="AB242" s="254" t="str">
        <f>IF($A242="N/A"," ",IF(VLOOKUP(MONTH(A242),ManualTable,3)=1,(IF(S242&lt;&gt;0,IF(Pricetype=1,(_xll.xSPRDOPT(J242,$E242,$CI242,0,($CD242+IF(Smile=TRUE,VLOOKUP(MAX(-5,$H242-J242),Volsmile,2),0)),$CG242,$CH242,($A242-DateToday)+15,1,1))*(8*$HD242),8*$HD242),0)),0))</f>
        <v xml:space="preserve"> </v>
      </c>
      <c r="AC242" s="254" t="str">
        <f t="shared" si="561"/>
        <v xml:space="preserve"> </v>
      </c>
      <c r="AD242" s="254" t="str">
        <f>IF($A242="N/A"," ",IF(VLOOKUP(MONTH(A242),ManualTable,5)=1,(IF(U242&lt;&gt;0,IF(Pricetype=1,(_xll.xSPRDOPT(L242,$E242,$CI242,0,($CD242+IF(Smile=TRUE,VLOOKUP(MAX(-5,$H242-L242),Volsmile,2),0)),$CG242,$CH242,($A242-DateToday)+15,1,1))*(8*$HE242),8*$HE242),0)),0))</f>
        <v xml:space="preserve"> </v>
      </c>
      <c r="AE242" s="254" t="str">
        <f>IF($A242="N/A"," ",IF(VLOOKUP(MONTH(A242),ManualTable,6)=1,(IF(V242&lt;&gt;0,IF(Pricetype=1,(_xll.xSPRDOPT(M242,$E242,$CI242,0,($CD242+IF(Smile=TRUE,VLOOKUP(MAX(-5,$H242-M242),Volsmile,2),0)),$CG242,$CH242,($A242-DateToday)+15,1,1))*(8*$HE242),8*$HE242),0)),0))</f>
        <v xml:space="preserve"> </v>
      </c>
      <c r="AF242" s="254" t="str">
        <f t="shared" si="562"/>
        <v xml:space="preserve"> </v>
      </c>
      <c r="AG242" s="254" t="str">
        <f>IF($A242="N/A"," ",IF(VLOOKUP(MONTH(A242),ManualTable,8)=1,(IF(X242&lt;&gt;0,IF(Pricetype=1,(_xll.xSPRDOPT(O242,$E242,$CI242,0,($CD242+IF(Smile=TRUE,VLOOKUP(MAX(-5,$H242-O242),Volsmile,2),0)),$CG242,$CH242,($A242-DateToday)+15,1,1))*(8*$HF242),8*$HF242),0)),0))</f>
        <v xml:space="preserve"> </v>
      </c>
      <c r="AH242" s="254" t="str">
        <f>IF($A242="N/A"," ",IF(VLOOKUP(MONTH(A242),ManualTable,9)=1,(IF(Y242&lt;&gt;0,IF(Pricetype=1,(_xll.xSPRDOPT(P242,$E242,$CI242,0,($CD242+IF(Smile=TRUE,VLOOKUP(MAX(-5,$H242-P242),Volsmile,2),0)),$CG242,$CH242,($A242-DateToday)+15,1,1))*(8*$HF242),8*$HF242),0)),0))</f>
        <v xml:space="preserve"> </v>
      </c>
      <c r="AI242" s="254" t="str">
        <f t="shared" si="563"/>
        <v xml:space="preserve"> </v>
      </c>
      <c r="AJ242" s="227" t="str">
        <f t="shared" si="638"/>
        <v xml:space="preserve"> </v>
      </c>
      <c r="AK242" s="228" t="str">
        <f t="shared" si="639"/>
        <v xml:space="preserve"> </v>
      </c>
      <c r="AL242" s="228" t="str">
        <f t="shared" si="639"/>
        <v xml:space="preserve"> </v>
      </c>
      <c r="AM242" s="228" t="str">
        <f t="shared" si="640"/>
        <v xml:space="preserve"> </v>
      </c>
      <c r="AN242" s="228" t="str">
        <f t="shared" si="641"/>
        <v xml:space="preserve"> </v>
      </c>
      <c r="AO242" s="228" t="str">
        <f t="shared" si="641"/>
        <v xml:space="preserve"> </v>
      </c>
      <c r="AP242" s="228" t="str">
        <f t="shared" si="642"/>
        <v xml:space="preserve"> </v>
      </c>
      <c r="AQ242" s="228" t="str">
        <f t="shared" si="643"/>
        <v xml:space="preserve"> </v>
      </c>
      <c r="AR242" s="229" t="str">
        <f t="shared" si="644"/>
        <v xml:space="preserve"> </v>
      </c>
      <c r="AS242" s="262" t="str">
        <f t="shared" si="593"/>
        <v xml:space="preserve"> </v>
      </c>
      <c r="AT242" s="263" t="str">
        <f t="shared" si="594"/>
        <v xml:space="preserve"> </v>
      </c>
      <c r="AU242" s="263" t="str">
        <f t="shared" si="594"/>
        <v xml:space="preserve"> </v>
      </c>
      <c r="AV242" s="263" t="str">
        <f t="shared" si="595"/>
        <v xml:space="preserve"> </v>
      </c>
      <c r="AW242" s="263" t="str">
        <f t="shared" si="596"/>
        <v xml:space="preserve"> </v>
      </c>
      <c r="AX242" s="263" t="str">
        <f t="shared" si="596"/>
        <v xml:space="preserve"> </v>
      </c>
      <c r="AY242" s="263" t="str">
        <f t="shared" si="597"/>
        <v xml:space="preserve"> </v>
      </c>
      <c r="AZ242" s="263" t="str">
        <f t="shared" si="598"/>
        <v xml:space="preserve"> </v>
      </c>
      <c r="BA242" s="263" t="str">
        <f t="shared" si="599"/>
        <v xml:space="preserve"> </v>
      </c>
      <c r="BB242" s="229">
        <f>SUM(AS232:BA243)</f>
        <v>0</v>
      </c>
      <c r="BC242" s="266" t="str">
        <f t="shared" si="631"/>
        <v xml:space="preserve"> </v>
      </c>
      <c r="BD242" s="269" t="str">
        <f t="shared" si="632"/>
        <v xml:space="preserve"> </v>
      </c>
      <c r="BE242" s="269" t="str">
        <f t="shared" si="632"/>
        <v xml:space="preserve"> </v>
      </c>
      <c r="BF242" s="269" t="str">
        <f t="shared" si="633"/>
        <v xml:space="preserve"> </v>
      </c>
      <c r="BG242" s="269" t="str">
        <f t="shared" si="634"/>
        <v xml:space="preserve"> </v>
      </c>
      <c r="BH242" s="269" t="str">
        <f t="shared" si="634"/>
        <v xml:space="preserve"> </v>
      </c>
      <c r="BI242" s="269" t="str">
        <f t="shared" si="635"/>
        <v xml:space="preserve"> </v>
      </c>
      <c r="BJ242" s="269" t="str">
        <f t="shared" si="636"/>
        <v xml:space="preserve"> </v>
      </c>
      <c r="BK242" s="269" t="str">
        <f t="shared" si="637"/>
        <v xml:space="preserve"> </v>
      </c>
      <c r="BL242" s="229">
        <f>SUM(BC232:BK243)</f>
        <v>0</v>
      </c>
      <c r="BM242" s="220" t="str">
        <f>IF($A242="N/A"," ",(IF(MONTH(A242)&gt;=4,IF(MONTH(A242)&lt;=10,Inputs!$F$13-Inputs!$G$13,Inputs!$F$14-Inputs!$G$14),Inputs!$F$14-Inputs!$G$14))*$CK242*Availability)</f>
        <v xml:space="preserve"> </v>
      </c>
      <c r="BN242" s="221" t="str">
        <f t="shared" si="571"/>
        <v xml:space="preserve"> </v>
      </c>
      <c r="BO242" s="221" t="str">
        <f t="shared" si="572"/>
        <v xml:space="preserve"> </v>
      </c>
      <c r="BP242" s="221" t="str">
        <f t="shared" si="573"/>
        <v xml:space="preserve"> </v>
      </c>
      <c r="BQ242" s="221" t="str">
        <f t="shared" si="574"/>
        <v xml:space="preserve"> </v>
      </c>
      <c r="BR242" s="221" t="str">
        <f t="shared" si="575"/>
        <v xml:space="preserve"> </v>
      </c>
      <c r="BS242" s="221" t="str">
        <f t="shared" si="576"/>
        <v xml:space="preserve"> </v>
      </c>
      <c r="BT242" s="221" t="str">
        <f t="shared" si="577"/>
        <v xml:space="preserve"> </v>
      </c>
      <c r="BU242" s="221" t="str">
        <f t="shared" si="578"/>
        <v xml:space="preserve"> </v>
      </c>
      <c r="BV242" s="221" t="str">
        <f t="shared" si="579"/>
        <v xml:space="preserve"> </v>
      </c>
      <c r="BW242" s="221" t="str">
        <f t="shared" si="580"/>
        <v xml:space="preserve"> </v>
      </c>
      <c r="BX242" s="421" t="str">
        <f t="shared" si="581"/>
        <v xml:space="preserve"> </v>
      </c>
      <c r="BY242" s="417" t="str">
        <f t="shared" si="582"/>
        <v xml:space="preserve"> </v>
      </c>
      <c r="BZ242" s="417" t="str">
        <f t="shared" si="583"/>
        <v xml:space="preserve"> </v>
      </c>
      <c r="CA242" s="422" t="str">
        <f t="shared" si="584"/>
        <v xml:space="preserve"> </v>
      </c>
      <c r="CB242" s="347" t="str">
        <f t="shared" si="521"/>
        <v xml:space="preserve"> </v>
      </c>
      <c r="CC242" s="347" t="str">
        <f t="shared" si="585"/>
        <v xml:space="preserve"> </v>
      </c>
      <c r="CD242" s="348" t="str">
        <f t="shared" si="522"/>
        <v xml:space="preserve"> </v>
      </c>
      <c r="CE242" s="347" t="str">
        <f t="shared" si="523"/>
        <v xml:space="preserve"> </v>
      </c>
      <c r="CF242" s="347" t="str">
        <f t="shared" si="524"/>
        <v xml:space="preserve"> </v>
      </c>
      <c r="CG242" s="348" t="str">
        <f t="shared" si="525"/>
        <v xml:space="preserve"> </v>
      </c>
      <c r="CH242" s="347" t="str">
        <f t="shared" si="586"/>
        <v xml:space="preserve"> </v>
      </c>
      <c r="CI242" s="349" t="str">
        <f>IF($A242="N/A"," ",F242+G242+(D242*('Pricing Inputs'!T275)))</f>
        <v xml:space="preserve"> </v>
      </c>
      <c r="CJ242" s="347" t="str">
        <f>IF($A242="N/A"," ",IF(PV=1,0,'Pricing Inputs'!U275))</f>
        <v xml:space="preserve"> </v>
      </c>
      <c r="CK242" s="350" t="str">
        <f t="shared" si="526"/>
        <v xml:space="preserve"> </v>
      </c>
      <c r="CL242" s="365" t="str">
        <f t="shared" si="527"/>
        <v xml:space="preserve"> </v>
      </c>
      <c r="CM242" s="380" t="str">
        <f t="shared" si="587"/>
        <v xml:space="preserve"> </v>
      </c>
      <c r="CN242" s="378" t="str">
        <f t="shared" si="528"/>
        <v xml:space="preserve"> </v>
      </c>
      <c r="CO242" s="378" t="str">
        <f t="shared" si="529"/>
        <v xml:space="preserve"> </v>
      </c>
      <c r="CP242" s="378" t="str">
        <f t="shared" si="530"/>
        <v xml:space="preserve"> </v>
      </c>
      <c r="CQ242" s="378" t="str">
        <f t="shared" si="531"/>
        <v xml:space="preserve"> </v>
      </c>
      <c r="CR242" s="378" t="str">
        <f t="shared" si="532"/>
        <v xml:space="preserve"> </v>
      </c>
      <c r="CS242" s="378" t="str">
        <f t="shared" si="533"/>
        <v xml:space="preserve"> </v>
      </c>
      <c r="CT242" s="378" t="str">
        <f t="shared" si="534"/>
        <v xml:space="preserve"> </v>
      </c>
      <c r="CU242" s="378" t="str">
        <f t="shared" si="535"/>
        <v xml:space="preserve"> </v>
      </c>
      <c r="CV242" s="378" t="str">
        <f t="shared" si="536"/>
        <v xml:space="preserve"> </v>
      </c>
      <c r="CW242" s="254" t="str">
        <f t="shared" si="537"/>
        <v xml:space="preserve"> </v>
      </c>
      <c r="CX242" s="254" t="str">
        <f t="shared" si="538"/>
        <v xml:space="preserve"> </v>
      </c>
      <c r="CY242" s="254" t="str">
        <f t="shared" si="539"/>
        <v xml:space="preserve"> </v>
      </c>
      <c r="CZ242" s="254" t="str">
        <f t="shared" si="540"/>
        <v xml:space="preserve"> </v>
      </c>
      <c r="DA242" s="254" t="str">
        <f t="shared" si="541"/>
        <v xml:space="preserve"> </v>
      </c>
      <c r="DB242" s="254" t="str">
        <f t="shared" si="542"/>
        <v xml:space="preserve"> </v>
      </c>
      <c r="DC242" s="254" t="str">
        <f t="shared" si="543"/>
        <v xml:space="preserve"> </v>
      </c>
      <c r="DD242" s="254" t="str">
        <f t="shared" si="544"/>
        <v xml:space="preserve"> </v>
      </c>
      <c r="DE242" s="254" t="str">
        <f t="shared" si="545"/>
        <v xml:space="preserve"> </v>
      </c>
      <c r="DF242" s="374" t="str">
        <f>IF($A242="N/A"," ",IF(CC=2,(IF(MONTH(A242)&gt;=4,IF(MONTH(A242)&lt;=10,Inputs!$G$13,Inputs!$G$14),Inputs!$G$14))*$CK242,0))</f>
        <v xml:space="preserve"> </v>
      </c>
      <c r="DG242" s="373" t="str">
        <f t="shared" si="546"/>
        <v xml:space="preserve"> </v>
      </c>
      <c r="DH242" s="373" t="str">
        <f t="shared" si="547"/>
        <v xml:space="preserve"> </v>
      </c>
      <c r="DI242" s="373" t="str">
        <f t="shared" si="548"/>
        <v xml:space="preserve"> </v>
      </c>
      <c r="DJ242" s="373" t="str">
        <f t="shared" si="549"/>
        <v xml:space="preserve"> </v>
      </c>
      <c r="DK242" s="373" t="str">
        <f t="shared" si="550"/>
        <v xml:space="preserve"> </v>
      </c>
      <c r="DL242" s="373" t="str">
        <f t="shared" si="551"/>
        <v xml:space="preserve"> </v>
      </c>
      <c r="DM242" s="373" t="str">
        <f t="shared" si="552"/>
        <v xml:space="preserve"> </v>
      </c>
      <c r="DN242" s="373" t="str">
        <f t="shared" si="553"/>
        <v xml:space="preserve"> </v>
      </c>
      <c r="DO242" s="373" t="str">
        <f t="shared" si="554"/>
        <v xml:space="preserve"> </v>
      </c>
      <c r="DP242" s="375" t="str">
        <f t="shared" si="555"/>
        <v xml:space="preserve"> </v>
      </c>
      <c r="DQ242" t="str">
        <f t="shared" si="588"/>
        <v xml:space="preserve"> </v>
      </c>
      <c r="HD242" t="str">
        <f t="shared" si="589"/>
        <v xml:space="preserve"> </v>
      </c>
      <c r="HE242" t="str">
        <f t="shared" si="590"/>
        <v xml:space="preserve"> </v>
      </c>
      <c r="HF242" t="str">
        <f t="shared" si="591"/>
        <v xml:space="preserve"> </v>
      </c>
    </row>
    <row r="243" spans="1:214">
      <c r="A243" s="415" t="str">
        <f>IF(A242="N/A","N/A",IF(EDATE(A242,1)&gt;Inputs!$K$3,"N/A",EDATE(A242,1)))</f>
        <v>N/A</v>
      </c>
      <c r="B243" s="410" t="str">
        <f t="shared" si="556"/>
        <v xml:space="preserve"> </v>
      </c>
      <c r="C243" s="411" t="str">
        <f t="shared" si="557"/>
        <v xml:space="preserve"> </v>
      </c>
      <c r="D243" s="412" t="str">
        <f t="shared" si="558"/>
        <v xml:space="preserve"> </v>
      </c>
      <c r="E243" s="413" t="str">
        <f>IF($A243="N/A"," ",(C243-'Pricing Inputs'!T276)*D243)</f>
        <v xml:space="preserve"> </v>
      </c>
      <c r="F243" s="414" t="str">
        <f t="shared" si="607"/>
        <v xml:space="preserve"> </v>
      </c>
      <c r="G243" s="414" t="str">
        <f t="shared" si="559"/>
        <v xml:space="preserve"> </v>
      </c>
      <c r="H243" s="416" t="str">
        <f t="shared" si="560"/>
        <v xml:space="preserve"> </v>
      </c>
      <c r="I243" s="213" t="str">
        <f t="shared" si="501"/>
        <v xml:space="preserve"> </v>
      </c>
      <c r="J243" s="213" t="str">
        <f t="shared" si="502"/>
        <v xml:space="preserve"> </v>
      </c>
      <c r="K243" s="213" t="str">
        <f t="shared" si="503"/>
        <v xml:space="preserve"> </v>
      </c>
      <c r="L243" s="213" t="str">
        <f t="shared" si="504"/>
        <v xml:space="preserve"> </v>
      </c>
      <c r="M243" s="213" t="str">
        <f t="shared" si="505"/>
        <v xml:space="preserve"> </v>
      </c>
      <c r="N243" s="213" t="str">
        <f t="shared" si="506"/>
        <v xml:space="preserve"> </v>
      </c>
      <c r="O243" s="213" t="str">
        <f t="shared" si="507"/>
        <v xml:space="preserve"> </v>
      </c>
      <c r="P243" s="213" t="str">
        <f t="shared" si="508"/>
        <v xml:space="preserve"> </v>
      </c>
      <c r="Q243" s="213" t="str">
        <f t="shared" si="509"/>
        <v xml:space="preserve"> </v>
      </c>
      <c r="R243" s="405" t="str">
        <f>IF($A243="N/A"," ",IF(Pricetype=2,MAX(I243-$H243,0),IF(Pricetype=1,(_xll.xSPRDOPT(I243,$E243,$CI243,0,($CD243+IF(Smile=TRUE,VLOOKUP(MAX(-5,$H243-I243),Volsmile,2),0)),$CG243,$CH243,($A243-DateToday)+15,1,0)),I243-$H243)))</f>
        <v xml:space="preserve"> </v>
      </c>
      <c r="S243" s="405" t="str">
        <f>IF($A243="N/A"," ",IF(Pricetype=2,MAX(J243-$H243,0),IF(Pricetype=1,(_xll.xSPRDOPT(J243,$E243,$CI243,0,($CD243+IF(Smile=TRUE,VLOOKUP(MAX(-5,$H243-J243),Volsmile,2),0)),$CG243,$CH243,($A243-DateToday)+15,1,0)),J243-$H243)))</f>
        <v xml:space="preserve"> </v>
      </c>
      <c r="T243" s="406" t="str">
        <f t="shared" si="510"/>
        <v xml:space="preserve"> </v>
      </c>
      <c r="U243" s="405" t="str">
        <f>IF($A243="N/A"," ",IF(Pricetype=2,MAX(L243-$H243,0),IF(L243&lt;&gt;0,IF(Pricetype=1,(_xll.xSPRDOPT(L243,$E243,$CI243,0,($CD243+IF(Smile=TRUE,VLOOKUP(MAX(-5,$H243-L243),Volsmile,2),0)),$CG243,$CH243,($A243-DateToday)+15,1,0)),L243-$H243),0)))</f>
        <v xml:space="preserve"> </v>
      </c>
      <c r="V243" s="405" t="str">
        <f>IF($A243="N/A"," ",IF(Pricetype=2,MAX(M243-$H243,0),IF(M243&lt;&gt;0,IF(Pricetype=1,(_xll.xSPRDOPT(M243,$E243,$CI243,0,($CD243+IF(Smile=TRUE,VLOOKUP(MAX(-5,$H243-M243),Volsmile,2),0)),$CG243,$CH243,($A243-DateToday)+15,1,0)),M243-$H243),0)))</f>
        <v xml:space="preserve"> </v>
      </c>
      <c r="W243" s="406" t="str">
        <f t="shared" si="511"/>
        <v xml:space="preserve"> </v>
      </c>
      <c r="X243" s="405" t="str">
        <f>IF($A243="N/A"," ",IF(Pricetype=2,MAX(O243-$H243,0),IF(O243&lt;&gt;0,IF(Pricetype=1,(_xll.xSPRDOPT(O243,$E243,$CI243,0,($CD243+IF(Smile=TRUE,VLOOKUP(MAX(-5,$H243-O243),Volsmile,2),0)),$CG243,$CH243,($A243-DateToday)+15,1,0)),O243-$H243),0)))</f>
        <v xml:space="preserve"> </v>
      </c>
      <c r="Y243" s="405" t="str">
        <f>IF($A243="N/A"," ",IF(Pricetype=2,MAX(P243-$H243,0),IF(P243&lt;&gt;0,IF(Pricetype=1,(_xll.xSPRDOPT(P243,$E243,$CI243,0,($CD243+IF(Smile=TRUE,VLOOKUP(MAX(-5,$H243-P243),Volsmile,2),0)),$CG243,$CH243,($A243-DateToday)+15,1,0)),P243-$H243),0)))</f>
        <v xml:space="preserve"> </v>
      </c>
      <c r="Z243" s="406" t="str">
        <f t="shared" si="512"/>
        <v xml:space="preserve"> </v>
      </c>
      <c r="AA243" s="254" t="str">
        <f>IF($A243="N/A"," ",IF(VLOOKUP(MONTH(A243),ManualTable,2)=1,(IF(0&lt;&gt;R243,IF(Pricetype=1,(_xll.xSPRDOPT(I243,$E243,$CI243,0,($CD243+IF(Smile=TRUE,VLOOKUP(MAX(-5,$H243-I243),Volsmile,2),0)),$CG243,$CH243,($A243-DateToday)+15,1,1))*(8*$HD243),8*$HD243),0)),0))</f>
        <v xml:space="preserve"> </v>
      </c>
      <c r="AB243" s="254" t="str">
        <f>IF($A243="N/A"," ",IF(VLOOKUP(MONTH(A243),ManualTable,3)=1,(IF(S243&lt;&gt;0,IF(Pricetype=1,(_xll.xSPRDOPT(J243,$E243,$CI243,0,($CD243+IF(Smile=TRUE,VLOOKUP(MAX(-5,$H243-J243),Volsmile,2),0)),$CG243,$CH243,($A243-DateToday)+15,1,1))*(8*$HD243),8*$HD243),0)),0))</f>
        <v xml:space="preserve"> </v>
      </c>
      <c r="AC243" s="254" t="str">
        <f t="shared" si="561"/>
        <v xml:space="preserve"> </v>
      </c>
      <c r="AD243" s="254" t="str">
        <f>IF($A243="N/A"," ",IF(VLOOKUP(MONTH(A243),ManualTable,5)=1,(IF(U243&lt;&gt;0,IF(Pricetype=1,(_xll.xSPRDOPT(L243,$E243,$CI243,0,($CD243+IF(Smile=TRUE,VLOOKUP(MAX(-5,$H243-L243),Volsmile,2),0)),$CG243,$CH243,($A243-DateToday)+15,1,1))*(8*$HE243),8*$HE243),0)),0))</f>
        <v xml:space="preserve"> </v>
      </c>
      <c r="AE243" s="254" t="str">
        <f>IF($A243="N/A"," ",IF(VLOOKUP(MONTH(A243),ManualTable,6)=1,(IF(V243&lt;&gt;0,IF(Pricetype=1,(_xll.xSPRDOPT(M243,$E243,$CI243,0,($CD243+IF(Smile=TRUE,VLOOKUP(MAX(-5,$H243-M243),Volsmile,2),0)),$CG243,$CH243,($A243-DateToday)+15,1,1))*(8*$HE243),8*$HE243),0)),0))</f>
        <v xml:space="preserve"> </v>
      </c>
      <c r="AF243" s="254" t="str">
        <f t="shared" si="562"/>
        <v xml:space="preserve"> </v>
      </c>
      <c r="AG243" s="254" t="str">
        <f>IF($A243="N/A"," ",IF(VLOOKUP(MONTH(A243),ManualTable,8)=1,(IF(X243&lt;&gt;0,IF(Pricetype=1,(_xll.xSPRDOPT(O243,$E243,$CI243,0,($CD243+IF(Smile=TRUE,VLOOKUP(MAX(-5,$H243-O243),Volsmile,2),0)),$CG243,$CH243,($A243-DateToday)+15,1,1))*(8*$HF243),8*$HF243),0)),0))</f>
        <v xml:space="preserve"> </v>
      </c>
      <c r="AH243" s="254" t="str">
        <f>IF($A243="N/A"," ",IF(VLOOKUP(MONTH(A243),ManualTable,9)=1,(IF(Y243&lt;&gt;0,IF(Pricetype=1,(_xll.xSPRDOPT(P243,$E243,$CI243,0,($CD243+IF(Smile=TRUE,VLOOKUP(MAX(-5,$H243-P243),Volsmile,2),0)),$CG243,$CH243,($A243-DateToday)+15,1,1))*(8*$HF243),8*$HF243),0)),0))</f>
        <v xml:space="preserve"> </v>
      </c>
      <c r="AI243" s="254" t="str">
        <f t="shared" si="563"/>
        <v xml:space="preserve"> </v>
      </c>
      <c r="AJ243" s="230" t="str">
        <f t="shared" si="638"/>
        <v xml:space="preserve"> </v>
      </c>
      <c r="AK243" s="231" t="str">
        <f t="shared" si="639"/>
        <v xml:space="preserve"> </v>
      </c>
      <c r="AL243" s="231" t="str">
        <f t="shared" si="639"/>
        <v xml:space="preserve"> </v>
      </c>
      <c r="AM243" s="231" t="str">
        <f t="shared" si="640"/>
        <v xml:space="preserve"> </v>
      </c>
      <c r="AN243" s="231" t="str">
        <f t="shared" si="641"/>
        <v xml:space="preserve"> </v>
      </c>
      <c r="AO243" s="231" t="str">
        <f t="shared" si="641"/>
        <v xml:space="preserve"> </v>
      </c>
      <c r="AP243" s="231" t="str">
        <f t="shared" si="642"/>
        <v xml:space="preserve"> </v>
      </c>
      <c r="AQ243" s="231" t="str">
        <f t="shared" si="643"/>
        <v xml:space="preserve"> </v>
      </c>
      <c r="AR243" s="232" t="str">
        <f t="shared" si="644"/>
        <v xml:space="preserve"> </v>
      </c>
      <c r="AS243" s="264" t="str">
        <f t="shared" si="593"/>
        <v xml:space="preserve"> </v>
      </c>
      <c r="AT243" s="265" t="str">
        <f t="shared" si="594"/>
        <v xml:space="preserve"> </v>
      </c>
      <c r="AU243" s="265" t="str">
        <f t="shared" si="594"/>
        <v xml:space="preserve"> </v>
      </c>
      <c r="AV243" s="265" t="str">
        <f t="shared" si="595"/>
        <v xml:space="preserve"> </v>
      </c>
      <c r="AW243" s="265" t="str">
        <f t="shared" si="596"/>
        <v xml:space="preserve"> </v>
      </c>
      <c r="AX243" s="265" t="str">
        <f t="shared" si="596"/>
        <v xml:space="preserve"> </v>
      </c>
      <c r="AY243" s="265" t="str">
        <f t="shared" si="597"/>
        <v xml:space="preserve"> </v>
      </c>
      <c r="AZ243" s="265" t="str">
        <f t="shared" si="598"/>
        <v xml:space="preserve"> </v>
      </c>
      <c r="BA243" s="265" t="str">
        <f t="shared" si="599"/>
        <v xml:space="preserve"> </v>
      </c>
      <c r="BB243" s="232">
        <f>IF(($AZ$2-BB242)&gt;=0,$AZ$2-BB242,0)</f>
        <v>980</v>
      </c>
      <c r="BC243" s="270" t="str">
        <f t="shared" si="631"/>
        <v xml:space="preserve"> </v>
      </c>
      <c r="BD243" s="271" t="str">
        <f t="shared" si="632"/>
        <v xml:space="preserve"> </v>
      </c>
      <c r="BE243" s="269" t="str">
        <f t="shared" si="632"/>
        <v xml:space="preserve"> </v>
      </c>
      <c r="BF243" s="271" t="str">
        <f t="shared" si="633"/>
        <v xml:space="preserve"> </v>
      </c>
      <c r="BG243" s="271" t="str">
        <f t="shared" si="634"/>
        <v xml:space="preserve"> </v>
      </c>
      <c r="BH243" s="269" t="str">
        <f t="shared" si="634"/>
        <v xml:space="preserve"> </v>
      </c>
      <c r="BI243" s="271" t="str">
        <f t="shared" si="635"/>
        <v xml:space="preserve"> </v>
      </c>
      <c r="BJ243" s="271" t="str">
        <f t="shared" si="636"/>
        <v xml:space="preserve"> </v>
      </c>
      <c r="BK243" s="271" t="str">
        <f t="shared" si="637"/>
        <v xml:space="preserve"> </v>
      </c>
      <c r="BL243" s="235">
        <f>BB242+BL242</f>
        <v>0</v>
      </c>
      <c r="BM243" s="220" t="str">
        <f>IF($A243="N/A"," ",(IF(MONTH(A243)&gt;=4,IF(MONTH(A243)&lt;=10,Inputs!$F$13-Inputs!$G$13,Inputs!$F$14-Inputs!$G$14),Inputs!$F$14-Inputs!$G$14))*$CK243*Availability)</f>
        <v xml:space="preserve"> </v>
      </c>
      <c r="BN243" s="221" t="str">
        <f t="shared" si="571"/>
        <v xml:space="preserve"> </v>
      </c>
      <c r="BO243" s="221" t="str">
        <f t="shared" si="572"/>
        <v xml:space="preserve"> </v>
      </c>
      <c r="BP243" s="221" t="str">
        <f t="shared" si="573"/>
        <v xml:space="preserve"> </v>
      </c>
      <c r="BQ243" s="221" t="str">
        <f t="shared" si="574"/>
        <v xml:space="preserve"> </v>
      </c>
      <c r="BR243" s="221" t="str">
        <f t="shared" si="575"/>
        <v xml:space="preserve"> </v>
      </c>
      <c r="BS243" s="221" t="str">
        <f t="shared" si="576"/>
        <v xml:space="preserve"> </v>
      </c>
      <c r="BT243" s="221" t="str">
        <f t="shared" si="577"/>
        <v xml:space="preserve"> </v>
      </c>
      <c r="BU243" s="221" t="str">
        <f t="shared" si="578"/>
        <v xml:space="preserve"> </v>
      </c>
      <c r="BV243" s="221" t="str">
        <f t="shared" si="579"/>
        <v xml:space="preserve"> </v>
      </c>
      <c r="BW243" s="221" t="str">
        <f t="shared" si="580"/>
        <v xml:space="preserve"> </v>
      </c>
      <c r="BX243" s="421" t="str">
        <f t="shared" si="581"/>
        <v xml:space="preserve"> </v>
      </c>
      <c r="BY243" s="417" t="str">
        <f t="shared" si="582"/>
        <v xml:space="preserve"> </v>
      </c>
      <c r="BZ243" s="417" t="str">
        <f t="shared" si="583"/>
        <v xml:space="preserve"> </v>
      </c>
      <c r="CA243" s="422" t="str">
        <f t="shared" si="584"/>
        <v xml:space="preserve"> </v>
      </c>
      <c r="CB243" s="347" t="str">
        <f t="shared" si="521"/>
        <v xml:space="preserve"> </v>
      </c>
      <c r="CC243" s="347" t="str">
        <f t="shared" si="585"/>
        <v xml:space="preserve"> </v>
      </c>
      <c r="CD243" s="348" t="str">
        <f t="shared" si="522"/>
        <v xml:space="preserve"> </v>
      </c>
      <c r="CE243" s="347" t="str">
        <f t="shared" si="523"/>
        <v xml:space="preserve"> </v>
      </c>
      <c r="CF243" s="347" t="str">
        <f t="shared" si="524"/>
        <v xml:space="preserve"> </v>
      </c>
      <c r="CG243" s="348" t="str">
        <f t="shared" si="525"/>
        <v xml:space="preserve"> </v>
      </c>
      <c r="CH243" s="347" t="str">
        <f t="shared" si="586"/>
        <v xml:space="preserve"> </v>
      </c>
      <c r="CI243" s="349" t="str">
        <f>IF($A243="N/A"," ",F243+G243+(D243*('Pricing Inputs'!T276)))</f>
        <v xml:space="preserve"> </v>
      </c>
      <c r="CJ243" s="347" t="str">
        <f>IF($A243="N/A"," ",IF(PV=1,0,'Pricing Inputs'!U276))</f>
        <v xml:space="preserve"> </v>
      </c>
      <c r="CK243" s="350" t="str">
        <f t="shared" si="526"/>
        <v xml:space="preserve"> </v>
      </c>
      <c r="CL243" s="365" t="str">
        <f t="shared" si="527"/>
        <v xml:space="preserve"> </v>
      </c>
      <c r="CM243" s="380" t="str">
        <f t="shared" si="587"/>
        <v xml:space="preserve"> </v>
      </c>
      <c r="CN243" s="378" t="str">
        <f t="shared" si="528"/>
        <v xml:space="preserve"> </v>
      </c>
      <c r="CO243" s="378" t="str">
        <f t="shared" si="529"/>
        <v xml:space="preserve"> </v>
      </c>
      <c r="CP243" s="378" t="str">
        <f t="shared" si="530"/>
        <v xml:space="preserve"> </v>
      </c>
      <c r="CQ243" s="378" t="str">
        <f t="shared" si="531"/>
        <v xml:space="preserve"> </v>
      </c>
      <c r="CR243" s="378" t="str">
        <f t="shared" si="532"/>
        <v xml:space="preserve"> </v>
      </c>
      <c r="CS243" s="378" t="str">
        <f t="shared" si="533"/>
        <v xml:space="preserve"> </v>
      </c>
      <c r="CT243" s="378" t="str">
        <f t="shared" si="534"/>
        <v xml:space="preserve"> </v>
      </c>
      <c r="CU243" s="378" t="str">
        <f t="shared" si="535"/>
        <v xml:space="preserve"> </v>
      </c>
      <c r="CV243" s="378" t="str">
        <f t="shared" si="536"/>
        <v xml:space="preserve"> </v>
      </c>
      <c r="CW243" s="254" t="str">
        <f t="shared" si="537"/>
        <v xml:space="preserve"> </v>
      </c>
      <c r="CX243" s="254" t="str">
        <f t="shared" si="538"/>
        <v xml:space="preserve"> </v>
      </c>
      <c r="CY243" s="254" t="str">
        <f t="shared" si="539"/>
        <v xml:space="preserve"> </v>
      </c>
      <c r="CZ243" s="254" t="str">
        <f t="shared" si="540"/>
        <v xml:space="preserve"> </v>
      </c>
      <c r="DA243" s="254" t="str">
        <f t="shared" si="541"/>
        <v xml:space="preserve"> </v>
      </c>
      <c r="DB243" s="254" t="str">
        <f t="shared" si="542"/>
        <v xml:space="preserve"> </v>
      </c>
      <c r="DC243" s="254" t="str">
        <f t="shared" si="543"/>
        <v xml:space="preserve"> </v>
      </c>
      <c r="DD243" s="254" t="str">
        <f t="shared" si="544"/>
        <v xml:space="preserve"> </v>
      </c>
      <c r="DE243" s="254" t="str">
        <f t="shared" si="545"/>
        <v xml:space="preserve"> </v>
      </c>
      <c r="DF243" s="374" t="str">
        <f>IF($A243="N/A"," ",IF(CC=2,(IF(MONTH(A243)&gt;=4,IF(MONTH(A243)&lt;=10,Inputs!$G$13,Inputs!$G$14),Inputs!$G$14))*$CK243,0))</f>
        <v xml:space="preserve"> </v>
      </c>
      <c r="DG243" s="373" t="str">
        <f t="shared" si="546"/>
        <v xml:space="preserve"> </v>
      </c>
      <c r="DH243" s="373" t="str">
        <f t="shared" si="547"/>
        <v xml:space="preserve"> </v>
      </c>
      <c r="DI243" s="373" t="str">
        <f t="shared" si="548"/>
        <v xml:space="preserve"> </v>
      </c>
      <c r="DJ243" s="373" t="str">
        <f t="shared" si="549"/>
        <v xml:space="preserve"> </v>
      </c>
      <c r="DK243" s="373" t="str">
        <f t="shared" si="550"/>
        <v xml:space="preserve"> </v>
      </c>
      <c r="DL243" s="373" t="str">
        <f t="shared" si="551"/>
        <v xml:space="preserve"> </v>
      </c>
      <c r="DM243" s="373" t="str">
        <f t="shared" si="552"/>
        <v xml:space="preserve"> </v>
      </c>
      <c r="DN243" s="373" t="str">
        <f t="shared" si="553"/>
        <v xml:space="preserve"> </v>
      </c>
      <c r="DO243" s="373" t="str">
        <f t="shared" si="554"/>
        <v xml:space="preserve"> </v>
      </c>
      <c r="DP243" s="375" t="str">
        <f t="shared" si="555"/>
        <v xml:space="preserve"> </v>
      </c>
      <c r="DQ243" t="str">
        <f t="shared" si="588"/>
        <v xml:space="preserve"> </v>
      </c>
      <c r="HD243" t="str">
        <f t="shared" si="589"/>
        <v xml:space="preserve"> </v>
      </c>
      <c r="HE243" t="str">
        <f t="shared" si="590"/>
        <v xml:space="preserve"> </v>
      </c>
      <c r="HF243" t="str">
        <f t="shared" si="591"/>
        <v xml:space="preserve"> </v>
      </c>
    </row>
    <row r="244" spans="1:214">
      <c r="A244" s="415" t="str">
        <f>IF(A243="N/A","N/A",IF(EDATE(A243,1)&gt;Inputs!$K$3,"N/A",EDATE(A243,1)))</f>
        <v>N/A</v>
      </c>
      <c r="B244" s="410" t="str">
        <f t="shared" si="556"/>
        <v xml:space="preserve"> </v>
      </c>
      <c r="C244" s="411" t="str">
        <f t="shared" si="557"/>
        <v xml:space="preserve"> </v>
      </c>
      <c r="D244" s="412" t="str">
        <f t="shared" si="558"/>
        <v xml:space="preserve"> </v>
      </c>
      <c r="E244" s="413" t="str">
        <f>IF($A244="N/A"," ",(C244-'Pricing Inputs'!T277)*D244)</f>
        <v xml:space="preserve"> </v>
      </c>
      <c r="F244" s="414" t="str">
        <f t="shared" si="607"/>
        <v xml:space="preserve"> </v>
      </c>
      <c r="G244" s="414" t="str">
        <f t="shared" si="559"/>
        <v xml:space="preserve"> </v>
      </c>
      <c r="H244" s="416" t="str">
        <f t="shared" si="560"/>
        <v xml:space="preserve"> </v>
      </c>
      <c r="I244" s="213" t="str">
        <f t="shared" si="501"/>
        <v xml:space="preserve"> </v>
      </c>
      <c r="J244" s="213" t="str">
        <f t="shared" si="502"/>
        <v xml:space="preserve"> </v>
      </c>
      <c r="K244" s="213" t="str">
        <f t="shared" si="503"/>
        <v xml:space="preserve"> </v>
      </c>
      <c r="L244" s="213" t="str">
        <f t="shared" si="504"/>
        <v xml:space="preserve"> </v>
      </c>
      <c r="M244" s="213" t="str">
        <f t="shared" si="505"/>
        <v xml:space="preserve"> </v>
      </c>
      <c r="N244" s="213" t="str">
        <f t="shared" si="506"/>
        <v xml:space="preserve"> </v>
      </c>
      <c r="O244" s="213" t="str">
        <f t="shared" si="507"/>
        <v xml:space="preserve"> </v>
      </c>
      <c r="P244" s="213" t="str">
        <f t="shared" si="508"/>
        <v xml:space="preserve"> </v>
      </c>
      <c r="Q244" s="213" t="str">
        <f t="shared" si="509"/>
        <v xml:space="preserve"> </v>
      </c>
      <c r="R244" s="405" t="str">
        <f>IF($A244="N/A"," ",IF(Pricetype=2,MAX(I244-$H244,0),IF(Pricetype=1,(_xll.xSPRDOPT(I244,$E244,$CI244,0,($CD244+IF(Smile=TRUE,VLOOKUP(MAX(-5,$H244-I244),Volsmile,2),0)),$CG244,$CH244,($A244-DateToday)+15,1,0)),I244-$H244)))</f>
        <v xml:space="preserve"> </v>
      </c>
      <c r="S244" s="405" t="str">
        <f>IF($A244="N/A"," ",IF(Pricetype=2,MAX(J244-$H244,0),IF(Pricetype=1,(_xll.xSPRDOPT(J244,$E244,$CI244,0,($CD244+IF(Smile=TRUE,VLOOKUP(MAX(-5,$H244-J244),Volsmile,2),0)),$CG244,$CH244,($A244-DateToday)+15,1,0)),J244-$H244)))</f>
        <v xml:space="preserve"> </v>
      </c>
      <c r="T244" s="406" t="str">
        <f t="shared" si="510"/>
        <v xml:space="preserve"> </v>
      </c>
      <c r="U244" s="405" t="str">
        <f>IF($A244="N/A"," ",IF(Pricetype=2,MAX(L244-$H244,0),IF(L244&lt;&gt;0,IF(Pricetype=1,(_xll.xSPRDOPT(L244,$E244,$CI244,0,($CD244+IF(Smile=TRUE,VLOOKUP(MAX(-5,$H244-L244),Volsmile,2),0)),$CG244,$CH244,($A244-DateToday)+15,1,0)),L244-$H244),0)))</f>
        <v xml:space="preserve"> </v>
      </c>
      <c r="V244" s="405" t="str">
        <f>IF($A244="N/A"," ",IF(Pricetype=2,MAX(M244-$H244,0),IF(M244&lt;&gt;0,IF(Pricetype=1,(_xll.xSPRDOPT(M244,$E244,$CI244,0,($CD244+IF(Smile=TRUE,VLOOKUP(MAX(-5,$H244-M244),Volsmile,2),0)),$CG244,$CH244,($A244-DateToday)+15,1,0)),M244-$H244),0)))</f>
        <v xml:space="preserve"> </v>
      </c>
      <c r="W244" s="406" t="str">
        <f t="shared" si="511"/>
        <v xml:space="preserve"> </v>
      </c>
      <c r="X244" s="405" t="str">
        <f>IF($A244="N/A"," ",IF(Pricetype=2,MAX(O244-$H244,0),IF(O244&lt;&gt;0,IF(Pricetype=1,(_xll.xSPRDOPT(O244,$E244,$CI244,0,($CD244+IF(Smile=TRUE,VLOOKUP(MAX(-5,$H244-O244),Volsmile,2),0)),$CG244,$CH244,($A244-DateToday)+15,1,0)),O244-$H244),0)))</f>
        <v xml:space="preserve"> </v>
      </c>
      <c r="Y244" s="405" t="str">
        <f>IF($A244="N/A"," ",IF(Pricetype=2,MAX(P244-$H244,0),IF(P244&lt;&gt;0,IF(Pricetype=1,(_xll.xSPRDOPT(P244,$E244,$CI244,0,($CD244+IF(Smile=TRUE,VLOOKUP(MAX(-5,$H244-P244),Volsmile,2),0)),$CG244,$CH244,($A244-DateToday)+15,1,0)),P244-$H244),0)))</f>
        <v xml:space="preserve"> </v>
      </c>
      <c r="Z244" s="406" t="str">
        <f t="shared" si="512"/>
        <v xml:space="preserve"> </v>
      </c>
      <c r="AA244" s="254" t="str">
        <f>IF($A244="N/A"," ",IF(VLOOKUP(MONTH(A244),ManualTable,2)=1,(IF(0&lt;&gt;R244,IF(Pricetype=1,(_xll.xSPRDOPT(I244,$E244,$CI244,0,($CD244+IF(Smile=TRUE,VLOOKUP(MAX(-5,$H244-I244),Volsmile,2),0)),$CG244,$CH244,($A244-DateToday)+15,1,1))*(8*$HD244),8*$HD244),0)),0))</f>
        <v xml:space="preserve"> </v>
      </c>
      <c r="AB244" s="254" t="str">
        <f>IF($A244="N/A"," ",IF(VLOOKUP(MONTH(A244),ManualTable,3)=1,(IF(S244&lt;&gt;0,IF(Pricetype=1,(_xll.xSPRDOPT(J244,$E244,$CI244,0,($CD244+IF(Smile=TRUE,VLOOKUP(MAX(-5,$H244-J244),Volsmile,2),0)),$CG244,$CH244,($A244-DateToday)+15,1,1))*(8*$HD244),8*$HD244),0)),0))</f>
        <v xml:space="preserve"> </v>
      </c>
      <c r="AC244" s="254" t="str">
        <f t="shared" si="561"/>
        <v xml:space="preserve"> </v>
      </c>
      <c r="AD244" s="254" t="str">
        <f>IF($A244="N/A"," ",IF(VLOOKUP(MONTH(A244),ManualTable,5)=1,(IF(U244&lt;&gt;0,IF(Pricetype=1,(_xll.xSPRDOPT(L244,$E244,$CI244,0,($CD244+IF(Smile=TRUE,VLOOKUP(MAX(-5,$H244-L244),Volsmile,2),0)),$CG244,$CH244,($A244-DateToday)+15,1,1))*(8*$HE244),8*$HE244),0)),0))</f>
        <v xml:space="preserve"> </v>
      </c>
      <c r="AE244" s="254" t="str">
        <f>IF($A244="N/A"," ",IF(VLOOKUP(MONTH(A244),ManualTable,6)=1,(IF(V244&lt;&gt;0,IF(Pricetype=1,(_xll.xSPRDOPT(M244,$E244,$CI244,0,($CD244+IF(Smile=TRUE,VLOOKUP(MAX(-5,$H244-M244),Volsmile,2),0)),$CG244,$CH244,($A244-DateToday)+15,1,1))*(8*$HE244),8*$HE244),0)),0))</f>
        <v xml:space="preserve"> </v>
      </c>
      <c r="AF244" s="254" t="str">
        <f t="shared" si="562"/>
        <v xml:space="preserve"> </v>
      </c>
      <c r="AG244" s="254" t="str">
        <f>IF($A244="N/A"," ",IF(VLOOKUP(MONTH(A244),ManualTable,8)=1,(IF(X244&lt;&gt;0,IF(Pricetype=1,(_xll.xSPRDOPT(O244,$E244,$CI244,0,($CD244+IF(Smile=TRUE,VLOOKUP(MAX(-5,$H244-O244),Volsmile,2),0)),$CG244,$CH244,($A244-DateToday)+15,1,1))*(8*$HF244),8*$HF244),0)),0))</f>
        <v xml:space="preserve"> </v>
      </c>
      <c r="AH244" s="254" t="str">
        <f>IF($A244="N/A"," ",IF(VLOOKUP(MONTH(A244),ManualTable,9)=1,(IF(Y244&lt;&gt;0,IF(Pricetype=1,(_xll.xSPRDOPT(P244,$E244,$CI244,0,($CD244+IF(Smile=TRUE,VLOOKUP(MAX(-5,$H244-P244),Volsmile,2),0)),$CG244,$CH244,($A244-DateToday)+15,1,1))*(8*$HF244),8*$HF244),0)),0))</f>
        <v xml:space="preserve"> </v>
      </c>
      <c r="AI244" s="254" t="str">
        <f t="shared" si="563"/>
        <v xml:space="preserve"> </v>
      </c>
      <c r="AJ244" s="224" t="str">
        <f t="shared" ref="AJ244:AR244" si="645">IF($A244="N/A"," ",RANK(R244,$R$244:$Z$255))</f>
        <v xml:space="preserve"> </v>
      </c>
      <c r="AK244" s="225" t="str">
        <f t="shared" si="645"/>
        <v xml:space="preserve"> </v>
      </c>
      <c r="AL244" s="225" t="str">
        <f t="shared" si="645"/>
        <v xml:space="preserve"> </v>
      </c>
      <c r="AM244" s="225" t="str">
        <f t="shared" si="645"/>
        <v xml:space="preserve"> </v>
      </c>
      <c r="AN244" s="225" t="str">
        <f t="shared" si="645"/>
        <v xml:space="preserve"> </v>
      </c>
      <c r="AO244" s="225" t="str">
        <f t="shared" si="645"/>
        <v xml:space="preserve"> </v>
      </c>
      <c r="AP244" s="225" t="str">
        <f t="shared" si="645"/>
        <v xml:space="preserve"> </v>
      </c>
      <c r="AQ244" s="225" t="str">
        <f t="shared" si="645"/>
        <v xml:space="preserve"> </v>
      </c>
      <c r="AR244" s="226" t="str">
        <f t="shared" si="645"/>
        <v xml:space="preserve"> </v>
      </c>
      <c r="AS244" s="260" t="str">
        <f t="shared" si="593"/>
        <v xml:space="preserve"> </v>
      </c>
      <c r="AT244" s="261" t="str">
        <f t="shared" si="594"/>
        <v xml:space="preserve"> </v>
      </c>
      <c r="AU244" s="263" t="str">
        <f t="shared" si="594"/>
        <v xml:space="preserve"> </v>
      </c>
      <c r="AV244" s="263" t="str">
        <f t="shared" si="595"/>
        <v xml:space="preserve"> </v>
      </c>
      <c r="AW244" s="263" t="str">
        <f t="shared" si="596"/>
        <v xml:space="preserve"> </v>
      </c>
      <c r="AX244" s="263" t="str">
        <f t="shared" si="596"/>
        <v xml:space="preserve"> </v>
      </c>
      <c r="AY244" s="261" t="str">
        <f t="shared" si="597"/>
        <v xml:space="preserve"> </v>
      </c>
      <c r="AZ244" s="261" t="str">
        <f t="shared" si="598"/>
        <v xml:space="preserve"> </v>
      </c>
      <c r="BA244" s="261" t="str">
        <f t="shared" si="599"/>
        <v xml:space="preserve"> </v>
      </c>
      <c r="BB244" s="226"/>
      <c r="BC244" s="272" t="str">
        <f t="shared" ref="BC244:BC255" si="646">IF($A244="N/A"," ",IF(AND(AJ244=$AR$2+1,AS244=0),MIN($BB$255,AA244),0))</f>
        <v xml:space="preserve"> </v>
      </c>
      <c r="BD244" s="267" t="str">
        <f t="shared" ref="BD244:BE255" si="647">IF($A244="N/A"," ",IF(AND(AK244=$AR$2+1,AT244=0),MIN($BB$255,AB244),0))</f>
        <v xml:space="preserve"> </v>
      </c>
      <c r="BE244" s="267" t="str">
        <f t="shared" si="647"/>
        <v xml:space="preserve"> </v>
      </c>
      <c r="BF244" s="267" t="str">
        <f t="shared" ref="BF244:BF255" si="648">IF($A244="N/A"," ",IF(AND(AM244=$AR$2+1,AV244=0),MIN($BB$255,AD244),0))</f>
        <v xml:space="preserve"> </v>
      </c>
      <c r="BG244" s="267" t="str">
        <f t="shared" ref="BG244:BH255" si="649">IF($A244="N/A"," ",IF(AND(AN244=$AR$2+1,AW244=0),MIN($BB$255,AE244),0))</f>
        <v xml:space="preserve"> </v>
      </c>
      <c r="BH244" s="267" t="str">
        <f t="shared" si="649"/>
        <v xml:space="preserve"> </v>
      </c>
      <c r="BI244" s="267" t="str">
        <f t="shared" ref="BI244:BI255" si="650">IF($A244="N/A"," ",IF(AND(AP244=$AR$2+1,AY244=0),MIN($BB$255,AG244),0))</f>
        <v xml:space="preserve"> </v>
      </c>
      <c r="BJ244" s="267" t="str">
        <f t="shared" ref="BJ244:BJ255" si="651">IF($A244="N/A"," ",IF(AND(AQ244=$AR$2+1,AZ244=0),MIN($BB$255,AH244),0))</f>
        <v xml:space="preserve"> </v>
      </c>
      <c r="BK244" s="267" t="str">
        <f t="shared" ref="BK244:BK255" si="652">IF($A244="N/A"," ",IF(AND(AR244=$AR$2+1,BA244=0),MIN($BB$255,AI244),0))</f>
        <v xml:space="preserve"> </v>
      </c>
      <c r="BL244" s="226"/>
      <c r="BM244" s="220" t="str">
        <f>IF($A244="N/A"," ",(IF(MONTH(A244)&gt;=4,IF(MONTH(A244)&lt;=10,Inputs!$F$13-Inputs!$G$13,Inputs!$F$14-Inputs!$G$14),Inputs!$F$14-Inputs!$G$14))*$CK244*Availability)</f>
        <v xml:space="preserve"> </v>
      </c>
      <c r="BN244" s="221" t="str">
        <f t="shared" si="571"/>
        <v xml:space="preserve"> </v>
      </c>
      <c r="BO244" s="221" t="str">
        <f t="shared" si="572"/>
        <v xml:space="preserve"> </v>
      </c>
      <c r="BP244" s="221" t="str">
        <f t="shared" si="573"/>
        <v xml:space="preserve"> </v>
      </c>
      <c r="BQ244" s="221" t="str">
        <f t="shared" si="574"/>
        <v xml:space="preserve"> </v>
      </c>
      <c r="BR244" s="221" t="str">
        <f t="shared" si="575"/>
        <v xml:space="preserve"> </v>
      </c>
      <c r="BS244" s="221" t="str">
        <f t="shared" si="576"/>
        <v xml:space="preserve"> </v>
      </c>
      <c r="BT244" s="221" t="str">
        <f t="shared" si="577"/>
        <v xml:space="preserve"> </v>
      </c>
      <c r="BU244" s="221" t="str">
        <f t="shared" si="578"/>
        <v xml:space="preserve"> </v>
      </c>
      <c r="BV244" s="221" t="str">
        <f t="shared" si="579"/>
        <v xml:space="preserve"> </v>
      </c>
      <c r="BW244" s="221" t="str">
        <f t="shared" si="580"/>
        <v xml:space="preserve"> </v>
      </c>
      <c r="BX244" s="421" t="str">
        <f t="shared" si="581"/>
        <v xml:space="preserve"> </v>
      </c>
      <c r="BY244" s="417" t="str">
        <f t="shared" si="582"/>
        <v xml:space="preserve"> </v>
      </c>
      <c r="BZ244" s="417" t="str">
        <f t="shared" si="583"/>
        <v xml:space="preserve"> </v>
      </c>
      <c r="CA244" s="422" t="str">
        <f t="shared" si="584"/>
        <v xml:space="preserve"> </v>
      </c>
      <c r="CB244" s="347" t="str">
        <f t="shared" si="521"/>
        <v xml:space="preserve"> </v>
      </c>
      <c r="CC244" s="347" t="str">
        <f t="shared" si="585"/>
        <v xml:space="preserve"> </v>
      </c>
      <c r="CD244" s="348" t="str">
        <f t="shared" si="522"/>
        <v xml:space="preserve"> </v>
      </c>
      <c r="CE244" s="347" t="str">
        <f t="shared" si="523"/>
        <v xml:space="preserve"> </v>
      </c>
      <c r="CF244" s="347" t="str">
        <f t="shared" si="524"/>
        <v xml:space="preserve"> </v>
      </c>
      <c r="CG244" s="348" t="str">
        <f t="shared" si="525"/>
        <v xml:space="preserve"> </v>
      </c>
      <c r="CH244" s="347" t="str">
        <f t="shared" si="586"/>
        <v xml:space="preserve"> </v>
      </c>
      <c r="CI244" s="349" t="str">
        <f>IF($A244="N/A"," ",F244+G244+(D244*('Pricing Inputs'!T277)))</f>
        <v xml:space="preserve"> </v>
      </c>
      <c r="CJ244" s="347" t="str">
        <f>IF($A244="N/A"," ",IF(PV=1,0,'Pricing Inputs'!U277))</f>
        <v xml:space="preserve"> </v>
      </c>
      <c r="CK244" s="350" t="str">
        <f t="shared" si="526"/>
        <v xml:space="preserve"> </v>
      </c>
      <c r="CL244" s="365" t="str">
        <f t="shared" si="527"/>
        <v xml:space="preserve"> </v>
      </c>
      <c r="CM244" s="380" t="str">
        <f t="shared" si="587"/>
        <v xml:space="preserve"> </v>
      </c>
      <c r="CN244" s="378" t="str">
        <f t="shared" si="528"/>
        <v xml:space="preserve"> </v>
      </c>
      <c r="CO244" s="378" t="str">
        <f t="shared" si="529"/>
        <v xml:space="preserve"> </v>
      </c>
      <c r="CP244" s="378" t="str">
        <f t="shared" si="530"/>
        <v xml:space="preserve"> </v>
      </c>
      <c r="CQ244" s="378" t="str">
        <f t="shared" si="531"/>
        <v xml:space="preserve"> </v>
      </c>
      <c r="CR244" s="378" t="str">
        <f t="shared" si="532"/>
        <v xml:space="preserve"> </v>
      </c>
      <c r="CS244" s="378" t="str">
        <f t="shared" si="533"/>
        <v xml:space="preserve"> </v>
      </c>
      <c r="CT244" s="378" t="str">
        <f t="shared" si="534"/>
        <v xml:space="preserve"> </v>
      </c>
      <c r="CU244" s="378" t="str">
        <f t="shared" si="535"/>
        <v xml:space="preserve"> </v>
      </c>
      <c r="CV244" s="378" t="str">
        <f t="shared" si="536"/>
        <v xml:space="preserve"> </v>
      </c>
      <c r="CW244" s="254" t="str">
        <f t="shared" si="537"/>
        <v xml:space="preserve"> </v>
      </c>
      <c r="CX244" s="254" t="str">
        <f t="shared" si="538"/>
        <v xml:space="preserve"> </v>
      </c>
      <c r="CY244" s="254" t="str">
        <f t="shared" si="539"/>
        <v xml:space="preserve"> </v>
      </c>
      <c r="CZ244" s="254" t="str">
        <f t="shared" si="540"/>
        <v xml:space="preserve"> </v>
      </c>
      <c r="DA244" s="254" t="str">
        <f t="shared" si="541"/>
        <v xml:space="preserve"> </v>
      </c>
      <c r="DB244" s="254" t="str">
        <f t="shared" si="542"/>
        <v xml:space="preserve"> </v>
      </c>
      <c r="DC244" s="254" t="str">
        <f t="shared" si="543"/>
        <v xml:space="preserve"> </v>
      </c>
      <c r="DD244" s="254" t="str">
        <f t="shared" si="544"/>
        <v xml:space="preserve"> </v>
      </c>
      <c r="DE244" s="254" t="str">
        <f t="shared" si="545"/>
        <v xml:space="preserve"> </v>
      </c>
      <c r="DF244" s="374" t="str">
        <f>IF($A244="N/A"," ",IF(CC=2,(IF(MONTH(A244)&gt;=4,IF(MONTH(A244)&lt;=10,Inputs!$G$13,Inputs!$G$14),Inputs!$G$14))*$CK244,0))</f>
        <v xml:space="preserve"> </v>
      </c>
      <c r="DG244" s="373" t="str">
        <f t="shared" si="546"/>
        <v xml:space="preserve"> </v>
      </c>
      <c r="DH244" s="373" t="str">
        <f t="shared" si="547"/>
        <v xml:space="preserve"> </v>
      </c>
      <c r="DI244" s="373" t="str">
        <f t="shared" si="548"/>
        <v xml:space="preserve"> </v>
      </c>
      <c r="DJ244" s="373" t="str">
        <f t="shared" si="549"/>
        <v xml:space="preserve"> </v>
      </c>
      <c r="DK244" s="373" t="str">
        <f t="shared" si="550"/>
        <v xml:space="preserve"> </v>
      </c>
      <c r="DL244" s="373" t="str">
        <f t="shared" si="551"/>
        <v xml:space="preserve"> </v>
      </c>
      <c r="DM244" s="373" t="str">
        <f t="shared" si="552"/>
        <v xml:space="preserve"> </v>
      </c>
      <c r="DN244" s="373" t="str">
        <f t="shared" si="553"/>
        <v xml:space="preserve"> </v>
      </c>
      <c r="DO244" s="373" t="str">
        <f t="shared" si="554"/>
        <v xml:space="preserve"> </v>
      </c>
      <c r="DP244" s="375" t="str">
        <f t="shared" si="555"/>
        <v xml:space="preserve"> </v>
      </c>
      <c r="DQ244" t="str">
        <f t="shared" si="588"/>
        <v xml:space="preserve"> </v>
      </c>
      <c r="HD244" t="str">
        <f t="shared" si="589"/>
        <v xml:space="preserve"> </v>
      </c>
      <c r="HE244" t="str">
        <f t="shared" si="590"/>
        <v xml:space="preserve"> </v>
      </c>
      <c r="HF244" t="str">
        <f t="shared" si="591"/>
        <v xml:space="preserve"> </v>
      </c>
    </row>
    <row r="245" spans="1:214">
      <c r="A245" s="415" t="str">
        <f>IF(A244="N/A","N/A",IF(EDATE(A244,1)&gt;Inputs!$K$3,"N/A",EDATE(A244,1)))</f>
        <v>N/A</v>
      </c>
      <c r="B245" s="410" t="str">
        <f t="shared" si="556"/>
        <v xml:space="preserve"> </v>
      </c>
      <c r="C245" s="411" t="str">
        <f t="shared" si="557"/>
        <v xml:space="preserve"> </v>
      </c>
      <c r="D245" s="412" t="str">
        <f t="shared" si="558"/>
        <v xml:space="preserve"> </v>
      </c>
      <c r="E245" s="413" t="str">
        <f>IF($A245="N/A"," ",(C245-'Pricing Inputs'!T278)*D245)</f>
        <v xml:space="preserve"> </v>
      </c>
      <c r="F245" s="414" t="str">
        <f t="shared" si="607"/>
        <v xml:space="preserve"> </v>
      </c>
      <c r="G245" s="414" t="str">
        <f t="shared" si="559"/>
        <v xml:space="preserve"> </v>
      </c>
      <c r="H245" s="416" t="str">
        <f t="shared" si="560"/>
        <v xml:space="preserve"> </v>
      </c>
      <c r="I245" s="213" t="str">
        <f t="shared" si="501"/>
        <v xml:space="preserve"> </v>
      </c>
      <c r="J245" s="213" t="str">
        <f t="shared" si="502"/>
        <v xml:space="preserve"> </v>
      </c>
      <c r="K245" s="213" t="str">
        <f t="shared" si="503"/>
        <v xml:space="preserve"> </v>
      </c>
      <c r="L245" s="213" t="str">
        <f t="shared" si="504"/>
        <v xml:space="preserve"> </v>
      </c>
      <c r="M245" s="213" t="str">
        <f t="shared" si="505"/>
        <v xml:space="preserve"> </v>
      </c>
      <c r="N245" s="213" t="str">
        <f t="shared" si="506"/>
        <v xml:space="preserve"> </v>
      </c>
      <c r="O245" s="213" t="str">
        <f t="shared" si="507"/>
        <v xml:space="preserve"> </v>
      </c>
      <c r="P245" s="213" t="str">
        <f t="shared" si="508"/>
        <v xml:space="preserve"> </v>
      </c>
      <c r="Q245" s="213" t="str">
        <f t="shared" si="509"/>
        <v xml:space="preserve"> </v>
      </c>
      <c r="R245" s="405" t="str">
        <f>IF($A245="N/A"," ",IF(Pricetype=2,MAX(I245-$H245,0),IF(Pricetype=1,(_xll.xSPRDOPT(I245,$E245,$CI245,0,($CD245+IF(Smile=TRUE,VLOOKUP(MAX(-5,$H245-I245),Volsmile,2),0)),$CG245,$CH245,($A245-DateToday)+15,1,0)),I245-$H245)))</f>
        <v xml:space="preserve"> </v>
      </c>
      <c r="S245" s="405" t="str">
        <f>IF($A245="N/A"," ",IF(Pricetype=2,MAX(J245-$H245,0),IF(Pricetype=1,(_xll.xSPRDOPT(J245,$E245,$CI245,0,($CD245+IF(Smile=TRUE,VLOOKUP(MAX(-5,$H245-J245),Volsmile,2),0)),$CG245,$CH245,($A245-DateToday)+15,1,0)),J245-$H245)))</f>
        <v xml:space="preserve"> </v>
      </c>
      <c r="T245" s="406" t="str">
        <f t="shared" si="510"/>
        <v xml:space="preserve"> </v>
      </c>
      <c r="U245" s="405" t="str">
        <f>IF($A245="N/A"," ",IF(Pricetype=2,MAX(L245-$H245,0),IF(L245&lt;&gt;0,IF(Pricetype=1,(_xll.xSPRDOPT(L245,$E245,$CI245,0,($CD245+IF(Smile=TRUE,VLOOKUP(MAX(-5,$H245-L245),Volsmile,2),0)),$CG245,$CH245,($A245-DateToday)+15,1,0)),L245-$H245),0)))</f>
        <v xml:space="preserve"> </v>
      </c>
      <c r="V245" s="405" t="str">
        <f>IF($A245="N/A"," ",IF(Pricetype=2,MAX(M245-$H245,0),IF(M245&lt;&gt;0,IF(Pricetype=1,(_xll.xSPRDOPT(M245,$E245,$CI245,0,($CD245+IF(Smile=TRUE,VLOOKUP(MAX(-5,$H245-M245),Volsmile,2),0)),$CG245,$CH245,($A245-DateToday)+15,1,0)),M245-$H245),0)))</f>
        <v xml:space="preserve"> </v>
      </c>
      <c r="W245" s="406" t="str">
        <f t="shared" si="511"/>
        <v xml:space="preserve"> </v>
      </c>
      <c r="X245" s="405" t="str">
        <f>IF($A245="N/A"," ",IF(Pricetype=2,MAX(O245-$H245,0),IF(O245&lt;&gt;0,IF(Pricetype=1,(_xll.xSPRDOPT(O245,$E245,$CI245,0,($CD245+IF(Smile=TRUE,VLOOKUP(MAX(-5,$H245-O245),Volsmile,2),0)),$CG245,$CH245,($A245-DateToday)+15,1,0)),O245-$H245),0)))</f>
        <v xml:space="preserve"> </v>
      </c>
      <c r="Y245" s="405" t="str">
        <f>IF($A245="N/A"," ",IF(Pricetype=2,MAX(P245-$H245,0),IF(P245&lt;&gt;0,IF(Pricetype=1,(_xll.xSPRDOPT(P245,$E245,$CI245,0,($CD245+IF(Smile=TRUE,VLOOKUP(MAX(-5,$H245-P245),Volsmile,2),0)),$CG245,$CH245,($A245-DateToday)+15,1,0)),P245-$H245),0)))</f>
        <v xml:space="preserve"> </v>
      </c>
      <c r="Z245" s="406" t="str">
        <f t="shared" si="512"/>
        <v xml:space="preserve"> </v>
      </c>
      <c r="AA245" s="254" t="str">
        <f>IF($A245="N/A"," ",IF(VLOOKUP(MONTH(A245),ManualTable,2)=1,(IF(0&lt;&gt;R245,IF(Pricetype=1,(_xll.xSPRDOPT(I245,$E245,$CI245,0,($CD245+IF(Smile=TRUE,VLOOKUP(MAX(-5,$H245-I245),Volsmile,2),0)),$CG245,$CH245,($A245-DateToday)+15,1,1))*(8*$HD245),8*$HD245),0)),0))</f>
        <v xml:space="preserve"> </v>
      </c>
      <c r="AB245" s="254" t="str">
        <f>IF($A245="N/A"," ",IF(VLOOKUP(MONTH(A245),ManualTable,3)=1,(IF(S245&lt;&gt;0,IF(Pricetype=1,(_xll.xSPRDOPT(J245,$E245,$CI245,0,($CD245+IF(Smile=TRUE,VLOOKUP(MAX(-5,$H245-J245),Volsmile,2),0)),$CG245,$CH245,($A245-DateToday)+15,1,1))*(8*$HD245),8*$HD245),0)),0))</f>
        <v xml:space="preserve"> </v>
      </c>
      <c r="AC245" s="254" t="str">
        <f t="shared" si="561"/>
        <v xml:space="preserve"> </v>
      </c>
      <c r="AD245" s="254" t="str">
        <f>IF($A245="N/A"," ",IF(VLOOKUP(MONTH(A245),ManualTable,5)=1,(IF(U245&lt;&gt;0,IF(Pricetype=1,(_xll.xSPRDOPT(L245,$E245,$CI245,0,($CD245+IF(Smile=TRUE,VLOOKUP(MAX(-5,$H245-L245),Volsmile,2),0)),$CG245,$CH245,($A245-DateToday)+15,1,1))*(8*$HE245),8*$HE245),0)),0))</f>
        <v xml:space="preserve"> </v>
      </c>
      <c r="AE245" s="254" t="str">
        <f>IF($A245="N/A"," ",IF(VLOOKUP(MONTH(A245),ManualTable,6)=1,(IF(V245&lt;&gt;0,IF(Pricetype=1,(_xll.xSPRDOPT(M245,$E245,$CI245,0,($CD245+IF(Smile=TRUE,VLOOKUP(MAX(-5,$H245-M245),Volsmile,2),0)),$CG245,$CH245,($A245-DateToday)+15,1,1))*(8*$HE245),8*$HE245),0)),0))</f>
        <v xml:space="preserve"> </v>
      </c>
      <c r="AF245" s="254" t="str">
        <f t="shared" si="562"/>
        <v xml:space="preserve"> </v>
      </c>
      <c r="AG245" s="254" t="str">
        <f>IF($A245="N/A"," ",IF(VLOOKUP(MONTH(A245),ManualTable,8)=1,(IF(X245&lt;&gt;0,IF(Pricetype=1,(_xll.xSPRDOPT(O245,$E245,$CI245,0,($CD245+IF(Smile=TRUE,VLOOKUP(MAX(-5,$H245-O245),Volsmile,2),0)),$CG245,$CH245,($A245-DateToday)+15,1,1))*(8*$HF245),8*$HF245),0)),0))</f>
        <v xml:space="preserve"> </v>
      </c>
      <c r="AH245" s="254" t="str">
        <f>IF($A245="N/A"," ",IF(VLOOKUP(MONTH(A245),ManualTable,9)=1,(IF(Y245&lt;&gt;0,IF(Pricetype=1,(_xll.xSPRDOPT(P245,$E245,$CI245,0,($CD245+IF(Smile=TRUE,VLOOKUP(MAX(-5,$H245-P245),Volsmile,2),0)),$CG245,$CH245,($A245-DateToday)+15,1,1))*(8*$HF245),8*$HF245),0)),0))</f>
        <v xml:space="preserve"> </v>
      </c>
      <c r="AI245" s="254" t="str">
        <f t="shared" si="563"/>
        <v xml:space="preserve"> </v>
      </c>
      <c r="AJ245" s="227" t="str">
        <f t="shared" ref="AJ245:AJ255" si="653">IF($A245="N/A"," ",RANK(R245,$R$244:$Z$255))</f>
        <v xml:space="preserve"> </v>
      </c>
      <c r="AK245" s="228" t="str">
        <f t="shared" ref="AK245:AL255" si="654">IF($A245="N/A"," ",RANK(S245,$R$244:$Z$255))</f>
        <v xml:space="preserve"> </v>
      </c>
      <c r="AL245" s="228" t="str">
        <f t="shared" si="654"/>
        <v xml:space="preserve"> </v>
      </c>
      <c r="AM245" s="228" t="str">
        <f t="shared" ref="AM245:AM255" si="655">IF($A245="N/A"," ",RANK(U245,$R$244:$Z$255))</f>
        <v xml:space="preserve"> </v>
      </c>
      <c r="AN245" s="228" t="str">
        <f t="shared" ref="AN245:AO255" si="656">IF($A245="N/A"," ",RANK(V245,$R$244:$Z$255))</f>
        <v xml:space="preserve"> </v>
      </c>
      <c r="AO245" s="228" t="str">
        <f t="shared" si="656"/>
        <v xml:space="preserve"> </v>
      </c>
      <c r="AP245" s="228" t="str">
        <f t="shared" ref="AP245:AP255" si="657">IF($A245="N/A"," ",RANK(X245,$R$244:$Z$255))</f>
        <v xml:space="preserve"> </v>
      </c>
      <c r="AQ245" s="228" t="str">
        <f t="shared" ref="AQ245:AQ255" si="658">IF($A245="N/A"," ",RANK(Y245,$R$244:$Z$255))</f>
        <v xml:space="preserve"> </v>
      </c>
      <c r="AR245" s="229" t="str">
        <f t="shared" ref="AR245:AR255" si="659">IF($A245="N/A"," ",RANK(Z245,$R$244:$Z$255))</f>
        <v xml:space="preserve"> </v>
      </c>
      <c r="AS245" s="262" t="str">
        <f t="shared" si="593"/>
        <v xml:space="preserve"> </v>
      </c>
      <c r="AT245" s="263" t="str">
        <f t="shared" si="594"/>
        <v xml:space="preserve"> </v>
      </c>
      <c r="AU245" s="263" t="str">
        <f t="shared" si="594"/>
        <v xml:space="preserve"> </v>
      </c>
      <c r="AV245" s="263" t="str">
        <f t="shared" si="595"/>
        <v xml:space="preserve"> </v>
      </c>
      <c r="AW245" s="263" t="str">
        <f t="shared" si="596"/>
        <v xml:space="preserve"> </v>
      </c>
      <c r="AX245" s="263" t="str">
        <f t="shared" si="596"/>
        <v xml:space="preserve"> </v>
      </c>
      <c r="AY245" s="263" t="str">
        <f t="shared" si="597"/>
        <v xml:space="preserve"> </v>
      </c>
      <c r="AZ245" s="263" t="str">
        <f t="shared" si="598"/>
        <v xml:space="preserve"> </v>
      </c>
      <c r="BA245" s="263" t="str">
        <f t="shared" si="599"/>
        <v xml:space="preserve"> </v>
      </c>
      <c r="BB245" s="229"/>
      <c r="BC245" s="266" t="str">
        <f t="shared" si="646"/>
        <v xml:space="preserve"> </v>
      </c>
      <c r="BD245" s="269" t="str">
        <f t="shared" si="647"/>
        <v xml:space="preserve"> </v>
      </c>
      <c r="BE245" s="269" t="str">
        <f t="shared" si="647"/>
        <v xml:space="preserve"> </v>
      </c>
      <c r="BF245" s="269" t="str">
        <f t="shared" si="648"/>
        <v xml:space="preserve"> </v>
      </c>
      <c r="BG245" s="269" t="str">
        <f t="shared" si="649"/>
        <v xml:space="preserve"> </v>
      </c>
      <c r="BH245" s="269" t="str">
        <f t="shared" si="649"/>
        <v xml:space="preserve"> </v>
      </c>
      <c r="BI245" s="269" t="str">
        <f t="shared" si="650"/>
        <v xml:space="preserve"> </v>
      </c>
      <c r="BJ245" s="269" t="str">
        <f t="shared" si="651"/>
        <v xml:space="preserve"> </v>
      </c>
      <c r="BK245" s="269" t="str">
        <f t="shared" si="652"/>
        <v xml:space="preserve"> </v>
      </c>
      <c r="BL245" s="229"/>
      <c r="BM245" s="220" t="str">
        <f>IF($A245="N/A"," ",(IF(MONTH(A245)&gt;=4,IF(MONTH(A245)&lt;=10,Inputs!$F$13-Inputs!$G$13,Inputs!$F$14-Inputs!$G$14),Inputs!$F$14-Inputs!$G$14))*$CK245*Availability)</f>
        <v xml:space="preserve"> </v>
      </c>
      <c r="BN245" s="221" t="str">
        <f t="shared" si="571"/>
        <v xml:space="preserve"> </v>
      </c>
      <c r="BO245" s="221" t="str">
        <f t="shared" si="572"/>
        <v xml:space="preserve"> </v>
      </c>
      <c r="BP245" s="221" t="str">
        <f t="shared" si="573"/>
        <v xml:space="preserve"> </v>
      </c>
      <c r="BQ245" s="221" t="str">
        <f t="shared" si="574"/>
        <v xml:space="preserve"> </v>
      </c>
      <c r="BR245" s="221" t="str">
        <f t="shared" si="575"/>
        <v xml:space="preserve"> </v>
      </c>
      <c r="BS245" s="221" t="str">
        <f t="shared" si="576"/>
        <v xml:space="preserve"> </v>
      </c>
      <c r="BT245" s="221" t="str">
        <f t="shared" si="577"/>
        <v xml:space="preserve"> </v>
      </c>
      <c r="BU245" s="221" t="str">
        <f t="shared" si="578"/>
        <v xml:space="preserve"> </v>
      </c>
      <c r="BV245" s="221" t="str">
        <f t="shared" si="579"/>
        <v xml:space="preserve"> </v>
      </c>
      <c r="BW245" s="221" t="str">
        <f t="shared" si="580"/>
        <v xml:space="preserve"> </v>
      </c>
      <c r="BX245" s="421" t="str">
        <f t="shared" si="581"/>
        <v xml:space="preserve"> </v>
      </c>
      <c r="BY245" s="417" t="str">
        <f t="shared" si="582"/>
        <v xml:space="preserve"> </v>
      </c>
      <c r="BZ245" s="417" t="str">
        <f t="shared" si="583"/>
        <v xml:space="preserve"> </v>
      </c>
      <c r="CA245" s="422" t="str">
        <f t="shared" si="584"/>
        <v xml:space="preserve"> </v>
      </c>
      <c r="CB245" s="347" t="str">
        <f t="shared" si="521"/>
        <v xml:space="preserve"> </v>
      </c>
      <c r="CC245" s="347" t="str">
        <f t="shared" si="585"/>
        <v xml:space="preserve"> </v>
      </c>
      <c r="CD245" s="348" t="str">
        <f t="shared" si="522"/>
        <v xml:space="preserve"> </v>
      </c>
      <c r="CE245" s="347" t="str">
        <f t="shared" si="523"/>
        <v xml:space="preserve"> </v>
      </c>
      <c r="CF245" s="347" t="str">
        <f t="shared" si="524"/>
        <v xml:space="preserve"> </v>
      </c>
      <c r="CG245" s="348" t="str">
        <f t="shared" si="525"/>
        <v xml:space="preserve"> </v>
      </c>
      <c r="CH245" s="347" t="str">
        <f t="shared" si="586"/>
        <v xml:space="preserve"> </v>
      </c>
      <c r="CI245" s="349" t="str">
        <f>IF($A245="N/A"," ",F245+G245+(D245*('Pricing Inputs'!T278)))</f>
        <v xml:space="preserve"> </v>
      </c>
      <c r="CJ245" s="347" t="str">
        <f>IF($A245="N/A"," ",IF(PV=1,0,'Pricing Inputs'!U278))</f>
        <v xml:space="preserve"> </v>
      </c>
      <c r="CK245" s="350" t="str">
        <f t="shared" si="526"/>
        <v xml:space="preserve"> </v>
      </c>
      <c r="CL245" s="365" t="str">
        <f t="shared" si="527"/>
        <v xml:space="preserve"> </v>
      </c>
      <c r="CM245" s="380" t="str">
        <f t="shared" si="587"/>
        <v xml:space="preserve"> </v>
      </c>
      <c r="CN245" s="378" t="str">
        <f t="shared" si="528"/>
        <v xml:space="preserve"> </v>
      </c>
      <c r="CO245" s="378" t="str">
        <f t="shared" si="529"/>
        <v xml:space="preserve"> </v>
      </c>
      <c r="CP245" s="378" t="str">
        <f t="shared" si="530"/>
        <v xml:space="preserve"> </v>
      </c>
      <c r="CQ245" s="378" t="str">
        <f t="shared" si="531"/>
        <v xml:space="preserve"> </v>
      </c>
      <c r="CR245" s="378" t="str">
        <f t="shared" si="532"/>
        <v xml:space="preserve"> </v>
      </c>
      <c r="CS245" s="378" t="str">
        <f t="shared" si="533"/>
        <v xml:space="preserve"> </v>
      </c>
      <c r="CT245" s="378" t="str">
        <f t="shared" si="534"/>
        <v xml:space="preserve"> </v>
      </c>
      <c r="CU245" s="378" t="str">
        <f t="shared" si="535"/>
        <v xml:space="preserve"> </v>
      </c>
      <c r="CV245" s="378" t="str">
        <f t="shared" si="536"/>
        <v xml:space="preserve"> </v>
      </c>
      <c r="CW245" s="254" t="str">
        <f t="shared" si="537"/>
        <v xml:space="preserve"> </v>
      </c>
      <c r="CX245" s="254" t="str">
        <f t="shared" si="538"/>
        <v xml:space="preserve"> </v>
      </c>
      <c r="CY245" s="254" t="str">
        <f t="shared" si="539"/>
        <v xml:space="preserve"> </v>
      </c>
      <c r="CZ245" s="254" t="str">
        <f t="shared" si="540"/>
        <v xml:space="preserve"> </v>
      </c>
      <c r="DA245" s="254" t="str">
        <f t="shared" si="541"/>
        <v xml:space="preserve"> </v>
      </c>
      <c r="DB245" s="254" t="str">
        <f t="shared" si="542"/>
        <v xml:space="preserve"> </v>
      </c>
      <c r="DC245" s="254" t="str">
        <f t="shared" si="543"/>
        <v xml:space="preserve"> </v>
      </c>
      <c r="DD245" s="254" t="str">
        <f t="shared" si="544"/>
        <v xml:space="preserve"> </v>
      </c>
      <c r="DE245" s="254" t="str">
        <f t="shared" si="545"/>
        <v xml:space="preserve"> </v>
      </c>
      <c r="DF245" s="374" t="str">
        <f>IF($A245="N/A"," ",IF(CC=2,(IF(MONTH(A245)&gt;=4,IF(MONTH(A245)&lt;=10,Inputs!$G$13,Inputs!$G$14),Inputs!$G$14))*$CK245,0))</f>
        <v xml:space="preserve"> </v>
      </c>
      <c r="DG245" s="373" t="str">
        <f t="shared" si="546"/>
        <v xml:space="preserve"> </v>
      </c>
      <c r="DH245" s="373" t="str">
        <f t="shared" si="547"/>
        <v xml:space="preserve"> </v>
      </c>
      <c r="DI245" s="373" t="str">
        <f t="shared" si="548"/>
        <v xml:space="preserve"> </v>
      </c>
      <c r="DJ245" s="373" t="str">
        <f t="shared" si="549"/>
        <v xml:space="preserve"> </v>
      </c>
      <c r="DK245" s="373" t="str">
        <f t="shared" si="550"/>
        <v xml:space="preserve"> </v>
      </c>
      <c r="DL245" s="373" t="str">
        <f t="shared" si="551"/>
        <v xml:space="preserve"> </v>
      </c>
      <c r="DM245" s="373" t="str">
        <f t="shared" si="552"/>
        <v xml:space="preserve"> </v>
      </c>
      <c r="DN245" s="373" t="str">
        <f t="shared" si="553"/>
        <v xml:space="preserve"> </v>
      </c>
      <c r="DO245" s="373" t="str">
        <f t="shared" si="554"/>
        <v xml:space="preserve"> </v>
      </c>
      <c r="DP245" s="375" t="str">
        <f t="shared" si="555"/>
        <v xml:space="preserve"> </v>
      </c>
      <c r="DQ245" t="str">
        <f t="shared" si="588"/>
        <v xml:space="preserve"> </v>
      </c>
      <c r="HD245" t="str">
        <f t="shared" si="589"/>
        <v xml:space="preserve"> </v>
      </c>
      <c r="HE245" t="str">
        <f t="shared" si="590"/>
        <v xml:space="preserve"> </v>
      </c>
      <c r="HF245" t="str">
        <f t="shared" si="591"/>
        <v xml:space="preserve"> </v>
      </c>
    </row>
    <row r="246" spans="1:214">
      <c r="A246" s="415" t="str">
        <f>IF(A245="N/A","N/A",IF(EDATE(A245,1)&gt;Inputs!$K$3,"N/A",EDATE(A245,1)))</f>
        <v>N/A</v>
      </c>
      <c r="B246" s="410" t="str">
        <f t="shared" si="556"/>
        <v xml:space="preserve"> </v>
      </c>
      <c r="C246" s="411" t="str">
        <f t="shared" si="557"/>
        <v xml:space="preserve"> </v>
      </c>
      <c r="D246" s="412" t="str">
        <f t="shared" si="558"/>
        <v xml:space="preserve"> </v>
      </c>
      <c r="E246" s="413" t="str">
        <f>IF($A246="N/A"," ",(C246-'Pricing Inputs'!T279)*D246)</f>
        <v xml:space="preserve"> </v>
      </c>
      <c r="F246" s="414" t="str">
        <f t="shared" si="607"/>
        <v xml:space="preserve"> </v>
      </c>
      <c r="G246" s="414" t="str">
        <f t="shared" si="559"/>
        <v xml:space="preserve"> </v>
      </c>
      <c r="H246" s="416" t="str">
        <f t="shared" si="560"/>
        <v xml:space="preserve"> </v>
      </c>
      <c r="I246" s="213" t="str">
        <f t="shared" si="501"/>
        <v xml:space="preserve"> </v>
      </c>
      <c r="J246" s="213" t="str">
        <f t="shared" si="502"/>
        <v xml:space="preserve"> </v>
      </c>
      <c r="K246" s="213" t="str">
        <f t="shared" si="503"/>
        <v xml:space="preserve"> </v>
      </c>
      <c r="L246" s="213" t="str">
        <f t="shared" si="504"/>
        <v xml:space="preserve"> </v>
      </c>
      <c r="M246" s="213" t="str">
        <f t="shared" si="505"/>
        <v xml:space="preserve"> </v>
      </c>
      <c r="N246" s="213" t="str">
        <f t="shared" si="506"/>
        <v xml:space="preserve"> </v>
      </c>
      <c r="O246" s="213" t="str">
        <f t="shared" si="507"/>
        <v xml:space="preserve"> </v>
      </c>
      <c r="P246" s="213" t="str">
        <f t="shared" si="508"/>
        <v xml:space="preserve"> </v>
      </c>
      <c r="Q246" s="213" t="str">
        <f t="shared" si="509"/>
        <v xml:space="preserve"> </v>
      </c>
      <c r="R246" s="405" t="str">
        <f>IF($A246="N/A"," ",IF(Pricetype=2,MAX(I246-$H246,0),IF(Pricetype=1,(_xll.xSPRDOPT(I246,$E246,$CI246,0,($CD246+IF(Smile=TRUE,VLOOKUP(MAX(-5,$H246-I246),Volsmile,2),0)),$CG246,$CH246,($A246-DateToday)+15,1,0)),I246-$H246)))</f>
        <v xml:space="preserve"> </v>
      </c>
      <c r="S246" s="405" t="str">
        <f>IF($A246="N/A"," ",IF(Pricetype=2,MAX(J246-$H246,0),IF(Pricetype=1,(_xll.xSPRDOPT(J246,$E246,$CI246,0,($CD246+IF(Smile=TRUE,VLOOKUP(MAX(-5,$H246-J246),Volsmile,2),0)),$CG246,$CH246,($A246-DateToday)+15,1,0)),J246-$H246)))</f>
        <v xml:space="preserve"> </v>
      </c>
      <c r="T246" s="406" t="str">
        <f t="shared" si="510"/>
        <v xml:space="preserve"> </v>
      </c>
      <c r="U246" s="405" t="str">
        <f>IF($A246="N/A"," ",IF(Pricetype=2,MAX(L246-$H246,0),IF(L246&lt;&gt;0,IF(Pricetype=1,(_xll.xSPRDOPT(L246,$E246,$CI246,0,($CD246+IF(Smile=TRUE,VLOOKUP(MAX(-5,$H246-L246),Volsmile,2),0)),$CG246,$CH246,($A246-DateToday)+15,1,0)),L246-$H246),0)))</f>
        <v xml:space="preserve"> </v>
      </c>
      <c r="V246" s="405" t="str">
        <f>IF($A246="N/A"," ",IF(Pricetype=2,MAX(M246-$H246,0),IF(M246&lt;&gt;0,IF(Pricetype=1,(_xll.xSPRDOPT(M246,$E246,$CI246,0,($CD246+IF(Smile=TRUE,VLOOKUP(MAX(-5,$H246-M246),Volsmile,2),0)),$CG246,$CH246,($A246-DateToday)+15,1,0)),M246-$H246),0)))</f>
        <v xml:space="preserve"> </v>
      </c>
      <c r="W246" s="406" t="str">
        <f t="shared" si="511"/>
        <v xml:space="preserve"> </v>
      </c>
      <c r="X246" s="405" t="str">
        <f>IF($A246="N/A"," ",IF(Pricetype=2,MAX(O246-$H246,0),IF(O246&lt;&gt;0,IF(Pricetype=1,(_xll.xSPRDOPT(O246,$E246,$CI246,0,($CD246+IF(Smile=TRUE,VLOOKUP(MAX(-5,$H246-O246),Volsmile,2),0)),$CG246,$CH246,($A246-DateToday)+15,1,0)),O246-$H246),0)))</f>
        <v xml:space="preserve"> </v>
      </c>
      <c r="Y246" s="405" t="str">
        <f>IF($A246="N/A"," ",IF(Pricetype=2,MAX(P246-$H246,0),IF(P246&lt;&gt;0,IF(Pricetype=1,(_xll.xSPRDOPT(P246,$E246,$CI246,0,($CD246+IF(Smile=TRUE,VLOOKUP(MAX(-5,$H246-P246),Volsmile,2),0)),$CG246,$CH246,($A246-DateToday)+15,1,0)),P246-$H246),0)))</f>
        <v xml:space="preserve"> </v>
      </c>
      <c r="Z246" s="406" t="str">
        <f t="shared" si="512"/>
        <v xml:space="preserve"> </v>
      </c>
      <c r="AA246" s="254" t="str">
        <f>IF($A246="N/A"," ",IF(VLOOKUP(MONTH(A246),ManualTable,2)=1,(IF(0&lt;&gt;R246,IF(Pricetype=1,(_xll.xSPRDOPT(I246,$E246,$CI246,0,($CD246+IF(Smile=TRUE,VLOOKUP(MAX(-5,$H246-I246),Volsmile,2),0)),$CG246,$CH246,($A246-DateToday)+15,1,1))*(8*$HD246),8*$HD246),0)),0))</f>
        <v xml:space="preserve"> </v>
      </c>
      <c r="AB246" s="254" t="str">
        <f>IF($A246="N/A"," ",IF(VLOOKUP(MONTH(A246),ManualTable,3)=1,(IF(S246&lt;&gt;0,IF(Pricetype=1,(_xll.xSPRDOPT(J246,$E246,$CI246,0,($CD246+IF(Smile=TRUE,VLOOKUP(MAX(-5,$H246-J246),Volsmile,2),0)),$CG246,$CH246,($A246-DateToday)+15,1,1))*(8*$HD246),8*$HD246),0)),0))</f>
        <v xml:space="preserve"> </v>
      </c>
      <c r="AC246" s="254" t="str">
        <f t="shared" si="561"/>
        <v xml:space="preserve"> </v>
      </c>
      <c r="AD246" s="254" t="str">
        <f>IF($A246="N/A"," ",IF(VLOOKUP(MONTH(A246),ManualTable,5)=1,(IF(U246&lt;&gt;0,IF(Pricetype=1,(_xll.xSPRDOPT(L246,$E246,$CI246,0,($CD246+IF(Smile=TRUE,VLOOKUP(MAX(-5,$H246-L246),Volsmile,2),0)),$CG246,$CH246,($A246-DateToday)+15,1,1))*(8*$HE246),8*$HE246),0)),0))</f>
        <v xml:space="preserve"> </v>
      </c>
      <c r="AE246" s="254" t="str">
        <f>IF($A246="N/A"," ",IF(VLOOKUP(MONTH(A246),ManualTable,6)=1,(IF(V246&lt;&gt;0,IF(Pricetype=1,(_xll.xSPRDOPT(M246,$E246,$CI246,0,($CD246+IF(Smile=TRUE,VLOOKUP(MAX(-5,$H246-M246),Volsmile,2),0)),$CG246,$CH246,($A246-DateToday)+15,1,1))*(8*$HE246),8*$HE246),0)),0))</f>
        <v xml:space="preserve"> </v>
      </c>
      <c r="AF246" s="254" t="str">
        <f t="shared" si="562"/>
        <v xml:space="preserve"> </v>
      </c>
      <c r="AG246" s="254" t="str">
        <f>IF($A246="N/A"," ",IF(VLOOKUP(MONTH(A246),ManualTable,8)=1,(IF(X246&lt;&gt;0,IF(Pricetype=1,(_xll.xSPRDOPT(O246,$E246,$CI246,0,($CD246+IF(Smile=TRUE,VLOOKUP(MAX(-5,$H246-O246),Volsmile,2),0)),$CG246,$CH246,($A246-DateToday)+15,1,1))*(8*$HF246),8*$HF246),0)),0))</f>
        <v xml:space="preserve"> </v>
      </c>
      <c r="AH246" s="254" t="str">
        <f>IF($A246="N/A"," ",IF(VLOOKUP(MONTH(A246),ManualTable,9)=1,(IF(Y246&lt;&gt;0,IF(Pricetype=1,(_xll.xSPRDOPT(P246,$E246,$CI246,0,($CD246+IF(Smile=TRUE,VLOOKUP(MAX(-5,$H246-P246),Volsmile,2),0)),$CG246,$CH246,($A246-DateToday)+15,1,1))*(8*$HF246),8*$HF246),0)),0))</f>
        <v xml:space="preserve"> </v>
      </c>
      <c r="AI246" s="254" t="str">
        <f t="shared" si="563"/>
        <v xml:space="preserve"> </v>
      </c>
      <c r="AJ246" s="227" t="str">
        <f t="shared" si="653"/>
        <v xml:space="preserve"> </v>
      </c>
      <c r="AK246" s="228" t="str">
        <f t="shared" si="654"/>
        <v xml:space="preserve"> </v>
      </c>
      <c r="AL246" s="228" t="str">
        <f t="shared" si="654"/>
        <v xml:space="preserve"> </v>
      </c>
      <c r="AM246" s="228" t="str">
        <f t="shared" si="655"/>
        <v xml:space="preserve"> </v>
      </c>
      <c r="AN246" s="228" t="str">
        <f t="shared" si="656"/>
        <v xml:space="preserve"> </v>
      </c>
      <c r="AO246" s="228" t="str">
        <f t="shared" si="656"/>
        <v xml:space="preserve"> </v>
      </c>
      <c r="AP246" s="228" t="str">
        <f t="shared" si="657"/>
        <v xml:space="preserve"> </v>
      </c>
      <c r="AQ246" s="228" t="str">
        <f t="shared" si="658"/>
        <v xml:space="preserve"> </v>
      </c>
      <c r="AR246" s="229" t="str">
        <f t="shared" si="659"/>
        <v xml:space="preserve"> </v>
      </c>
      <c r="AS246" s="262" t="str">
        <f t="shared" si="593"/>
        <v xml:space="preserve"> </v>
      </c>
      <c r="AT246" s="263" t="str">
        <f t="shared" si="594"/>
        <v xml:space="preserve"> </v>
      </c>
      <c r="AU246" s="263" t="str">
        <f t="shared" si="594"/>
        <v xml:space="preserve"> </v>
      </c>
      <c r="AV246" s="263" t="str">
        <f t="shared" si="595"/>
        <v xml:space="preserve"> </v>
      </c>
      <c r="AW246" s="263" t="str">
        <f t="shared" si="596"/>
        <v xml:space="preserve"> </v>
      </c>
      <c r="AX246" s="263" t="str">
        <f t="shared" si="596"/>
        <v xml:space="preserve"> </v>
      </c>
      <c r="AY246" s="263" t="str">
        <f t="shared" si="597"/>
        <v xml:space="preserve"> </v>
      </c>
      <c r="AZ246" s="263" t="str">
        <f t="shared" si="598"/>
        <v xml:space="preserve"> </v>
      </c>
      <c r="BA246" s="263" t="str">
        <f t="shared" si="599"/>
        <v xml:space="preserve"> </v>
      </c>
      <c r="BB246" s="229"/>
      <c r="BC246" s="266" t="str">
        <f t="shared" si="646"/>
        <v xml:space="preserve"> </v>
      </c>
      <c r="BD246" s="269" t="str">
        <f t="shared" si="647"/>
        <v xml:space="preserve"> </v>
      </c>
      <c r="BE246" s="269" t="str">
        <f t="shared" si="647"/>
        <v xml:space="preserve"> </v>
      </c>
      <c r="BF246" s="269" t="str">
        <f t="shared" si="648"/>
        <v xml:space="preserve"> </v>
      </c>
      <c r="BG246" s="269" t="str">
        <f t="shared" si="649"/>
        <v xml:space="preserve"> </v>
      </c>
      <c r="BH246" s="269" t="str">
        <f t="shared" si="649"/>
        <v xml:space="preserve"> </v>
      </c>
      <c r="BI246" s="269" t="str">
        <f t="shared" si="650"/>
        <v xml:space="preserve"> </v>
      </c>
      <c r="BJ246" s="269" t="str">
        <f t="shared" si="651"/>
        <v xml:space="preserve"> </v>
      </c>
      <c r="BK246" s="269" t="str">
        <f t="shared" si="652"/>
        <v xml:space="preserve"> </v>
      </c>
      <c r="BL246" s="229"/>
      <c r="BM246" s="220" t="str">
        <f>IF($A246="N/A"," ",(IF(MONTH(A246)&gt;=4,IF(MONTH(A246)&lt;=10,Inputs!$F$13-Inputs!$G$13,Inputs!$F$14-Inputs!$G$14),Inputs!$F$14-Inputs!$G$14))*$CK246*Availability)</f>
        <v xml:space="preserve"> </v>
      </c>
      <c r="BN246" s="221" t="str">
        <f t="shared" si="571"/>
        <v xml:space="preserve"> </v>
      </c>
      <c r="BO246" s="221" t="str">
        <f t="shared" si="572"/>
        <v xml:space="preserve"> </v>
      </c>
      <c r="BP246" s="221" t="str">
        <f t="shared" si="573"/>
        <v xml:space="preserve"> </v>
      </c>
      <c r="BQ246" s="221" t="str">
        <f t="shared" si="574"/>
        <v xml:space="preserve"> </v>
      </c>
      <c r="BR246" s="221" t="str">
        <f t="shared" si="575"/>
        <v xml:space="preserve"> </v>
      </c>
      <c r="BS246" s="221" t="str">
        <f t="shared" si="576"/>
        <v xml:space="preserve"> </v>
      </c>
      <c r="BT246" s="221" t="str">
        <f t="shared" si="577"/>
        <v xml:space="preserve"> </v>
      </c>
      <c r="BU246" s="221" t="str">
        <f t="shared" si="578"/>
        <v xml:space="preserve"> </v>
      </c>
      <c r="BV246" s="221" t="str">
        <f t="shared" si="579"/>
        <v xml:space="preserve"> </v>
      </c>
      <c r="BW246" s="221" t="str">
        <f t="shared" si="580"/>
        <v xml:space="preserve"> </v>
      </c>
      <c r="BX246" s="421" t="str">
        <f t="shared" si="581"/>
        <v xml:space="preserve"> </v>
      </c>
      <c r="BY246" s="417" t="str">
        <f t="shared" si="582"/>
        <v xml:space="preserve"> </v>
      </c>
      <c r="BZ246" s="417" t="str">
        <f t="shared" si="583"/>
        <v xml:space="preserve"> </v>
      </c>
      <c r="CA246" s="422" t="str">
        <f t="shared" si="584"/>
        <v xml:space="preserve"> </v>
      </c>
      <c r="CB246" s="347" t="str">
        <f t="shared" si="521"/>
        <v xml:space="preserve"> </v>
      </c>
      <c r="CC246" s="347" t="str">
        <f t="shared" si="585"/>
        <v xml:space="preserve"> </v>
      </c>
      <c r="CD246" s="348" t="str">
        <f t="shared" si="522"/>
        <v xml:space="preserve"> </v>
      </c>
      <c r="CE246" s="347" t="str">
        <f t="shared" si="523"/>
        <v xml:space="preserve"> </v>
      </c>
      <c r="CF246" s="347" t="str">
        <f t="shared" si="524"/>
        <v xml:space="preserve"> </v>
      </c>
      <c r="CG246" s="348" t="str">
        <f t="shared" si="525"/>
        <v xml:space="preserve"> </v>
      </c>
      <c r="CH246" s="347" t="str">
        <f t="shared" si="586"/>
        <v xml:space="preserve"> </v>
      </c>
      <c r="CI246" s="349" t="str">
        <f>IF($A246="N/A"," ",F246+G246+(D246*('Pricing Inputs'!T279)))</f>
        <v xml:space="preserve"> </v>
      </c>
      <c r="CJ246" s="347" t="str">
        <f>IF($A246="N/A"," ",IF(PV=1,0,'Pricing Inputs'!U279))</f>
        <v xml:space="preserve"> </v>
      </c>
      <c r="CK246" s="350" t="str">
        <f t="shared" si="526"/>
        <v xml:space="preserve"> </v>
      </c>
      <c r="CL246" s="365" t="str">
        <f t="shared" si="527"/>
        <v xml:space="preserve"> </v>
      </c>
      <c r="CM246" s="380" t="str">
        <f t="shared" si="587"/>
        <v xml:space="preserve"> </v>
      </c>
      <c r="CN246" s="378" t="str">
        <f t="shared" si="528"/>
        <v xml:space="preserve"> </v>
      </c>
      <c r="CO246" s="378" t="str">
        <f t="shared" si="529"/>
        <v xml:space="preserve"> </v>
      </c>
      <c r="CP246" s="378" t="str">
        <f t="shared" si="530"/>
        <v xml:space="preserve"> </v>
      </c>
      <c r="CQ246" s="378" t="str">
        <f t="shared" si="531"/>
        <v xml:space="preserve"> </v>
      </c>
      <c r="CR246" s="378" t="str">
        <f t="shared" si="532"/>
        <v xml:space="preserve"> </v>
      </c>
      <c r="CS246" s="378" t="str">
        <f t="shared" si="533"/>
        <v xml:space="preserve"> </v>
      </c>
      <c r="CT246" s="378" t="str">
        <f t="shared" si="534"/>
        <v xml:space="preserve"> </v>
      </c>
      <c r="CU246" s="378" t="str">
        <f t="shared" si="535"/>
        <v xml:space="preserve"> </v>
      </c>
      <c r="CV246" s="378" t="str">
        <f t="shared" si="536"/>
        <v xml:space="preserve"> </v>
      </c>
      <c r="CW246" s="254" t="str">
        <f t="shared" si="537"/>
        <v xml:space="preserve"> </v>
      </c>
      <c r="CX246" s="254" t="str">
        <f t="shared" si="538"/>
        <v xml:space="preserve"> </v>
      </c>
      <c r="CY246" s="254" t="str">
        <f t="shared" si="539"/>
        <v xml:space="preserve"> </v>
      </c>
      <c r="CZ246" s="254" t="str">
        <f t="shared" si="540"/>
        <v xml:space="preserve"> </v>
      </c>
      <c r="DA246" s="254" t="str">
        <f t="shared" si="541"/>
        <v xml:space="preserve"> </v>
      </c>
      <c r="DB246" s="254" t="str">
        <f t="shared" si="542"/>
        <v xml:space="preserve"> </v>
      </c>
      <c r="DC246" s="254" t="str">
        <f t="shared" si="543"/>
        <v xml:space="preserve"> </v>
      </c>
      <c r="DD246" s="254" t="str">
        <f t="shared" si="544"/>
        <v xml:space="preserve"> </v>
      </c>
      <c r="DE246" s="254" t="str">
        <f t="shared" si="545"/>
        <v xml:space="preserve"> </v>
      </c>
      <c r="DF246" s="374" t="str">
        <f>IF($A246="N/A"," ",IF(CC=2,(IF(MONTH(A246)&gt;=4,IF(MONTH(A246)&lt;=10,Inputs!$G$13,Inputs!$G$14),Inputs!$G$14))*$CK246,0))</f>
        <v xml:space="preserve"> </v>
      </c>
      <c r="DG246" s="373" t="str">
        <f t="shared" si="546"/>
        <v xml:space="preserve"> </v>
      </c>
      <c r="DH246" s="373" t="str">
        <f t="shared" si="547"/>
        <v xml:space="preserve"> </v>
      </c>
      <c r="DI246" s="373" t="str">
        <f t="shared" si="548"/>
        <v xml:space="preserve"> </v>
      </c>
      <c r="DJ246" s="373" t="str">
        <f t="shared" si="549"/>
        <v xml:space="preserve"> </v>
      </c>
      <c r="DK246" s="373" t="str">
        <f t="shared" si="550"/>
        <v xml:space="preserve"> </v>
      </c>
      <c r="DL246" s="373" t="str">
        <f t="shared" si="551"/>
        <v xml:space="preserve"> </v>
      </c>
      <c r="DM246" s="373" t="str">
        <f t="shared" si="552"/>
        <v xml:space="preserve"> </v>
      </c>
      <c r="DN246" s="373" t="str">
        <f t="shared" si="553"/>
        <v xml:space="preserve"> </v>
      </c>
      <c r="DO246" s="373" t="str">
        <f t="shared" si="554"/>
        <v xml:space="preserve"> </v>
      </c>
      <c r="DP246" s="375" t="str">
        <f t="shared" si="555"/>
        <v xml:space="preserve"> </v>
      </c>
      <c r="DQ246" t="str">
        <f t="shared" si="588"/>
        <v xml:space="preserve"> </v>
      </c>
      <c r="HD246" t="str">
        <f t="shared" si="589"/>
        <v xml:space="preserve"> </v>
      </c>
      <c r="HE246" t="str">
        <f t="shared" si="590"/>
        <v xml:space="preserve"> </v>
      </c>
      <c r="HF246" t="str">
        <f t="shared" si="591"/>
        <v xml:space="preserve"> </v>
      </c>
    </row>
    <row r="247" spans="1:214">
      <c r="A247" s="415" t="str">
        <f>IF(A246="N/A","N/A",IF(EDATE(A246,1)&gt;Inputs!$K$3,"N/A",EDATE(A246,1)))</f>
        <v>N/A</v>
      </c>
      <c r="B247" s="410" t="str">
        <f t="shared" si="556"/>
        <v xml:space="preserve"> </v>
      </c>
      <c r="C247" s="411" t="str">
        <f t="shared" si="557"/>
        <v xml:space="preserve"> </v>
      </c>
      <c r="D247" s="412" t="str">
        <f t="shared" si="558"/>
        <v xml:space="preserve"> </v>
      </c>
      <c r="E247" s="413" t="str">
        <f>IF($A247="N/A"," ",(C247-'Pricing Inputs'!T280)*D247)</f>
        <v xml:space="preserve"> </v>
      </c>
      <c r="F247" s="414" t="str">
        <f t="shared" si="607"/>
        <v xml:space="preserve"> </v>
      </c>
      <c r="G247" s="414" t="str">
        <f t="shared" si="559"/>
        <v xml:space="preserve"> </v>
      </c>
      <c r="H247" s="416" t="str">
        <f t="shared" si="560"/>
        <v xml:space="preserve"> </v>
      </c>
      <c r="I247" s="213" t="str">
        <f t="shared" si="501"/>
        <v xml:space="preserve"> </v>
      </c>
      <c r="J247" s="213" t="str">
        <f t="shared" si="502"/>
        <v xml:space="preserve"> </v>
      </c>
      <c r="K247" s="213" t="str">
        <f t="shared" si="503"/>
        <v xml:space="preserve"> </v>
      </c>
      <c r="L247" s="213" t="str">
        <f t="shared" si="504"/>
        <v xml:space="preserve"> </v>
      </c>
      <c r="M247" s="213" t="str">
        <f t="shared" si="505"/>
        <v xml:space="preserve"> </v>
      </c>
      <c r="N247" s="213" t="str">
        <f t="shared" si="506"/>
        <v xml:space="preserve"> </v>
      </c>
      <c r="O247" s="213" t="str">
        <f t="shared" si="507"/>
        <v xml:space="preserve"> </v>
      </c>
      <c r="P247" s="213" t="str">
        <f t="shared" si="508"/>
        <v xml:space="preserve"> </v>
      </c>
      <c r="Q247" s="213" t="str">
        <f t="shared" si="509"/>
        <v xml:space="preserve"> </v>
      </c>
      <c r="R247" s="405" t="str">
        <f>IF($A247="N/A"," ",IF(Pricetype=2,MAX(I247-$H247,0),IF(Pricetype=1,(_xll.xSPRDOPT(I247,$E247,$CI247,0,($CD247+IF(Smile=TRUE,VLOOKUP(MAX(-5,$H247-I247),Volsmile,2),0)),$CG247,$CH247,($A247-DateToday)+15,1,0)),I247-$H247)))</f>
        <v xml:space="preserve"> </v>
      </c>
      <c r="S247" s="405" t="str">
        <f>IF($A247="N/A"," ",IF(Pricetype=2,MAX(J247-$H247,0),IF(Pricetype=1,(_xll.xSPRDOPT(J247,$E247,$CI247,0,($CD247+IF(Smile=TRUE,VLOOKUP(MAX(-5,$H247-J247),Volsmile,2),0)),$CG247,$CH247,($A247-DateToday)+15,1,0)),J247-$H247)))</f>
        <v xml:space="preserve"> </v>
      </c>
      <c r="T247" s="406" t="str">
        <f t="shared" si="510"/>
        <v xml:space="preserve"> </v>
      </c>
      <c r="U247" s="405" t="str">
        <f>IF($A247="N/A"," ",IF(Pricetype=2,MAX(L247-$H247,0),IF(L247&lt;&gt;0,IF(Pricetype=1,(_xll.xSPRDOPT(L247,$E247,$CI247,0,($CD247+IF(Smile=TRUE,VLOOKUP(MAX(-5,$H247-L247),Volsmile,2),0)),$CG247,$CH247,($A247-DateToday)+15,1,0)),L247-$H247),0)))</f>
        <v xml:space="preserve"> </v>
      </c>
      <c r="V247" s="405" t="str">
        <f>IF($A247="N/A"," ",IF(Pricetype=2,MAX(M247-$H247,0),IF(M247&lt;&gt;0,IF(Pricetype=1,(_xll.xSPRDOPT(M247,$E247,$CI247,0,($CD247+IF(Smile=TRUE,VLOOKUP(MAX(-5,$H247-M247),Volsmile,2),0)),$CG247,$CH247,($A247-DateToday)+15,1,0)),M247-$H247),0)))</f>
        <v xml:space="preserve"> </v>
      </c>
      <c r="W247" s="406" t="str">
        <f t="shared" si="511"/>
        <v xml:space="preserve"> </v>
      </c>
      <c r="X247" s="405" t="str">
        <f>IF($A247="N/A"," ",IF(Pricetype=2,MAX(O247-$H247,0),IF(O247&lt;&gt;0,IF(Pricetype=1,(_xll.xSPRDOPT(O247,$E247,$CI247,0,($CD247+IF(Smile=TRUE,VLOOKUP(MAX(-5,$H247-O247),Volsmile,2),0)),$CG247,$CH247,($A247-DateToday)+15,1,0)),O247-$H247),0)))</f>
        <v xml:space="preserve"> </v>
      </c>
      <c r="Y247" s="405" t="str">
        <f>IF($A247="N/A"," ",IF(Pricetype=2,MAX(P247-$H247,0),IF(P247&lt;&gt;0,IF(Pricetype=1,(_xll.xSPRDOPT(P247,$E247,$CI247,0,($CD247+IF(Smile=TRUE,VLOOKUP(MAX(-5,$H247-P247),Volsmile,2),0)),$CG247,$CH247,($A247-DateToday)+15,1,0)),P247-$H247),0)))</f>
        <v xml:space="preserve"> </v>
      </c>
      <c r="Z247" s="406" t="str">
        <f t="shared" si="512"/>
        <v xml:space="preserve"> </v>
      </c>
      <c r="AA247" s="254" t="str">
        <f>IF($A247="N/A"," ",IF(VLOOKUP(MONTH(A247),ManualTable,2)=1,(IF(0&lt;&gt;R247,IF(Pricetype=1,(_xll.xSPRDOPT(I247,$E247,$CI247,0,($CD247+IF(Smile=TRUE,VLOOKUP(MAX(-5,$H247-I247),Volsmile,2),0)),$CG247,$CH247,($A247-DateToday)+15,1,1))*(8*$HD247),8*$HD247),0)),0))</f>
        <v xml:space="preserve"> </v>
      </c>
      <c r="AB247" s="254" t="str">
        <f>IF($A247="N/A"," ",IF(VLOOKUP(MONTH(A247),ManualTable,3)=1,(IF(S247&lt;&gt;0,IF(Pricetype=1,(_xll.xSPRDOPT(J247,$E247,$CI247,0,($CD247+IF(Smile=TRUE,VLOOKUP(MAX(-5,$H247-J247),Volsmile,2),0)),$CG247,$CH247,($A247-DateToday)+15,1,1))*(8*$HD247),8*$HD247),0)),0))</f>
        <v xml:space="preserve"> </v>
      </c>
      <c r="AC247" s="254" t="str">
        <f t="shared" si="561"/>
        <v xml:space="preserve"> </v>
      </c>
      <c r="AD247" s="254" t="str">
        <f>IF($A247="N/A"," ",IF(VLOOKUP(MONTH(A247),ManualTable,5)=1,(IF(U247&lt;&gt;0,IF(Pricetype=1,(_xll.xSPRDOPT(L247,$E247,$CI247,0,($CD247+IF(Smile=TRUE,VLOOKUP(MAX(-5,$H247-L247),Volsmile,2),0)),$CG247,$CH247,($A247-DateToday)+15,1,1))*(8*$HE247),8*$HE247),0)),0))</f>
        <v xml:space="preserve"> </v>
      </c>
      <c r="AE247" s="254" t="str">
        <f>IF($A247="N/A"," ",IF(VLOOKUP(MONTH(A247),ManualTable,6)=1,(IF(V247&lt;&gt;0,IF(Pricetype=1,(_xll.xSPRDOPT(M247,$E247,$CI247,0,($CD247+IF(Smile=TRUE,VLOOKUP(MAX(-5,$H247-M247),Volsmile,2),0)),$CG247,$CH247,($A247-DateToday)+15,1,1))*(8*$HE247),8*$HE247),0)),0))</f>
        <v xml:space="preserve"> </v>
      </c>
      <c r="AF247" s="254" t="str">
        <f t="shared" si="562"/>
        <v xml:space="preserve"> </v>
      </c>
      <c r="AG247" s="254" t="str">
        <f>IF($A247="N/A"," ",IF(VLOOKUP(MONTH(A247),ManualTable,8)=1,(IF(X247&lt;&gt;0,IF(Pricetype=1,(_xll.xSPRDOPT(O247,$E247,$CI247,0,($CD247+IF(Smile=TRUE,VLOOKUP(MAX(-5,$H247-O247),Volsmile,2),0)),$CG247,$CH247,($A247-DateToday)+15,1,1))*(8*$HF247),8*$HF247),0)),0))</f>
        <v xml:space="preserve"> </v>
      </c>
      <c r="AH247" s="254" t="str">
        <f>IF($A247="N/A"," ",IF(VLOOKUP(MONTH(A247),ManualTable,9)=1,(IF(Y247&lt;&gt;0,IF(Pricetype=1,(_xll.xSPRDOPT(P247,$E247,$CI247,0,($CD247+IF(Smile=TRUE,VLOOKUP(MAX(-5,$H247-P247),Volsmile,2),0)),$CG247,$CH247,($A247-DateToday)+15,1,1))*(8*$HF247),8*$HF247),0)),0))</f>
        <v xml:space="preserve"> </v>
      </c>
      <c r="AI247" s="254" t="str">
        <f t="shared" si="563"/>
        <v xml:space="preserve"> </v>
      </c>
      <c r="AJ247" s="227" t="str">
        <f t="shared" si="653"/>
        <v xml:space="preserve"> </v>
      </c>
      <c r="AK247" s="228" t="str">
        <f t="shared" si="654"/>
        <v xml:space="preserve"> </v>
      </c>
      <c r="AL247" s="228" t="str">
        <f t="shared" si="654"/>
        <v xml:space="preserve"> </v>
      </c>
      <c r="AM247" s="228" t="str">
        <f t="shared" si="655"/>
        <v xml:space="preserve"> </v>
      </c>
      <c r="AN247" s="228" t="str">
        <f t="shared" si="656"/>
        <v xml:space="preserve"> </v>
      </c>
      <c r="AO247" s="228" t="str">
        <f t="shared" si="656"/>
        <v xml:space="preserve"> </v>
      </c>
      <c r="AP247" s="228" t="str">
        <f t="shared" si="657"/>
        <v xml:space="preserve"> </v>
      </c>
      <c r="AQ247" s="228" t="str">
        <f t="shared" si="658"/>
        <v xml:space="preserve"> </v>
      </c>
      <c r="AR247" s="229" t="str">
        <f t="shared" si="659"/>
        <v xml:space="preserve"> </v>
      </c>
      <c r="AS247" s="262" t="str">
        <f t="shared" si="593"/>
        <v xml:space="preserve"> </v>
      </c>
      <c r="AT247" s="263" t="str">
        <f t="shared" si="594"/>
        <v xml:space="preserve"> </v>
      </c>
      <c r="AU247" s="263" t="str">
        <f t="shared" si="594"/>
        <v xml:space="preserve"> </v>
      </c>
      <c r="AV247" s="263" t="str">
        <f t="shared" si="595"/>
        <v xml:space="preserve"> </v>
      </c>
      <c r="AW247" s="263" t="str">
        <f t="shared" si="596"/>
        <v xml:space="preserve"> </v>
      </c>
      <c r="AX247" s="263" t="str">
        <f t="shared" si="596"/>
        <v xml:space="preserve"> </v>
      </c>
      <c r="AY247" s="263" t="str">
        <f t="shared" si="597"/>
        <v xml:space="preserve"> </v>
      </c>
      <c r="AZ247" s="263" t="str">
        <f t="shared" si="598"/>
        <v xml:space="preserve"> </v>
      </c>
      <c r="BA247" s="263" t="str">
        <f t="shared" si="599"/>
        <v xml:space="preserve"> </v>
      </c>
      <c r="BB247" s="229"/>
      <c r="BC247" s="266" t="str">
        <f t="shared" si="646"/>
        <v xml:space="preserve"> </v>
      </c>
      <c r="BD247" s="269" t="str">
        <f t="shared" si="647"/>
        <v xml:space="preserve"> </v>
      </c>
      <c r="BE247" s="269" t="str">
        <f t="shared" si="647"/>
        <v xml:space="preserve"> </v>
      </c>
      <c r="BF247" s="269" t="str">
        <f t="shared" si="648"/>
        <v xml:space="preserve"> </v>
      </c>
      <c r="BG247" s="269" t="str">
        <f t="shared" si="649"/>
        <v xml:space="preserve"> </v>
      </c>
      <c r="BH247" s="269" t="str">
        <f t="shared" si="649"/>
        <v xml:space="preserve"> </v>
      </c>
      <c r="BI247" s="269" t="str">
        <f t="shared" si="650"/>
        <v xml:space="preserve"> </v>
      </c>
      <c r="BJ247" s="269" t="str">
        <f t="shared" si="651"/>
        <v xml:space="preserve"> </v>
      </c>
      <c r="BK247" s="269" t="str">
        <f t="shared" si="652"/>
        <v xml:space="preserve"> </v>
      </c>
      <c r="BL247" s="229"/>
      <c r="BM247" s="220" t="str">
        <f>IF($A247="N/A"," ",(IF(MONTH(A247)&gt;=4,IF(MONTH(A247)&lt;=10,Inputs!$F$13-Inputs!$G$13,Inputs!$F$14-Inputs!$G$14),Inputs!$F$14-Inputs!$G$14))*$CK247*Availability)</f>
        <v xml:space="preserve"> </v>
      </c>
      <c r="BN247" s="221" t="str">
        <f t="shared" si="571"/>
        <v xml:space="preserve"> </v>
      </c>
      <c r="BO247" s="221" t="str">
        <f t="shared" si="572"/>
        <v xml:space="preserve"> </v>
      </c>
      <c r="BP247" s="221" t="str">
        <f t="shared" si="573"/>
        <v xml:space="preserve"> </v>
      </c>
      <c r="BQ247" s="221" t="str">
        <f t="shared" si="574"/>
        <v xml:space="preserve"> </v>
      </c>
      <c r="BR247" s="221" t="str">
        <f t="shared" si="575"/>
        <v xml:space="preserve"> </v>
      </c>
      <c r="BS247" s="221" t="str">
        <f t="shared" si="576"/>
        <v xml:space="preserve"> </v>
      </c>
      <c r="BT247" s="221" t="str">
        <f t="shared" si="577"/>
        <v xml:space="preserve"> </v>
      </c>
      <c r="BU247" s="221" t="str">
        <f t="shared" si="578"/>
        <v xml:space="preserve"> </v>
      </c>
      <c r="BV247" s="221" t="str">
        <f t="shared" si="579"/>
        <v xml:space="preserve"> </v>
      </c>
      <c r="BW247" s="221" t="str">
        <f t="shared" si="580"/>
        <v xml:space="preserve"> </v>
      </c>
      <c r="BX247" s="421" t="str">
        <f t="shared" si="581"/>
        <v xml:space="preserve"> </v>
      </c>
      <c r="BY247" s="417" t="str">
        <f t="shared" si="582"/>
        <v xml:space="preserve"> </v>
      </c>
      <c r="BZ247" s="417" t="str">
        <f t="shared" si="583"/>
        <v xml:space="preserve"> </v>
      </c>
      <c r="CA247" s="422" t="str">
        <f t="shared" si="584"/>
        <v xml:space="preserve"> </v>
      </c>
      <c r="CB247" s="347" t="str">
        <f t="shared" si="521"/>
        <v xml:space="preserve"> </v>
      </c>
      <c r="CC247" s="347" t="str">
        <f t="shared" si="585"/>
        <v xml:space="preserve"> </v>
      </c>
      <c r="CD247" s="348" t="str">
        <f t="shared" si="522"/>
        <v xml:space="preserve"> </v>
      </c>
      <c r="CE247" s="347" t="str">
        <f t="shared" si="523"/>
        <v xml:space="preserve"> </v>
      </c>
      <c r="CF247" s="347" t="str">
        <f t="shared" si="524"/>
        <v xml:space="preserve"> </v>
      </c>
      <c r="CG247" s="348" t="str">
        <f t="shared" si="525"/>
        <v xml:space="preserve"> </v>
      </c>
      <c r="CH247" s="347" t="str">
        <f t="shared" si="586"/>
        <v xml:space="preserve"> </v>
      </c>
      <c r="CI247" s="349" t="str">
        <f>IF($A247="N/A"," ",F247+G247+(D247*('Pricing Inputs'!T280)))</f>
        <v xml:space="preserve"> </v>
      </c>
      <c r="CJ247" s="347" t="str">
        <f>IF($A247="N/A"," ",IF(PV=1,0,'Pricing Inputs'!U280))</f>
        <v xml:space="preserve"> </v>
      </c>
      <c r="CK247" s="350" t="str">
        <f t="shared" si="526"/>
        <v xml:space="preserve"> </v>
      </c>
      <c r="CL247" s="365" t="str">
        <f t="shared" si="527"/>
        <v xml:space="preserve"> </v>
      </c>
      <c r="CM247" s="380" t="str">
        <f t="shared" si="587"/>
        <v xml:space="preserve"> </v>
      </c>
      <c r="CN247" s="378" t="str">
        <f t="shared" si="528"/>
        <v xml:space="preserve"> </v>
      </c>
      <c r="CO247" s="378" t="str">
        <f t="shared" si="529"/>
        <v xml:space="preserve"> </v>
      </c>
      <c r="CP247" s="378" t="str">
        <f t="shared" si="530"/>
        <v xml:space="preserve"> </v>
      </c>
      <c r="CQ247" s="378" t="str">
        <f t="shared" si="531"/>
        <v xml:space="preserve"> </v>
      </c>
      <c r="CR247" s="378" t="str">
        <f t="shared" si="532"/>
        <v xml:space="preserve"> </v>
      </c>
      <c r="CS247" s="378" t="str">
        <f t="shared" si="533"/>
        <v xml:space="preserve"> </v>
      </c>
      <c r="CT247" s="378" t="str">
        <f t="shared" si="534"/>
        <v xml:space="preserve"> </v>
      </c>
      <c r="CU247" s="378" t="str">
        <f t="shared" si="535"/>
        <v xml:space="preserve"> </v>
      </c>
      <c r="CV247" s="378" t="str">
        <f t="shared" si="536"/>
        <v xml:space="preserve"> </v>
      </c>
      <c r="CW247" s="254" t="str">
        <f t="shared" si="537"/>
        <v xml:space="preserve"> </v>
      </c>
      <c r="CX247" s="254" t="str">
        <f t="shared" si="538"/>
        <v xml:space="preserve"> </v>
      </c>
      <c r="CY247" s="254" t="str">
        <f t="shared" si="539"/>
        <v xml:space="preserve"> </v>
      </c>
      <c r="CZ247" s="254" t="str">
        <f t="shared" si="540"/>
        <v xml:space="preserve"> </v>
      </c>
      <c r="DA247" s="254" t="str">
        <f t="shared" si="541"/>
        <v xml:space="preserve"> </v>
      </c>
      <c r="DB247" s="254" t="str">
        <f t="shared" si="542"/>
        <v xml:space="preserve"> </v>
      </c>
      <c r="DC247" s="254" t="str">
        <f t="shared" si="543"/>
        <v xml:space="preserve"> </v>
      </c>
      <c r="DD247" s="254" t="str">
        <f t="shared" si="544"/>
        <v xml:space="preserve"> </v>
      </c>
      <c r="DE247" s="254" t="str">
        <f t="shared" si="545"/>
        <v xml:space="preserve"> </v>
      </c>
      <c r="DF247" s="374" t="str">
        <f>IF($A247="N/A"," ",IF(CC=2,(IF(MONTH(A247)&gt;=4,IF(MONTH(A247)&lt;=10,Inputs!$G$13,Inputs!$G$14),Inputs!$G$14))*$CK247,0))</f>
        <v xml:space="preserve"> </v>
      </c>
      <c r="DG247" s="373" t="str">
        <f t="shared" si="546"/>
        <v xml:space="preserve"> </v>
      </c>
      <c r="DH247" s="373" t="str">
        <f t="shared" si="547"/>
        <v xml:space="preserve"> </v>
      </c>
      <c r="DI247" s="373" t="str">
        <f t="shared" si="548"/>
        <v xml:space="preserve"> </v>
      </c>
      <c r="DJ247" s="373" t="str">
        <f t="shared" si="549"/>
        <v xml:space="preserve"> </v>
      </c>
      <c r="DK247" s="373" t="str">
        <f t="shared" si="550"/>
        <v xml:space="preserve"> </v>
      </c>
      <c r="DL247" s="373" t="str">
        <f t="shared" si="551"/>
        <v xml:space="preserve"> </v>
      </c>
      <c r="DM247" s="373" t="str">
        <f t="shared" si="552"/>
        <v xml:space="preserve"> </v>
      </c>
      <c r="DN247" s="373" t="str">
        <f t="shared" si="553"/>
        <v xml:space="preserve"> </v>
      </c>
      <c r="DO247" s="373" t="str">
        <f t="shared" si="554"/>
        <v xml:space="preserve"> </v>
      </c>
      <c r="DP247" s="375" t="str">
        <f t="shared" si="555"/>
        <v xml:space="preserve"> </v>
      </c>
      <c r="DQ247" t="str">
        <f t="shared" si="588"/>
        <v xml:space="preserve"> </v>
      </c>
      <c r="HD247" t="str">
        <f t="shared" si="589"/>
        <v xml:space="preserve"> </v>
      </c>
      <c r="HE247" t="str">
        <f t="shared" si="590"/>
        <v xml:space="preserve"> </v>
      </c>
      <c r="HF247" t="str">
        <f t="shared" si="591"/>
        <v xml:space="preserve"> </v>
      </c>
    </row>
    <row r="248" spans="1:214">
      <c r="A248" s="415" t="str">
        <f>IF(A247="N/A","N/A",IF(EDATE(A247,1)&gt;Inputs!$K$3,"N/A",EDATE(A247,1)))</f>
        <v>N/A</v>
      </c>
      <c r="B248" s="410" t="str">
        <f t="shared" si="556"/>
        <v xml:space="preserve"> </v>
      </c>
      <c r="C248" s="411" t="str">
        <f t="shared" si="557"/>
        <v xml:space="preserve"> </v>
      </c>
      <c r="D248" s="412" t="str">
        <f t="shared" si="558"/>
        <v xml:space="preserve"> </v>
      </c>
      <c r="E248" s="413" t="str">
        <f>IF($A248="N/A"," ",(C248-'Pricing Inputs'!T281)*D248)</f>
        <v xml:space="preserve"> </v>
      </c>
      <c r="F248" s="414" t="str">
        <f t="shared" si="607"/>
        <v xml:space="preserve"> </v>
      </c>
      <c r="G248" s="414" t="str">
        <f t="shared" si="559"/>
        <v xml:space="preserve"> </v>
      </c>
      <c r="H248" s="416" t="str">
        <f t="shared" si="560"/>
        <v xml:space="preserve"> </v>
      </c>
      <c r="I248" s="213" t="str">
        <f t="shared" si="501"/>
        <v xml:space="preserve"> </v>
      </c>
      <c r="J248" s="213" t="str">
        <f t="shared" si="502"/>
        <v xml:space="preserve"> </v>
      </c>
      <c r="K248" s="213" t="str">
        <f t="shared" si="503"/>
        <v xml:space="preserve"> </v>
      </c>
      <c r="L248" s="213" t="str">
        <f t="shared" si="504"/>
        <v xml:space="preserve"> </v>
      </c>
      <c r="M248" s="213" t="str">
        <f t="shared" si="505"/>
        <v xml:space="preserve"> </v>
      </c>
      <c r="N248" s="213" t="str">
        <f t="shared" si="506"/>
        <v xml:space="preserve"> </v>
      </c>
      <c r="O248" s="213" t="str">
        <f t="shared" si="507"/>
        <v xml:space="preserve"> </v>
      </c>
      <c r="P248" s="213" t="str">
        <f t="shared" si="508"/>
        <v xml:space="preserve"> </v>
      </c>
      <c r="Q248" s="213" t="str">
        <f t="shared" si="509"/>
        <v xml:space="preserve"> </v>
      </c>
      <c r="R248" s="405" t="str">
        <f>IF($A248="N/A"," ",IF(Pricetype=2,MAX(I248-$H248,0),IF(Pricetype=1,(_xll.xSPRDOPT(I248,$E248,$CI248,0,($CD248+IF(Smile=TRUE,VLOOKUP(MAX(-5,$H248-I248),Volsmile,2),0)),$CG248,$CH248,($A248-DateToday)+15,1,0)),I248-$H248)))</f>
        <v xml:space="preserve"> </v>
      </c>
      <c r="S248" s="405" t="str">
        <f>IF($A248="N/A"," ",IF(Pricetype=2,MAX(J248-$H248,0),IF(Pricetype=1,(_xll.xSPRDOPT(J248,$E248,$CI248,0,($CD248+IF(Smile=TRUE,VLOOKUP(MAX(-5,$H248-J248),Volsmile,2),0)),$CG248,$CH248,($A248-DateToday)+15,1,0)),J248-$H248)))</f>
        <v xml:space="preserve"> </v>
      </c>
      <c r="T248" s="406" t="str">
        <f t="shared" si="510"/>
        <v xml:space="preserve"> </v>
      </c>
      <c r="U248" s="405" t="str">
        <f>IF($A248="N/A"," ",IF(Pricetype=2,MAX(L248-$H248,0),IF(L248&lt;&gt;0,IF(Pricetype=1,(_xll.xSPRDOPT(L248,$E248,$CI248,0,($CD248+IF(Smile=TRUE,VLOOKUP(MAX(-5,$H248-L248),Volsmile,2),0)),$CG248,$CH248,($A248-DateToday)+15,1,0)),L248-$H248),0)))</f>
        <v xml:space="preserve"> </v>
      </c>
      <c r="V248" s="405" t="str">
        <f>IF($A248="N/A"," ",IF(Pricetype=2,MAX(M248-$H248,0),IF(M248&lt;&gt;0,IF(Pricetype=1,(_xll.xSPRDOPT(M248,$E248,$CI248,0,($CD248+IF(Smile=TRUE,VLOOKUP(MAX(-5,$H248-M248),Volsmile,2),0)),$CG248,$CH248,($A248-DateToday)+15,1,0)),M248-$H248),0)))</f>
        <v xml:space="preserve"> </v>
      </c>
      <c r="W248" s="406" t="str">
        <f t="shared" si="511"/>
        <v xml:space="preserve"> </v>
      </c>
      <c r="X248" s="405" t="str">
        <f>IF($A248="N/A"," ",IF(Pricetype=2,MAX(O248-$H248,0),IF(O248&lt;&gt;0,IF(Pricetype=1,(_xll.xSPRDOPT(O248,$E248,$CI248,0,($CD248+IF(Smile=TRUE,VLOOKUP(MAX(-5,$H248-O248),Volsmile,2),0)),$CG248,$CH248,($A248-DateToday)+15,1,0)),O248-$H248),0)))</f>
        <v xml:space="preserve"> </v>
      </c>
      <c r="Y248" s="405" t="str">
        <f>IF($A248="N/A"," ",IF(Pricetype=2,MAX(P248-$H248,0),IF(P248&lt;&gt;0,IF(Pricetype=1,(_xll.xSPRDOPT(P248,$E248,$CI248,0,($CD248+IF(Smile=TRUE,VLOOKUP(MAX(-5,$H248-P248),Volsmile,2),0)),$CG248,$CH248,($A248-DateToday)+15,1,0)),P248-$H248),0)))</f>
        <v xml:space="preserve"> </v>
      </c>
      <c r="Z248" s="406" t="str">
        <f t="shared" si="512"/>
        <v xml:space="preserve"> </v>
      </c>
      <c r="AA248" s="254" t="str">
        <f>IF($A248="N/A"," ",IF(VLOOKUP(MONTH(A248),ManualTable,2)=1,(IF(0&lt;&gt;R248,IF(Pricetype=1,(_xll.xSPRDOPT(I248,$E248,$CI248,0,($CD248+IF(Smile=TRUE,VLOOKUP(MAX(-5,$H248-I248),Volsmile,2),0)),$CG248,$CH248,($A248-DateToday)+15,1,1))*(8*$HD248),8*$HD248),0)),0))</f>
        <v xml:space="preserve"> </v>
      </c>
      <c r="AB248" s="254" t="str">
        <f>IF($A248="N/A"," ",IF(VLOOKUP(MONTH(A248),ManualTable,3)=1,(IF(S248&lt;&gt;0,IF(Pricetype=1,(_xll.xSPRDOPT(J248,$E248,$CI248,0,($CD248+IF(Smile=TRUE,VLOOKUP(MAX(-5,$H248-J248),Volsmile,2),0)),$CG248,$CH248,($A248-DateToday)+15,1,1))*(8*$HD248),8*$HD248),0)),0))</f>
        <v xml:space="preserve"> </v>
      </c>
      <c r="AC248" s="254" t="str">
        <f t="shared" si="561"/>
        <v xml:space="preserve"> </v>
      </c>
      <c r="AD248" s="254" t="str">
        <f>IF($A248="N/A"," ",IF(VLOOKUP(MONTH(A248),ManualTable,5)=1,(IF(U248&lt;&gt;0,IF(Pricetype=1,(_xll.xSPRDOPT(L248,$E248,$CI248,0,($CD248+IF(Smile=TRUE,VLOOKUP(MAX(-5,$H248-L248),Volsmile,2),0)),$CG248,$CH248,($A248-DateToday)+15,1,1))*(8*$HE248),8*$HE248),0)),0))</f>
        <v xml:space="preserve"> </v>
      </c>
      <c r="AE248" s="254" t="str">
        <f>IF($A248="N/A"," ",IF(VLOOKUP(MONTH(A248),ManualTable,6)=1,(IF(V248&lt;&gt;0,IF(Pricetype=1,(_xll.xSPRDOPT(M248,$E248,$CI248,0,($CD248+IF(Smile=TRUE,VLOOKUP(MAX(-5,$H248-M248),Volsmile,2),0)),$CG248,$CH248,($A248-DateToday)+15,1,1))*(8*$HE248),8*$HE248),0)),0))</f>
        <v xml:space="preserve"> </v>
      </c>
      <c r="AF248" s="254" t="str">
        <f t="shared" si="562"/>
        <v xml:space="preserve"> </v>
      </c>
      <c r="AG248" s="254" t="str">
        <f>IF($A248="N/A"," ",IF(VLOOKUP(MONTH(A248),ManualTable,8)=1,(IF(X248&lt;&gt;0,IF(Pricetype=1,(_xll.xSPRDOPT(O248,$E248,$CI248,0,($CD248+IF(Smile=TRUE,VLOOKUP(MAX(-5,$H248-O248),Volsmile,2),0)),$CG248,$CH248,($A248-DateToday)+15,1,1))*(8*$HF248),8*$HF248),0)),0))</f>
        <v xml:space="preserve"> </v>
      </c>
      <c r="AH248" s="254" t="str">
        <f>IF($A248="N/A"," ",IF(VLOOKUP(MONTH(A248),ManualTable,9)=1,(IF(Y248&lt;&gt;0,IF(Pricetype=1,(_xll.xSPRDOPT(P248,$E248,$CI248,0,($CD248+IF(Smile=TRUE,VLOOKUP(MAX(-5,$H248-P248),Volsmile,2),0)),$CG248,$CH248,($A248-DateToday)+15,1,1))*(8*$HF248),8*$HF248),0)),0))</f>
        <v xml:space="preserve"> </v>
      </c>
      <c r="AI248" s="254" t="str">
        <f t="shared" si="563"/>
        <v xml:space="preserve"> </v>
      </c>
      <c r="AJ248" s="227" t="str">
        <f t="shared" si="653"/>
        <v xml:space="preserve"> </v>
      </c>
      <c r="AK248" s="228" t="str">
        <f t="shared" si="654"/>
        <v xml:space="preserve"> </v>
      </c>
      <c r="AL248" s="228" t="str">
        <f t="shared" si="654"/>
        <v xml:space="preserve"> </v>
      </c>
      <c r="AM248" s="228" t="str">
        <f t="shared" si="655"/>
        <v xml:space="preserve"> </v>
      </c>
      <c r="AN248" s="228" t="str">
        <f t="shared" si="656"/>
        <v xml:space="preserve"> </v>
      </c>
      <c r="AO248" s="228" t="str">
        <f t="shared" si="656"/>
        <v xml:space="preserve"> </v>
      </c>
      <c r="AP248" s="228" t="str">
        <f t="shared" si="657"/>
        <v xml:space="preserve"> </v>
      </c>
      <c r="AQ248" s="228" t="str">
        <f t="shared" si="658"/>
        <v xml:space="preserve"> </v>
      </c>
      <c r="AR248" s="229" t="str">
        <f t="shared" si="659"/>
        <v xml:space="preserve"> </v>
      </c>
      <c r="AS248" s="262" t="str">
        <f t="shared" si="593"/>
        <v xml:space="preserve"> </v>
      </c>
      <c r="AT248" s="263" t="str">
        <f t="shared" si="594"/>
        <v xml:space="preserve"> </v>
      </c>
      <c r="AU248" s="263" t="str">
        <f t="shared" si="594"/>
        <v xml:space="preserve"> </v>
      </c>
      <c r="AV248" s="263" t="str">
        <f t="shared" si="595"/>
        <v xml:space="preserve"> </v>
      </c>
      <c r="AW248" s="263" t="str">
        <f t="shared" si="596"/>
        <v xml:space="preserve"> </v>
      </c>
      <c r="AX248" s="263" t="str">
        <f t="shared" si="596"/>
        <v xml:space="preserve"> </v>
      </c>
      <c r="AY248" s="263" t="str">
        <f t="shared" si="597"/>
        <v xml:space="preserve"> </v>
      </c>
      <c r="AZ248" s="263" t="str">
        <f t="shared" si="598"/>
        <v xml:space="preserve"> </v>
      </c>
      <c r="BA248" s="263" t="str">
        <f t="shared" si="599"/>
        <v xml:space="preserve"> </v>
      </c>
      <c r="BB248" s="229"/>
      <c r="BC248" s="266" t="str">
        <f t="shared" si="646"/>
        <v xml:space="preserve"> </v>
      </c>
      <c r="BD248" s="269" t="str">
        <f t="shared" si="647"/>
        <v xml:space="preserve"> </v>
      </c>
      <c r="BE248" s="269" t="str">
        <f t="shared" si="647"/>
        <v xml:space="preserve"> </v>
      </c>
      <c r="BF248" s="269" t="str">
        <f t="shared" si="648"/>
        <v xml:space="preserve"> </v>
      </c>
      <c r="BG248" s="269" t="str">
        <f t="shared" si="649"/>
        <v xml:space="preserve"> </v>
      </c>
      <c r="BH248" s="269" t="str">
        <f t="shared" si="649"/>
        <v xml:space="preserve"> </v>
      </c>
      <c r="BI248" s="269" t="str">
        <f t="shared" si="650"/>
        <v xml:space="preserve"> </v>
      </c>
      <c r="BJ248" s="269" t="str">
        <f t="shared" si="651"/>
        <v xml:space="preserve"> </v>
      </c>
      <c r="BK248" s="269" t="str">
        <f t="shared" si="652"/>
        <v xml:space="preserve"> </v>
      </c>
      <c r="BL248" s="229"/>
      <c r="BM248" s="220" t="str">
        <f>IF($A248="N/A"," ",(IF(MONTH(A248)&gt;=4,IF(MONTH(A248)&lt;=10,Inputs!$F$13-Inputs!$G$13,Inputs!$F$14-Inputs!$G$14),Inputs!$F$14-Inputs!$G$14))*$CK248*Availability)</f>
        <v xml:space="preserve"> </v>
      </c>
      <c r="BN248" s="221" t="str">
        <f t="shared" si="571"/>
        <v xml:space="preserve"> </v>
      </c>
      <c r="BO248" s="221" t="str">
        <f t="shared" si="572"/>
        <v xml:space="preserve"> </v>
      </c>
      <c r="BP248" s="221" t="str">
        <f t="shared" si="573"/>
        <v xml:space="preserve"> </v>
      </c>
      <c r="BQ248" s="221" t="str">
        <f t="shared" si="574"/>
        <v xml:space="preserve"> </v>
      </c>
      <c r="BR248" s="221" t="str">
        <f t="shared" si="575"/>
        <v xml:space="preserve"> </v>
      </c>
      <c r="BS248" s="221" t="str">
        <f t="shared" si="576"/>
        <v xml:space="preserve"> </v>
      </c>
      <c r="BT248" s="221" t="str">
        <f t="shared" si="577"/>
        <v xml:space="preserve"> </v>
      </c>
      <c r="BU248" s="221" t="str">
        <f t="shared" si="578"/>
        <v xml:space="preserve"> </v>
      </c>
      <c r="BV248" s="221" t="str">
        <f t="shared" si="579"/>
        <v xml:space="preserve"> </v>
      </c>
      <c r="BW248" s="221" t="str">
        <f t="shared" si="580"/>
        <v xml:space="preserve"> </v>
      </c>
      <c r="BX248" s="421" t="str">
        <f t="shared" si="581"/>
        <v xml:space="preserve"> </v>
      </c>
      <c r="BY248" s="417" t="str">
        <f t="shared" si="582"/>
        <v xml:space="preserve"> </v>
      </c>
      <c r="BZ248" s="417" t="str">
        <f t="shared" si="583"/>
        <v xml:space="preserve"> </v>
      </c>
      <c r="CA248" s="422" t="str">
        <f t="shared" si="584"/>
        <v xml:space="preserve"> </v>
      </c>
      <c r="CB248" s="347" t="str">
        <f t="shared" si="521"/>
        <v xml:space="preserve"> </v>
      </c>
      <c r="CC248" s="347" t="str">
        <f t="shared" si="585"/>
        <v xml:space="preserve"> </v>
      </c>
      <c r="CD248" s="348" t="str">
        <f t="shared" si="522"/>
        <v xml:space="preserve"> </v>
      </c>
      <c r="CE248" s="347" t="str">
        <f t="shared" si="523"/>
        <v xml:space="preserve"> </v>
      </c>
      <c r="CF248" s="347" t="str">
        <f t="shared" si="524"/>
        <v xml:space="preserve"> </v>
      </c>
      <c r="CG248" s="348" t="str">
        <f t="shared" si="525"/>
        <v xml:space="preserve"> </v>
      </c>
      <c r="CH248" s="347" t="str">
        <f t="shared" si="586"/>
        <v xml:space="preserve"> </v>
      </c>
      <c r="CI248" s="349" t="str">
        <f>IF($A248="N/A"," ",F248+G248+(D248*('Pricing Inputs'!T281)))</f>
        <v xml:space="preserve"> </v>
      </c>
      <c r="CJ248" s="347" t="str">
        <f>IF($A248="N/A"," ",IF(PV=1,0,'Pricing Inputs'!U281))</f>
        <v xml:space="preserve"> </v>
      </c>
      <c r="CK248" s="350" t="str">
        <f t="shared" si="526"/>
        <v xml:space="preserve"> </v>
      </c>
      <c r="CL248" s="365" t="str">
        <f t="shared" si="527"/>
        <v xml:space="preserve"> </v>
      </c>
      <c r="CM248" s="380" t="str">
        <f t="shared" si="587"/>
        <v xml:space="preserve"> </v>
      </c>
      <c r="CN248" s="378" t="str">
        <f t="shared" si="528"/>
        <v xml:space="preserve"> </v>
      </c>
      <c r="CO248" s="378" t="str">
        <f t="shared" si="529"/>
        <v xml:space="preserve"> </v>
      </c>
      <c r="CP248" s="378" t="str">
        <f t="shared" si="530"/>
        <v xml:space="preserve"> </v>
      </c>
      <c r="CQ248" s="378" t="str">
        <f t="shared" si="531"/>
        <v xml:space="preserve"> </v>
      </c>
      <c r="CR248" s="378" t="str">
        <f t="shared" si="532"/>
        <v xml:space="preserve"> </v>
      </c>
      <c r="CS248" s="378" t="str">
        <f t="shared" si="533"/>
        <v xml:space="preserve"> </v>
      </c>
      <c r="CT248" s="378" t="str">
        <f t="shared" si="534"/>
        <v xml:space="preserve"> </v>
      </c>
      <c r="CU248" s="378" t="str">
        <f t="shared" si="535"/>
        <v xml:space="preserve"> </v>
      </c>
      <c r="CV248" s="378" t="str">
        <f t="shared" si="536"/>
        <v xml:space="preserve"> </v>
      </c>
      <c r="CW248" s="254" t="str">
        <f t="shared" si="537"/>
        <v xml:space="preserve"> </v>
      </c>
      <c r="CX248" s="254" t="str">
        <f t="shared" si="538"/>
        <v xml:space="preserve"> </v>
      </c>
      <c r="CY248" s="254" t="str">
        <f t="shared" si="539"/>
        <v xml:space="preserve"> </v>
      </c>
      <c r="CZ248" s="254" t="str">
        <f t="shared" si="540"/>
        <v xml:space="preserve"> </v>
      </c>
      <c r="DA248" s="254" t="str">
        <f t="shared" si="541"/>
        <v xml:space="preserve"> </v>
      </c>
      <c r="DB248" s="254" t="str">
        <f t="shared" si="542"/>
        <v xml:space="preserve"> </v>
      </c>
      <c r="DC248" s="254" t="str">
        <f t="shared" si="543"/>
        <v xml:space="preserve"> </v>
      </c>
      <c r="DD248" s="254" t="str">
        <f t="shared" si="544"/>
        <v xml:space="preserve"> </v>
      </c>
      <c r="DE248" s="254" t="str">
        <f t="shared" si="545"/>
        <v xml:space="preserve"> </v>
      </c>
      <c r="DF248" s="374" t="str">
        <f>IF($A248="N/A"," ",IF(CC=2,(IF(MONTH(A248)&gt;=4,IF(MONTH(A248)&lt;=10,Inputs!$G$13,Inputs!$G$14),Inputs!$G$14))*$CK248,0))</f>
        <v xml:space="preserve"> </v>
      </c>
      <c r="DG248" s="373" t="str">
        <f t="shared" si="546"/>
        <v xml:space="preserve"> </v>
      </c>
      <c r="DH248" s="373" t="str">
        <f t="shared" si="547"/>
        <v xml:space="preserve"> </v>
      </c>
      <c r="DI248" s="373" t="str">
        <f t="shared" si="548"/>
        <v xml:space="preserve"> </v>
      </c>
      <c r="DJ248" s="373" t="str">
        <f t="shared" si="549"/>
        <v xml:space="preserve"> </v>
      </c>
      <c r="DK248" s="373" t="str">
        <f t="shared" si="550"/>
        <v xml:space="preserve"> </v>
      </c>
      <c r="DL248" s="373" t="str">
        <f t="shared" si="551"/>
        <v xml:space="preserve"> </v>
      </c>
      <c r="DM248" s="373" t="str">
        <f t="shared" si="552"/>
        <v xml:space="preserve"> </v>
      </c>
      <c r="DN248" s="373" t="str">
        <f t="shared" si="553"/>
        <v xml:space="preserve"> </v>
      </c>
      <c r="DO248" s="373" t="str">
        <f t="shared" si="554"/>
        <v xml:space="preserve"> </v>
      </c>
      <c r="DP248" s="375" t="str">
        <f t="shared" si="555"/>
        <v xml:space="preserve"> </v>
      </c>
      <c r="DQ248" t="str">
        <f t="shared" si="588"/>
        <v xml:space="preserve"> </v>
      </c>
      <c r="HD248" t="str">
        <f t="shared" si="589"/>
        <v xml:space="preserve"> </v>
      </c>
      <c r="HE248" t="str">
        <f t="shared" si="590"/>
        <v xml:space="preserve"> </v>
      </c>
      <c r="HF248" t="str">
        <f t="shared" si="591"/>
        <v xml:space="preserve"> </v>
      </c>
    </row>
    <row r="249" spans="1:214">
      <c r="A249" s="415" t="str">
        <f>IF(A248="N/A","N/A",IF(EDATE(A248,1)&gt;Inputs!$K$3,"N/A",EDATE(A248,1)))</f>
        <v>N/A</v>
      </c>
      <c r="B249" s="410" t="str">
        <f t="shared" si="556"/>
        <v xml:space="preserve"> </v>
      </c>
      <c r="C249" s="411" t="str">
        <f t="shared" si="557"/>
        <v xml:space="preserve"> </v>
      </c>
      <c r="D249" s="412" t="str">
        <f t="shared" si="558"/>
        <v xml:space="preserve"> </v>
      </c>
      <c r="E249" s="413" t="str">
        <f>IF($A249="N/A"," ",(C249-'Pricing Inputs'!T282)*D249)</f>
        <v xml:space="preserve"> </v>
      </c>
      <c r="F249" s="414" t="str">
        <f t="shared" si="607"/>
        <v xml:space="preserve"> </v>
      </c>
      <c r="G249" s="414" t="str">
        <f t="shared" si="559"/>
        <v xml:space="preserve"> </v>
      </c>
      <c r="H249" s="416" t="str">
        <f t="shared" si="560"/>
        <v xml:space="preserve"> </v>
      </c>
      <c r="I249" s="213" t="str">
        <f t="shared" si="501"/>
        <v xml:space="preserve"> </v>
      </c>
      <c r="J249" s="213" t="str">
        <f t="shared" si="502"/>
        <v xml:space="preserve"> </v>
      </c>
      <c r="K249" s="213" t="str">
        <f t="shared" si="503"/>
        <v xml:space="preserve"> </v>
      </c>
      <c r="L249" s="213" t="str">
        <f t="shared" si="504"/>
        <v xml:space="preserve"> </v>
      </c>
      <c r="M249" s="213" t="str">
        <f t="shared" si="505"/>
        <v xml:space="preserve"> </v>
      </c>
      <c r="N249" s="213" t="str">
        <f t="shared" si="506"/>
        <v xml:space="preserve"> </v>
      </c>
      <c r="O249" s="213" t="str">
        <f t="shared" si="507"/>
        <v xml:space="preserve"> </v>
      </c>
      <c r="P249" s="213" t="str">
        <f t="shared" si="508"/>
        <v xml:space="preserve"> </v>
      </c>
      <c r="Q249" s="213" t="str">
        <f t="shared" si="509"/>
        <v xml:space="preserve"> </v>
      </c>
      <c r="R249" s="405" t="str">
        <f>IF($A249="N/A"," ",IF(Pricetype=2,MAX(I249-$H249,0),IF(Pricetype=1,(_xll.xSPRDOPT(I249,$E249,$CI249,0,($CD249+IF(Smile=TRUE,VLOOKUP(MAX(-5,$H249-I249),Volsmile,2),0)),$CG249,$CH249,($A249-DateToday)+15,1,0)),I249-$H249)))</f>
        <v xml:space="preserve"> </v>
      </c>
      <c r="S249" s="405" t="str">
        <f>IF($A249="N/A"," ",IF(Pricetype=2,MAX(J249-$H249,0),IF(Pricetype=1,(_xll.xSPRDOPT(J249,$E249,$CI249,0,($CD249+IF(Smile=TRUE,VLOOKUP(MAX(-5,$H249-J249),Volsmile,2),0)),$CG249,$CH249,($A249-DateToday)+15,1,0)),J249-$H249)))</f>
        <v xml:space="preserve"> </v>
      </c>
      <c r="T249" s="406" t="str">
        <f t="shared" si="510"/>
        <v xml:space="preserve"> </v>
      </c>
      <c r="U249" s="405" t="str">
        <f>IF($A249="N/A"," ",IF(Pricetype=2,MAX(L249-$H249,0),IF(L249&lt;&gt;0,IF(Pricetype=1,(_xll.xSPRDOPT(L249,$E249,$CI249,0,($CD249+IF(Smile=TRUE,VLOOKUP(MAX(-5,$H249-L249),Volsmile,2),0)),$CG249,$CH249,($A249-DateToday)+15,1,0)),L249-$H249),0)))</f>
        <v xml:space="preserve"> </v>
      </c>
      <c r="V249" s="405" t="str">
        <f>IF($A249="N/A"," ",IF(Pricetype=2,MAX(M249-$H249,0),IF(M249&lt;&gt;0,IF(Pricetype=1,(_xll.xSPRDOPT(M249,$E249,$CI249,0,($CD249+IF(Smile=TRUE,VLOOKUP(MAX(-5,$H249-M249),Volsmile,2),0)),$CG249,$CH249,($A249-DateToday)+15,1,0)),M249-$H249),0)))</f>
        <v xml:space="preserve"> </v>
      </c>
      <c r="W249" s="406" t="str">
        <f t="shared" si="511"/>
        <v xml:space="preserve"> </v>
      </c>
      <c r="X249" s="405" t="str">
        <f>IF($A249="N/A"," ",IF(Pricetype=2,MAX(O249-$H249,0),IF(O249&lt;&gt;0,IF(Pricetype=1,(_xll.xSPRDOPT(O249,$E249,$CI249,0,($CD249+IF(Smile=TRUE,VLOOKUP(MAX(-5,$H249-O249),Volsmile,2),0)),$CG249,$CH249,($A249-DateToday)+15,1,0)),O249-$H249),0)))</f>
        <v xml:space="preserve"> </v>
      </c>
      <c r="Y249" s="405" t="str">
        <f>IF($A249="N/A"," ",IF(Pricetype=2,MAX(P249-$H249,0),IF(P249&lt;&gt;0,IF(Pricetype=1,(_xll.xSPRDOPT(P249,$E249,$CI249,0,($CD249+IF(Smile=TRUE,VLOOKUP(MAX(-5,$H249-P249),Volsmile,2),0)),$CG249,$CH249,($A249-DateToday)+15,1,0)),P249-$H249),0)))</f>
        <v xml:space="preserve"> </v>
      </c>
      <c r="Z249" s="406" t="str">
        <f t="shared" si="512"/>
        <v xml:space="preserve"> </v>
      </c>
      <c r="AA249" s="254" t="str">
        <f>IF($A249="N/A"," ",IF(VLOOKUP(MONTH(A249),ManualTable,2)=1,(IF(0&lt;&gt;R249,IF(Pricetype=1,(_xll.xSPRDOPT(I249,$E249,$CI249,0,($CD249+IF(Smile=TRUE,VLOOKUP(MAX(-5,$H249-I249),Volsmile,2),0)),$CG249,$CH249,($A249-DateToday)+15,1,1))*(8*$HD249),8*$HD249),0)),0))</f>
        <v xml:space="preserve"> </v>
      </c>
      <c r="AB249" s="254" t="str">
        <f>IF($A249="N/A"," ",IF(VLOOKUP(MONTH(A249),ManualTable,3)=1,(IF(S249&lt;&gt;0,IF(Pricetype=1,(_xll.xSPRDOPT(J249,$E249,$CI249,0,($CD249+IF(Smile=TRUE,VLOOKUP(MAX(-5,$H249-J249),Volsmile,2),0)),$CG249,$CH249,($A249-DateToday)+15,1,1))*(8*$HD249),8*$HD249),0)),0))</f>
        <v xml:space="preserve"> </v>
      </c>
      <c r="AC249" s="254" t="str">
        <f t="shared" si="561"/>
        <v xml:space="preserve"> </v>
      </c>
      <c r="AD249" s="254" t="str">
        <f>IF($A249="N/A"," ",IF(VLOOKUP(MONTH(A249),ManualTable,5)=1,(IF(U249&lt;&gt;0,IF(Pricetype=1,(_xll.xSPRDOPT(L249,$E249,$CI249,0,($CD249+IF(Smile=TRUE,VLOOKUP(MAX(-5,$H249-L249),Volsmile,2),0)),$CG249,$CH249,($A249-DateToday)+15,1,1))*(8*$HE249),8*$HE249),0)),0))</f>
        <v xml:space="preserve"> </v>
      </c>
      <c r="AE249" s="254" t="str">
        <f>IF($A249="N/A"," ",IF(VLOOKUP(MONTH(A249),ManualTable,6)=1,(IF(V249&lt;&gt;0,IF(Pricetype=1,(_xll.xSPRDOPT(M249,$E249,$CI249,0,($CD249+IF(Smile=TRUE,VLOOKUP(MAX(-5,$H249-M249),Volsmile,2),0)),$CG249,$CH249,($A249-DateToday)+15,1,1))*(8*$HE249),8*$HE249),0)),0))</f>
        <v xml:space="preserve"> </v>
      </c>
      <c r="AF249" s="254" t="str">
        <f t="shared" si="562"/>
        <v xml:space="preserve"> </v>
      </c>
      <c r="AG249" s="254" t="str">
        <f>IF($A249="N/A"," ",IF(VLOOKUP(MONTH(A249),ManualTable,8)=1,(IF(X249&lt;&gt;0,IF(Pricetype=1,(_xll.xSPRDOPT(O249,$E249,$CI249,0,($CD249+IF(Smile=TRUE,VLOOKUP(MAX(-5,$H249-O249),Volsmile,2),0)),$CG249,$CH249,($A249-DateToday)+15,1,1))*(8*$HF249),8*$HF249),0)),0))</f>
        <v xml:space="preserve"> </v>
      </c>
      <c r="AH249" s="254" t="str">
        <f>IF($A249="N/A"," ",IF(VLOOKUP(MONTH(A249),ManualTable,9)=1,(IF(Y249&lt;&gt;0,IF(Pricetype=1,(_xll.xSPRDOPT(P249,$E249,$CI249,0,($CD249+IF(Smile=TRUE,VLOOKUP(MAX(-5,$H249-P249),Volsmile,2),0)),$CG249,$CH249,($A249-DateToday)+15,1,1))*(8*$HF249),8*$HF249),0)),0))</f>
        <v xml:space="preserve"> </v>
      </c>
      <c r="AI249" s="254" t="str">
        <f t="shared" si="563"/>
        <v xml:space="preserve"> </v>
      </c>
      <c r="AJ249" s="227" t="str">
        <f t="shared" si="653"/>
        <v xml:space="preserve"> </v>
      </c>
      <c r="AK249" s="228" t="str">
        <f t="shared" si="654"/>
        <v xml:space="preserve"> </v>
      </c>
      <c r="AL249" s="228" t="str">
        <f t="shared" si="654"/>
        <v xml:space="preserve"> </v>
      </c>
      <c r="AM249" s="228" t="str">
        <f t="shared" si="655"/>
        <v xml:space="preserve"> </v>
      </c>
      <c r="AN249" s="228" t="str">
        <f t="shared" si="656"/>
        <v xml:space="preserve"> </v>
      </c>
      <c r="AO249" s="228" t="str">
        <f t="shared" si="656"/>
        <v xml:space="preserve"> </v>
      </c>
      <c r="AP249" s="228" t="str">
        <f t="shared" si="657"/>
        <v xml:space="preserve"> </v>
      </c>
      <c r="AQ249" s="228" t="str">
        <f t="shared" si="658"/>
        <v xml:space="preserve"> </v>
      </c>
      <c r="AR249" s="229" t="str">
        <f t="shared" si="659"/>
        <v xml:space="preserve"> </v>
      </c>
      <c r="AS249" s="262" t="str">
        <f t="shared" si="593"/>
        <v xml:space="preserve"> </v>
      </c>
      <c r="AT249" s="263" t="str">
        <f t="shared" si="594"/>
        <v xml:space="preserve"> </v>
      </c>
      <c r="AU249" s="263" t="str">
        <f t="shared" si="594"/>
        <v xml:space="preserve"> </v>
      </c>
      <c r="AV249" s="263" t="str">
        <f t="shared" si="595"/>
        <v xml:space="preserve"> </v>
      </c>
      <c r="AW249" s="263" t="str">
        <f t="shared" si="596"/>
        <v xml:space="preserve"> </v>
      </c>
      <c r="AX249" s="263" t="str">
        <f t="shared" si="596"/>
        <v xml:space="preserve"> </v>
      </c>
      <c r="AY249" s="263" t="str">
        <f t="shared" si="597"/>
        <v xml:space="preserve"> </v>
      </c>
      <c r="AZ249" s="263" t="str">
        <f t="shared" si="598"/>
        <v xml:space="preserve"> </v>
      </c>
      <c r="BA249" s="263" t="str">
        <f t="shared" si="599"/>
        <v xml:space="preserve"> </v>
      </c>
      <c r="BB249" s="229"/>
      <c r="BC249" s="266" t="str">
        <f t="shared" si="646"/>
        <v xml:space="preserve"> </v>
      </c>
      <c r="BD249" s="269" t="str">
        <f t="shared" si="647"/>
        <v xml:space="preserve"> </v>
      </c>
      <c r="BE249" s="269" t="str">
        <f t="shared" si="647"/>
        <v xml:space="preserve"> </v>
      </c>
      <c r="BF249" s="269" t="str">
        <f t="shared" si="648"/>
        <v xml:space="preserve"> </v>
      </c>
      <c r="BG249" s="269" t="str">
        <f t="shared" si="649"/>
        <v xml:space="preserve"> </v>
      </c>
      <c r="BH249" s="269" t="str">
        <f t="shared" si="649"/>
        <v xml:space="preserve"> </v>
      </c>
      <c r="BI249" s="269" t="str">
        <f t="shared" si="650"/>
        <v xml:space="preserve"> </v>
      </c>
      <c r="BJ249" s="269" t="str">
        <f t="shared" si="651"/>
        <v xml:space="preserve"> </v>
      </c>
      <c r="BK249" s="269" t="str">
        <f t="shared" si="652"/>
        <v xml:space="preserve"> </v>
      </c>
      <c r="BL249" s="229"/>
      <c r="BM249" s="220" t="str">
        <f>IF($A249="N/A"," ",(IF(MONTH(A249)&gt;=4,IF(MONTH(A249)&lt;=10,Inputs!$F$13-Inputs!$G$13,Inputs!$F$14-Inputs!$G$14),Inputs!$F$14-Inputs!$G$14))*$CK249*Availability)</f>
        <v xml:space="preserve"> </v>
      </c>
      <c r="BN249" s="221" t="str">
        <f t="shared" si="571"/>
        <v xml:space="preserve"> </v>
      </c>
      <c r="BO249" s="221" t="str">
        <f t="shared" si="572"/>
        <v xml:space="preserve"> </v>
      </c>
      <c r="BP249" s="221" t="str">
        <f t="shared" si="573"/>
        <v xml:space="preserve"> </v>
      </c>
      <c r="BQ249" s="221" t="str">
        <f t="shared" si="574"/>
        <v xml:space="preserve"> </v>
      </c>
      <c r="BR249" s="221" t="str">
        <f t="shared" si="575"/>
        <v xml:space="preserve"> </v>
      </c>
      <c r="BS249" s="221" t="str">
        <f t="shared" si="576"/>
        <v xml:space="preserve"> </v>
      </c>
      <c r="BT249" s="221" t="str">
        <f t="shared" si="577"/>
        <v xml:space="preserve"> </v>
      </c>
      <c r="BU249" s="221" t="str">
        <f t="shared" si="578"/>
        <v xml:space="preserve"> </v>
      </c>
      <c r="BV249" s="221" t="str">
        <f t="shared" si="579"/>
        <v xml:space="preserve"> </v>
      </c>
      <c r="BW249" s="221" t="str">
        <f t="shared" si="580"/>
        <v xml:space="preserve"> </v>
      </c>
      <c r="BX249" s="421" t="str">
        <f t="shared" si="581"/>
        <v xml:space="preserve"> </v>
      </c>
      <c r="BY249" s="417" t="str">
        <f t="shared" si="582"/>
        <v xml:space="preserve"> </v>
      </c>
      <c r="BZ249" s="417" t="str">
        <f t="shared" si="583"/>
        <v xml:space="preserve"> </v>
      </c>
      <c r="CA249" s="422" t="str">
        <f t="shared" si="584"/>
        <v xml:space="preserve"> </v>
      </c>
      <c r="CB249" s="347" t="str">
        <f t="shared" si="521"/>
        <v xml:space="preserve"> </v>
      </c>
      <c r="CC249" s="347" t="str">
        <f t="shared" si="585"/>
        <v xml:space="preserve"> </v>
      </c>
      <c r="CD249" s="348" t="str">
        <f t="shared" si="522"/>
        <v xml:space="preserve"> </v>
      </c>
      <c r="CE249" s="347" t="str">
        <f t="shared" si="523"/>
        <v xml:space="preserve"> </v>
      </c>
      <c r="CF249" s="347" t="str">
        <f t="shared" si="524"/>
        <v xml:space="preserve"> </v>
      </c>
      <c r="CG249" s="348" t="str">
        <f t="shared" si="525"/>
        <v xml:space="preserve"> </v>
      </c>
      <c r="CH249" s="347" t="str">
        <f t="shared" si="586"/>
        <v xml:space="preserve"> </v>
      </c>
      <c r="CI249" s="349" t="str">
        <f>IF($A249="N/A"," ",F249+G249+(D249*('Pricing Inputs'!T282)))</f>
        <v xml:space="preserve"> </v>
      </c>
      <c r="CJ249" s="347" t="str">
        <f>IF($A249="N/A"," ",IF(PV=1,0,'Pricing Inputs'!U282))</f>
        <v xml:space="preserve"> </v>
      </c>
      <c r="CK249" s="350" t="str">
        <f t="shared" si="526"/>
        <v xml:space="preserve"> </v>
      </c>
      <c r="CL249" s="365" t="str">
        <f t="shared" si="527"/>
        <v xml:space="preserve"> </v>
      </c>
      <c r="CM249" s="380" t="str">
        <f t="shared" si="587"/>
        <v xml:space="preserve"> </v>
      </c>
      <c r="CN249" s="378" t="str">
        <f t="shared" si="528"/>
        <v xml:space="preserve"> </v>
      </c>
      <c r="CO249" s="378" t="str">
        <f t="shared" si="529"/>
        <v xml:space="preserve"> </v>
      </c>
      <c r="CP249" s="378" t="str">
        <f t="shared" si="530"/>
        <v xml:space="preserve"> </v>
      </c>
      <c r="CQ249" s="378" t="str">
        <f t="shared" si="531"/>
        <v xml:space="preserve"> </v>
      </c>
      <c r="CR249" s="378" t="str">
        <f t="shared" si="532"/>
        <v xml:space="preserve"> </v>
      </c>
      <c r="CS249" s="378" t="str">
        <f t="shared" si="533"/>
        <v xml:space="preserve"> </v>
      </c>
      <c r="CT249" s="378" t="str">
        <f t="shared" si="534"/>
        <v xml:space="preserve"> </v>
      </c>
      <c r="CU249" s="378" t="str">
        <f t="shared" si="535"/>
        <v xml:space="preserve"> </v>
      </c>
      <c r="CV249" s="378" t="str">
        <f t="shared" si="536"/>
        <v xml:space="preserve"> </v>
      </c>
      <c r="CW249" s="254" t="str">
        <f t="shared" si="537"/>
        <v xml:space="preserve"> </v>
      </c>
      <c r="CX249" s="254" t="str">
        <f t="shared" si="538"/>
        <v xml:space="preserve"> </v>
      </c>
      <c r="CY249" s="254" t="str">
        <f t="shared" si="539"/>
        <v xml:space="preserve"> </v>
      </c>
      <c r="CZ249" s="254" t="str">
        <f t="shared" si="540"/>
        <v xml:space="preserve"> </v>
      </c>
      <c r="DA249" s="254" t="str">
        <f t="shared" si="541"/>
        <v xml:space="preserve"> </v>
      </c>
      <c r="DB249" s="254" t="str">
        <f t="shared" si="542"/>
        <v xml:space="preserve"> </v>
      </c>
      <c r="DC249" s="254" t="str">
        <f t="shared" si="543"/>
        <v xml:space="preserve"> </v>
      </c>
      <c r="DD249" s="254" t="str">
        <f t="shared" si="544"/>
        <v xml:space="preserve"> </v>
      </c>
      <c r="DE249" s="254" t="str">
        <f t="shared" si="545"/>
        <v xml:space="preserve"> </v>
      </c>
      <c r="DF249" s="374" t="str">
        <f>IF($A249="N/A"," ",IF(CC=2,(IF(MONTH(A249)&gt;=4,IF(MONTH(A249)&lt;=10,Inputs!$G$13,Inputs!$G$14),Inputs!$G$14))*$CK249,0))</f>
        <v xml:space="preserve"> </v>
      </c>
      <c r="DG249" s="373" t="str">
        <f t="shared" si="546"/>
        <v xml:space="preserve"> </v>
      </c>
      <c r="DH249" s="373" t="str">
        <f t="shared" si="547"/>
        <v xml:space="preserve"> </v>
      </c>
      <c r="DI249" s="373" t="str">
        <f t="shared" si="548"/>
        <v xml:space="preserve"> </v>
      </c>
      <c r="DJ249" s="373" t="str">
        <f t="shared" si="549"/>
        <v xml:space="preserve"> </v>
      </c>
      <c r="DK249" s="373" t="str">
        <f t="shared" si="550"/>
        <v xml:space="preserve"> </v>
      </c>
      <c r="DL249" s="373" t="str">
        <f t="shared" si="551"/>
        <v xml:space="preserve"> </v>
      </c>
      <c r="DM249" s="373" t="str">
        <f t="shared" si="552"/>
        <v xml:space="preserve"> </v>
      </c>
      <c r="DN249" s="373" t="str">
        <f t="shared" si="553"/>
        <v xml:space="preserve"> </v>
      </c>
      <c r="DO249" s="373" t="str">
        <f t="shared" si="554"/>
        <v xml:space="preserve"> </v>
      </c>
      <c r="DP249" s="375" t="str">
        <f t="shared" si="555"/>
        <v xml:space="preserve"> </v>
      </c>
      <c r="DQ249" t="str">
        <f t="shared" si="588"/>
        <v xml:space="preserve"> </v>
      </c>
      <c r="HD249" t="str">
        <f t="shared" si="589"/>
        <v xml:space="preserve"> </v>
      </c>
      <c r="HE249" t="str">
        <f t="shared" si="590"/>
        <v xml:space="preserve"> </v>
      </c>
      <c r="HF249" t="str">
        <f t="shared" si="591"/>
        <v xml:space="preserve"> </v>
      </c>
    </row>
    <row r="250" spans="1:214">
      <c r="A250" s="415" t="str">
        <f>IF(A249="N/A","N/A",IF(EDATE(A249,1)&gt;Inputs!$K$3,"N/A",EDATE(A249,1)))</f>
        <v>N/A</v>
      </c>
      <c r="B250" s="410" t="str">
        <f t="shared" si="556"/>
        <v xml:space="preserve"> </v>
      </c>
      <c r="C250" s="411" t="str">
        <f t="shared" si="557"/>
        <v xml:space="preserve"> </v>
      </c>
      <c r="D250" s="412" t="str">
        <f t="shared" si="558"/>
        <v xml:space="preserve"> </v>
      </c>
      <c r="E250" s="413" t="str">
        <f>IF($A250="N/A"," ",(C250-'Pricing Inputs'!T283)*D250)</f>
        <v xml:space="preserve"> </v>
      </c>
      <c r="F250" s="414" t="str">
        <f t="shared" si="607"/>
        <v xml:space="preserve"> </v>
      </c>
      <c r="G250" s="414" t="str">
        <f t="shared" si="559"/>
        <v xml:space="preserve"> </v>
      </c>
      <c r="H250" s="416" t="str">
        <f t="shared" si="560"/>
        <v xml:space="preserve"> </v>
      </c>
      <c r="I250" s="213" t="str">
        <f t="shared" si="501"/>
        <v xml:space="preserve"> </v>
      </c>
      <c r="J250" s="213" t="str">
        <f t="shared" si="502"/>
        <v xml:space="preserve"> </v>
      </c>
      <c r="K250" s="213" t="str">
        <f t="shared" si="503"/>
        <v xml:space="preserve"> </v>
      </c>
      <c r="L250" s="213" t="str">
        <f t="shared" si="504"/>
        <v xml:space="preserve"> </v>
      </c>
      <c r="M250" s="213" t="str">
        <f t="shared" si="505"/>
        <v xml:space="preserve"> </v>
      </c>
      <c r="N250" s="213" t="str">
        <f t="shared" si="506"/>
        <v xml:space="preserve"> </v>
      </c>
      <c r="O250" s="213" t="str">
        <f t="shared" si="507"/>
        <v xml:space="preserve"> </v>
      </c>
      <c r="P250" s="213" t="str">
        <f t="shared" si="508"/>
        <v xml:space="preserve"> </v>
      </c>
      <c r="Q250" s="213" t="str">
        <f t="shared" si="509"/>
        <v xml:space="preserve"> </v>
      </c>
      <c r="R250" s="405" t="str">
        <f>IF($A250="N/A"," ",IF(Pricetype=2,MAX(I250-$H250,0),IF(Pricetype=1,(_xll.xSPRDOPT(I250,$E250,$CI250,0,($CD250+IF(Smile=TRUE,VLOOKUP(MAX(-5,$H250-I250),Volsmile,2),0)),$CG250,$CH250,($A250-DateToday)+15,1,0)),I250-$H250)))</f>
        <v xml:space="preserve"> </v>
      </c>
      <c r="S250" s="405" t="str">
        <f>IF($A250="N/A"," ",IF(Pricetype=2,MAX(J250-$H250,0),IF(Pricetype=1,(_xll.xSPRDOPT(J250,$E250,$CI250,0,($CD250+IF(Smile=TRUE,VLOOKUP(MAX(-5,$H250-J250),Volsmile,2),0)),$CG250,$CH250,($A250-DateToday)+15,1,0)),J250-$H250)))</f>
        <v xml:space="preserve"> </v>
      </c>
      <c r="T250" s="406" t="str">
        <f t="shared" si="510"/>
        <v xml:space="preserve"> </v>
      </c>
      <c r="U250" s="405" t="str">
        <f>IF($A250="N/A"," ",IF(Pricetype=2,MAX(L250-$H250,0),IF(L250&lt;&gt;0,IF(Pricetype=1,(_xll.xSPRDOPT(L250,$E250,$CI250,0,($CD250+IF(Smile=TRUE,VLOOKUP(MAX(-5,$H250-L250),Volsmile,2),0)),$CG250,$CH250,($A250-DateToday)+15,1,0)),L250-$H250),0)))</f>
        <v xml:space="preserve"> </v>
      </c>
      <c r="V250" s="405" t="str">
        <f>IF($A250="N/A"," ",IF(Pricetype=2,MAX(M250-$H250,0),IF(M250&lt;&gt;0,IF(Pricetype=1,(_xll.xSPRDOPT(M250,$E250,$CI250,0,($CD250+IF(Smile=TRUE,VLOOKUP(MAX(-5,$H250-M250),Volsmile,2),0)),$CG250,$CH250,($A250-DateToday)+15,1,0)),M250-$H250),0)))</f>
        <v xml:space="preserve"> </v>
      </c>
      <c r="W250" s="406" t="str">
        <f t="shared" si="511"/>
        <v xml:space="preserve"> </v>
      </c>
      <c r="X250" s="405" t="str">
        <f>IF($A250="N/A"," ",IF(Pricetype=2,MAX(O250-$H250,0),IF(O250&lt;&gt;0,IF(Pricetype=1,(_xll.xSPRDOPT(O250,$E250,$CI250,0,($CD250+IF(Smile=TRUE,VLOOKUP(MAX(-5,$H250-O250),Volsmile,2),0)),$CG250,$CH250,($A250-DateToday)+15,1,0)),O250-$H250),0)))</f>
        <v xml:space="preserve"> </v>
      </c>
      <c r="Y250" s="405" t="str">
        <f>IF($A250="N/A"," ",IF(Pricetype=2,MAX(P250-$H250,0),IF(P250&lt;&gt;0,IF(Pricetype=1,(_xll.xSPRDOPT(P250,$E250,$CI250,0,($CD250+IF(Smile=TRUE,VLOOKUP(MAX(-5,$H250-P250),Volsmile,2),0)),$CG250,$CH250,($A250-DateToday)+15,1,0)),P250-$H250),0)))</f>
        <v xml:space="preserve"> </v>
      </c>
      <c r="Z250" s="406" t="str">
        <f t="shared" si="512"/>
        <v xml:space="preserve"> </v>
      </c>
      <c r="AA250" s="254" t="str">
        <f>IF($A250="N/A"," ",IF(VLOOKUP(MONTH(A250),ManualTable,2)=1,(IF(0&lt;&gt;R250,IF(Pricetype=1,(_xll.xSPRDOPT(I250,$E250,$CI250,0,($CD250+IF(Smile=TRUE,VLOOKUP(MAX(-5,$H250-I250),Volsmile,2),0)),$CG250,$CH250,($A250-DateToday)+15,1,1))*(8*$HD250),8*$HD250),0)),0))</f>
        <v xml:space="preserve"> </v>
      </c>
      <c r="AB250" s="254" t="str">
        <f>IF($A250="N/A"," ",IF(VLOOKUP(MONTH(A250),ManualTable,3)=1,(IF(S250&lt;&gt;0,IF(Pricetype=1,(_xll.xSPRDOPT(J250,$E250,$CI250,0,($CD250+IF(Smile=TRUE,VLOOKUP(MAX(-5,$H250-J250),Volsmile,2),0)),$CG250,$CH250,($A250-DateToday)+15,1,1))*(8*$HD250),8*$HD250),0)),0))</f>
        <v xml:space="preserve"> </v>
      </c>
      <c r="AC250" s="254" t="str">
        <f t="shared" si="561"/>
        <v xml:space="preserve"> </v>
      </c>
      <c r="AD250" s="254" t="str">
        <f>IF($A250="N/A"," ",IF(VLOOKUP(MONTH(A250),ManualTable,5)=1,(IF(U250&lt;&gt;0,IF(Pricetype=1,(_xll.xSPRDOPT(L250,$E250,$CI250,0,($CD250+IF(Smile=TRUE,VLOOKUP(MAX(-5,$H250-L250),Volsmile,2),0)),$CG250,$CH250,($A250-DateToday)+15,1,1))*(8*$HE250),8*$HE250),0)),0))</f>
        <v xml:space="preserve"> </v>
      </c>
      <c r="AE250" s="254" t="str">
        <f>IF($A250="N/A"," ",IF(VLOOKUP(MONTH(A250),ManualTable,6)=1,(IF(V250&lt;&gt;0,IF(Pricetype=1,(_xll.xSPRDOPT(M250,$E250,$CI250,0,($CD250+IF(Smile=TRUE,VLOOKUP(MAX(-5,$H250-M250),Volsmile,2),0)),$CG250,$CH250,($A250-DateToday)+15,1,1))*(8*$HE250),8*$HE250),0)),0))</f>
        <v xml:space="preserve"> </v>
      </c>
      <c r="AF250" s="254" t="str">
        <f t="shared" si="562"/>
        <v xml:space="preserve"> </v>
      </c>
      <c r="AG250" s="254" t="str">
        <f>IF($A250="N/A"," ",IF(VLOOKUP(MONTH(A250),ManualTable,8)=1,(IF(X250&lt;&gt;0,IF(Pricetype=1,(_xll.xSPRDOPT(O250,$E250,$CI250,0,($CD250+IF(Smile=TRUE,VLOOKUP(MAX(-5,$H250-O250),Volsmile,2),0)),$CG250,$CH250,($A250-DateToday)+15,1,1))*(8*$HF250),8*$HF250),0)),0))</f>
        <v xml:space="preserve"> </v>
      </c>
      <c r="AH250" s="254" t="str">
        <f>IF($A250="N/A"," ",IF(VLOOKUP(MONTH(A250),ManualTable,9)=1,(IF(Y250&lt;&gt;0,IF(Pricetype=1,(_xll.xSPRDOPT(P250,$E250,$CI250,0,($CD250+IF(Smile=TRUE,VLOOKUP(MAX(-5,$H250-P250),Volsmile,2),0)),$CG250,$CH250,($A250-DateToday)+15,1,1))*(8*$HF250),8*$HF250),0)),0))</f>
        <v xml:space="preserve"> </v>
      </c>
      <c r="AI250" s="254" t="str">
        <f t="shared" si="563"/>
        <v xml:space="preserve"> </v>
      </c>
      <c r="AJ250" s="227" t="str">
        <f t="shared" si="653"/>
        <v xml:space="preserve"> </v>
      </c>
      <c r="AK250" s="228" t="str">
        <f t="shared" si="654"/>
        <v xml:space="preserve"> </v>
      </c>
      <c r="AL250" s="228" t="str">
        <f t="shared" si="654"/>
        <v xml:space="preserve"> </v>
      </c>
      <c r="AM250" s="228" t="str">
        <f t="shared" si="655"/>
        <v xml:space="preserve"> </v>
      </c>
      <c r="AN250" s="228" t="str">
        <f t="shared" si="656"/>
        <v xml:space="preserve"> </v>
      </c>
      <c r="AO250" s="228" t="str">
        <f t="shared" si="656"/>
        <v xml:space="preserve"> </v>
      </c>
      <c r="AP250" s="228" t="str">
        <f t="shared" si="657"/>
        <v xml:space="preserve"> </v>
      </c>
      <c r="AQ250" s="228" t="str">
        <f t="shared" si="658"/>
        <v xml:space="preserve"> </v>
      </c>
      <c r="AR250" s="229" t="str">
        <f t="shared" si="659"/>
        <v xml:space="preserve"> </v>
      </c>
      <c r="AS250" s="262" t="str">
        <f t="shared" si="593"/>
        <v xml:space="preserve"> </v>
      </c>
      <c r="AT250" s="263" t="str">
        <f t="shared" si="594"/>
        <v xml:space="preserve"> </v>
      </c>
      <c r="AU250" s="263" t="str">
        <f t="shared" si="594"/>
        <v xml:space="preserve"> </v>
      </c>
      <c r="AV250" s="263" t="str">
        <f t="shared" si="595"/>
        <v xml:space="preserve"> </v>
      </c>
      <c r="AW250" s="263" t="str">
        <f t="shared" si="596"/>
        <v xml:space="preserve"> </v>
      </c>
      <c r="AX250" s="263" t="str">
        <f t="shared" si="596"/>
        <v xml:space="preserve"> </v>
      </c>
      <c r="AY250" s="263" t="str">
        <f t="shared" si="597"/>
        <v xml:space="preserve"> </v>
      </c>
      <c r="AZ250" s="263" t="str">
        <f t="shared" si="598"/>
        <v xml:space="preserve"> </v>
      </c>
      <c r="BA250" s="263" t="str">
        <f t="shared" si="599"/>
        <v xml:space="preserve"> </v>
      </c>
      <c r="BB250" s="229"/>
      <c r="BC250" s="266" t="str">
        <f t="shared" si="646"/>
        <v xml:space="preserve"> </v>
      </c>
      <c r="BD250" s="269" t="str">
        <f t="shared" si="647"/>
        <v xml:space="preserve"> </v>
      </c>
      <c r="BE250" s="269" t="str">
        <f t="shared" si="647"/>
        <v xml:space="preserve"> </v>
      </c>
      <c r="BF250" s="269" t="str">
        <f t="shared" si="648"/>
        <v xml:space="preserve"> </v>
      </c>
      <c r="BG250" s="269" t="str">
        <f t="shared" si="649"/>
        <v xml:space="preserve"> </v>
      </c>
      <c r="BH250" s="269" t="str">
        <f t="shared" si="649"/>
        <v xml:space="preserve"> </v>
      </c>
      <c r="BI250" s="269" t="str">
        <f t="shared" si="650"/>
        <v xml:space="preserve"> </v>
      </c>
      <c r="BJ250" s="269" t="str">
        <f t="shared" si="651"/>
        <v xml:space="preserve"> </v>
      </c>
      <c r="BK250" s="269" t="str">
        <f t="shared" si="652"/>
        <v xml:space="preserve"> </v>
      </c>
      <c r="BL250" s="229"/>
      <c r="BM250" s="220" t="str">
        <f>IF($A250="N/A"," ",(IF(MONTH(A250)&gt;=4,IF(MONTH(A250)&lt;=10,Inputs!$F$13-Inputs!$G$13,Inputs!$F$14-Inputs!$G$14),Inputs!$F$14-Inputs!$G$14))*$CK250*Availability)</f>
        <v xml:space="preserve"> </v>
      </c>
      <c r="BN250" s="221" t="str">
        <f t="shared" si="571"/>
        <v xml:space="preserve"> </v>
      </c>
      <c r="BO250" s="221" t="str">
        <f t="shared" si="572"/>
        <v xml:space="preserve"> </v>
      </c>
      <c r="BP250" s="221" t="str">
        <f t="shared" si="573"/>
        <v xml:space="preserve"> </v>
      </c>
      <c r="BQ250" s="221" t="str">
        <f t="shared" si="574"/>
        <v xml:space="preserve"> </v>
      </c>
      <c r="BR250" s="221" t="str">
        <f t="shared" si="575"/>
        <v xml:space="preserve"> </v>
      </c>
      <c r="BS250" s="221" t="str">
        <f t="shared" si="576"/>
        <v xml:space="preserve"> </v>
      </c>
      <c r="BT250" s="221" t="str">
        <f t="shared" si="577"/>
        <v xml:space="preserve"> </v>
      </c>
      <c r="BU250" s="221" t="str">
        <f t="shared" si="578"/>
        <v xml:space="preserve"> </v>
      </c>
      <c r="BV250" s="221" t="str">
        <f t="shared" si="579"/>
        <v xml:space="preserve"> </v>
      </c>
      <c r="BW250" s="221" t="str">
        <f t="shared" si="580"/>
        <v xml:space="preserve"> </v>
      </c>
      <c r="BX250" s="421" t="str">
        <f t="shared" si="581"/>
        <v xml:space="preserve"> </v>
      </c>
      <c r="BY250" s="417" t="str">
        <f t="shared" si="582"/>
        <v xml:space="preserve"> </v>
      </c>
      <c r="BZ250" s="417" t="str">
        <f t="shared" si="583"/>
        <v xml:space="preserve"> </v>
      </c>
      <c r="CA250" s="422" t="str">
        <f t="shared" si="584"/>
        <v xml:space="preserve"> </v>
      </c>
      <c r="CB250" s="347" t="str">
        <f t="shared" si="521"/>
        <v xml:space="preserve"> </v>
      </c>
      <c r="CC250" s="347" t="str">
        <f t="shared" si="585"/>
        <v xml:space="preserve"> </v>
      </c>
      <c r="CD250" s="348" t="str">
        <f t="shared" si="522"/>
        <v xml:space="preserve"> </v>
      </c>
      <c r="CE250" s="347" t="str">
        <f t="shared" si="523"/>
        <v xml:space="preserve"> </v>
      </c>
      <c r="CF250" s="347" t="str">
        <f t="shared" si="524"/>
        <v xml:space="preserve"> </v>
      </c>
      <c r="CG250" s="348" t="str">
        <f t="shared" si="525"/>
        <v xml:space="preserve"> </v>
      </c>
      <c r="CH250" s="347" t="str">
        <f t="shared" si="586"/>
        <v xml:space="preserve"> </v>
      </c>
      <c r="CI250" s="349" t="str">
        <f>IF($A250="N/A"," ",F250+G250+(D250*('Pricing Inputs'!T283)))</f>
        <v xml:space="preserve"> </v>
      </c>
      <c r="CJ250" s="347" t="str">
        <f>IF($A250="N/A"," ",IF(PV=1,0,'Pricing Inputs'!U283))</f>
        <v xml:space="preserve"> </v>
      </c>
      <c r="CK250" s="350" t="str">
        <f t="shared" si="526"/>
        <v xml:space="preserve"> </v>
      </c>
      <c r="CL250" s="365" t="str">
        <f t="shared" si="527"/>
        <v xml:space="preserve"> </v>
      </c>
      <c r="CM250" s="380" t="str">
        <f t="shared" si="587"/>
        <v xml:space="preserve"> </v>
      </c>
      <c r="CN250" s="378" t="str">
        <f t="shared" si="528"/>
        <v xml:space="preserve"> </v>
      </c>
      <c r="CO250" s="378" t="str">
        <f t="shared" si="529"/>
        <v xml:space="preserve"> </v>
      </c>
      <c r="CP250" s="378" t="str">
        <f t="shared" si="530"/>
        <v xml:space="preserve"> </v>
      </c>
      <c r="CQ250" s="378" t="str">
        <f t="shared" si="531"/>
        <v xml:space="preserve"> </v>
      </c>
      <c r="CR250" s="378" t="str">
        <f t="shared" si="532"/>
        <v xml:space="preserve"> </v>
      </c>
      <c r="CS250" s="378" t="str">
        <f t="shared" si="533"/>
        <v xml:space="preserve"> </v>
      </c>
      <c r="CT250" s="378" t="str">
        <f t="shared" si="534"/>
        <v xml:space="preserve"> </v>
      </c>
      <c r="CU250" s="378" t="str">
        <f t="shared" si="535"/>
        <v xml:space="preserve"> </v>
      </c>
      <c r="CV250" s="378" t="str">
        <f t="shared" si="536"/>
        <v xml:space="preserve"> </v>
      </c>
      <c r="CW250" s="254" t="str">
        <f t="shared" si="537"/>
        <v xml:space="preserve"> </v>
      </c>
      <c r="CX250" s="254" t="str">
        <f t="shared" si="538"/>
        <v xml:space="preserve"> </v>
      </c>
      <c r="CY250" s="254" t="str">
        <f t="shared" si="539"/>
        <v xml:space="preserve"> </v>
      </c>
      <c r="CZ250" s="254" t="str">
        <f t="shared" si="540"/>
        <v xml:space="preserve"> </v>
      </c>
      <c r="DA250" s="254" t="str">
        <f t="shared" si="541"/>
        <v xml:space="preserve"> </v>
      </c>
      <c r="DB250" s="254" t="str">
        <f t="shared" si="542"/>
        <v xml:space="preserve"> </v>
      </c>
      <c r="DC250" s="254" t="str">
        <f t="shared" si="543"/>
        <v xml:space="preserve"> </v>
      </c>
      <c r="DD250" s="254" t="str">
        <f t="shared" si="544"/>
        <v xml:space="preserve"> </v>
      </c>
      <c r="DE250" s="254" t="str">
        <f t="shared" si="545"/>
        <v xml:space="preserve"> </v>
      </c>
      <c r="DF250" s="374" t="str">
        <f>IF($A250="N/A"," ",IF(CC=2,(IF(MONTH(A250)&gt;=4,IF(MONTH(A250)&lt;=10,Inputs!$G$13,Inputs!$G$14),Inputs!$G$14))*$CK250,0))</f>
        <v xml:space="preserve"> </v>
      </c>
      <c r="DG250" s="373" t="str">
        <f t="shared" si="546"/>
        <v xml:space="preserve"> </v>
      </c>
      <c r="DH250" s="373" t="str">
        <f t="shared" si="547"/>
        <v xml:space="preserve"> </v>
      </c>
      <c r="DI250" s="373" t="str">
        <f t="shared" si="548"/>
        <v xml:space="preserve"> </v>
      </c>
      <c r="DJ250" s="373" t="str">
        <f t="shared" si="549"/>
        <v xml:space="preserve"> </v>
      </c>
      <c r="DK250" s="373" t="str">
        <f t="shared" si="550"/>
        <v xml:space="preserve"> </v>
      </c>
      <c r="DL250" s="373" t="str">
        <f t="shared" si="551"/>
        <v xml:space="preserve"> </v>
      </c>
      <c r="DM250" s="373" t="str">
        <f t="shared" si="552"/>
        <v xml:space="preserve"> </v>
      </c>
      <c r="DN250" s="373" t="str">
        <f t="shared" si="553"/>
        <v xml:space="preserve"> </v>
      </c>
      <c r="DO250" s="373" t="str">
        <f t="shared" si="554"/>
        <v xml:space="preserve"> </v>
      </c>
      <c r="DP250" s="375" t="str">
        <f t="shared" si="555"/>
        <v xml:space="preserve"> </v>
      </c>
      <c r="DQ250" t="str">
        <f t="shared" si="588"/>
        <v xml:space="preserve"> </v>
      </c>
      <c r="HD250" t="str">
        <f t="shared" si="589"/>
        <v xml:space="preserve"> </v>
      </c>
      <c r="HE250" t="str">
        <f t="shared" si="590"/>
        <v xml:space="preserve"> </v>
      </c>
      <c r="HF250" t="str">
        <f t="shared" si="591"/>
        <v xml:space="preserve"> </v>
      </c>
    </row>
    <row r="251" spans="1:214">
      <c r="A251" s="415" t="str">
        <f>IF(A250="N/A","N/A",IF(EDATE(A250,1)&gt;Inputs!$K$3,"N/A",EDATE(A250,1)))</f>
        <v>N/A</v>
      </c>
      <c r="B251" s="410" t="str">
        <f t="shared" si="556"/>
        <v xml:space="preserve"> </v>
      </c>
      <c r="C251" s="411" t="str">
        <f t="shared" si="557"/>
        <v xml:space="preserve"> </v>
      </c>
      <c r="D251" s="412" t="str">
        <f t="shared" si="558"/>
        <v xml:space="preserve"> </v>
      </c>
      <c r="E251" s="413" t="str">
        <f>IF($A251="N/A"," ",(C251-'Pricing Inputs'!T284)*D251)</f>
        <v xml:space="preserve"> </v>
      </c>
      <c r="F251" s="414" t="str">
        <f t="shared" si="607"/>
        <v xml:space="preserve"> </v>
      </c>
      <c r="G251" s="414" t="str">
        <f t="shared" si="559"/>
        <v xml:space="preserve"> </v>
      </c>
      <c r="H251" s="416" t="str">
        <f t="shared" si="560"/>
        <v xml:space="preserve"> </v>
      </c>
      <c r="I251" s="213" t="str">
        <f t="shared" si="501"/>
        <v xml:space="preserve"> </v>
      </c>
      <c r="J251" s="213" t="str">
        <f t="shared" si="502"/>
        <v xml:space="preserve"> </v>
      </c>
      <c r="K251" s="213" t="str">
        <f t="shared" si="503"/>
        <v xml:space="preserve"> </v>
      </c>
      <c r="L251" s="213" t="str">
        <f t="shared" si="504"/>
        <v xml:space="preserve"> </v>
      </c>
      <c r="M251" s="213" t="str">
        <f t="shared" si="505"/>
        <v xml:space="preserve"> </v>
      </c>
      <c r="N251" s="213" t="str">
        <f t="shared" si="506"/>
        <v xml:space="preserve"> </v>
      </c>
      <c r="O251" s="213" t="str">
        <f t="shared" si="507"/>
        <v xml:space="preserve"> </v>
      </c>
      <c r="P251" s="213" t="str">
        <f t="shared" si="508"/>
        <v xml:space="preserve"> </v>
      </c>
      <c r="Q251" s="213" t="str">
        <f t="shared" si="509"/>
        <v xml:space="preserve"> </v>
      </c>
      <c r="R251" s="405" t="str">
        <f>IF($A251="N/A"," ",IF(Pricetype=2,MAX(I251-$H251,0),IF(Pricetype=1,(_xll.xSPRDOPT(I251,$E251,$CI251,0,($CD251+IF(Smile=TRUE,VLOOKUP(MAX(-5,$H251-I251),Volsmile,2),0)),$CG251,$CH251,($A251-DateToday)+15,1,0)),I251-$H251)))</f>
        <v xml:space="preserve"> </v>
      </c>
      <c r="S251" s="405" t="str">
        <f>IF($A251="N/A"," ",IF(Pricetype=2,MAX(J251-$H251,0),IF(Pricetype=1,(_xll.xSPRDOPT(J251,$E251,$CI251,0,($CD251+IF(Smile=TRUE,VLOOKUP(MAX(-5,$H251-J251),Volsmile,2),0)),$CG251,$CH251,($A251-DateToday)+15,1,0)),J251-$H251)))</f>
        <v xml:space="preserve"> </v>
      </c>
      <c r="T251" s="406" t="str">
        <f t="shared" si="510"/>
        <v xml:space="preserve"> </v>
      </c>
      <c r="U251" s="405" t="str">
        <f>IF($A251="N/A"," ",IF(Pricetype=2,MAX(L251-$H251,0),IF(L251&lt;&gt;0,IF(Pricetype=1,(_xll.xSPRDOPT(L251,$E251,$CI251,0,($CD251+IF(Smile=TRUE,VLOOKUP(MAX(-5,$H251-L251),Volsmile,2),0)),$CG251,$CH251,($A251-DateToday)+15,1,0)),L251-$H251),0)))</f>
        <v xml:space="preserve"> </v>
      </c>
      <c r="V251" s="405" t="str">
        <f>IF($A251="N/A"," ",IF(Pricetype=2,MAX(M251-$H251,0),IF(M251&lt;&gt;0,IF(Pricetype=1,(_xll.xSPRDOPT(M251,$E251,$CI251,0,($CD251+IF(Smile=TRUE,VLOOKUP(MAX(-5,$H251-M251),Volsmile,2),0)),$CG251,$CH251,($A251-DateToday)+15,1,0)),M251-$H251),0)))</f>
        <v xml:space="preserve"> </v>
      </c>
      <c r="W251" s="406" t="str">
        <f t="shared" si="511"/>
        <v xml:space="preserve"> </v>
      </c>
      <c r="X251" s="405" t="str">
        <f>IF($A251="N/A"," ",IF(Pricetype=2,MAX(O251-$H251,0),IF(O251&lt;&gt;0,IF(Pricetype=1,(_xll.xSPRDOPT(O251,$E251,$CI251,0,($CD251+IF(Smile=TRUE,VLOOKUP(MAX(-5,$H251-O251),Volsmile,2),0)),$CG251,$CH251,($A251-DateToday)+15,1,0)),O251-$H251),0)))</f>
        <v xml:space="preserve"> </v>
      </c>
      <c r="Y251" s="405" t="str">
        <f>IF($A251="N/A"," ",IF(Pricetype=2,MAX(P251-$H251,0),IF(P251&lt;&gt;0,IF(Pricetype=1,(_xll.xSPRDOPT(P251,$E251,$CI251,0,($CD251+IF(Smile=TRUE,VLOOKUP(MAX(-5,$H251-P251),Volsmile,2),0)),$CG251,$CH251,($A251-DateToday)+15,1,0)),P251-$H251),0)))</f>
        <v xml:space="preserve"> </v>
      </c>
      <c r="Z251" s="406" t="str">
        <f t="shared" si="512"/>
        <v xml:space="preserve"> </v>
      </c>
      <c r="AA251" s="254" t="str">
        <f>IF($A251="N/A"," ",IF(VLOOKUP(MONTH(A251),ManualTable,2)=1,(IF(0&lt;&gt;R251,IF(Pricetype=1,(_xll.xSPRDOPT(I251,$E251,$CI251,0,($CD251+IF(Smile=TRUE,VLOOKUP(MAX(-5,$H251-I251),Volsmile,2),0)),$CG251,$CH251,($A251-DateToday)+15,1,1))*(8*$HD251),8*$HD251),0)),0))</f>
        <v xml:space="preserve"> </v>
      </c>
      <c r="AB251" s="254" t="str">
        <f>IF($A251="N/A"," ",IF(VLOOKUP(MONTH(A251),ManualTable,3)=1,(IF(S251&lt;&gt;0,IF(Pricetype=1,(_xll.xSPRDOPT(J251,$E251,$CI251,0,($CD251+IF(Smile=TRUE,VLOOKUP(MAX(-5,$H251-J251),Volsmile,2),0)),$CG251,$CH251,($A251-DateToday)+15,1,1))*(8*$HD251),8*$HD251),0)),0))</f>
        <v xml:space="preserve"> </v>
      </c>
      <c r="AC251" s="254" t="str">
        <f t="shared" si="561"/>
        <v xml:space="preserve"> </v>
      </c>
      <c r="AD251" s="254" t="str">
        <f>IF($A251="N/A"," ",IF(VLOOKUP(MONTH(A251),ManualTable,5)=1,(IF(U251&lt;&gt;0,IF(Pricetype=1,(_xll.xSPRDOPT(L251,$E251,$CI251,0,($CD251+IF(Smile=TRUE,VLOOKUP(MAX(-5,$H251-L251),Volsmile,2),0)),$CG251,$CH251,($A251-DateToday)+15,1,1))*(8*$HE251),8*$HE251),0)),0))</f>
        <v xml:space="preserve"> </v>
      </c>
      <c r="AE251" s="254" t="str">
        <f>IF($A251="N/A"," ",IF(VLOOKUP(MONTH(A251),ManualTable,6)=1,(IF(V251&lt;&gt;0,IF(Pricetype=1,(_xll.xSPRDOPT(M251,$E251,$CI251,0,($CD251+IF(Smile=TRUE,VLOOKUP(MAX(-5,$H251-M251),Volsmile,2),0)),$CG251,$CH251,($A251-DateToday)+15,1,1))*(8*$HE251),8*$HE251),0)),0))</f>
        <v xml:space="preserve"> </v>
      </c>
      <c r="AF251" s="254" t="str">
        <f t="shared" si="562"/>
        <v xml:space="preserve"> </v>
      </c>
      <c r="AG251" s="254" t="str">
        <f>IF($A251="N/A"," ",IF(VLOOKUP(MONTH(A251),ManualTable,8)=1,(IF(X251&lt;&gt;0,IF(Pricetype=1,(_xll.xSPRDOPT(O251,$E251,$CI251,0,($CD251+IF(Smile=TRUE,VLOOKUP(MAX(-5,$H251-O251),Volsmile,2),0)),$CG251,$CH251,($A251-DateToday)+15,1,1))*(8*$HF251),8*$HF251),0)),0))</f>
        <v xml:space="preserve"> </v>
      </c>
      <c r="AH251" s="254" t="str">
        <f>IF($A251="N/A"," ",IF(VLOOKUP(MONTH(A251),ManualTable,9)=1,(IF(Y251&lt;&gt;0,IF(Pricetype=1,(_xll.xSPRDOPT(P251,$E251,$CI251,0,($CD251+IF(Smile=TRUE,VLOOKUP(MAX(-5,$H251-P251),Volsmile,2),0)),$CG251,$CH251,($A251-DateToday)+15,1,1))*(8*$HF251),8*$HF251),0)),0))</f>
        <v xml:space="preserve"> </v>
      </c>
      <c r="AI251" s="254" t="str">
        <f t="shared" si="563"/>
        <v xml:space="preserve"> </v>
      </c>
      <c r="AJ251" s="227" t="str">
        <f t="shared" si="653"/>
        <v xml:space="preserve"> </v>
      </c>
      <c r="AK251" s="228" t="str">
        <f t="shared" si="654"/>
        <v xml:space="preserve"> </v>
      </c>
      <c r="AL251" s="228" t="str">
        <f t="shared" si="654"/>
        <v xml:space="preserve"> </v>
      </c>
      <c r="AM251" s="228" t="str">
        <f t="shared" si="655"/>
        <v xml:space="preserve"> </v>
      </c>
      <c r="AN251" s="228" t="str">
        <f t="shared" si="656"/>
        <v xml:space="preserve"> </v>
      </c>
      <c r="AO251" s="228" t="str">
        <f t="shared" si="656"/>
        <v xml:space="preserve"> </v>
      </c>
      <c r="AP251" s="228" t="str">
        <f t="shared" si="657"/>
        <v xml:space="preserve"> </v>
      </c>
      <c r="AQ251" s="228" t="str">
        <f t="shared" si="658"/>
        <v xml:space="preserve"> </v>
      </c>
      <c r="AR251" s="229" t="str">
        <f t="shared" si="659"/>
        <v xml:space="preserve"> </v>
      </c>
      <c r="AS251" s="262" t="str">
        <f t="shared" si="593"/>
        <v xml:space="preserve"> </v>
      </c>
      <c r="AT251" s="263" t="str">
        <f t="shared" si="594"/>
        <v xml:space="preserve"> </v>
      </c>
      <c r="AU251" s="263" t="str">
        <f t="shared" si="594"/>
        <v xml:space="preserve"> </v>
      </c>
      <c r="AV251" s="263" t="str">
        <f t="shared" si="595"/>
        <v xml:space="preserve"> </v>
      </c>
      <c r="AW251" s="263" t="str">
        <f t="shared" si="596"/>
        <v xml:space="preserve"> </v>
      </c>
      <c r="AX251" s="263" t="str">
        <f t="shared" si="596"/>
        <v xml:space="preserve"> </v>
      </c>
      <c r="AY251" s="263" t="str">
        <f t="shared" si="597"/>
        <v xml:space="preserve"> </v>
      </c>
      <c r="AZ251" s="263" t="str">
        <f t="shared" si="598"/>
        <v xml:space="preserve"> </v>
      </c>
      <c r="BA251" s="263" t="str">
        <f t="shared" si="599"/>
        <v xml:space="preserve"> </v>
      </c>
      <c r="BB251" s="229"/>
      <c r="BC251" s="266" t="str">
        <f t="shared" si="646"/>
        <v xml:space="preserve"> </v>
      </c>
      <c r="BD251" s="269" t="str">
        <f t="shared" si="647"/>
        <v xml:space="preserve"> </v>
      </c>
      <c r="BE251" s="269" t="str">
        <f t="shared" si="647"/>
        <v xml:space="preserve"> </v>
      </c>
      <c r="BF251" s="269" t="str">
        <f t="shared" si="648"/>
        <v xml:space="preserve"> </v>
      </c>
      <c r="BG251" s="269" t="str">
        <f t="shared" si="649"/>
        <v xml:space="preserve"> </v>
      </c>
      <c r="BH251" s="269" t="str">
        <f t="shared" si="649"/>
        <v xml:space="preserve"> </v>
      </c>
      <c r="BI251" s="269" t="str">
        <f t="shared" si="650"/>
        <v xml:space="preserve"> </v>
      </c>
      <c r="BJ251" s="269" t="str">
        <f t="shared" si="651"/>
        <v xml:space="preserve"> </v>
      </c>
      <c r="BK251" s="269" t="str">
        <f t="shared" si="652"/>
        <v xml:space="preserve"> </v>
      </c>
      <c r="BL251" s="229"/>
      <c r="BM251" s="220" t="str">
        <f>IF($A251="N/A"," ",(IF(MONTH(A251)&gt;=4,IF(MONTH(A251)&lt;=10,Inputs!$F$13-Inputs!$G$13,Inputs!$F$14-Inputs!$G$14),Inputs!$F$14-Inputs!$G$14))*$CK251*Availability)</f>
        <v xml:space="preserve"> </v>
      </c>
      <c r="BN251" s="221" t="str">
        <f t="shared" si="571"/>
        <v xml:space="preserve"> </v>
      </c>
      <c r="BO251" s="221" t="str">
        <f t="shared" si="572"/>
        <v xml:space="preserve"> </v>
      </c>
      <c r="BP251" s="221" t="str">
        <f t="shared" si="573"/>
        <v xml:space="preserve"> </v>
      </c>
      <c r="BQ251" s="221" t="str">
        <f t="shared" si="574"/>
        <v xml:space="preserve"> </v>
      </c>
      <c r="BR251" s="221" t="str">
        <f t="shared" si="575"/>
        <v xml:space="preserve"> </v>
      </c>
      <c r="BS251" s="221" t="str">
        <f t="shared" si="576"/>
        <v xml:space="preserve"> </v>
      </c>
      <c r="BT251" s="221" t="str">
        <f t="shared" si="577"/>
        <v xml:space="preserve"> </v>
      </c>
      <c r="BU251" s="221" t="str">
        <f t="shared" si="578"/>
        <v xml:space="preserve"> </v>
      </c>
      <c r="BV251" s="221" t="str">
        <f t="shared" si="579"/>
        <v xml:space="preserve"> </v>
      </c>
      <c r="BW251" s="221" t="str">
        <f t="shared" si="580"/>
        <v xml:space="preserve"> </v>
      </c>
      <c r="BX251" s="421" t="str">
        <f t="shared" si="581"/>
        <v xml:space="preserve"> </v>
      </c>
      <c r="BY251" s="417" t="str">
        <f t="shared" si="582"/>
        <v xml:space="preserve"> </v>
      </c>
      <c r="BZ251" s="417" t="str">
        <f t="shared" si="583"/>
        <v xml:space="preserve"> </v>
      </c>
      <c r="CA251" s="422" t="str">
        <f t="shared" si="584"/>
        <v xml:space="preserve"> </v>
      </c>
      <c r="CB251" s="347" t="str">
        <f t="shared" si="521"/>
        <v xml:space="preserve"> </v>
      </c>
      <c r="CC251" s="347" t="str">
        <f t="shared" si="585"/>
        <v xml:space="preserve"> </v>
      </c>
      <c r="CD251" s="348" t="str">
        <f t="shared" si="522"/>
        <v xml:space="preserve"> </v>
      </c>
      <c r="CE251" s="347" t="str">
        <f t="shared" si="523"/>
        <v xml:space="preserve"> </v>
      </c>
      <c r="CF251" s="347" t="str">
        <f t="shared" si="524"/>
        <v xml:space="preserve"> </v>
      </c>
      <c r="CG251" s="348" t="str">
        <f t="shared" si="525"/>
        <v xml:space="preserve"> </v>
      </c>
      <c r="CH251" s="347" t="str">
        <f t="shared" si="586"/>
        <v xml:space="preserve"> </v>
      </c>
      <c r="CI251" s="349" t="str">
        <f>IF($A251="N/A"," ",F251+G251+(D251*('Pricing Inputs'!T284)))</f>
        <v xml:space="preserve"> </v>
      </c>
      <c r="CJ251" s="347" t="str">
        <f>IF($A251="N/A"," ",IF(PV=1,0,'Pricing Inputs'!U284))</f>
        <v xml:space="preserve"> </v>
      </c>
      <c r="CK251" s="350" t="str">
        <f t="shared" si="526"/>
        <v xml:space="preserve"> </v>
      </c>
      <c r="CL251" s="365" t="str">
        <f t="shared" si="527"/>
        <v xml:space="preserve"> </v>
      </c>
      <c r="CM251" s="380" t="str">
        <f t="shared" si="587"/>
        <v xml:space="preserve"> </v>
      </c>
      <c r="CN251" s="378" t="str">
        <f t="shared" si="528"/>
        <v xml:space="preserve"> </v>
      </c>
      <c r="CO251" s="378" t="str">
        <f t="shared" si="529"/>
        <v xml:space="preserve"> </v>
      </c>
      <c r="CP251" s="378" t="str">
        <f t="shared" si="530"/>
        <v xml:space="preserve"> </v>
      </c>
      <c r="CQ251" s="378" t="str">
        <f t="shared" si="531"/>
        <v xml:space="preserve"> </v>
      </c>
      <c r="CR251" s="378" t="str">
        <f t="shared" si="532"/>
        <v xml:space="preserve"> </v>
      </c>
      <c r="CS251" s="378" t="str">
        <f t="shared" si="533"/>
        <v xml:space="preserve"> </v>
      </c>
      <c r="CT251" s="378" t="str">
        <f t="shared" si="534"/>
        <v xml:space="preserve"> </v>
      </c>
      <c r="CU251" s="378" t="str">
        <f t="shared" si="535"/>
        <v xml:space="preserve"> </v>
      </c>
      <c r="CV251" s="378" t="str">
        <f t="shared" si="536"/>
        <v xml:space="preserve"> </v>
      </c>
      <c r="CW251" s="254" t="str">
        <f t="shared" si="537"/>
        <v xml:space="preserve"> </v>
      </c>
      <c r="CX251" s="254" t="str">
        <f t="shared" si="538"/>
        <v xml:space="preserve"> </v>
      </c>
      <c r="CY251" s="254" t="str">
        <f t="shared" si="539"/>
        <v xml:space="preserve"> </v>
      </c>
      <c r="CZ251" s="254" t="str">
        <f t="shared" si="540"/>
        <v xml:space="preserve"> </v>
      </c>
      <c r="DA251" s="254" t="str">
        <f t="shared" si="541"/>
        <v xml:space="preserve"> </v>
      </c>
      <c r="DB251" s="254" t="str">
        <f t="shared" si="542"/>
        <v xml:space="preserve"> </v>
      </c>
      <c r="DC251" s="254" t="str">
        <f t="shared" si="543"/>
        <v xml:space="preserve"> </v>
      </c>
      <c r="DD251" s="254" t="str">
        <f t="shared" si="544"/>
        <v xml:space="preserve"> </v>
      </c>
      <c r="DE251" s="254" t="str">
        <f t="shared" si="545"/>
        <v xml:space="preserve"> </v>
      </c>
      <c r="DF251" s="374" t="str">
        <f>IF($A251="N/A"," ",IF(CC=2,(IF(MONTH(A251)&gt;=4,IF(MONTH(A251)&lt;=10,Inputs!$G$13,Inputs!$G$14),Inputs!$G$14))*$CK251,0))</f>
        <v xml:space="preserve"> </v>
      </c>
      <c r="DG251" s="373" t="str">
        <f t="shared" si="546"/>
        <v xml:space="preserve"> </v>
      </c>
      <c r="DH251" s="373" t="str">
        <f t="shared" si="547"/>
        <v xml:space="preserve"> </v>
      </c>
      <c r="DI251" s="373" t="str">
        <f t="shared" si="548"/>
        <v xml:space="preserve"> </v>
      </c>
      <c r="DJ251" s="373" t="str">
        <f t="shared" si="549"/>
        <v xml:space="preserve"> </v>
      </c>
      <c r="DK251" s="373" t="str">
        <f t="shared" si="550"/>
        <v xml:space="preserve"> </v>
      </c>
      <c r="DL251" s="373" t="str">
        <f t="shared" si="551"/>
        <v xml:space="preserve"> </v>
      </c>
      <c r="DM251" s="373" t="str">
        <f t="shared" si="552"/>
        <v xml:space="preserve"> </v>
      </c>
      <c r="DN251" s="373" t="str">
        <f t="shared" si="553"/>
        <v xml:space="preserve"> </v>
      </c>
      <c r="DO251" s="373" t="str">
        <f t="shared" si="554"/>
        <v xml:space="preserve"> </v>
      </c>
      <c r="DP251" s="375" t="str">
        <f t="shared" si="555"/>
        <v xml:space="preserve"> </v>
      </c>
      <c r="DQ251" t="str">
        <f t="shared" si="588"/>
        <v xml:space="preserve"> </v>
      </c>
      <c r="HD251" t="str">
        <f t="shared" si="589"/>
        <v xml:space="preserve"> </v>
      </c>
      <c r="HE251" t="str">
        <f t="shared" si="590"/>
        <v xml:space="preserve"> </v>
      </c>
      <c r="HF251" t="str">
        <f t="shared" si="591"/>
        <v xml:space="preserve"> </v>
      </c>
    </row>
    <row r="252" spans="1:214">
      <c r="A252" s="415" t="str">
        <f>IF(A251="N/A","N/A",IF(EDATE(A251,1)&gt;Inputs!$K$3,"N/A",EDATE(A251,1)))</f>
        <v>N/A</v>
      </c>
      <c r="B252" s="410" t="str">
        <f t="shared" si="556"/>
        <v xml:space="preserve"> </v>
      </c>
      <c r="C252" s="411" t="str">
        <f t="shared" si="557"/>
        <v xml:space="preserve"> </v>
      </c>
      <c r="D252" s="412" t="str">
        <f t="shared" si="558"/>
        <v xml:space="preserve"> </v>
      </c>
      <c r="E252" s="413" t="str">
        <f>IF($A252="N/A"," ",(C252-'Pricing Inputs'!T285)*D252)</f>
        <v xml:space="preserve"> </v>
      </c>
      <c r="F252" s="414" t="str">
        <f t="shared" si="607"/>
        <v xml:space="preserve"> </v>
      </c>
      <c r="G252" s="414" t="str">
        <f t="shared" si="559"/>
        <v xml:space="preserve"> </v>
      </c>
      <c r="H252" s="416" t="str">
        <f t="shared" si="560"/>
        <v xml:space="preserve"> </v>
      </c>
      <c r="I252" s="213" t="str">
        <f t="shared" si="501"/>
        <v xml:space="preserve"> </v>
      </c>
      <c r="J252" s="213" t="str">
        <f t="shared" si="502"/>
        <v xml:space="preserve"> </v>
      </c>
      <c r="K252" s="213" t="str">
        <f t="shared" si="503"/>
        <v xml:space="preserve"> </v>
      </c>
      <c r="L252" s="213" t="str">
        <f t="shared" si="504"/>
        <v xml:space="preserve"> </v>
      </c>
      <c r="M252" s="213" t="str">
        <f t="shared" si="505"/>
        <v xml:space="preserve"> </v>
      </c>
      <c r="N252" s="213" t="str">
        <f t="shared" si="506"/>
        <v xml:space="preserve"> </v>
      </c>
      <c r="O252" s="213" t="str">
        <f t="shared" si="507"/>
        <v xml:space="preserve"> </v>
      </c>
      <c r="P252" s="213" t="str">
        <f t="shared" si="508"/>
        <v xml:space="preserve"> </v>
      </c>
      <c r="Q252" s="213" t="str">
        <f t="shared" si="509"/>
        <v xml:space="preserve"> </v>
      </c>
      <c r="R252" s="405" t="str">
        <f>IF($A252="N/A"," ",IF(Pricetype=2,MAX(I252-$H252,0),IF(Pricetype=1,(_xll.xSPRDOPT(I252,$E252,$CI252,0,($CD252+IF(Smile=TRUE,VLOOKUP(MAX(-5,$H252-I252),Volsmile,2),0)),$CG252,$CH252,($A252-DateToday)+15,1,0)),I252-$H252)))</f>
        <v xml:space="preserve"> </v>
      </c>
      <c r="S252" s="405" t="str">
        <f>IF($A252="N/A"," ",IF(Pricetype=2,MAX(J252-$H252,0),IF(Pricetype=1,(_xll.xSPRDOPT(J252,$E252,$CI252,0,($CD252+IF(Smile=TRUE,VLOOKUP(MAX(-5,$H252-J252),Volsmile,2),0)),$CG252,$CH252,($A252-DateToday)+15,1,0)),J252-$H252)))</f>
        <v xml:space="preserve"> </v>
      </c>
      <c r="T252" s="406" t="str">
        <f t="shared" si="510"/>
        <v xml:space="preserve"> </v>
      </c>
      <c r="U252" s="405" t="str">
        <f>IF($A252="N/A"," ",IF(Pricetype=2,MAX(L252-$H252,0),IF(L252&lt;&gt;0,IF(Pricetype=1,(_xll.xSPRDOPT(L252,$E252,$CI252,0,($CD252+IF(Smile=TRUE,VLOOKUP(MAX(-5,$H252-L252),Volsmile,2),0)),$CG252,$CH252,($A252-DateToday)+15,1,0)),L252-$H252),0)))</f>
        <v xml:space="preserve"> </v>
      </c>
      <c r="V252" s="405" t="str">
        <f>IF($A252="N/A"," ",IF(Pricetype=2,MAX(M252-$H252,0),IF(M252&lt;&gt;0,IF(Pricetype=1,(_xll.xSPRDOPT(M252,$E252,$CI252,0,($CD252+IF(Smile=TRUE,VLOOKUP(MAX(-5,$H252-M252),Volsmile,2),0)),$CG252,$CH252,($A252-DateToday)+15,1,0)),M252-$H252),0)))</f>
        <v xml:space="preserve"> </v>
      </c>
      <c r="W252" s="406" t="str">
        <f t="shared" si="511"/>
        <v xml:space="preserve"> </v>
      </c>
      <c r="X252" s="405" t="str">
        <f>IF($A252="N/A"," ",IF(Pricetype=2,MAX(O252-$H252,0),IF(O252&lt;&gt;0,IF(Pricetype=1,(_xll.xSPRDOPT(O252,$E252,$CI252,0,($CD252+IF(Smile=TRUE,VLOOKUP(MAX(-5,$H252-O252),Volsmile,2),0)),$CG252,$CH252,($A252-DateToday)+15,1,0)),O252-$H252),0)))</f>
        <v xml:space="preserve"> </v>
      </c>
      <c r="Y252" s="405" t="str">
        <f>IF($A252="N/A"," ",IF(Pricetype=2,MAX(P252-$H252,0),IF(P252&lt;&gt;0,IF(Pricetype=1,(_xll.xSPRDOPT(P252,$E252,$CI252,0,($CD252+IF(Smile=TRUE,VLOOKUP(MAX(-5,$H252-P252),Volsmile,2),0)),$CG252,$CH252,($A252-DateToday)+15,1,0)),P252-$H252),0)))</f>
        <v xml:space="preserve"> </v>
      </c>
      <c r="Z252" s="406" t="str">
        <f t="shared" si="512"/>
        <v xml:space="preserve"> </v>
      </c>
      <c r="AA252" s="254" t="str">
        <f>IF($A252="N/A"," ",IF(VLOOKUP(MONTH(A252),ManualTable,2)=1,(IF(0&lt;&gt;R252,IF(Pricetype=1,(_xll.xSPRDOPT(I252,$E252,$CI252,0,($CD252+IF(Smile=TRUE,VLOOKUP(MAX(-5,$H252-I252),Volsmile,2),0)),$CG252,$CH252,($A252-DateToday)+15,1,1))*(8*$HD252),8*$HD252),0)),0))</f>
        <v xml:space="preserve"> </v>
      </c>
      <c r="AB252" s="254" t="str">
        <f>IF($A252="N/A"," ",IF(VLOOKUP(MONTH(A252),ManualTable,3)=1,(IF(S252&lt;&gt;0,IF(Pricetype=1,(_xll.xSPRDOPT(J252,$E252,$CI252,0,($CD252+IF(Smile=TRUE,VLOOKUP(MAX(-5,$H252-J252),Volsmile,2),0)),$CG252,$CH252,($A252-DateToday)+15,1,1))*(8*$HD252),8*$HD252),0)),0))</f>
        <v xml:space="preserve"> </v>
      </c>
      <c r="AC252" s="254" t="str">
        <f t="shared" si="561"/>
        <v xml:space="preserve"> </v>
      </c>
      <c r="AD252" s="254" t="str">
        <f>IF($A252="N/A"," ",IF(VLOOKUP(MONTH(A252),ManualTable,5)=1,(IF(U252&lt;&gt;0,IF(Pricetype=1,(_xll.xSPRDOPT(L252,$E252,$CI252,0,($CD252+IF(Smile=TRUE,VLOOKUP(MAX(-5,$H252-L252),Volsmile,2),0)),$CG252,$CH252,($A252-DateToday)+15,1,1))*(8*$HE252),8*$HE252),0)),0))</f>
        <v xml:space="preserve"> </v>
      </c>
      <c r="AE252" s="254" t="str">
        <f>IF($A252="N/A"," ",IF(VLOOKUP(MONTH(A252),ManualTable,6)=1,(IF(V252&lt;&gt;0,IF(Pricetype=1,(_xll.xSPRDOPT(M252,$E252,$CI252,0,($CD252+IF(Smile=TRUE,VLOOKUP(MAX(-5,$H252-M252),Volsmile,2),0)),$CG252,$CH252,($A252-DateToday)+15,1,1))*(8*$HE252),8*$HE252),0)),0))</f>
        <v xml:space="preserve"> </v>
      </c>
      <c r="AF252" s="254" t="str">
        <f t="shared" si="562"/>
        <v xml:space="preserve"> </v>
      </c>
      <c r="AG252" s="254" t="str">
        <f>IF($A252="N/A"," ",IF(VLOOKUP(MONTH(A252),ManualTable,8)=1,(IF(X252&lt;&gt;0,IF(Pricetype=1,(_xll.xSPRDOPT(O252,$E252,$CI252,0,($CD252+IF(Smile=TRUE,VLOOKUP(MAX(-5,$H252-O252),Volsmile,2),0)),$CG252,$CH252,($A252-DateToday)+15,1,1))*(8*$HF252),8*$HF252),0)),0))</f>
        <v xml:space="preserve"> </v>
      </c>
      <c r="AH252" s="254" t="str">
        <f>IF($A252="N/A"," ",IF(VLOOKUP(MONTH(A252),ManualTable,9)=1,(IF(Y252&lt;&gt;0,IF(Pricetype=1,(_xll.xSPRDOPT(P252,$E252,$CI252,0,($CD252+IF(Smile=TRUE,VLOOKUP(MAX(-5,$H252-P252),Volsmile,2),0)),$CG252,$CH252,($A252-DateToday)+15,1,1))*(8*$HF252),8*$HF252),0)),0))</f>
        <v xml:space="preserve"> </v>
      </c>
      <c r="AI252" s="254" t="str">
        <f t="shared" si="563"/>
        <v xml:space="preserve"> </v>
      </c>
      <c r="AJ252" s="227" t="str">
        <f t="shared" si="653"/>
        <v xml:space="preserve"> </v>
      </c>
      <c r="AK252" s="228" t="str">
        <f t="shared" si="654"/>
        <v xml:space="preserve"> </v>
      </c>
      <c r="AL252" s="228" t="str">
        <f t="shared" si="654"/>
        <v xml:space="preserve"> </v>
      </c>
      <c r="AM252" s="228" t="str">
        <f t="shared" si="655"/>
        <v xml:space="preserve"> </v>
      </c>
      <c r="AN252" s="228" t="str">
        <f t="shared" si="656"/>
        <v xml:space="preserve"> </v>
      </c>
      <c r="AO252" s="228" t="str">
        <f t="shared" si="656"/>
        <v xml:space="preserve"> </v>
      </c>
      <c r="AP252" s="228" t="str">
        <f t="shared" si="657"/>
        <v xml:space="preserve"> </v>
      </c>
      <c r="AQ252" s="228" t="str">
        <f t="shared" si="658"/>
        <v xml:space="preserve"> </v>
      </c>
      <c r="AR252" s="229" t="str">
        <f t="shared" si="659"/>
        <v xml:space="preserve"> </v>
      </c>
      <c r="AS252" s="262" t="str">
        <f t="shared" si="593"/>
        <v xml:space="preserve"> </v>
      </c>
      <c r="AT252" s="263" t="str">
        <f t="shared" si="594"/>
        <v xml:space="preserve"> </v>
      </c>
      <c r="AU252" s="263" t="str">
        <f t="shared" si="594"/>
        <v xml:space="preserve"> </v>
      </c>
      <c r="AV252" s="263" t="str">
        <f t="shared" si="595"/>
        <v xml:space="preserve"> </v>
      </c>
      <c r="AW252" s="263" t="str">
        <f t="shared" si="596"/>
        <v xml:space="preserve"> </v>
      </c>
      <c r="AX252" s="263" t="str">
        <f t="shared" si="596"/>
        <v xml:space="preserve"> </v>
      </c>
      <c r="AY252" s="263" t="str">
        <f t="shared" si="597"/>
        <v xml:space="preserve"> </v>
      </c>
      <c r="AZ252" s="263" t="str">
        <f t="shared" si="598"/>
        <v xml:space="preserve"> </v>
      </c>
      <c r="BA252" s="263" t="str">
        <f t="shared" si="599"/>
        <v xml:space="preserve"> </v>
      </c>
      <c r="BB252" s="233"/>
      <c r="BC252" s="266" t="str">
        <f t="shared" si="646"/>
        <v xml:space="preserve"> </v>
      </c>
      <c r="BD252" s="269" t="str">
        <f t="shared" si="647"/>
        <v xml:space="preserve"> </v>
      </c>
      <c r="BE252" s="269" t="str">
        <f t="shared" si="647"/>
        <v xml:space="preserve"> </v>
      </c>
      <c r="BF252" s="269" t="str">
        <f t="shared" si="648"/>
        <v xml:space="preserve"> </v>
      </c>
      <c r="BG252" s="269" t="str">
        <f t="shared" si="649"/>
        <v xml:space="preserve"> </v>
      </c>
      <c r="BH252" s="269" t="str">
        <f t="shared" si="649"/>
        <v xml:space="preserve"> </v>
      </c>
      <c r="BI252" s="269" t="str">
        <f t="shared" si="650"/>
        <v xml:space="preserve"> </v>
      </c>
      <c r="BJ252" s="269" t="str">
        <f t="shared" si="651"/>
        <v xml:space="preserve"> </v>
      </c>
      <c r="BK252" s="269" t="str">
        <f t="shared" si="652"/>
        <v xml:space="preserve"> </v>
      </c>
      <c r="BL252" s="229"/>
      <c r="BM252" s="220" t="str">
        <f>IF($A252="N/A"," ",(IF(MONTH(A252)&gt;=4,IF(MONTH(A252)&lt;=10,Inputs!$F$13-Inputs!$G$13,Inputs!$F$14-Inputs!$G$14),Inputs!$F$14-Inputs!$G$14))*$CK252*Availability)</f>
        <v xml:space="preserve"> </v>
      </c>
      <c r="BN252" s="221" t="str">
        <f t="shared" si="571"/>
        <v xml:space="preserve"> </v>
      </c>
      <c r="BO252" s="221" t="str">
        <f t="shared" si="572"/>
        <v xml:space="preserve"> </v>
      </c>
      <c r="BP252" s="221" t="str">
        <f t="shared" si="573"/>
        <v xml:space="preserve"> </v>
      </c>
      <c r="BQ252" s="221" t="str">
        <f t="shared" si="574"/>
        <v xml:space="preserve"> </v>
      </c>
      <c r="BR252" s="221" t="str">
        <f t="shared" si="575"/>
        <v xml:space="preserve"> </v>
      </c>
      <c r="BS252" s="221" t="str">
        <f t="shared" si="576"/>
        <v xml:space="preserve"> </v>
      </c>
      <c r="BT252" s="221" t="str">
        <f t="shared" si="577"/>
        <v xml:space="preserve"> </v>
      </c>
      <c r="BU252" s="221" t="str">
        <f t="shared" si="578"/>
        <v xml:space="preserve"> </v>
      </c>
      <c r="BV252" s="221" t="str">
        <f t="shared" si="579"/>
        <v xml:space="preserve"> </v>
      </c>
      <c r="BW252" s="221" t="str">
        <f t="shared" si="580"/>
        <v xml:space="preserve"> </v>
      </c>
      <c r="BX252" s="421" t="str">
        <f t="shared" si="581"/>
        <v xml:space="preserve"> </v>
      </c>
      <c r="BY252" s="417" t="str">
        <f t="shared" si="582"/>
        <v xml:space="preserve"> </v>
      </c>
      <c r="BZ252" s="417" t="str">
        <f t="shared" si="583"/>
        <v xml:space="preserve"> </v>
      </c>
      <c r="CA252" s="422" t="str">
        <f t="shared" si="584"/>
        <v xml:space="preserve"> </v>
      </c>
      <c r="CB252" s="347" t="str">
        <f t="shared" si="521"/>
        <v xml:space="preserve"> </v>
      </c>
      <c r="CC252" s="347" t="str">
        <f t="shared" si="585"/>
        <v xml:space="preserve"> </v>
      </c>
      <c r="CD252" s="348" t="str">
        <f t="shared" si="522"/>
        <v xml:space="preserve"> </v>
      </c>
      <c r="CE252" s="347" t="str">
        <f t="shared" si="523"/>
        <v xml:space="preserve"> </v>
      </c>
      <c r="CF252" s="347" t="str">
        <f t="shared" si="524"/>
        <v xml:space="preserve"> </v>
      </c>
      <c r="CG252" s="348" t="str">
        <f t="shared" si="525"/>
        <v xml:space="preserve"> </v>
      </c>
      <c r="CH252" s="347" t="str">
        <f t="shared" si="586"/>
        <v xml:space="preserve"> </v>
      </c>
      <c r="CI252" s="349" t="str">
        <f>IF($A252="N/A"," ",F252+G252+(D252*('Pricing Inputs'!T285)))</f>
        <v xml:space="preserve"> </v>
      </c>
      <c r="CJ252" s="347" t="str">
        <f>IF($A252="N/A"," ",IF(PV=1,0,'Pricing Inputs'!U285))</f>
        <v xml:space="preserve"> </v>
      </c>
      <c r="CK252" s="350" t="str">
        <f t="shared" si="526"/>
        <v xml:space="preserve"> </v>
      </c>
      <c r="CL252" s="365" t="str">
        <f t="shared" si="527"/>
        <v xml:space="preserve"> </v>
      </c>
      <c r="CM252" s="380" t="str">
        <f t="shared" si="587"/>
        <v xml:space="preserve"> </v>
      </c>
      <c r="CN252" s="378" t="str">
        <f t="shared" si="528"/>
        <v xml:space="preserve"> </v>
      </c>
      <c r="CO252" s="378" t="str">
        <f t="shared" si="529"/>
        <v xml:space="preserve"> </v>
      </c>
      <c r="CP252" s="378" t="str">
        <f t="shared" si="530"/>
        <v xml:space="preserve"> </v>
      </c>
      <c r="CQ252" s="378" t="str">
        <f t="shared" si="531"/>
        <v xml:space="preserve"> </v>
      </c>
      <c r="CR252" s="378" t="str">
        <f t="shared" si="532"/>
        <v xml:space="preserve"> </v>
      </c>
      <c r="CS252" s="378" t="str">
        <f t="shared" si="533"/>
        <v xml:space="preserve"> </v>
      </c>
      <c r="CT252" s="378" t="str">
        <f t="shared" si="534"/>
        <v xml:space="preserve"> </v>
      </c>
      <c r="CU252" s="378" t="str">
        <f t="shared" si="535"/>
        <v xml:space="preserve"> </v>
      </c>
      <c r="CV252" s="378" t="str">
        <f t="shared" si="536"/>
        <v xml:space="preserve"> </v>
      </c>
      <c r="CW252" s="254" t="str">
        <f t="shared" si="537"/>
        <v xml:space="preserve"> </v>
      </c>
      <c r="CX252" s="254" t="str">
        <f t="shared" si="538"/>
        <v xml:space="preserve"> </v>
      </c>
      <c r="CY252" s="254" t="str">
        <f t="shared" si="539"/>
        <v xml:space="preserve"> </v>
      </c>
      <c r="CZ252" s="254" t="str">
        <f t="shared" si="540"/>
        <v xml:space="preserve"> </v>
      </c>
      <c r="DA252" s="254" t="str">
        <f t="shared" si="541"/>
        <v xml:space="preserve"> </v>
      </c>
      <c r="DB252" s="254" t="str">
        <f t="shared" si="542"/>
        <v xml:space="preserve"> </v>
      </c>
      <c r="DC252" s="254" t="str">
        <f t="shared" si="543"/>
        <v xml:space="preserve"> </v>
      </c>
      <c r="DD252" s="254" t="str">
        <f t="shared" si="544"/>
        <v xml:space="preserve"> </v>
      </c>
      <c r="DE252" s="254" t="str">
        <f t="shared" si="545"/>
        <v xml:space="preserve"> </v>
      </c>
      <c r="DF252" s="374" t="str">
        <f>IF($A252="N/A"," ",IF(CC=2,(IF(MONTH(A252)&gt;=4,IF(MONTH(A252)&lt;=10,Inputs!$G$13,Inputs!$G$14),Inputs!$G$14))*$CK252,0))</f>
        <v xml:space="preserve"> </v>
      </c>
      <c r="DG252" s="373" t="str">
        <f t="shared" si="546"/>
        <v xml:space="preserve"> </v>
      </c>
      <c r="DH252" s="373" t="str">
        <f t="shared" si="547"/>
        <v xml:space="preserve"> </v>
      </c>
      <c r="DI252" s="373" t="str">
        <f t="shared" si="548"/>
        <v xml:space="preserve"> </v>
      </c>
      <c r="DJ252" s="373" t="str">
        <f t="shared" si="549"/>
        <v xml:space="preserve"> </v>
      </c>
      <c r="DK252" s="373" t="str">
        <f t="shared" si="550"/>
        <v xml:space="preserve"> </v>
      </c>
      <c r="DL252" s="373" t="str">
        <f t="shared" si="551"/>
        <v xml:space="preserve"> </v>
      </c>
      <c r="DM252" s="373" t="str">
        <f t="shared" si="552"/>
        <v xml:space="preserve"> </v>
      </c>
      <c r="DN252" s="373" t="str">
        <f t="shared" si="553"/>
        <v xml:space="preserve"> </v>
      </c>
      <c r="DO252" s="373" t="str">
        <f t="shared" si="554"/>
        <v xml:space="preserve"> </v>
      </c>
      <c r="DP252" s="375" t="str">
        <f t="shared" si="555"/>
        <v xml:space="preserve"> </v>
      </c>
      <c r="DQ252" t="str">
        <f t="shared" si="588"/>
        <v xml:space="preserve"> </v>
      </c>
      <c r="HD252" t="str">
        <f t="shared" si="589"/>
        <v xml:space="preserve"> </v>
      </c>
      <c r="HE252" t="str">
        <f t="shared" si="590"/>
        <v xml:space="preserve"> </v>
      </c>
      <c r="HF252" t="str">
        <f t="shared" si="591"/>
        <v xml:space="preserve"> </v>
      </c>
    </row>
    <row r="253" spans="1:214">
      <c r="A253" s="415" t="str">
        <f>IF(A252="N/A","N/A",IF(EDATE(A252,1)&gt;Inputs!$K$3,"N/A",EDATE(A252,1)))</f>
        <v>N/A</v>
      </c>
      <c r="B253" s="410" t="str">
        <f t="shared" si="556"/>
        <v xml:space="preserve"> </v>
      </c>
      <c r="C253" s="411" t="str">
        <f t="shared" si="557"/>
        <v xml:space="preserve"> </v>
      </c>
      <c r="D253" s="412" t="str">
        <f t="shared" si="558"/>
        <v xml:space="preserve"> </v>
      </c>
      <c r="E253" s="413" t="str">
        <f>IF($A253="N/A"," ",(C253-'Pricing Inputs'!T286)*D253)</f>
        <v xml:space="preserve"> </v>
      </c>
      <c r="F253" s="414" t="str">
        <f t="shared" si="607"/>
        <v xml:space="preserve"> </v>
      </c>
      <c r="G253" s="414" t="str">
        <f t="shared" si="559"/>
        <v xml:space="preserve"> </v>
      </c>
      <c r="H253" s="416" t="str">
        <f t="shared" si="560"/>
        <v xml:space="preserve"> </v>
      </c>
      <c r="I253" s="213" t="str">
        <f t="shared" si="501"/>
        <v xml:space="preserve"> </v>
      </c>
      <c r="J253" s="213" t="str">
        <f t="shared" si="502"/>
        <v xml:space="preserve"> </v>
      </c>
      <c r="K253" s="213" t="str">
        <f t="shared" si="503"/>
        <v xml:space="preserve"> </v>
      </c>
      <c r="L253" s="213" t="str">
        <f t="shared" si="504"/>
        <v xml:space="preserve"> </v>
      </c>
      <c r="M253" s="213" t="str">
        <f t="shared" si="505"/>
        <v xml:space="preserve"> </v>
      </c>
      <c r="N253" s="213" t="str">
        <f t="shared" si="506"/>
        <v xml:space="preserve"> </v>
      </c>
      <c r="O253" s="213" t="str">
        <f t="shared" si="507"/>
        <v xml:space="preserve"> </v>
      </c>
      <c r="P253" s="213" t="str">
        <f t="shared" si="508"/>
        <v xml:space="preserve"> </v>
      </c>
      <c r="Q253" s="213" t="str">
        <f t="shared" si="509"/>
        <v xml:space="preserve"> </v>
      </c>
      <c r="R253" s="405" t="str">
        <f>IF($A253="N/A"," ",IF(Pricetype=2,MAX(I253-$H253,0),IF(Pricetype=1,(_xll.xSPRDOPT(I253,$E253,$CI253,0,($CD253+IF(Smile=TRUE,VLOOKUP(MAX(-5,$H253-I253),Volsmile,2),0)),$CG253,$CH253,($A253-DateToday)+15,1,0)),I253-$H253)))</f>
        <v xml:space="preserve"> </v>
      </c>
      <c r="S253" s="405" t="str">
        <f>IF($A253="N/A"," ",IF(Pricetype=2,MAX(J253-$H253,0),IF(Pricetype=1,(_xll.xSPRDOPT(J253,$E253,$CI253,0,($CD253+IF(Smile=TRUE,VLOOKUP(MAX(-5,$H253-J253),Volsmile,2),0)),$CG253,$CH253,($A253-DateToday)+15,1,0)),J253-$H253)))</f>
        <v xml:space="preserve"> </v>
      </c>
      <c r="T253" s="406" t="str">
        <f t="shared" si="510"/>
        <v xml:space="preserve"> </v>
      </c>
      <c r="U253" s="405" t="str">
        <f>IF($A253="N/A"," ",IF(Pricetype=2,MAX(L253-$H253,0),IF(L253&lt;&gt;0,IF(Pricetype=1,(_xll.xSPRDOPT(L253,$E253,$CI253,0,($CD253+IF(Smile=TRUE,VLOOKUP(MAX(-5,$H253-L253),Volsmile,2),0)),$CG253,$CH253,($A253-DateToday)+15,1,0)),L253-$H253),0)))</f>
        <v xml:space="preserve"> </v>
      </c>
      <c r="V253" s="405" t="str">
        <f>IF($A253="N/A"," ",IF(Pricetype=2,MAX(M253-$H253,0),IF(M253&lt;&gt;0,IF(Pricetype=1,(_xll.xSPRDOPT(M253,$E253,$CI253,0,($CD253+IF(Smile=TRUE,VLOOKUP(MAX(-5,$H253-M253),Volsmile,2),0)),$CG253,$CH253,($A253-DateToday)+15,1,0)),M253-$H253),0)))</f>
        <v xml:space="preserve"> </v>
      </c>
      <c r="W253" s="406" t="str">
        <f t="shared" si="511"/>
        <v xml:space="preserve"> </v>
      </c>
      <c r="X253" s="405" t="str">
        <f>IF($A253="N/A"," ",IF(Pricetype=2,MAX(O253-$H253,0),IF(O253&lt;&gt;0,IF(Pricetype=1,(_xll.xSPRDOPT(O253,$E253,$CI253,0,($CD253+IF(Smile=TRUE,VLOOKUP(MAX(-5,$H253-O253),Volsmile,2),0)),$CG253,$CH253,($A253-DateToday)+15,1,0)),O253-$H253),0)))</f>
        <v xml:space="preserve"> </v>
      </c>
      <c r="Y253" s="405" t="str">
        <f>IF($A253="N/A"," ",IF(Pricetype=2,MAX(P253-$H253,0),IF(P253&lt;&gt;0,IF(Pricetype=1,(_xll.xSPRDOPT(P253,$E253,$CI253,0,($CD253+IF(Smile=TRUE,VLOOKUP(MAX(-5,$H253-P253),Volsmile,2),0)),$CG253,$CH253,($A253-DateToday)+15,1,0)),P253-$H253),0)))</f>
        <v xml:space="preserve"> </v>
      </c>
      <c r="Z253" s="406" t="str">
        <f t="shared" si="512"/>
        <v xml:space="preserve"> </v>
      </c>
      <c r="AA253" s="254" t="str">
        <f>IF($A253="N/A"," ",IF(VLOOKUP(MONTH(A253),ManualTable,2)=1,(IF(0&lt;&gt;R253,IF(Pricetype=1,(_xll.xSPRDOPT(I253,$E253,$CI253,0,($CD253+IF(Smile=TRUE,VLOOKUP(MAX(-5,$H253-I253),Volsmile,2),0)),$CG253,$CH253,($A253-DateToday)+15,1,1))*(8*$HD253),8*$HD253),0)),0))</f>
        <v xml:space="preserve"> </v>
      </c>
      <c r="AB253" s="254" t="str">
        <f>IF($A253="N/A"," ",IF(VLOOKUP(MONTH(A253),ManualTable,3)=1,(IF(S253&lt;&gt;0,IF(Pricetype=1,(_xll.xSPRDOPT(J253,$E253,$CI253,0,($CD253+IF(Smile=TRUE,VLOOKUP(MAX(-5,$H253-J253),Volsmile,2),0)),$CG253,$CH253,($A253-DateToday)+15,1,1))*(8*$HD253),8*$HD253),0)),0))</f>
        <v xml:space="preserve"> </v>
      </c>
      <c r="AC253" s="254" t="str">
        <f t="shared" si="561"/>
        <v xml:space="preserve"> </v>
      </c>
      <c r="AD253" s="254" t="str">
        <f>IF($A253="N/A"," ",IF(VLOOKUP(MONTH(A253),ManualTable,5)=1,(IF(U253&lt;&gt;0,IF(Pricetype=1,(_xll.xSPRDOPT(L253,$E253,$CI253,0,($CD253+IF(Smile=TRUE,VLOOKUP(MAX(-5,$H253-L253),Volsmile,2),0)),$CG253,$CH253,($A253-DateToday)+15,1,1))*(8*$HE253),8*$HE253),0)),0))</f>
        <v xml:space="preserve"> </v>
      </c>
      <c r="AE253" s="254" t="str">
        <f>IF($A253="N/A"," ",IF(VLOOKUP(MONTH(A253),ManualTable,6)=1,(IF(V253&lt;&gt;0,IF(Pricetype=1,(_xll.xSPRDOPT(M253,$E253,$CI253,0,($CD253+IF(Smile=TRUE,VLOOKUP(MAX(-5,$H253-M253),Volsmile,2),0)),$CG253,$CH253,($A253-DateToday)+15,1,1))*(8*$HE253),8*$HE253),0)),0))</f>
        <v xml:space="preserve"> </v>
      </c>
      <c r="AF253" s="254" t="str">
        <f t="shared" si="562"/>
        <v xml:space="preserve"> </v>
      </c>
      <c r="AG253" s="254" t="str">
        <f>IF($A253="N/A"," ",IF(VLOOKUP(MONTH(A253),ManualTable,8)=1,(IF(X253&lt;&gt;0,IF(Pricetype=1,(_xll.xSPRDOPT(O253,$E253,$CI253,0,($CD253+IF(Smile=TRUE,VLOOKUP(MAX(-5,$H253-O253),Volsmile,2),0)),$CG253,$CH253,($A253-DateToday)+15,1,1))*(8*$HF253),8*$HF253),0)),0))</f>
        <v xml:space="preserve"> </v>
      </c>
      <c r="AH253" s="254" t="str">
        <f>IF($A253="N/A"," ",IF(VLOOKUP(MONTH(A253),ManualTable,9)=1,(IF(Y253&lt;&gt;0,IF(Pricetype=1,(_xll.xSPRDOPT(P253,$E253,$CI253,0,($CD253+IF(Smile=TRUE,VLOOKUP(MAX(-5,$H253-P253),Volsmile,2),0)),$CG253,$CH253,($A253-DateToday)+15,1,1))*(8*$HF253),8*$HF253),0)),0))</f>
        <v xml:space="preserve"> </v>
      </c>
      <c r="AI253" s="254" t="str">
        <f t="shared" si="563"/>
        <v xml:space="preserve"> </v>
      </c>
      <c r="AJ253" s="227" t="str">
        <f t="shared" si="653"/>
        <v xml:space="preserve"> </v>
      </c>
      <c r="AK253" s="228" t="str">
        <f t="shared" si="654"/>
        <v xml:space="preserve"> </v>
      </c>
      <c r="AL253" s="228" t="str">
        <f t="shared" si="654"/>
        <v xml:space="preserve"> </v>
      </c>
      <c r="AM253" s="228" t="str">
        <f t="shared" si="655"/>
        <v xml:space="preserve"> </v>
      </c>
      <c r="AN253" s="228" t="str">
        <f t="shared" si="656"/>
        <v xml:space="preserve"> </v>
      </c>
      <c r="AO253" s="228" t="str">
        <f t="shared" si="656"/>
        <v xml:space="preserve"> </v>
      </c>
      <c r="AP253" s="228" t="str">
        <f t="shared" si="657"/>
        <v xml:space="preserve"> </v>
      </c>
      <c r="AQ253" s="228" t="str">
        <f t="shared" si="658"/>
        <v xml:space="preserve"> </v>
      </c>
      <c r="AR253" s="229" t="str">
        <f t="shared" si="659"/>
        <v xml:space="preserve"> </v>
      </c>
      <c r="AS253" s="262" t="str">
        <f t="shared" si="593"/>
        <v xml:space="preserve"> </v>
      </c>
      <c r="AT253" s="263" t="str">
        <f t="shared" si="594"/>
        <v xml:space="preserve"> </v>
      </c>
      <c r="AU253" s="263" t="str">
        <f t="shared" si="594"/>
        <v xml:space="preserve"> </v>
      </c>
      <c r="AV253" s="263" t="str">
        <f t="shared" si="595"/>
        <v xml:space="preserve"> </v>
      </c>
      <c r="AW253" s="263" t="str">
        <f t="shared" si="596"/>
        <v xml:space="preserve"> </v>
      </c>
      <c r="AX253" s="263" t="str">
        <f t="shared" si="596"/>
        <v xml:space="preserve"> </v>
      </c>
      <c r="AY253" s="263" t="str">
        <f t="shared" si="597"/>
        <v xml:space="preserve"> </v>
      </c>
      <c r="AZ253" s="263" t="str">
        <f t="shared" si="598"/>
        <v xml:space="preserve"> </v>
      </c>
      <c r="BA253" s="263" t="str">
        <f t="shared" si="599"/>
        <v xml:space="preserve"> </v>
      </c>
      <c r="BB253" s="234" t="s">
        <v>1271</v>
      </c>
      <c r="BC253" s="266" t="str">
        <f t="shared" si="646"/>
        <v xml:space="preserve"> </v>
      </c>
      <c r="BD253" s="269" t="str">
        <f t="shared" si="647"/>
        <v xml:space="preserve"> </v>
      </c>
      <c r="BE253" s="269" t="str">
        <f t="shared" si="647"/>
        <v xml:space="preserve"> </v>
      </c>
      <c r="BF253" s="269" t="str">
        <f t="shared" si="648"/>
        <v xml:space="preserve"> </v>
      </c>
      <c r="BG253" s="269" t="str">
        <f t="shared" si="649"/>
        <v xml:space="preserve"> </v>
      </c>
      <c r="BH253" s="269" t="str">
        <f t="shared" si="649"/>
        <v xml:space="preserve"> </v>
      </c>
      <c r="BI253" s="269" t="str">
        <f t="shared" si="650"/>
        <v xml:space="preserve"> </v>
      </c>
      <c r="BJ253" s="269" t="str">
        <f t="shared" si="651"/>
        <v xml:space="preserve"> </v>
      </c>
      <c r="BK253" s="269" t="str">
        <f t="shared" si="652"/>
        <v xml:space="preserve"> </v>
      </c>
      <c r="BL253" s="233" t="s">
        <v>1283</v>
      </c>
      <c r="BM253" s="220" t="str">
        <f>IF($A253="N/A"," ",(IF(MONTH(A253)&gt;=4,IF(MONTH(A253)&lt;=10,Inputs!$F$13-Inputs!$G$13,Inputs!$F$14-Inputs!$G$14),Inputs!$F$14-Inputs!$G$14))*$CK253*Availability)</f>
        <v xml:space="preserve"> </v>
      </c>
      <c r="BN253" s="221" t="str">
        <f t="shared" si="571"/>
        <v xml:space="preserve"> </v>
      </c>
      <c r="BO253" s="221" t="str">
        <f t="shared" si="572"/>
        <v xml:space="preserve"> </v>
      </c>
      <c r="BP253" s="221" t="str">
        <f t="shared" si="573"/>
        <v xml:space="preserve"> </v>
      </c>
      <c r="BQ253" s="221" t="str">
        <f t="shared" si="574"/>
        <v xml:space="preserve"> </v>
      </c>
      <c r="BR253" s="221" t="str">
        <f t="shared" si="575"/>
        <v xml:space="preserve"> </v>
      </c>
      <c r="BS253" s="221" t="str">
        <f t="shared" si="576"/>
        <v xml:space="preserve"> </v>
      </c>
      <c r="BT253" s="221" t="str">
        <f t="shared" si="577"/>
        <v xml:space="preserve"> </v>
      </c>
      <c r="BU253" s="221" t="str">
        <f t="shared" si="578"/>
        <v xml:space="preserve"> </v>
      </c>
      <c r="BV253" s="221" t="str">
        <f t="shared" si="579"/>
        <v xml:space="preserve"> </v>
      </c>
      <c r="BW253" s="221" t="str">
        <f t="shared" si="580"/>
        <v xml:space="preserve"> </v>
      </c>
      <c r="BX253" s="421" t="str">
        <f t="shared" si="581"/>
        <v xml:space="preserve"> </v>
      </c>
      <c r="BY253" s="417" t="str">
        <f t="shared" si="582"/>
        <v xml:space="preserve"> </v>
      </c>
      <c r="BZ253" s="417" t="str">
        <f t="shared" si="583"/>
        <v xml:space="preserve"> </v>
      </c>
      <c r="CA253" s="422" t="str">
        <f t="shared" si="584"/>
        <v xml:space="preserve"> </v>
      </c>
      <c r="CB253" s="347" t="str">
        <f t="shared" si="521"/>
        <v xml:space="preserve"> </v>
      </c>
      <c r="CC253" s="347" t="str">
        <f t="shared" si="585"/>
        <v xml:space="preserve"> </v>
      </c>
      <c r="CD253" s="348" t="str">
        <f t="shared" si="522"/>
        <v xml:space="preserve"> </v>
      </c>
      <c r="CE253" s="347" t="str">
        <f t="shared" si="523"/>
        <v xml:space="preserve"> </v>
      </c>
      <c r="CF253" s="347" t="str">
        <f t="shared" si="524"/>
        <v xml:space="preserve"> </v>
      </c>
      <c r="CG253" s="348" t="str">
        <f t="shared" si="525"/>
        <v xml:space="preserve"> </v>
      </c>
      <c r="CH253" s="347" t="str">
        <f t="shared" si="586"/>
        <v xml:space="preserve"> </v>
      </c>
      <c r="CI253" s="349" t="str">
        <f>IF($A253="N/A"," ",F253+G253+(D253*('Pricing Inputs'!T286)))</f>
        <v xml:space="preserve"> </v>
      </c>
      <c r="CJ253" s="347" t="str">
        <f>IF($A253="N/A"," ",IF(PV=1,0,'Pricing Inputs'!U286))</f>
        <v xml:space="preserve"> </v>
      </c>
      <c r="CK253" s="350" t="str">
        <f t="shared" si="526"/>
        <v xml:space="preserve"> </v>
      </c>
      <c r="CL253" s="365" t="str">
        <f t="shared" si="527"/>
        <v xml:space="preserve"> </v>
      </c>
      <c r="CM253" s="380" t="str">
        <f t="shared" si="587"/>
        <v xml:space="preserve"> </v>
      </c>
      <c r="CN253" s="378" t="str">
        <f t="shared" si="528"/>
        <v xml:space="preserve"> </v>
      </c>
      <c r="CO253" s="378" t="str">
        <f t="shared" si="529"/>
        <v xml:space="preserve"> </v>
      </c>
      <c r="CP253" s="378" t="str">
        <f t="shared" si="530"/>
        <v xml:space="preserve"> </v>
      </c>
      <c r="CQ253" s="378" t="str">
        <f t="shared" si="531"/>
        <v xml:space="preserve"> </v>
      </c>
      <c r="CR253" s="378" t="str">
        <f t="shared" si="532"/>
        <v xml:space="preserve"> </v>
      </c>
      <c r="CS253" s="378" t="str">
        <f t="shared" si="533"/>
        <v xml:space="preserve"> </v>
      </c>
      <c r="CT253" s="378" t="str">
        <f t="shared" si="534"/>
        <v xml:space="preserve"> </v>
      </c>
      <c r="CU253" s="378" t="str">
        <f t="shared" si="535"/>
        <v xml:space="preserve"> </v>
      </c>
      <c r="CV253" s="378" t="str">
        <f t="shared" si="536"/>
        <v xml:space="preserve"> </v>
      </c>
      <c r="CW253" s="254" t="str">
        <f t="shared" si="537"/>
        <v xml:space="preserve"> </v>
      </c>
      <c r="CX253" s="254" t="str">
        <f t="shared" si="538"/>
        <v xml:space="preserve"> </v>
      </c>
      <c r="CY253" s="254" t="str">
        <f t="shared" si="539"/>
        <v xml:space="preserve"> </v>
      </c>
      <c r="CZ253" s="254" t="str">
        <f t="shared" si="540"/>
        <v xml:space="preserve"> </v>
      </c>
      <c r="DA253" s="254" t="str">
        <f t="shared" si="541"/>
        <v xml:space="preserve"> </v>
      </c>
      <c r="DB253" s="254" t="str">
        <f t="shared" si="542"/>
        <v xml:space="preserve"> </v>
      </c>
      <c r="DC253" s="254" t="str">
        <f t="shared" si="543"/>
        <v xml:space="preserve"> </v>
      </c>
      <c r="DD253" s="254" t="str">
        <f t="shared" si="544"/>
        <v xml:space="preserve"> </v>
      </c>
      <c r="DE253" s="254" t="str">
        <f t="shared" si="545"/>
        <v xml:space="preserve"> </v>
      </c>
      <c r="DF253" s="374" t="str">
        <f>IF($A253="N/A"," ",IF(CC=2,(IF(MONTH(A253)&gt;=4,IF(MONTH(A253)&lt;=10,Inputs!$G$13,Inputs!$G$14),Inputs!$G$14))*$CK253,0))</f>
        <v xml:space="preserve"> </v>
      </c>
      <c r="DG253" s="373" t="str">
        <f t="shared" si="546"/>
        <v xml:space="preserve"> </v>
      </c>
      <c r="DH253" s="373" t="str">
        <f t="shared" si="547"/>
        <v xml:space="preserve"> </v>
      </c>
      <c r="DI253" s="373" t="str">
        <f t="shared" si="548"/>
        <v xml:space="preserve"> </v>
      </c>
      <c r="DJ253" s="373" t="str">
        <f t="shared" si="549"/>
        <v xml:space="preserve"> </v>
      </c>
      <c r="DK253" s="373" t="str">
        <f t="shared" si="550"/>
        <v xml:space="preserve"> </v>
      </c>
      <c r="DL253" s="373" t="str">
        <f t="shared" si="551"/>
        <v xml:space="preserve"> </v>
      </c>
      <c r="DM253" s="373" t="str">
        <f t="shared" si="552"/>
        <v xml:space="preserve"> </v>
      </c>
      <c r="DN253" s="373" t="str">
        <f t="shared" si="553"/>
        <v xml:space="preserve"> </v>
      </c>
      <c r="DO253" s="373" t="str">
        <f t="shared" si="554"/>
        <v xml:space="preserve"> </v>
      </c>
      <c r="DP253" s="375" t="str">
        <f t="shared" si="555"/>
        <v xml:space="preserve"> </v>
      </c>
      <c r="DQ253" t="str">
        <f t="shared" si="588"/>
        <v xml:space="preserve"> </v>
      </c>
      <c r="HD253" t="str">
        <f t="shared" si="589"/>
        <v xml:space="preserve"> </v>
      </c>
      <c r="HE253" t="str">
        <f t="shared" si="590"/>
        <v xml:space="preserve"> </v>
      </c>
      <c r="HF253" t="str">
        <f t="shared" si="591"/>
        <v xml:space="preserve"> </v>
      </c>
    </row>
    <row r="254" spans="1:214">
      <c r="A254" s="415" t="str">
        <f>IF(A253="N/A","N/A",IF(EDATE(A253,1)&gt;Inputs!$K$3,"N/A",EDATE(A253,1)))</f>
        <v>N/A</v>
      </c>
      <c r="B254" s="410" t="str">
        <f t="shared" si="556"/>
        <v xml:space="preserve"> </v>
      </c>
      <c r="C254" s="411" t="str">
        <f t="shared" si="557"/>
        <v xml:space="preserve"> </v>
      </c>
      <c r="D254" s="412" t="str">
        <f t="shared" si="558"/>
        <v xml:space="preserve"> </v>
      </c>
      <c r="E254" s="413" t="str">
        <f>IF($A254="N/A"," ",(C254-'Pricing Inputs'!T287)*D254)</f>
        <v xml:space="preserve"> </v>
      </c>
      <c r="F254" s="414" t="str">
        <f t="shared" si="607"/>
        <v xml:space="preserve"> </v>
      </c>
      <c r="G254" s="414" t="str">
        <f t="shared" si="559"/>
        <v xml:space="preserve"> </v>
      </c>
      <c r="H254" s="416" t="str">
        <f t="shared" si="560"/>
        <v xml:space="preserve"> </v>
      </c>
      <c r="I254" s="213" t="str">
        <f t="shared" si="501"/>
        <v xml:space="preserve"> </v>
      </c>
      <c r="J254" s="213" t="str">
        <f t="shared" si="502"/>
        <v xml:space="preserve"> </v>
      </c>
      <c r="K254" s="213" t="str">
        <f t="shared" si="503"/>
        <v xml:space="preserve"> </v>
      </c>
      <c r="L254" s="213" t="str">
        <f t="shared" si="504"/>
        <v xml:space="preserve"> </v>
      </c>
      <c r="M254" s="213" t="str">
        <f t="shared" si="505"/>
        <v xml:space="preserve"> </v>
      </c>
      <c r="N254" s="213" t="str">
        <f t="shared" si="506"/>
        <v xml:space="preserve"> </v>
      </c>
      <c r="O254" s="213" t="str">
        <f t="shared" si="507"/>
        <v xml:space="preserve"> </v>
      </c>
      <c r="P254" s="213" t="str">
        <f t="shared" si="508"/>
        <v xml:space="preserve"> </v>
      </c>
      <c r="Q254" s="213" t="str">
        <f t="shared" si="509"/>
        <v xml:space="preserve"> </v>
      </c>
      <c r="R254" s="405" t="str">
        <f>IF($A254="N/A"," ",IF(Pricetype=2,MAX(I254-$H254,0),IF(Pricetype=1,(_xll.xSPRDOPT(I254,$E254,$CI254,0,($CD254+IF(Smile=TRUE,VLOOKUP(MAX(-5,$H254-I254),Volsmile,2),0)),$CG254,$CH254,($A254-DateToday)+15,1,0)),I254-$H254)))</f>
        <v xml:space="preserve"> </v>
      </c>
      <c r="S254" s="405" t="str">
        <f>IF($A254="N/A"," ",IF(Pricetype=2,MAX(J254-$H254,0),IF(Pricetype=1,(_xll.xSPRDOPT(J254,$E254,$CI254,0,($CD254+IF(Smile=TRUE,VLOOKUP(MAX(-5,$H254-J254),Volsmile,2),0)),$CG254,$CH254,($A254-DateToday)+15,1,0)),J254-$H254)))</f>
        <v xml:space="preserve"> </v>
      </c>
      <c r="T254" s="406" t="str">
        <f t="shared" si="510"/>
        <v xml:space="preserve"> </v>
      </c>
      <c r="U254" s="405" t="str">
        <f>IF($A254="N/A"," ",IF(Pricetype=2,MAX(L254-$H254,0),IF(L254&lt;&gt;0,IF(Pricetype=1,(_xll.xSPRDOPT(L254,$E254,$CI254,0,($CD254+IF(Smile=TRUE,VLOOKUP(MAX(-5,$H254-L254),Volsmile,2),0)),$CG254,$CH254,($A254-DateToday)+15,1,0)),L254-$H254),0)))</f>
        <v xml:space="preserve"> </v>
      </c>
      <c r="V254" s="405" t="str">
        <f>IF($A254="N/A"," ",IF(Pricetype=2,MAX(M254-$H254,0),IF(M254&lt;&gt;0,IF(Pricetype=1,(_xll.xSPRDOPT(M254,$E254,$CI254,0,($CD254+IF(Smile=TRUE,VLOOKUP(MAX(-5,$H254-M254),Volsmile,2),0)),$CG254,$CH254,($A254-DateToday)+15,1,0)),M254-$H254),0)))</f>
        <v xml:space="preserve"> </v>
      </c>
      <c r="W254" s="406" t="str">
        <f t="shared" si="511"/>
        <v xml:space="preserve"> </v>
      </c>
      <c r="X254" s="405" t="str">
        <f>IF($A254="N/A"," ",IF(Pricetype=2,MAX(O254-$H254,0),IF(O254&lt;&gt;0,IF(Pricetype=1,(_xll.xSPRDOPT(O254,$E254,$CI254,0,($CD254+IF(Smile=TRUE,VLOOKUP(MAX(-5,$H254-O254),Volsmile,2),0)),$CG254,$CH254,($A254-DateToday)+15,1,0)),O254-$H254),0)))</f>
        <v xml:space="preserve"> </v>
      </c>
      <c r="Y254" s="405" t="str">
        <f>IF($A254="N/A"," ",IF(Pricetype=2,MAX(P254-$H254,0),IF(P254&lt;&gt;0,IF(Pricetype=1,(_xll.xSPRDOPT(P254,$E254,$CI254,0,($CD254+IF(Smile=TRUE,VLOOKUP(MAX(-5,$H254-P254),Volsmile,2),0)),$CG254,$CH254,($A254-DateToday)+15,1,0)),P254-$H254),0)))</f>
        <v xml:space="preserve"> </v>
      </c>
      <c r="Z254" s="406" t="str">
        <f t="shared" si="512"/>
        <v xml:space="preserve"> </v>
      </c>
      <c r="AA254" s="254" t="str">
        <f>IF($A254="N/A"," ",IF(VLOOKUP(MONTH(A254),ManualTable,2)=1,(IF(0&lt;&gt;R254,IF(Pricetype=1,(_xll.xSPRDOPT(I254,$E254,$CI254,0,($CD254+IF(Smile=TRUE,VLOOKUP(MAX(-5,$H254-I254),Volsmile,2),0)),$CG254,$CH254,($A254-DateToday)+15,1,1))*(8*$HD254),8*$HD254),0)),0))</f>
        <v xml:space="preserve"> </v>
      </c>
      <c r="AB254" s="254" t="str">
        <f>IF($A254="N/A"," ",IF(VLOOKUP(MONTH(A254),ManualTable,3)=1,(IF(S254&lt;&gt;0,IF(Pricetype=1,(_xll.xSPRDOPT(J254,$E254,$CI254,0,($CD254+IF(Smile=TRUE,VLOOKUP(MAX(-5,$H254-J254),Volsmile,2),0)),$CG254,$CH254,($A254-DateToday)+15,1,1))*(8*$HD254),8*$HD254),0)),0))</f>
        <v xml:space="preserve"> </v>
      </c>
      <c r="AC254" s="254" t="str">
        <f t="shared" si="561"/>
        <v xml:space="preserve"> </v>
      </c>
      <c r="AD254" s="254" t="str">
        <f>IF($A254="N/A"," ",IF(VLOOKUP(MONTH(A254),ManualTable,5)=1,(IF(U254&lt;&gt;0,IF(Pricetype=1,(_xll.xSPRDOPT(L254,$E254,$CI254,0,($CD254+IF(Smile=TRUE,VLOOKUP(MAX(-5,$H254-L254),Volsmile,2),0)),$CG254,$CH254,($A254-DateToday)+15,1,1))*(8*$HE254),8*$HE254),0)),0))</f>
        <v xml:space="preserve"> </v>
      </c>
      <c r="AE254" s="254" t="str">
        <f>IF($A254="N/A"," ",IF(VLOOKUP(MONTH(A254),ManualTable,6)=1,(IF(V254&lt;&gt;0,IF(Pricetype=1,(_xll.xSPRDOPT(M254,$E254,$CI254,0,($CD254+IF(Smile=TRUE,VLOOKUP(MAX(-5,$H254-M254),Volsmile,2),0)),$CG254,$CH254,($A254-DateToday)+15,1,1))*(8*$HE254),8*$HE254),0)),0))</f>
        <v xml:space="preserve"> </v>
      </c>
      <c r="AF254" s="254" t="str">
        <f t="shared" si="562"/>
        <v xml:space="preserve"> </v>
      </c>
      <c r="AG254" s="254" t="str">
        <f>IF($A254="N/A"," ",IF(VLOOKUP(MONTH(A254),ManualTable,8)=1,(IF(X254&lt;&gt;0,IF(Pricetype=1,(_xll.xSPRDOPT(O254,$E254,$CI254,0,($CD254+IF(Smile=TRUE,VLOOKUP(MAX(-5,$H254-O254),Volsmile,2),0)),$CG254,$CH254,($A254-DateToday)+15,1,1))*(8*$HF254),8*$HF254),0)),0))</f>
        <v xml:space="preserve"> </v>
      </c>
      <c r="AH254" s="254" t="str">
        <f>IF($A254="N/A"," ",IF(VLOOKUP(MONTH(A254),ManualTable,9)=1,(IF(Y254&lt;&gt;0,IF(Pricetype=1,(_xll.xSPRDOPT(P254,$E254,$CI254,0,($CD254+IF(Smile=TRUE,VLOOKUP(MAX(-5,$H254-P254),Volsmile,2),0)),$CG254,$CH254,($A254-DateToday)+15,1,1))*(8*$HF254),8*$HF254),0)),0))</f>
        <v xml:space="preserve"> </v>
      </c>
      <c r="AI254" s="254" t="str">
        <f t="shared" si="563"/>
        <v xml:space="preserve"> </v>
      </c>
      <c r="AJ254" s="227" t="str">
        <f t="shared" si="653"/>
        <v xml:space="preserve"> </v>
      </c>
      <c r="AK254" s="228" t="str">
        <f t="shared" si="654"/>
        <v xml:space="preserve"> </v>
      </c>
      <c r="AL254" s="228" t="str">
        <f t="shared" si="654"/>
        <v xml:space="preserve"> </v>
      </c>
      <c r="AM254" s="228" t="str">
        <f t="shared" si="655"/>
        <v xml:space="preserve"> </v>
      </c>
      <c r="AN254" s="228" t="str">
        <f t="shared" si="656"/>
        <v xml:space="preserve"> </v>
      </c>
      <c r="AO254" s="228" t="str">
        <f t="shared" si="656"/>
        <v xml:space="preserve"> </v>
      </c>
      <c r="AP254" s="228" t="str">
        <f t="shared" si="657"/>
        <v xml:space="preserve"> </v>
      </c>
      <c r="AQ254" s="228" t="str">
        <f t="shared" si="658"/>
        <v xml:space="preserve"> </v>
      </c>
      <c r="AR254" s="229" t="str">
        <f t="shared" si="659"/>
        <v xml:space="preserve"> </v>
      </c>
      <c r="AS254" s="262" t="str">
        <f t="shared" si="593"/>
        <v xml:space="preserve"> </v>
      </c>
      <c r="AT254" s="263" t="str">
        <f t="shared" si="594"/>
        <v xml:space="preserve"> </v>
      </c>
      <c r="AU254" s="263" t="str">
        <f t="shared" si="594"/>
        <v xml:space="preserve"> </v>
      </c>
      <c r="AV254" s="263" t="str">
        <f t="shared" si="595"/>
        <v xml:space="preserve"> </v>
      </c>
      <c r="AW254" s="263" t="str">
        <f t="shared" si="596"/>
        <v xml:space="preserve"> </v>
      </c>
      <c r="AX254" s="263" t="str">
        <f t="shared" si="596"/>
        <v xml:space="preserve"> </v>
      </c>
      <c r="AY254" s="263" t="str">
        <f t="shared" si="597"/>
        <v xml:space="preserve"> </v>
      </c>
      <c r="AZ254" s="263" t="str">
        <f t="shared" si="598"/>
        <v xml:space="preserve"> </v>
      </c>
      <c r="BA254" s="263" t="str">
        <f t="shared" si="599"/>
        <v xml:space="preserve"> </v>
      </c>
      <c r="BB254" s="229">
        <f>SUM(AS244:BA255)</f>
        <v>0</v>
      </c>
      <c r="BC254" s="266" t="str">
        <f t="shared" si="646"/>
        <v xml:space="preserve"> </v>
      </c>
      <c r="BD254" s="269" t="str">
        <f t="shared" si="647"/>
        <v xml:space="preserve"> </v>
      </c>
      <c r="BE254" s="269" t="str">
        <f t="shared" si="647"/>
        <v xml:space="preserve"> </v>
      </c>
      <c r="BF254" s="269" t="str">
        <f t="shared" si="648"/>
        <v xml:space="preserve"> </v>
      </c>
      <c r="BG254" s="269" t="str">
        <f t="shared" si="649"/>
        <v xml:space="preserve"> </v>
      </c>
      <c r="BH254" s="269" t="str">
        <f t="shared" si="649"/>
        <v xml:space="preserve"> </v>
      </c>
      <c r="BI254" s="269" t="str">
        <f t="shared" si="650"/>
        <v xml:space="preserve"> </v>
      </c>
      <c r="BJ254" s="269" t="str">
        <f t="shared" si="651"/>
        <v xml:space="preserve"> </v>
      </c>
      <c r="BK254" s="269" t="str">
        <f t="shared" si="652"/>
        <v xml:space="preserve"> </v>
      </c>
      <c r="BL254" s="229">
        <f>SUM(BC244:BK255)</f>
        <v>0</v>
      </c>
      <c r="BM254" s="220" t="str">
        <f>IF($A254="N/A"," ",(IF(MONTH(A254)&gt;=4,IF(MONTH(A254)&lt;=10,Inputs!$F$13-Inputs!$G$13,Inputs!$F$14-Inputs!$G$14),Inputs!$F$14-Inputs!$G$14))*$CK254*Availability)</f>
        <v xml:space="preserve"> </v>
      </c>
      <c r="BN254" s="221" t="str">
        <f t="shared" si="571"/>
        <v xml:space="preserve"> </v>
      </c>
      <c r="BO254" s="221" t="str">
        <f t="shared" si="572"/>
        <v xml:space="preserve"> </v>
      </c>
      <c r="BP254" s="221" t="str">
        <f t="shared" si="573"/>
        <v xml:space="preserve"> </v>
      </c>
      <c r="BQ254" s="221" t="str">
        <f t="shared" si="574"/>
        <v xml:space="preserve"> </v>
      </c>
      <c r="BR254" s="221" t="str">
        <f t="shared" si="575"/>
        <v xml:space="preserve"> </v>
      </c>
      <c r="BS254" s="221" t="str">
        <f t="shared" si="576"/>
        <v xml:space="preserve"> </v>
      </c>
      <c r="BT254" s="221" t="str">
        <f t="shared" si="577"/>
        <v xml:space="preserve"> </v>
      </c>
      <c r="BU254" s="221" t="str">
        <f t="shared" si="578"/>
        <v xml:space="preserve"> </v>
      </c>
      <c r="BV254" s="221" t="str">
        <f t="shared" si="579"/>
        <v xml:space="preserve"> </v>
      </c>
      <c r="BW254" s="221" t="str">
        <f t="shared" si="580"/>
        <v xml:space="preserve"> </v>
      </c>
      <c r="BX254" s="421" t="str">
        <f t="shared" si="581"/>
        <v xml:space="preserve"> </v>
      </c>
      <c r="BY254" s="417" t="str">
        <f t="shared" si="582"/>
        <v xml:space="preserve"> </v>
      </c>
      <c r="BZ254" s="417" t="str">
        <f t="shared" si="583"/>
        <v xml:space="preserve"> </v>
      </c>
      <c r="CA254" s="422" t="str">
        <f t="shared" si="584"/>
        <v xml:space="preserve"> </v>
      </c>
      <c r="CB254" s="347" t="str">
        <f t="shared" si="521"/>
        <v xml:space="preserve"> </v>
      </c>
      <c r="CC254" s="347" t="str">
        <f t="shared" si="585"/>
        <v xml:space="preserve"> </v>
      </c>
      <c r="CD254" s="348" t="str">
        <f t="shared" si="522"/>
        <v xml:space="preserve"> </v>
      </c>
      <c r="CE254" s="347" t="str">
        <f t="shared" si="523"/>
        <v xml:space="preserve"> </v>
      </c>
      <c r="CF254" s="347" t="str">
        <f t="shared" si="524"/>
        <v xml:space="preserve"> </v>
      </c>
      <c r="CG254" s="348" t="str">
        <f t="shared" si="525"/>
        <v xml:space="preserve"> </v>
      </c>
      <c r="CH254" s="347" t="str">
        <f t="shared" si="586"/>
        <v xml:space="preserve"> </v>
      </c>
      <c r="CI254" s="349" t="str">
        <f>IF($A254="N/A"," ",F254+G254+(D254*('Pricing Inputs'!T287)))</f>
        <v xml:space="preserve"> </v>
      </c>
      <c r="CJ254" s="347" t="str">
        <f>IF($A254="N/A"," ",IF(PV=1,0,'Pricing Inputs'!U287))</f>
        <v xml:space="preserve"> </v>
      </c>
      <c r="CK254" s="350" t="str">
        <f t="shared" si="526"/>
        <v xml:space="preserve"> </v>
      </c>
      <c r="CL254" s="365" t="str">
        <f t="shared" si="527"/>
        <v xml:space="preserve"> </v>
      </c>
      <c r="CM254" s="380" t="str">
        <f t="shared" si="587"/>
        <v xml:space="preserve"> </v>
      </c>
      <c r="CN254" s="378" t="str">
        <f t="shared" si="528"/>
        <v xml:space="preserve"> </v>
      </c>
      <c r="CO254" s="378" t="str">
        <f t="shared" si="529"/>
        <v xml:space="preserve"> </v>
      </c>
      <c r="CP254" s="378" t="str">
        <f t="shared" si="530"/>
        <v xml:space="preserve"> </v>
      </c>
      <c r="CQ254" s="378" t="str">
        <f t="shared" si="531"/>
        <v xml:space="preserve"> </v>
      </c>
      <c r="CR254" s="378" t="str">
        <f t="shared" si="532"/>
        <v xml:space="preserve"> </v>
      </c>
      <c r="CS254" s="378" t="str">
        <f t="shared" si="533"/>
        <v xml:space="preserve"> </v>
      </c>
      <c r="CT254" s="378" t="str">
        <f t="shared" si="534"/>
        <v xml:space="preserve"> </v>
      </c>
      <c r="CU254" s="378" t="str">
        <f t="shared" si="535"/>
        <v xml:space="preserve"> </v>
      </c>
      <c r="CV254" s="378" t="str">
        <f t="shared" si="536"/>
        <v xml:space="preserve"> </v>
      </c>
      <c r="CW254" s="254" t="str">
        <f t="shared" si="537"/>
        <v xml:space="preserve"> </v>
      </c>
      <c r="CX254" s="254" t="str">
        <f t="shared" si="538"/>
        <v xml:space="preserve"> </v>
      </c>
      <c r="CY254" s="254" t="str">
        <f t="shared" si="539"/>
        <v xml:space="preserve"> </v>
      </c>
      <c r="CZ254" s="254" t="str">
        <f t="shared" si="540"/>
        <v xml:space="preserve"> </v>
      </c>
      <c r="DA254" s="254" t="str">
        <f t="shared" si="541"/>
        <v xml:space="preserve"> </v>
      </c>
      <c r="DB254" s="254" t="str">
        <f t="shared" si="542"/>
        <v xml:space="preserve"> </v>
      </c>
      <c r="DC254" s="254" t="str">
        <f t="shared" si="543"/>
        <v xml:space="preserve"> </v>
      </c>
      <c r="DD254" s="254" t="str">
        <f t="shared" si="544"/>
        <v xml:space="preserve"> </v>
      </c>
      <c r="DE254" s="254" t="str">
        <f t="shared" si="545"/>
        <v xml:space="preserve"> </v>
      </c>
      <c r="DF254" s="374" t="str">
        <f>IF($A254="N/A"," ",IF(CC=2,(IF(MONTH(A254)&gt;=4,IF(MONTH(A254)&lt;=10,Inputs!$G$13,Inputs!$G$14),Inputs!$G$14))*$CK254,0))</f>
        <v xml:space="preserve"> </v>
      </c>
      <c r="DG254" s="373" t="str">
        <f t="shared" si="546"/>
        <v xml:space="preserve"> </v>
      </c>
      <c r="DH254" s="373" t="str">
        <f t="shared" si="547"/>
        <v xml:space="preserve"> </v>
      </c>
      <c r="DI254" s="373" t="str">
        <f t="shared" si="548"/>
        <v xml:space="preserve"> </v>
      </c>
      <c r="DJ254" s="373" t="str">
        <f t="shared" si="549"/>
        <v xml:space="preserve"> </v>
      </c>
      <c r="DK254" s="373" t="str">
        <f t="shared" si="550"/>
        <v xml:space="preserve"> </v>
      </c>
      <c r="DL254" s="373" t="str">
        <f t="shared" si="551"/>
        <v xml:space="preserve"> </v>
      </c>
      <c r="DM254" s="373" t="str">
        <f t="shared" si="552"/>
        <v xml:space="preserve"> </v>
      </c>
      <c r="DN254" s="373" t="str">
        <f t="shared" si="553"/>
        <v xml:space="preserve"> </v>
      </c>
      <c r="DO254" s="373" t="str">
        <f t="shared" si="554"/>
        <v xml:space="preserve"> </v>
      </c>
      <c r="DP254" s="375" t="str">
        <f t="shared" si="555"/>
        <v xml:space="preserve"> </v>
      </c>
      <c r="DQ254" t="str">
        <f t="shared" si="588"/>
        <v xml:space="preserve"> </v>
      </c>
      <c r="HD254" t="str">
        <f t="shared" si="589"/>
        <v xml:space="preserve"> </v>
      </c>
      <c r="HE254" t="str">
        <f t="shared" si="590"/>
        <v xml:space="preserve"> </v>
      </c>
      <c r="HF254" t="str">
        <f t="shared" si="591"/>
        <v xml:space="preserve"> </v>
      </c>
    </row>
    <row r="255" spans="1:214">
      <c r="A255" s="415" t="str">
        <f>IF(A254="N/A","N/A",IF(EDATE(A254,1)&gt;Inputs!$K$3,"N/A",EDATE(A254,1)))</f>
        <v>N/A</v>
      </c>
      <c r="B255" s="410" t="str">
        <f t="shared" si="556"/>
        <v xml:space="preserve"> </v>
      </c>
      <c r="C255" s="411" t="str">
        <f t="shared" si="557"/>
        <v xml:space="preserve"> </v>
      </c>
      <c r="D255" s="412" t="str">
        <f t="shared" si="558"/>
        <v xml:space="preserve"> </v>
      </c>
      <c r="E255" s="413" t="str">
        <f>IF($A255="N/A"," ",(C255-'Pricing Inputs'!T288)*D255)</f>
        <v xml:space="preserve"> </v>
      </c>
      <c r="F255" s="414" t="str">
        <f t="shared" si="607"/>
        <v xml:space="preserve"> </v>
      </c>
      <c r="G255" s="414" t="str">
        <f t="shared" si="559"/>
        <v xml:space="preserve"> </v>
      </c>
      <c r="H255" s="416" t="str">
        <f t="shared" si="560"/>
        <v xml:space="preserve"> </v>
      </c>
      <c r="I255" s="213" t="str">
        <f t="shared" si="501"/>
        <v xml:space="preserve"> </v>
      </c>
      <c r="J255" s="213" t="str">
        <f t="shared" si="502"/>
        <v xml:space="preserve"> </v>
      </c>
      <c r="K255" s="213" t="str">
        <f t="shared" si="503"/>
        <v xml:space="preserve"> </v>
      </c>
      <c r="L255" s="213" t="str">
        <f t="shared" si="504"/>
        <v xml:space="preserve"> </v>
      </c>
      <c r="M255" s="213" t="str">
        <f t="shared" si="505"/>
        <v xml:space="preserve"> </v>
      </c>
      <c r="N255" s="213" t="str">
        <f t="shared" si="506"/>
        <v xml:space="preserve"> </v>
      </c>
      <c r="O255" s="213" t="str">
        <f t="shared" si="507"/>
        <v xml:space="preserve"> </v>
      </c>
      <c r="P255" s="213" t="str">
        <f t="shared" si="508"/>
        <v xml:space="preserve"> </v>
      </c>
      <c r="Q255" s="213" t="str">
        <f t="shared" si="509"/>
        <v xml:space="preserve"> </v>
      </c>
      <c r="R255" s="405" t="str">
        <f>IF($A255="N/A"," ",IF(Pricetype=2,MAX(I255-$H255,0),IF(Pricetype=1,(_xll.xSPRDOPT(I255,$E255,$CI255,0,($CD255+IF(Smile=TRUE,VLOOKUP(MAX(-5,$H255-I255),Volsmile,2),0)),$CG255,$CH255,($A255-DateToday)+15,1,0)),I255-$H255)))</f>
        <v xml:space="preserve"> </v>
      </c>
      <c r="S255" s="405" t="str">
        <f>IF($A255="N/A"," ",IF(Pricetype=2,MAX(J255-$H255,0),IF(Pricetype=1,(_xll.xSPRDOPT(J255,$E255,$CI255,0,($CD255+IF(Smile=TRUE,VLOOKUP(MAX(-5,$H255-J255),Volsmile,2),0)),$CG255,$CH255,($A255-DateToday)+15,1,0)),J255-$H255)))</f>
        <v xml:space="preserve"> </v>
      </c>
      <c r="T255" s="406" t="str">
        <f t="shared" si="510"/>
        <v xml:space="preserve"> </v>
      </c>
      <c r="U255" s="405" t="str">
        <f>IF($A255="N/A"," ",IF(Pricetype=2,MAX(L255-$H255,0),IF(L255&lt;&gt;0,IF(Pricetype=1,(_xll.xSPRDOPT(L255,$E255,$CI255,0,($CD255+IF(Smile=TRUE,VLOOKUP(MAX(-5,$H255-L255),Volsmile,2),0)),$CG255,$CH255,($A255-DateToday)+15,1,0)),L255-$H255),0)))</f>
        <v xml:space="preserve"> </v>
      </c>
      <c r="V255" s="405" t="str">
        <f>IF($A255="N/A"," ",IF(Pricetype=2,MAX(M255-$H255,0),IF(M255&lt;&gt;0,IF(Pricetype=1,(_xll.xSPRDOPT(M255,$E255,$CI255,0,($CD255+IF(Smile=TRUE,VLOOKUP(MAX(-5,$H255-M255),Volsmile,2),0)),$CG255,$CH255,($A255-DateToday)+15,1,0)),M255-$H255),0)))</f>
        <v xml:space="preserve"> </v>
      </c>
      <c r="W255" s="406" t="str">
        <f t="shared" si="511"/>
        <v xml:space="preserve"> </v>
      </c>
      <c r="X255" s="405" t="str">
        <f>IF($A255="N/A"," ",IF(Pricetype=2,MAX(O255-$H255,0),IF(O255&lt;&gt;0,IF(Pricetype=1,(_xll.xSPRDOPT(O255,$E255,$CI255,0,($CD255+IF(Smile=TRUE,VLOOKUP(MAX(-5,$H255-O255),Volsmile,2),0)),$CG255,$CH255,($A255-DateToday)+15,1,0)),O255-$H255),0)))</f>
        <v xml:space="preserve"> </v>
      </c>
      <c r="Y255" s="405" t="str">
        <f>IF($A255="N/A"," ",IF(Pricetype=2,MAX(P255-$H255,0),IF(P255&lt;&gt;0,IF(Pricetype=1,(_xll.xSPRDOPT(P255,$E255,$CI255,0,($CD255+IF(Smile=TRUE,VLOOKUP(MAX(-5,$H255-P255),Volsmile,2),0)),$CG255,$CH255,($A255-DateToday)+15,1,0)),P255-$H255),0)))</f>
        <v xml:space="preserve"> </v>
      </c>
      <c r="Z255" s="406" t="str">
        <f t="shared" si="512"/>
        <v xml:space="preserve"> </v>
      </c>
      <c r="AA255" s="254" t="str">
        <f>IF($A255="N/A"," ",IF(VLOOKUP(MONTH(A255),ManualTable,2)=1,(IF(0&lt;&gt;R255,IF(Pricetype=1,(_xll.xSPRDOPT(I255,$E255,$CI255,0,($CD255+IF(Smile=TRUE,VLOOKUP(MAX(-5,$H255-I255),Volsmile,2),0)),$CG255,$CH255,($A255-DateToday)+15,1,1))*(8*$HD255),8*$HD255),0)),0))</f>
        <v xml:space="preserve"> </v>
      </c>
      <c r="AB255" s="254" t="str">
        <f>IF($A255="N/A"," ",IF(VLOOKUP(MONTH(A255),ManualTable,3)=1,(IF(S255&lt;&gt;0,IF(Pricetype=1,(_xll.xSPRDOPT(J255,$E255,$CI255,0,($CD255+IF(Smile=TRUE,VLOOKUP(MAX(-5,$H255-J255),Volsmile,2),0)),$CG255,$CH255,($A255-DateToday)+15,1,1))*(8*$HD255),8*$HD255),0)),0))</f>
        <v xml:space="preserve"> </v>
      </c>
      <c r="AC255" s="254" t="str">
        <f t="shared" si="561"/>
        <v xml:space="preserve"> </v>
      </c>
      <c r="AD255" s="254" t="str">
        <f>IF($A255="N/A"," ",IF(VLOOKUP(MONTH(A255),ManualTable,5)=1,(IF(U255&lt;&gt;0,IF(Pricetype=1,(_xll.xSPRDOPT(L255,$E255,$CI255,0,($CD255+IF(Smile=TRUE,VLOOKUP(MAX(-5,$H255-L255),Volsmile,2),0)),$CG255,$CH255,($A255-DateToday)+15,1,1))*(8*$HE255),8*$HE255),0)),0))</f>
        <v xml:space="preserve"> </v>
      </c>
      <c r="AE255" s="254" t="str">
        <f>IF($A255="N/A"," ",IF(VLOOKUP(MONTH(A255),ManualTable,6)=1,(IF(V255&lt;&gt;0,IF(Pricetype=1,(_xll.xSPRDOPT(M255,$E255,$CI255,0,($CD255+IF(Smile=TRUE,VLOOKUP(MAX(-5,$H255-M255),Volsmile,2),0)),$CG255,$CH255,($A255-DateToday)+15,1,1))*(8*$HE255),8*$HE255),0)),0))</f>
        <v xml:space="preserve"> </v>
      </c>
      <c r="AF255" s="254" t="str">
        <f t="shared" si="562"/>
        <v xml:space="preserve"> </v>
      </c>
      <c r="AG255" s="254" t="str">
        <f>IF($A255="N/A"," ",IF(VLOOKUP(MONTH(A255),ManualTable,8)=1,(IF(X255&lt;&gt;0,IF(Pricetype=1,(_xll.xSPRDOPT(O255,$E255,$CI255,0,($CD255+IF(Smile=TRUE,VLOOKUP(MAX(-5,$H255-O255),Volsmile,2),0)),$CG255,$CH255,($A255-DateToday)+15,1,1))*(8*$HF255),8*$HF255),0)),0))</f>
        <v xml:space="preserve"> </v>
      </c>
      <c r="AH255" s="254" t="str">
        <f>IF($A255="N/A"," ",IF(VLOOKUP(MONTH(A255),ManualTable,9)=1,(IF(Y255&lt;&gt;0,IF(Pricetype=1,(_xll.xSPRDOPT(P255,$E255,$CI255,0,($CD255+IF(Smile=TRUE,VLOOKUP(MAX(-5,$H255-P255),Volsmile,2),0)),$CG255,$CH255,($A255-DateToday)+15,1,1))*(8*$HF255),8*$HF255),0)),0))</f>
        <v xml:space="preserve"> </v>
      </c>
      <c r="AI255" s="254" t="str">
        <f t="shared" si="563"/>
        <v xml:space="preserve"> </v>
      </c>
      <c r="AJ255" s="230" t="str">
        <f t="shared" si="653"/>
        <v xml:space="preserve"> </v>
      </c>
      <c r="AK255" s="231" t="str">
        <f t="shared" si="654"/>
        <v xml:space="preserve"> </v>
      </c>
      <c r="AL255" s="231" t="str">
        <f t="shared" si="654"/>
        <v xml:space="preserve"> </v>
      </c>
      <c r="AM255" s="231" t="str">
        <f t="shared" si="655"/>
        <v xml:space="preserve"> </v>
      </c>
      <c r="AN255" s="231" t="str">
        <f t="shared" si="656"/>
        <v xml:space="preserve"> </v>
      </c>
      <c r="AO255" s="231" t="str">
        <f t="shared" si="656"/>
        <v xml:space="preserve"> </v>
      </c>
      <c r="AP255" s="231" t="str">
        <f t="shared" si="657"/>
        <v xml:space="preserve"> </v>
      </c>
      <c r="AQ255" s="231" t="str">
        <f t="shared" si="658"/>
        <v xml:space="preserve"> </v>
      </c>
      <c r="AR255" s="232" t="str">
        <f t="shared" si="659"/>
        <v xml:space="preserve"> </v>
      </c>
      <c r="AS255" s="264" t="str">
        <f t="shared" si="593"/>
        <v xml:space="preserve"> </v>
      </c>
      <c r="AT255" s="265" t="str">
        <f t="shared" si="594"/>
        <v xml:space="preserve"> </v>
      </c>
      <c r="AU255" s="265" t="str">
        <f t="shared" si="594"/>
        <v xml:space="preserve"> </v>
      </c>
      <c r="AV255" s="265" t="str">
        <f t="shared" si="595"/>
        <v xml:space="preserve"> </v>
      </c>
      <c r="AW255" s="265" t="str">
        <f t="shared" si="596"/>
        <v xml:space="preserve"> </v>
      </c>
      <c r="AX255" s="265" t="str">
        <f t="shared" si="596"/>
        <v xml:space="preserve"> </v>
      </c>
      <c r="AY255" s="265" t="str">
        <f t="shared" si="597"/>
        <v xml:space="preserve"> </v>
      </c>
      <c r="AZ255" s="265" t="str">
        <f t="shared" si="598"/>
        <v xml:space="preserve"> </v>
      </c>
      <c r="BA255" s="265" t="str">
        <f t="shared" si="599"/>
        <v xml:space="preserve"> </v>
      </c>
      <c r="BB255" s="232">
        <f>IF(($AZ$2-BB254)&gt;=0,$AZ$2-BB254,0)</f>
        <v>980</v>
      </c>
      <c r="BC255" s="270" t="str">
        <f t="shared" si="646"/>
        <v xml:space="preserve"> </v>
      </c>
      <c r="BD255" s="271" t="str">
        <f t="shared" si="647"/>
        <v xml:space="preserve"> </v>
      </c>
      <c r="BE255" s="271" t="str">
        <f t="shared" si="647"/>
        <v xml:space="preserve"> </v>
      </c>
      <c r="BF255" s="271" t="str">
        <f t="shared" si="648"/>
        <v xml:space="preserve"> </v>
      </c>
      <c r="BG255" s="271" t="str">
        <f t="shared" si="649"/>
        <v xml:space="preserve"> </v>
      </c>
      <c r="BH255" s="271" t="str">
        <f t="shared" si="649"/>
        <v xml:space="preserve"> </v>
      </c>
      <c r="BI255" s="271" t="str">
        <f t="shared" si="650"/>
        <v xml:space="preserve"> </v>
      </c>
      <c r="BJ255" s="271" t="str">
        <f t="shared" si="651"/>
        <v xml:space="preserve"> </v>
      </c>
      <c r="BK255" s="271" t="str">
        <f t="shared" si="652"/>
        <v xml:space="preserve"> </v>
      </c>
      <c r="BL255" s="235">
        <f>BB254+BL254</f>
        <v>0</v>
      </c>
      <c r="BM255" s="220" t="str">
        <f>IF($A255="N/A"," ",(IF(MONTH(A255)&gt;=4,IF(MONTH(A255)&lt;=10,Inputs!$F$13-Inputs!$G$13,Inputs!$F$14-Inputs!$G$14),Inputs!$F$14-Inputs!$G$14))*$CK255*Availability)</f>
        <v xml:space="preserve"> </v>
      </c>
      <c r="BN255" s="221" t="str">
        <f t="shared" si="571"/>
        <v xml:space="preserve"> </v>
      </c>
      <c r="BO255" s="221" t="str">
        <f t="shared" si="572"/>
        <v xml:space="preserve"> </v>
      </c>
      <c r="BP255" s="221" t="str">
        <f t="shared" si="573"/>
        <v xml:space="preserve"> </v>
      </c>
      <c r="BQ255" s="221" t="str">
        <f t="shared" si="574"/>
        <v xml:space="preserve"> </v>
      </c>
      <c r="BR255" s="221" t="str">
        <f t="shared" si="575"/>
        <v xml:space="preserve"> </v>
      </c>
      <c r="BS255" s="221" t="str">
        <f t="shared" si="576"/>
        <v xml:space="preserve"> </v>
      </c>
      <c r="BT255" s="221" t="str">
        <f t="shared" si="577"/>
        <v xml:space="preserve"> </v>
      </c>
      <c r="BU255" s="221" t="str">
        <f t="shared" si="578"/>
        <v xml:space="preserve"> </v>
      </c>
      <c r="BV255" s="221" t="str">
        <f t="shared" si="579"/>
        <v xml:space="preserve"> </v>
      </c>
      <c r="BW255" s="221" t="str">
        <f t="shared" si="580"/>
        <v xml:space="preserve"> </v>
      </c>
      <c r="BX255" s="421" t="str">
        <f t="shared" si="581"/>
        <v xml:space="preserve"> </v>
      </c>
      <c r="BY255" s="417" t="str">
        <f t="shared" si="582"/>
        <v xml:space="preserve"> </v>
      </c>
      <c r="BZ255" s="417" t="str">
        <f t="shared" si="583"/>
        <v xml:space="preserve"> </v>
      </c>
      <c r="CA255" s="422" t="str">
        <f t="shared" si="584"/>
        <v xml:space="preserve"> </v>
      </c>
      <c r="CB255" s="347" t="str">
        <f t="shared" si="521"/>
        <v xml:space="preserve"> </v>
      </c>
      <c r="CC255" s="347" t="str">
        <f t="shared" si="585"/>
        <v xml:space="preserve"> </v>
      </c>
      <c r="CD255" s="348" t="str">
        <f t="shared" si="522"/>
        <v xml:space="preserve"> </v>
      </c>
      <c r="CE255" s="347" t="str">
        <f t="shared" si="523"/>
        <v xml:space="preserve"> </v>
      </c>
      <c r="CF255" s="347" t="str">
        <f t="shared" si="524"/>
        <v xml:space="preserve"> </v>
      </c>
      <c r="CG255" s="348" t="str">
        <f t="shared" si="525"/>
        <v xml:space="preserve"> </v>
      </c>
      <c r="CH255" s="347" t="str">
        <f t="shared" si="586"/>
        <v xml:space="preserve"> </v>
      </c>
      <c r="CI255" s="349" t="str">
        <f>IF($A255="N/A"," ",F255+G255+(D255*('Pricing Inputs'!T288)))</f>
        <v xml:space="preserve"> </v>
      </c>
      <c r="CJ255" s="347" t="str">
        <f>IF($A255="N/A"," ",IF(PV=1,0,'Pricing Inputs'!U288))</f>
        <v xml:space="preserve"> </v>
      </c>
      <c r="CK255" s="350" t="str">
        <f t="shared" si="526"/>
        <v xml:space="preserve"> </v>
      </c>
      <c r="CL255" s="365" t="str">
        <f t="shared" si="527"/>
        <v xml:space="preserve"> </v>
      </c>
      <c r="CM255" s="380" t="str">
        <f t="shared" si="587"/>
        <v xml:space="preserve"> </v>
      </c>
      <c r="CN255" s="378" t="str">
        <f t="shared" si="528"/>
        <v xml:space="preserve"> </v>
      </c>
      <c r="CO255" s="378" t="str">
        <f t="shared" si="529"/>
        <v xml:space="preserve"> </v>
      </c>
      <c r="CP255" s="378" t="str">
        <f t="shared" si="530"/>
        <v xml:space="preserve"> </v>
      </c>
      <c r="CQ255" s="378" t="str">
        <f t="shared" si="531"/>
        <v xml:space="preserve"> </v>
      </c>
      <c r="CR255" s="378" t="str">
        <f t="shared" si="532"/>
        <v xml:space="preserve"> </v>
      </c>
      <c r="CS255" s="378" t="str">
        <f t="shared" si="533"/>
        <v xml:space="preserve"> </v>
      </c>
      <c r="CT255" s="378" t="str">
        <f t="shared" si="534"/>
        <v xml:space="preserve"> </v>
      </c>
      <c r="CU255" s="378" t="str">
        <f t="shared" si="535"/>
        <v xml:space="preserve"> </v>
      </c>
      <c r="CV255" s="378" t="str">
        <f t="shared" si="536"/>
        <v xml:space="preserve"> </v>
      </c>
      <c r="CW255" s="254" t="str">
        <f t="shared" si="537"/>
        <v xml:space="preserve"> </v>
      </c>
      <c r="CX255" s="254" t="str">
        <f t="shared" si="538"/>
        <v xml:space="preserve"> </v>
      </c>
      <c r="CY255" s="254" t="str">
        <f t="shared" si="539"/>
        <v xml:space="preserve"> </v>
      </c>
      <c r="CZ255" s="254" t="str">
        <f t="shared" si="540"/>
        <v xml:space="preserve"> </v>
      </c>
      <c r="DA255" s="254" t="str">
        <f t="shared" si="541"/>
        <v xml:space="preserve"> </v>
      </c>
      <c r="DB255" s="254" t="str">
        <f t="shared" si="542"/>
        <v xml:space="preserve"> </v>
      </c>
      <c r="DC255" s="254" t="str">
        <f t="shared" si="543"/>
        <v xml:space="preserve"> </v>
      </c>
      <c r="DD255" s="254" t="str">
        <f t="shared" si="544"/>
        <v xml:space="preserve"> </v>
      </c>
      <c r="DE255" s="254" t="str">
        <f t="shared" si="545"/>
        <v xml:space="preserve"> </v>
      </c>
      <c r="DF255" s="374" t="str">
        <f>IF($A255="N/A"," ",IF(CC=2,(IF(MONTH(A255)&gt;=4,IF(MONTH(A255)&lt;=10,Inputs!$G$13,Inputs!$G$14),Inputs!$G$14))*$CK255,0))</f>
        <v xml:space="preserve"> </v>
      </c>
      <c r="DG255" s="373" t="str">
        <f t="shared" si="546"/>
        <v xml:space="preserve"> </v>
      </c>
      <c r="DH255" s="373" t="str">
        <f t="shared" si="547"/>
        <v xml:space="preserve"> </v>
      </c>
      <c r="DI255" s="373" t="str">
        <f t="shared" si="548"/>
        <v xml:space="preserve"> </v>
      </c>
      <c r="DJ255" s="373" t="str">
        <f t="shared" si="549"/>
        <v xml:space="preserve"> </v>
      </c>
      <c r="DK255" s="373" t="str">
        <f t="shared" si="550"/>
        <v xml:space="preserve"> </v>
      </c>
      <c r="DL255" s="373" t="str">
        <f t="shared" si="551"/>
        <v xml:space="preserve"> </v>
      </c>
      <c r="DM255" s="373" t="str">
        <f t="shared" si="552"/>
        <v xml:space="preserve"> </v>
      </c>
      <c r="DN255" s="373" t="str">
        <f t="shared" si="553"/>
        <v xml:space="preserve"> </v>
      </c>
      <c r="DO255" s="373" t="str">
        <f t="shared" si="554"/>
        <v xml:space="preserve"> </v>
      </c>
      <c r="DP255" s="375" t="str">
        <f t="shared" si="555"/>
        <v xml:space="preserve"> </v>
      </c>
      <c r="DQ255" t="str">
        <f t="shared" si="588"/>
        <v xml:space="preserve"> </v>
      </c>
      <c r="HD255" t="str">
        <f t="shared" si="589"/>
        <v xml:space="preserve"> </v>
      </c>
      <c r="HE255" t="str">
        <f t="shared" si="590"/>
        <v xml:space="preserve"> </v>
      </c>
      <c r="HF255" t="str">
        <f t="shared" si="591"/>
        <v xml:space="preserve"> </v>
      </c>
    </row>
    <row r="256" spans="1:214">
      <c r="A256" s="175"/>
      <c r="B256" s="175"/>
      <c r="P256" s="4"/>
      <c r="Q256" s="214"/>
      <c r="CL256" s="379"/>
      <c r="CM256" s="194"/>
      <c r="CN256" s="194"/>
      <c r="CO256" s="194"/>
      <c r="CP256" s="194"/>
      <c r="CQ256" s="194"/>
      <c r="CR256" s="194"/>
      <c r="CS256" s="194"/>
      <c r="CT256" s="194"/>
      <c r="CU256" s="194"/>
      <c r="CV256" s="194"/>
    </row>
    <row r="257" spans="1:100">
      <c r="A257" s="175"/>
      <c r="B257" s="175"/>
      <c r="P257" s="4"/>
      <c r="Q257" s="214"/>
      <c r="CL257" s="379"/>
      <c r="CM257" s="194"/>
      <c r="CN257" s="194"/>
      <c r="CO257" s="194"/>
      <c r="CP257" s="194"/>
      <c r="CQ257" s="194"/>
      <c r="CR257" s="194"/>
      <c r="CS257" s="194"/>
      <c r="CT257" s="194"/>
      <c r="CU257" s="194"/>
      <c r="CV257" s="194"/>
    </row>
    <row r="258" spans="1:100">
      <c r="A258" s="175"/>
      <c r="B258" s="175"/>
      <c r="P258" s="4"/>
      <c r="Q258" s="214"/>
      <c r="CL258" s="379"/>
      <c r="CM258" s="194"/>
      <c r="CN258" s="194"/>
      <c r="CO258" s="194"/>
      <c r="CP258" s="194"/>
      <c r="CQ258" s="194"/>
      <c r="CR258" s="194"/>
      <c r="CS258" s="194"/>
      <c r="CT258" s="194"/>
      <c r="CU258" s="194"/>
      <c r="CV258" s="194"/>
    </row>
    <row r="259" spans="1:100">
      <c r="A259" s="175"/>
      <c r="B259" s="175"/>
      <c r="P259" s="4"/>
      <c r="Q259" s="214"/>
      <c r="CL259" s="379"/>
      <c r="CM259" s="194"/>
      <c r="CN259" s="194"/>
      <c r="CO259" s="194"/>
      <c r="CP259" s="194"/>
      <c r="CQ259" s="194"/>
      <c r="CR259" s="194"/>
      <c r="CS259" s="194"/>
      <c r="CT259" s="194"/>
      <c r="CU259" s="194"/>
      <c r="CV259" s="194"/>
    </row>
    <row r="260" spans="1:100">
      <c r="A260" s="175"/>
      <c r="B260" s="175"/>
      <c r="P260" s="4"/>
      <c r="Q260" s="214"/>
      <c r="CL260" s="379"/>
      <c r="CM260" s="194"/>
      <c r="CN260" s="194"/>
      <c r="CO260" s="194"/>
      <c r="CP260" s="194"/>
      <c r="CQ260" s="194"/>
      <c r="CR260" s="194"/>
      <c r="CS260" s="194"/>
      <c r="CT260" s="194"/>
      <c r="CU260" s="194"/>
      <c r="CV260" s="194"/>
    </row>
    <row r="261" spans="1:100">
      <c r="A261" s="175"/>
      <c r="B261" s="175"/>
      <c r="P261" s="4"/>
      <c r="Q261" s="214"/>
      <c r="CL261" s="379"/>
      <c r="CM261" s="194"/>
      <c r="CN261" s="194"/>
      <c r="CO261" s="194"/>
      <c r="CP261" s="194"/>
      <c r="CQ261" s="194"/>
      <c r="CR261" s="194"/>
      <c r="CS261" s="194"/>
      <c r="CT261" s="194"/>
      <c r="CU261" s="194"/>
      <c r="CV261" s="194"/>
    </row>
    <row r="262" spans="1:100">
      <c r="A262" s="175"/>
      <c r="B262" s="175"/>
      <c r="P262" s="4"/>
      <c r="Q262" s="214"/>
      <c r="CL262" s="379"/>
      <c r="CM262" s="194"/>
      <c r="CN262" s="194"/>
      <c r="CO262" s="194"/>
      <c r="CP262" s="194"/>
      <c r="CQ262" s="194"/>
      <c r="CR262" s="194"/>
      <c r="CS262" s="194"/>
      <c r="CT262" s="194"/>
      <c r="CU262" s="194"/>
      <c r="CV262" s="194"/>
    </row>
    <row r="263" spans="1:100">
      <c r="A263" s="175"/>
      <c r="B263" s="175"/>
      <c r="P263" s="4"/>
      <c r="Q263" s="214"/>
      <c r="CL263" s="379"/>
      <c r="CM263" s="194"/>
      <c r="CN263" s="194"/>
      <c r="CO263" s="194"/>
      <c r="CP263" s="194"/>
      <c r="CQ263" s="194"/>
      <c r="CR263" s="194"/>
      <c r="CS263" s="194"/>
      <c r="CT263" s="194"/>
      <c r="CU263" s="194"/>
      <c r="CV263" s="194"/>
    </row>
    <row r="264" spans="1:100">
      <c r="A264" s="175"/>
      <c r="B264" s="175"/>
      <c r="P264" s="4"/>
      <c r="Q264" s="214"/>
      <c r="CL264" s="379"/>
      <c r="CM264" s="194"/>
      <c r="CN264" s="194"/>
      <c r="CO264" s="194"/>
      <c r="CP264" s="194"/>
      <c r="CQ264" s="194"/>
      <c r="CR264" s="194"/>
      <c r="CS264" s="194"/>
      <c r="CT264" s="194"/>
      <c r="CU264" s="194"/>
      <c r="CV264" s="194"/>
    </row>
    <row r="265" spans="1:100">
      <c r="A265" s="175"/>
      <c r="B265" s="175"/>
      <c r="P265" s="4"/>
      <c r="Q265" s="214"/>
      <c r="CL265" s="379"/>
      <c r="CM265" s="194"/>
      <c r="CN265" s="194"/>
      <c r="CO265" s="194"/>
      <c r="CP265" s="194"/>
      <c r="CQ265" s="194"/>
      <c r="CR265" s="194"/>
      <c r="CS265" s="194"/>
      <c r="CT265" s="194"/>
      <c r="CU265" s="194"/>
      <c r="CV265" s="194"/>
    </row>
    <row r="266" spans="1:100">
      <c r="A266" s="175"/>
      <c r="B266" s="175"/>
      <c r="P266" s="4"/>
      <c r="Q266" s="214"/>
      <c r="CL266" s="379"/>
      <c r="CM266" s="194"/>
      <c r="CN266" s="194"/>
      <c r="CO266" s="194"/>
      <c r="CP266" s="194"/>
      <c r="CQ266" s="194"/>
      <c r="CR266" s="194"/>
      <c r="CS266" s="194"/>
      <c r="CT266" s="194"/>
      <c r="CU266" s="194"/>
      <c r="CV266" s="194"/>
    </row>
    <row r="267" spans="1:100">
      <c r="A267" s="175"/>
      <c r="B267" s="175"/>
      <c r="P267" s="4"/>
      <c r="Q267" s="214"/>
      <c r="CL267" s="379"/>
      <c r="CM267" s="194"/>
      <c r="CN267" s="194"/>
      <c r="CO267" s="194"/>
      <c r="CP267" s="194"/>
      <c r="CQ267" s="194"/>
      <c r="CR267" s="194"/>
      <c r="CS267" s="194"/>
      <c r="CT267" s="194"/>
      <c r="CU267" s="194"/>
      <c r="CV267" s="194"/>
    </row>
    <row r="268" spans="1:100">
      <c r="A268" s="175"/>
      <c r="B268" s="175"/>
      <c r="P268" s="4"/>
      <c r="Q268" s="214"/>
      <c r="CL268" s="379"/>
      <c r="CM268" s="194"/>
      <c r="CN268" s="194"/>
      <c r="CO268" s="194"/>
      <c r="CP268" s="194"/>
      <c r="CQ268" s="194"/>
      <c r="CR268" s="194"/>
      <c r="CS268" s="194"/>
      <c r="CT268" s="194"/>
      <c r="CU268" s="194"/>
      <c r="CV268" s="194"/>
    </row>
    <row r="269" spans="1:100">
      <c r="A269" s="175"/>
      <c r="B269" s="175"/>
      <c r="P269" s="4"/>
      <c r="Q269" s="214"/>
      <c r="CL269" s="379"/>
      <c r="CM269" s="194"/>
      <c r="CN269" s="194"/>
      <c r="CO269" s="194"/>
      <c r="CP269" s="194"/>
      <c r="CQ269" s="194"/>
      <c r="CR269" s="194"/>
      <c r="CS269" s="194"/>
      <c r="CT269" s="194"/>
      <c r="CU269" s="194"/>
      <c r="CV269" s="194"/>
    </row>
    <row r="270" spans="1:100">
      <c r="A270" s="175"/>
      <c r="B270" s="175"/>
      <c r="P270" s="4"/>
      <c r="Q270" s="214"/>
      <c r="CL270" s="379"/>
      <c r="CM270" s="194"/>
      <c r="CN270" s="194"/>
      <c r="CO270" s="194"/>
      <c r="CP270" s="194"/>
      <c r="CQ270" s="194"/>
      <c r="CR270" s="194"/>
      <c r="CS270" s="194"/>
      <c r="CT270" s="194"/>
      <c r="CU270" s="194"/>
      <c r="CV270" s="194"/>
    </row>
    <row r="271" spans="1:100">
      <c r="A271" s="175"/>
      <c r="B271" s="175"/>
      <c r="P271" s="4"/>
      <c r="Q271" s="214"/>
      <c r="CL271" s="379"/>
      <c r="CM271" s="194"/>
      <c r="CN271" s="194"/>
      <c r="CO271" s="194"/>
      <c r="CP271" s="194"/>
      <c r="CQ271" s="194"/>
      <c r="CR271" s="194"/>
      <c r="CS271" s="194"/>
      <c r="CT271" s="194"/>
      <c r="CU271" s="194"/>
      <c r="CV271" s="194"/>
    </row>
    <row r="272" spans="1:100">
      <c r="A272" s="175"/>
      <c r="B272" s="175"/>
      <c r="P272" s="4"/>
      <c r="Q272" s="214"/>
      <c r="CL272" s="379"/>
      <c r="CM272" s="194"/>
      <c r="CN272" s="194"/>
      <c r="CO272" s="194"/>
      <c r="CP272" s="194"/>
      <c r="CQ272" s="194"/>
      <c r="CR272" s="194"/>
      <c r="CS272" s="194"/>
      <c r="CT272" s="194"/>
      <c r="CU272" s="194"/>
      <c r="CV272" s="194"/>
    </row>
    <row r="273" spans="1:100">
      <c r="A273" s="175"/>
      <c r="B273" s="175"/>
      <c r="P273" s="4"/>
      <c r="Q273" s="214"/>
      <c r="CL273" s="379"/>
      <c r="CM273" s="194"/>
      <c r="CN273" s="194"/>
      <c r="CO273" s="194"/>
      <c r="CP273" s="194"/>
      <c r="CQ273" s="194"/>
      <c r="CR273" s="194"/>
      <c r="CS273" s="194"/>
      <c r="CT273" s="194"/>
      <c r="CU273" s="194"/>
      <c r="CV273" s="194"/>
    </row>
    <row r="274" spans="1:100">
      <c r="A274" s="175"/>
      <c r="B274" s="175"/>
      <c r="P274" s="4"/>
      <c r="Q274" s="214"/>
      <c r="CL274" s="379"/>
      <c r="CM274" s="194"/>
      <c r="CN274" s="194"/>
      <c r="CO274" s="194"/>
      <c r="CP274" s="194"/>
      <c r="CQ274" s="194"/>
      <c r="CR274" s="194"/>
      <c r="CS274" s="194"/>
      <c r="CT274" s="194"/>
      <c r="CU274" s="194"/>
      <c r="CV274" s="194"/>
    </row>
    <row r="275" spans="1:100">
      <c r="A275" s="175"/>
      <c r="B275" s="175"/>
      <c r="P275" s="4"/>
      <c r="Q275" s="214"/>
      <c r="CL275" s="379"/>
      <c r="CM275" s="194"/>
      <c r="CN275" s="194"/>
      <c r="CO275" s="194"/>
      <c r="CP275" s="194"/>
      <c r="CQ275" s="194"/>
      <c r="CR275" s="194"/>
      <c r="CS275" s="194"/>
      <c r="CT275" s="194"/>
      <c r="CU275" s="194"/>
      <c r="CV275" s="194"/>
    </row>
    <row r="276" spans="1:100">
      <c r="A276" s="175"/>
      <c r="B276" s="175"/>
      <c r="P276" s="4"/>
      <c r="Q276" s="214"/>
      <c r="CL276" s="379"/>
      <c r="CM276" s="194"/>
      <c r="CN276" s="194"/>
      <c r="CO276" s="194"/>
      <c r="CP276" s="194"/>
      <c r="CQ276" s="194"/>
      <c r="CR276" s="194"/>
      <c r="CS276" s="194"/>
      <c r="CT276" s="194"/>
      <c r="CU276" s="194"/>
      <c r="CV276" s="194"/>
    </row>
    <row r="277" spans="1:100">
      <c r="A277" s="175"/>
      <c r="B277" s="175"/>
      <c r="P277" s="4"/>
      <c r="Q277" s="214"/>
      <c r="CL277" s="379"/>
      <c r="CM277" s="194"/>
      <c r="CN277" s="194"/>
      <c r="CO277" s="194"/>
      <c r="CP277" s="194"/>
      <c r="CQ277" s="194"/>
      <c r="CR277" s="194"/>
      <c r="CS277" s="194"/>
      <c r="CT277" s="194"/>
      <c r="CU277" s="194"/>
      <c r="CV277" s="194"/>
    </row>
    <row r="278" spans="1:100">
      <c r="A278" s="175"/>
      <c r="B278" s="175"/>
      <c r="P278" s="4"/>
      <c r="Q278" s="214"/>
      <c r="CL278" s="379"/>
      <c r="CM278" s="194"/>
      <c r="CN278" s="194"/>
      <c r="CO278" s="194"/>
      <c r="CP278" s="194"/>
      <c r="CQ278" s="194"/>
      <c r="CR278" s="194"/>
      <c r="CS278" s="194"/>
      <c r="CT278" s="194"/>
      <c r="CU278" s="194"/>
      <c r="CV278" s="194"/>
    </row>
    <row r="279" spans="1:100">
      <c r="A279" s="175"/>
      <c r="B279" s="175"/>
      <c r="P279" s="4"/>
      <c r="Q279" s="214"/>
      <c r="CL279" s="379"/>
      <c r="CM279" s="194"/>
      <c r="CN279" s="194"/>
      <c r="CO279" s="194"/>
      <c r="CP279" s="194"/>
      <c r="CQ279" s="194"/>
      <c r="CR279" s="194"/>
      <c r="CS279" s="194"/>
      <c r="CT279" s="194"/>
      <c r="CU279" s="194"/>
      <c r="CV279" s="194"/>
    </row>
    <row r="280" spans="1:100">
      <c r="A280" s="175"/>
      <c r="B280" s="175"/>
      <c r="P280" s="4"/>
      <c r="Q280" s="214"/>
      <c r="CL280" s="379"/>
      <c r="CM280" s="194"/>
      <c r="CN280" s="194"/>
      <c r="CO280" s="194"/>
      <c r="CP280" s="194"/>
      <c r="CQ280" s="194"/>
      <c r="CR280" s="194"/>
      <c r="CS280" s="194"/>
      <c r="CT280" s="194"/>
      <c r="CU280" s="194"/>
      <c r="CV280" s="194"/>
    </row>
    <row r="281" spans="1:100">
      <c r="A281" s="175"/>
      <c r="B281" s="175"/>
      <c r="P281" s="4"/>
      <c r="Q281" s="214"/>
      <c r="CL281" s="379"/>
      <c r="CM281" s="194"/>
      <c r="CN281" s="194"/>
      <c r="CO281" s="194"/>
      <c r="CP281" s="194"/>
      <c r="CQ281" s="194"/>
      <c r="CR281" s="194"/>
      <c r="CS281" s="194"/>
      <c r="CT281" s="194"/>
      <c r="CU281" s="194"/>
      <c r="CV281" s="194"/>
    </row>
    <row r="282" spans="1:100">
      <c r="A282" s="175"/>
      <c r="B282" s="175"/>
      <c r="P282" s="4"/>
      <c r="Q282" s="214"/>
      <c r="CL282" s="379"/>
      <c r="CM282" s="194"/>
      <c r="CN282" s="194"/>
      <c r="CO282" s="194"/>
      <c r="CP282" s="194"/>
      <c r="CQ282" s="194"/>
      <c r="CR282" s="194"/>
      <c r="CS282" s="194"/>
      <c r="CT282" s="194"/>
      <c r="CU282" s="194"/>
      <c r="CV282" s="194"/>
    </row>
    <row r="283" spans="1:100">
      <c r="A283" s="175"/>
      <c r="B283" s="175"/>
      <c r="P283" s="4"/>
      <c r="Q283" s="214"/>
      <c r="CL283" s="379"/>
      <c r="CM283" s="194"/>
      <c r="CN283" s="194"/>
      <c r="CO283" s="194"/>
      <c r="CP283" s="194"/>
      <c r="CQ283" s="194"/>
      <c r="CR283" s="194"/>
      <c r="CS283" s="194"/>
      <c r="CT283" s="194"/>
      <c r="CU283" s="194"/>
      <c r="CV283" s="194"/>
    </row>
    <row r="284" spans="1:100">
      <c r="A284" s="175"/>
      <c r="B284" s="175"/>
      <c r="P284" s="4"/>
      <c r="Q284" s="214"/>
      <c r="CL284" s="379"/>
      <c r="CM284" s="194"/>
      <c r="CN284" s="194"/>
      <c r="CO284" s="194"/>
      <c r="CP284" s="194"/>
      <c r="CQ284" s="194"/>
      <c r="CR284" s="194"/>
      <c r="CS284" s="194"/>
      <c r="CT284" s="194"/>
      <c r="CU284" s="194"/>
      <c r="CV284" s="194"/>
    </row>
    <row r="285" spans="1:100">
      <c r="A285" s="175"/>
      <c r="B285" s="175"/>
      <c r="P285" s="4"/>
      <c r="Q285" s="214"/>
      <c r="CL285" s="379"/>
      <c r="CM285" s="194"/>
      <c r="CN285" s="194"/>
      <c r="CO285" s="194"/>
      <c r="CP285" s="194"/>
      <c r="CQ285" s="194"/>
      <c r="CR285" s="194"/>
      <c r="CS285" s="194"/>
      <c r="CT285" s="194"/>
      <c r="CU285" s="194"/>
      <c r="CV285" s="194"/>
    </row>
    <row r="286" spans="1:100">
      <c r="A286" s="175"/>
      <c r="B286" s="175"/>
      <c r="P286" s="4"/>
      <c r="Q286" s="214"/>
      <c r="CL286" s="379"/>
      <c r="CM286" s="194"/>
      <c r="CN286" s="194"/>
      <c r="CO286" s="194"/>
      <c r="CP286" s="194"/>
      <c r="CQ286" s="194"/>
      <c r="CR286" s="194"/>
      <c r="CS286" s="194"/>
      <c r="CT286" s="194"/>
      <c r="CU286" s="194"/>
      <c r="CV286" s="194"/>
    </row>
    <row r="287" spans="1:100">
      <c r="A287" s="175"/>
      <c r="B287" s="175"/>
      <c r="P287" s="4"/>
      <c r="Q287" s="214"/>
      <c r="CL287" s="379"/>
      <c r="CM287" s="194"/>
      <c r="CN287" s="194"/>
      <c r="CO287" s="194"/>
      <c r="CP287" s="194"/>
      <c r="CQ287" s="194"/>
      <c r="CR287" s="194"/>
      <c r="CS287" s="194"/>
      <c r="CT287" s="194"/>
      <c r="CU287" s="194"/>
      <c r="CV287" s="194"/>
    </row>
    <row r="288" spans="1:100">
      <c r="A288" s="175"/>
      <c r="B288" s="175"/>
      <c r="P288" s="4"/>
      <c r="Q288" s="214"/>
      <c r="CL288" s="379"/>
      <c r="CM288" s="194"/>
      <c r="CN288" s="194"/>
      <c r="CO288" s="194"/>
      <c r="CP288" s="194"/>
      <c r="CQ288" s="194"/>
      <c r="CR288" s="194"/>
      <c r="CS288" s="194"/>
      <c r="CT288" s="194"/>
      <c r="CU288" s="194"/>
      <c r="CV288" s="194"/>
    </row>
    <row r="289" spans="1:100">
      <c r="A289" s="175"/>
      <c r="B289" s="175"/>
      <c r="P289" s="4"/>
      <c r="Q289" s="214"/>
      <c r="CL289" s="379"/>
      <c r="CM289" s="194"/>
      <c r="CN289" s="194"/>
      <c r="CO289" s="194"/>
      <c r="CP289" s="194"/>
      <c r="CQ289" s="194"/>
      <c r="CR289" s="194"/>
      <c r="CS289" s="194"/>
      <c r="CT289" s="194"/>
      <c r="CU289" s="194"/>
      <c r="CV289" s="194"/>
    </row>
    <row r="290" spans="1:100">
      <c r="A290" s="175"/>
      <c r="B290" s="175"/>
      <c r="P290" s="4"/>
      <c r="Q290" s="214"/>
      <c r="CL290" s="379"/>
      <c r="CM290" s="194"/>
      <c r="CN290" s="194"/>
      <c r="CO290" s="194"/>
      <c r="CP290" s="194"/>
      <c r="CQ290" s="194"/>
      <c r="CR290" s="194"/>
      <c r="CS290" s="194"/>
      <c r="CT290" s="194"/>
      <c r="CU290" s="194"/>
      <c r="CV290" s="194"/>
    </row>
    <row r="291" spans="1:100">
      <c r="A291" s="175"/>
      <c r="B291" s="175"/>
      <c r="P291" s="4"/>
      <c r="Q291" s="214"/>
      <c r="CL291" s="379"/>
      <c r="CM291" s="194"/>
      <c r="CN291" s="194"/>
      <c r="CO291" s="194"/>
      <c r="CP291" s="194"/>
      <c r="CQ291" s="194"/>
      <c r="CR291" s="194"/>
      <c r="CS291" s="194"/>
      <c r="CT291" s="194"/>
      <c r="CU291" s="194"/>
      <c r="CV291" s="194"/>
    </row>
    <row r="292" spans="1:100">
      <c r="A292" s="175"/>
      <c r="B292" s="175"/>
      <c r="P292" s="4"/>
      <c r="Q292" s="214"/>
      <c r="CL292" s="379"/>
      <c r="CM292" s="194"/>
      <c r="CN292" s="194"/>
      <c r="CO292" s="194"/>
      <c r="CP292" s="194"/>
      <c r="CQ292" s="194"/>
      <c r="CR292" s="194"/>
      <c r="CS292" s="194"/>
      <c r="CT292" s="194"/>
      <c r="CU292" s="194"/>
      <c r="CV292" s="194"/>
    </row>
    <row r="293" spans="1:100">
      <c r="A293" s="175"/>
      <c r="B293" s="175"/>
      <c r="P293" s="4"/>
      <c r="Q293" s="214"/>
      <c r="CL293" s="379"/>
      <c r="CM293" s="194"/>
      <c r="CN293" s="194"/>
      <c r="CO293" s="194"/>
      <c r="CP293" s="194"/>
      <c r="CQ293" s="194"/>
      <c r="CR293" s="194"/>
      <c r="CS293" s="194"/>
      <c r="CT293" s="194"/>
      <c r="CU293" s="194"/>
      <c r="CV293" s="194"/>
    </row>
    <row r="294" spans="1:100">
      <c r="A294" s="175"/>
      <c r="B294" s="175"/>
      <c r="P294" s="4"/>
      <c r="Q294" s="214"/>
      <c r="CL294" s="379"/>
      <c r="CM294" s="194"/>
      <c r="CN294" s="194"/>
      <c r="CO294" s="194"/>
      <c r="CP294" s="194"/>
      <c r="CQ294" s="194"/>
      <c r="CR294" s="194"/>
      <c r="CS294" s="194"/>
      <c r="CT294" s="194"/>
      <c r="CU294" s="194"/>
      <c r="CV294" s="194"/>
    </row>
    <row r="295" spans="1:100">
      <c r="A295" s="175"/>
      <c r="B295" s="175"/>
      <c r="P295" s="4"/>
      <c r="Q295" s="214"/>
      <c r="CL295" s="379"/>
      <c r="CM295" s="194"/>
      <c r="CN295" s="194"/>
      <c r="CO295" s="194"/>
      <c r="CP295" s="194"/>
      <c r="CQ295" s="194"/>
      <c r="CR295" s="194"/>
      <c r="CS295" s="194"/>
      <c r="CT295" s="194"/>
      <c r="CU295" s="194"/>
      <c r="CV295" s="194"/>
    </row>
    <row r="296" spans="1:100">
      <c r="A296" s="175"/>
      <c r="B296" s="175"/>
      <c r="P296" s="4"/>
      <c r="Q296" s="214"/>
      <c r="CL296" s="379"/>
      <c r="CM296" s="194"/>
      <c r="CN296" s="194"/>
      <c r="CO296" s="194"/>
      <c r="CP296" s="194"/>
      <c r="CQ296" s="194"/>
      <c r="CR296" s="194"/>
      <c r="CS296" s="194"/>
      <c r="CT296" s="194"/>
      <c r="CU296" s="194"/>
      <c r="CV296" s="194"/>
    </row>
    <row r="297" spans="1:100">
      <c r="A297" s="175"/>
      <c r="B297" s="175"/>
      <c r="P297" s="4"/>
      <c r="Q297" s="214"/>
      <c r="CL297" s="379"/>
      <c r="CM297" s="194"/>
      <c r="CN297" s="194"/>
      <c r="CO297" s="194"/>
      <c r="CP297" s="194"/>
      <c r="CQ297" s="194"/>
      <c r="CR297" s="194"/>
      <c r="CS297" s="194"/>
      <c r="CT297" s="194"/>
      <c r="CU297" s="194"/>
      <c r="CV297" s="194"/>
    </row>
    <row r="298" spans="1:100">
      <c r="A298" s="175"/>
      <c r="B298" s="175"/>
      <c r="P298" s="4"/>
      <c r="Q298" s="214"/>
      <c r="CL298" s="379"/>
      <c r="CM298" s="194"/>
      <c r="CN298" s="194"/>
      <c r="CO298" s="194"/>
      <c r="CP298" s="194"/>
      <c r="CQ298" s="194"/>
      <c r="CR298" s="194"/>
      <c r="CS298" s="194"/>
      <c r="CT298" s="194"/>
      <c r="CU298" s="194"/>
      <c r="CV298" s="194"/>
    </row>
    <row r="299" spans="1:100">
      <c r="A299" s="175"/>
      <c r="B299" s="175"/>
      <c r="P299" s="4"/>
      <c r="Q299" s="214"/>
      <c r="CL299" s="379"/>
      <c r="CM299" s="194"/>
      <c r="CN299" s="194"/>
      <c r="CO299" s="194"/>
      <c r="CP299" s="194"/>
      <c r="CQ299" s="194"/>
      <c r="CR299" s="194"/>
      <c r="CS299" s="194"/>
      <c r="CT299" s="194"/>
      <c r="CU299" s="194"/>
      <c r="CV299" s="194"/>
    </row>
    <row r="300" spans="1:100">
      <c r="A300" s="175"/>
      <c r="B300" s="175"/>
      <c r="P300" s="4"/>
      <c r="Q300" s="214"/>
      <c r="CL300" s="379"/>
      <c r="CM300" s="194"/>
      <c r="CN300" s="194"/>
      <c r="CO300" s="194"/>
      <c r="CP300" s="194"/>
      <c r="CQ300" s="194"/>
      <c r="CR300" s="194"/>
      <c r="CS300" s="194"/>
      <c r="CT300" s="194"/>
      <c r="CU300" s="194"/>
      <c r="CV300" s="194"/>
    </row>
    <row r="301" spans="1:100">
      <c r="A301" s="175"/>
      <c r="B301" s="175"/>
      <c r="P301" s="4"/>
      <c r="Q301" s="214"/>
      <c r="CL301" s="379"/>
      <c r="CM301" s="194"/>
      <c r="CN301" s="194"/>
      <c r="CO301" s="194"/>
      <c r="CP301" s="194"/>
      <c r="CQ301" s="194"/>
      <c r="CR301" s="194"/>
      <c r="CS301" s="194"/>
      <c r="CT301" s="194"/>
      <c r="CU301" s="194"/>
      <c r="CV301" s="194"/>
    </row>
    <row r="302" spans="1:100">
      <c r="A302" s="175"/>
      <c r="B302" s="175"/>
      <c r="P302" s="4"/>
      <c r="Q302" s="214"/>
      <c r="CL302" s="379"/>
      <c r="CM302" s="194"/>
      <c r="CN302" s="194"/>
      <c r="CO302" s="194"/>
      <c r="CP302" s="194"/>
      <c r="CQ302" s="194"/>
      <c r="CR302" s="194"/>
      <c r="CS302" s="194"/>
      <c r="CT302" s="194"/>
      <c r="CU302" s="194"/>
      <c r="CV302" s="194"/>
    </row>
    <row r="303" spans="1:100">
      <c r="A303" s="175"/>
      <c r="B303" s="175"/>
      <c r="P303" s="4"/>
      <c r="Q303" s="214"/>
      <c r="CL303" s="379"/>
      <c r="CM303" s="194"/>
      <c r="CN303" s="194"/>
      <c r="CO303" s="194"/>
      <c r="CP303" s="194"/>
      <c r="CQ303" s="194"/>
      <c r="CR303" s="194"/>
      <c r="CS303" s="194"/>
      <c r="CT303" s="194"/>
      <c r="CU303" s="194"/>
      <c r="CV303" s="194"/>
    </row>
    <row r="304" spans="1:100">
      <c r="A304" s="175"/>
      <c r="B304" s="175"/>
      <c r="P304" s="4"/>
      <c r="Q304" s="214"/>
      <c r="CL304" s="379"/>
      <c r="CM304" s="194"/>
      <c r="CN304" s="194"/>
      <c r="CO304" s="194"/>
      <c r="CP304" s="194"/>
      <c r="CQ304" s="194"/>
      <c r="CR304" s="194"/>
      <c r="CS304" s="194"/>
      <c r="CT304" s="194"/>
      <c r="CU304" s="194"/>
      <c r="CV304" s="194"/>
    </row>
    <row r="305" spans="1:100">
      <c r="A305" s="175"/>
      <c r="B305" s="175"/>
      <c r="P305" s="4"/>
      <c r="Q305" s="214"/>
      <c r="CL305" s="379"/>
      <c r="CM305" s="194"/>
      <c r="CN305" s="194"/>
      <c r="CO305" s="194"/>
      <c r="CP305" s="194"/>
      <c r="CQ305" s="194"/>
      <c r="CR305" s="194"/>
      <c r="CS305" s="194"/>
      <c r="CT305" s="194"/>
      <c r="CU305" s="194"/>
      <c r="CV305" s="194"/>
    </row>
    <row r="306" spans="1:100">
      <c r="A306" s="175"/>
      <c r="B306" s="175"/>
      <c r="P306" s="4"/>
      <c r="Q306" s="214"/>
      <c r="CL306" s="379"/>
      <c r="CM306" s="194"/>
      <c r="CN306" s="194"/>
      <c r="CO306" s="194"/>
      <c r="CP306" s="194"/>
      <c r="CQ306" s="194"/>
      <c r="CR306" s="194"/>
      <c r="CS306" s="194"/>
      <c r="CT306" s="194"/>
      <c r="CU306" s="194"/>
      <c r="CV306" s="194"/>
    </row>
    <row r="307" spans="1:100">
      <c r="A307" s="175"/>
      <c r="B307" s="175"/>
      <c r="P307" s="4"/>
      <c r="Q307" s="214"/>
      <c r="CL307" s="379"/>
      <c r="CM307" s="194"/>
      <c r="CN307" s="194"/>
      <c r="CO307" s="194"/>
      <c r="CP307" s="194"/>
      <c r="CQ307" s="194"/>
      <c r="CR307" s="194"/>
      <c r="CS307" s="194"/>
      <c r="CT307" s="194"/>
      <c r="CU307" s="194"/>
      <c r="CV307" s="194"/>
    </row>
    <row r="308" spans="1:100">
      <c r="A308" s="175"/>
      <c r="B308" s="175"/>
      <c r="P308" s="4"/>
      <c r="Q308" s="214"/>
      <c r="CL308" s="379"/>
      <c r="CM308" s="194"/>
      <c r="CN308" s="194"/>
      <c r="CO308" s="194"/>
      <c r="CP308" s="194"/>
      <c r="CQ308" s="194"/>
      <c r="CR308" s="194"/>
      <c r="CS308" s="194"/>
      <c r="CT308" s="194"/>
      <c r="CU308" s="194"/>
      <c r="CV308" s="194"/>
    </row>
    <row r="309" spans="1:100">
      <c r="A309" s="175"/>
      <c r="B309" s="175"/>
      <c r="P309" s="4"/>
      <c r="Q309" s="214"/>
      <c r="CL309" s="379"/>
      <c r="CM309" s="194"/>
      <c r="CN309" s="194"/>
      <c r="CO309" s="194"/>
      <c r="CP309" s="194"/>
      <c r="CQ309" s="194"/>
      <c r="CR309" s="194"/>
      <c r="CS309" s="194"/>
      <c r="CT309" s="194"/>
      <c r="CU309" s="194"/>
      <c r="CV309" s="194"/>
    </row>
    <row r="310" spans="1:100">
      <c r="A310" s="175"/>
      <c r="B310" s="175"/>
      <c r="P310" s="4"/>
      <c r="Q310" s="214"/>
      <c r="CL310" s="379"/>
      <c r="CM310" s="194"/>
      <c r="CN310" s="194"/>
      <c r="CO310" s="194"/>
      <c r="CP310" s="194"/>
      <c r="CQ310" s="194"/>
      <c r="CR310" s="194"/>
      <c r="CS310" s="194"/>
      <c r="CT310" s="194"/>
      <c r="CU310" s="194"/>
      <c r="CV310" s="194"/>
    </row>
    <row r="311" spans="1:100">
      <c r="A311" s="175"/>
      <c r="B311" s="175"/>
      <c r="P311" s="4"/>
      <c r="Q311" s="214"/>
      <c r="CL311" s="379"/>
      <c r="CM311" s="194"/>
      <c r="CN311" s="194"/>
      <c r="CO311" s="194"/>
      <c r="CP311" s="194"/>
      <c r="CQ311" s="194"/>
      <c r="CR311" s="194"/>
      <c r="CS311" s="194"/>
      <c r="CT311" s="194"/>
      <c r="CU311" s="194"/>
      <c r="CV311" s="194"/>
    </row>
    <row r="312" spans="1:100">
      <c r="A312" s="175"/>
      <c r="B312" s="175"/>
      <c r="P312" s="4"/>
      <c r="Q312" s="214"/>
      <c r="CL312" s="379"/>
      <c r="CM312" s="194"/>
      <c r="CN312" s="194"/>
      <c r="CO312" s="194"/>
      <c r="CP312" s="194"/>
      <c r="CQ312" s="194"/>
      <c r="CR312" s="194"/>
      <c r="CS312" s="194"/>
      <c r="CT312" s="194"/>
      <c r="CU312" s="194"/>
      <c r="CV312" s="194"/>
    </row>
    <row r="313" spans="1:100">
      <c r="A313" s="175"/>
      <c r="B313" s="175"/>
      <c r="P313" s="4"/>
      <c r="Q313" s="214"/>
      <c r="CL313" s="379"/>
      <c r="CM313" s="194"/>
      <c r="CN313" s="194"/>
      <c r="CO313" s="194"/>
      <c r="CP313" s="194"/>
      <c r="CQ313" s="194"/>
      <c r="CR313" s="194"/>
      <c r="CS313" s="194"/>
      <c r="CT313" s="194"/>
      <c r="CU313" s="194"/>
      <c r="CV313" s="194"/>
    </row>
    <row r="314" spans="1:100">
      <c r="A314" s="175"/>
      <c r="B314" s="175"/>
      <c r="P314" s="4"/>
      <c r="Q314" s="214"/>
      <c r="CL314" s="379"/>
      <c r="CM314" s="194"/>
      <c r="CN314" s="194"/>
      <c r="CO314" s="194"/>
      <c r="CP314" s="194"/>
      <c r="CQ314" s="194"/>
      <c r="CR314" s="194"/>
      <c r="CS314" s="194"/>
      <c r="CT314" s="194"/>
      <c r="CU314" s="194"/>
      <c r="CV314" s="194"/>
    </row>
    <row r="315" spans="1:100">
      <c r="A315" s="175"/>
      <c r="B315" s="175"/>
      <c r="P315" s="4"/>
      <c r="Q315" s="214"/>
      <c r="CL315" s="379"/>
      <c r="CM315" s="194"/>
      <c r="CN315" s="194"/>
      <c r="CO315" s="194"/>
      <c r="CP315" s="194"/>
      <c r="CQ315" s="194"/>
      <c r="CR315" s="194"/>
      <c r="CS315" s="194"/>
      <c r="CT315" s="194"/>
      <c r="CU315" s="194"/>
      <c r="CV315" s="194"/>
    </row>
    <row r="316" spans="1:100">
      <c r="A316" s="175"/>
      <c r="B316" s="175"/>
      <c r="P316" s="4"/>
      <c r="Q316" s="214"/>
      <c r="CL316" s="379"/>
      <c r="CM316" s="194"/>
      <c r="CN316" s="194"/>
      <c r="CO316" s="194"/>
      <c r="CP316" s="194"/>
      <c r="CQ316" s="194"/>
      <c r="CR316" s="194"/>
      <c r="CS316" s="194"/>
      <c r="CT316" s="194"/>
      <c r="CU316" s="194"/>
      <c r="CV316" s="194"/>
    </row>
    <row r="317" spans="1:100">
      <c r="A317" s="175"/>
      <c r="B317" s="175"/>
      <c r="P317" s="4"/>
      <c r="Q317" s="214"/>
      <c r="CL317" s="379"/>
      <c r="CM317" s="194"/>
      <c r="CN317" s="194"/>
      <c r="CO317" s="194"/>
      <c r="CP317" s="194"/>
      <c r="CQ317" s="194"/>
      <c r="CR317" s="194"/>
      <c r="CS317" s="194"/>
      <c r="CT317" s="194"/>
      <c r="CU317" s="194"/>
      <c r="CV317" s="194"/>
    </row>
    <row r="318" spans="1:100">
      <c r="A318" s="175"/>
      <c r="B318" s="175"/>
      <c r="P318" s="4"/>
      <c r="Q318" s="214"/>
      <c r="CL318" s="379"/>
      <c r="CM318" s="194"/>
      <c r="CN318" s="194"/>
      <c r="CO318" s="194"/>
      <c r="CP318" s="194"/>
      <c r="CQ318" s="194"/>
      <c r="CR318" s="194"/>
      <c r="CS318" s="194"/>
      <c r="CT318" s="194"/>
      <c r="CU318" s="194"/>
      <c r="CV318" s="194"/>
    </row>
    <row r="319" spans="1:100">
      <c r="A319" s="175"/>
      <c r="B319" s="175"/>
      <c r="P319" s="4"/>
      <c r="Q319" s="214"/>
      <c r="CL319" s="379"/>
      <c r="CM319" s="194"/>
      <c r="CN319" s="194"/>
      <c r="CO319" s="194"/>
      <c r="CP319" s="194"/>
      <c r="CQ319" s="194"/>
      <c r="CR319" s="194"/>
      <c r="CS319" s="194"/>
      <c r="CT319" s="194"/>
      <c r="CU319" s="194"/>
      <c r="CV319" s="194"/>
    </row>
    <row r="320" spans="1:100">
      <c r="A320" s="175"/>
      <c r="B320" s="175"/>
      <c r="P320" s="4"/>
      <c r="Q320" s="214"/>
      <c r="CL320" s="379"/>
      <c r="CM320" s="194"/>
      <c r="CN320" s="194"/>
      <c r="CO320" s="194"/>
      <c r="CP320" s="194"/>
      <c r="CQ320" s="194"/>
      <c r="CR320" s="194"/>
      <c r="CS320" s="194"/>
      <c r="CT320" s="194"/>
      <c r="CU320" s="194"/>
      <c r="CV320" s="194"/>
    </row>
    <row r="321" spans="1:100">
      <c r="A321" s="175"/>
      <c r="B321" s="175"/>
      <c r="P321" s="4"/>
      <c r="Q321" s="214"/>
      <c r="CL321" s="379"/>
      <c r="CM321" s="194"/>
      <c r="CN321" s="194"/>
      <c r="CO321" s="194"/>
      <c r="CP321" s="194"/>
      <c r="CQ321" s="194"/>
      <c r="CR321" s="194"/>
      <c r="CS321" s="194"/>
      <c r="CT321" s="194"/>
      <c r="CU321" s="194"/>
      <c r="CV321" s="194"/>
    </row>
    <row r="322" spans="1:100">
      <c r="A322" s="175"/>
      <c r="B322" s="175"/>
      <c r="P322" s="4"/>
      <c r="Q322" s="214"/>
      <c r="CL322" s="379"/>
      <c r="CM322" s="194"/>
      <c r="CN322" s="194"/>
      <c r="CO322" s="194"/>
      <c r="CP322" s="194"/>
      <c r="CQ322" s="194"/>
      <c r="CR322" s="194"/>
      <c r="CS322" s="194"/>
      <c r="CT322" s="194"/>
      <c r="CU322" s="194"/>
      <c r="CV322" s="194"/>
    </row>
    <row r="323" spans="1:100">
      <c r="A323" s="175"/>
      <c r="B323" s="175"/>
      <c r="P323" s="4"/>
      <c r="Q323" s="214"/>
      <c r="CL323" s="379"/>
      <c r="CM323" s="194"/>
      <c r="CN323" s="194"/>
      <c r="CO323" s="194"/>
      <c r="CP323" s="194"/>
      <c r="CQ323" s="194"/>
      <c r="CR323" s="194"/>
      <c r="CS323" s="194"/>
      <c r="CT323" s="194"/>
      <c r="CU323" s="194"/>
      <c r="CV323" s="194"/>
    </row>
    <row r="324" spans="1:100">
      <c r="A324" s="175"/>
      <c r="B324" s="175"/>
      <c r="P324" s="4"/>
      <c r="Q324" s="214"/>
      <c r="CL324" s="379"/>
      <c r="CM324" s="194"/>
      <c r="CN324" s="194"/>
      <c r="CO324" s="194"/>
      <c r="CP324" s="194"/>
      <c r="CQ324" s="194"/>
      <c r="CR324" s="194"/>
      <c r="CS324" s="194"/>
      <c r="CT324" s="194"/>
      <c r="CU324" s="194"/>
      <c r="CV324" s="194"/>
    </row>
    <row r="325" spans="1:100">
      <c r="A325" s="175"/>
      <c r="B325" s="175"/>
      <c r="P325" s="4"/>
      <c r="Q325" s="214"/>
      <c r="CL325" s="379"/>
      <c r="CM325" s="194"/>
      <c r="CN325" s="194"/>
      <c r="CO325" s="194"/>
      <c r="CP325" s="194"/>
      <c r="CQ325" s="194"/>
      <c r="CR325" s="194"/>
      <c r="CS325" s="194"/>
      <c r="CT325" s="194"/>
      <c r="CU325" s="194"/>
      <c r="CV325" s="194"/>
    </row>
    <row r="326" spans="1:100">
      <c r="A326" s="175"/>
      <c r="B326" s="175"/>
      <c r="P326" s="4"/>
      <c r="Q326" s="214"/>
      <c r="CL326" s="379"/>
      <c r="CM326" s="194"/>
      <c r="CN326" s="194"/>
      <c r="CO326" s="194"/>
      <c r="CP326" s="194"/>
      <c r="CQ326" s="194"/>
      <c r="CR326" s="194"/>
      <c r="CS326" s="194"/>
      <c r="CT326" s="194"/>
      <c r="CU326" s="194"/>
      <c r="CV326" s="194"/>
    </row>
    <row r="327" spans="1:100">
      <c r="A327" s="175"/>
      <c r="B327" s="175"/>
      <c r="P327" s="4"/>
      <c r="Q327" s="214"/>
      <c r="CL327" s="379"/>
      <c r="CM327" s="194"/>
      <c r="CN327" s="194"/>
      <c r="CO327" s="194"/>
      <c r="CP327" s="194"/>
      <c r="CQ327" s="194"/>
      <c r="CR327" s="194"/>
      <c r="CS327" s="194"/>
      <c r="CT327" s="194"/>
      <c r="CU327" s="194"/>
      <c r="CV327" s="194"/>
    </row>
    <row r="328" spans="1:100">
      <c r="A328" s="175"/>
      <c r="B328" s="175"/>
      <c r="P328" s="4"/>
      <c r="Q328" s="214"/>
      <c r="CL328" s="379"/>
      <c r="CM328" s="194"/>
      <c r="CN328" s="194"/>
      <c r="CO328" s="194"/>
      <c r="CP328" s="194"/>
      <c r="CQ328" s="194"/>
      <c r="CR328" s="194"/>
      <c r="CS328" s="194"/>
      <c r="CT328" s="194"/>
      <c r="CU328" s="194"/>
      <c r="CV328" s="194"/>
    </row>
    <row r="329" spans="1:100">
      <c r="A329" s="175"/>
      <c r="B329" s="175"/>
      <c r="P329" s="4"/>
      <c r="Q329" s="214"/>
      <c r="CL329" s="379"/>
      <c r="CM329" s="194"/>
      <c r="CN329" s="194"/>
      <c r="CO329" s="194"/>
      <c r="CP329" s="194"/>
      <c r="CQ329" s="194"/>
      <c r="CR329" s="194"/>
      <c r="CS329" s="194"/>
      <c r="CT329" s="194"/>
      <c r="CU329" s="194"/>
      <c r="CV329" s="194"/>
    </row>
    <row r="330" spans="1:100">
      <c r="A330" s="175"/>
      <c r="B330" s="175"/>
      <c r="P330" s="4"/>
      <c r="Q330" s="214"/>
      <c r="CL330" s="379"/>
      <c r="CM330" s="194"/>
      <c r="CN330" s="194"/>
      <c r="CO330" s="194"/>
      <c r="CP330" s="194"/>
      <c r="CQ330" s="194"/>
      <c r="CR330" s="194"/>
      <c r="CS330" s="194"/>
      <c r="CT330" s="194"/>
      <c r="CU330" s="194"/>
      <c r="CV330" s="194"/>
    </row>
    <row r="331" spans="1:100">
      <c r="A331" s="175"/>
      <c r="B331" s="175"/>
      <c r="P331" s="4"/>
      <c r="Q331" s="214"/>
      <c r="CL331" s="379"/>
      <c r="CM331" s="194"/>
      <c r="CN331" s="194"/>
      <c r="CO331" s="194"/>
      <c r="CP331" s="194"/>
      <c r="CQ331" s="194"/>
      <c r="CR331" s="194"/>
      <c r="CS331" s="194"/>
      <c r="CT331" s="194"/>
      <c r="CU331" s="194"/>
      <c r="CV331" s="194"/>
    </row>
    <row r="332" spans="1:100">
      <c r="A332" s="175"/>
      <c r="B332" s="175"/>
      <c r="P332" s="4"/>
      <c r="Q332" s="214"/>
      <c r="CL332" s="379"/>
      <c r="CM332" s="194"/>
      <c r="CN332" s="194"/>
      <c r="CO332" s="194"/>
      <c r="CP332" s="194"/>
      <c r="CQ332" s="194"/>
      <c r="CR332" s="194"/>
      <c r="CS332" s="194"/>
      <c r="CT332" s="194"/>
      <c r="CU332" s="194"/>
      <c r="CV332" s="194"/>
    </row>
    <row r="333" spans="1:100">
      <c r="A333" s="175"/>
      <c r="B333" s="175"/>
      <c r="P333" s="4"/>
      <c r="Q333" s="214"/>
      <c r="CL333" s="379"/>
      <c r="CM333" s="194"/>
      <c r="CN333" s="194"/>
      <c r="CO333" s="194"/>
      <c r="CP333" s="194"/>
      <c r="CQ333" s="194"/>
      <c r="CR333" s="194"/>
      <c r="CS333" s="194"/>
      <c r="CT333" s="194"/>
      <c r="CU333" s="194"/>
      <c r="CV333" s="194"/>
    </row>
    <row r="334" spans="1:100">
      <c r="A334" s="175"/>
      <c r="B334" s="175"/>
      <c r="P334" s="4"/>
      <c r="Q334" s="214"/>
      <c r="CL334" s="379"/>
      <c r="CM334" s="194"/>
      <c r="CN334" s="194"/>
      <c r="CO334" s="194"/>
      <c r="CP334" s="194"/>
      <c r="CQ334" s="194"/>
      <c r="CR334" s="194"/>
      <c r="CS334" s="194"/>
      <c r="CT334" s="194"/>
      <c r="CU334" s="194"/>
      <c r="CV334" s="194"/>
    </row>
    <row r="335" spans="1:100">
      <c r="A335" s="175"/>
      <c r="B335" s="175"/>
      <c r="P335" s="4"/>
      <c r="Q335" s="214"/>
      <c r="CL335" s="379"/>
      <c r="CM335" s="194"/>
      <c r="CN335" s="194"/>
      <c r="CO335" s="194"/>
      <c r="CP335" s="194"/>
      <c r="CQ335" s="194"/>
      <c r="CR335" s="194"/>
      <c r="CS335" s="194"/>
      <c r="CT335" s="194"/>
      <c r="CU335" s="194"/>
      <c r="CV335" s="194"/>
    </row>
    <row r="336" spans="1:100">
      <c r="A336" s="175"/>
      <c r="B336" s="175"/>
      <c r="P336" s="4"/>
      <c r="Q336" s="214"/>
      <c r="CL336" s="379"/>
      <c r="CM336" s="194"/>
      <c r="CN336" s="194"/>
      <c r="CO336" s="194"/>
      <c r="CP336" s="194"/>
      <c r="CQ336" s="194"/>
      <c r="CR336" s="194"/>
      <c r="CS336" s="194"/>
      <c r="CT336" s="194"/>
      <c r="CU336" s="194"/>
      <c r="CV336" s="194"/>
    </row>
    <row r="337" spans="1:100">
      <c r="A337" s="175"/>
      <c r="B337" s="175"/>
      <c r="P337" s="4"/>
      <c r="Q337" s="214"/>
      <c r="CL337" s="379"/>
      <c r="CM337" s="194"/>
      <c r="CN337" s="194"/>
      <c r="CO337" s="194"/>
      <c r="CP337" s="194"/>
      <c r="CQ337" s="194"/>
      <c r="CR337" s="194"/>
      <c r="CS337" s="194"/>
      <c r="CT337" s="194"/>
      <c r="CU337" s="194"/>
      <c r="CV337" s="194"/>
    </row>
    <row r="338" spans="1:100">
      <c r="A338" s="175"/>
      <c r="B338" s="175"/>
      <c r="P338" s="4"/>
      <c r="Q338" s="214"/>
      <c r="CL338" s="379"/>
      <c r="CM338" s="194"/>
      <c r="CN338" s="194"/>
      <c r="CO338" s="194"/>
      <c r="CP338" s="194"/>
      <c r="CQ338" s="194"/>
      <c r="CR338" s="194"/>
      <c r="CS338" s="194"/>
      <c r="CT338" s="194"/>
      <c r="CU338" s="194"/>
      <c r="CV338" s="194"/>
    </row>
    <row r="339" spans="1:100">
      <c r="A339" s="175"/>
      <c r="B339" s="175"/>
      <c r="P339" s="4"/>
      <c r="Q339" s="214"/>
      <c r="CL339" s="379"/>
      <c r="CM339" s="194"/>
      <c r="CN339" s="194"/>
      <c r="CO339" s="194"/>
      <c r="CP339" s="194"/>
      <c r="CQ339" s="194"/>
      <c r="CR339" s="194"/>
      <c r="CS339" s="194"/>
      <c r="CT339" s="194"/>
      <c r="CU339" s="194"/>
      <c r="CV339" s="194"/>
    </row>
    <row r="340" spans="1:100">
      <c r="A340" s="175"/>
      <c r="B340" s="175"/>
      <c r="P340" s="4"/>
      <c r="Q340" s="214"/>
      <c r="CL340" s="379"/>
      <c r="CM340" s="194"/>
      <c r="CN340" s="194"/>
      <c r="CO340" s="194"/>
      <c r="CP340" s="194"/>
      <c r="CQ340" s="194"/>
      <c r="CR340" s="194"/>
      <c r="CS340" s="194"/>
      <c r="CT340" s="194"/>
      <c r="CU340" s="194"/>
      <c r="CV340" s="194"/>
    </row>
    <row r="341" spans="1:100">
      <c r="A341" s="175"/>
      <c r="B341" s="175"/>
      <c r="P341" s="4"/>
      <c r="Q341" s="214"/>
      <c r="CL341" s="379"/>
      <c r="CM341" s="194"/>
      <c r="CN341" s="194"/>
      <c r="CO341" s="194"/>
      <c r="CP341" s="194"/>
      <c r="CQ341" s="194"/>
      <c r="CR341" s="194"/>
      <c r="CS341" s="194"/>
      <c r="CT341" s="194"/>
      <c r="CU341" s="194"/>
      <c r="CV341" s="194"/>
    </row>
    <row r="342" spans="1:100">
      <c r="A342" s="175"/>
      <c r="B342" s="175"/>
      <c r="P342" s="4"/>
      <c r="Q342" s="214"/>
      <c r="CL342" s="379"/>
      <c r="CM342" s="194"/>
      <c r="CN342" s="194"/>
      <c r="CO342" s="194"/>
      <c r="CP342" s="194"/>
      <c r="CQ342" s="194"/>
      <c r="CR342" s="194"/>
      <c r="CS342" s="194"/>
      <c r="CT342" s="194"/>
      <c r="CU342" s="194"/>
      <c r="CV342" s="194"/>
    </row>
    <row r="343" spans="1:100">
      <c r="A343" s="175"/>
      <c r="B343" s="175"/>
      <c r="P343" s="4"/>
      <c r="Q343" s="214"/>
      <c r="CL343" s="379"/>
      <c r="CM343" s="194"/>
      <c r="CN343" s="194"/>
      <c r="CO343" s="194"/>
      <c r="CP343" s="194"/>
      <c r="CQ343" s="194"/>
      <c r="CR343" s="194"/>
      <c r="CS343" s="194"/>
      <c r="CT343" s="194"/>
      <c r="CU343" s="194"/>
      <c r="CV343" s="194"/>
    </row>
    <row r="344" spans="1:100">
      <c r="A344" s="175"/>
      <c r="B344" s="175"/>
      <c r="P344" s="4"/>
      <c r="Q344" s="214"/>
      <c r="CL344" s="379"/>
      <c r="CM344" s="194"/>
      <c r="CN344" s="194"/>
      <c r="CO344" s="194"/>
      <c r="CP344" s="194"/>
      <c r="CQ344" s="194"/>
      <c r="CR344" s="194"/>
      <c r="CS344" s="194"/>
      <c r="CT344" s="194"/>
      <c r="CU344" s="194"/>
      <c r="CV344" s="194"/>
    </row>
    <row r="345" spans="1:100">
      <c r="A345" s="175"/>
      <c r="B345" s="175"/>
      <c r="P345" s="4"/>
      <c r="Q345" s="214"/>
      <c r="CL345" s="379"/>
      <c r="CM345" s="194"/>
      <c r="CN345" s="194"/>
      <c r="CO345" s="194"/>
      <c r="CP345" s="194"/>
      <c r="CQ345" s="194"/>
      <c r="CR345" s="194"/>
      <c r="CS345" s="194"/>
      <c r="CT345" s="194"/>
      <c r="CU345" s="194"/>
      <c r="CV345" s="194"/>
    </row>
    <row r="346" spans="1:100">
      <c r="A346" s="175"/>
      <c r="B346" s="175"/>
      <c r="P346" s="4"/>
      <c r="Q346" s="214"/>
      <c r="CL346" s="379"/>
      <c r="CM346" s="194"/>
      <c r="CN346" s="194"/>
      <c r="CO346" s="194"/>
      <c r="CP346" s="194"/>
      <c r="CQ346" s="194"/>
      <c r="CR346" s="194"/>
      <c r="CS346" s="194"/>
      <c r="CT346" s="194"/>
      <c r="CU346" s="194"/>
      <c r="CV346" s="194"/>
    </row>
    <row r="347" spans="1:100">
      <c r="A347" s="175"/>
      <c r="B347" s="175"/>
      <c r="P347" s="4"/>
      <c r="Q347" s="214"/>
      <c r="CL347" s="379"/>
      <c r="CM347" s="194"/>
      <c r="CN347" s="194"/>
      <c r="CO347" s="194"/>
      <c r="CP347" s="194"/>
      <c r="CQ347" s="194"/>
      <c r="CR347" s="194"/>
      <c r="CS347" s="194"/>
      <c r="CT347" s="194"/>
      <c r="CU347" s="194"/>
      <c r="CV347" s="194"/>
    </row>
    <row r="348" spans="1:100">
      <c r="A348" s="175"/>
      <c r="B348" s="175"/>
      <c r="P348" s="4"/>
      <c r="Q348" s="214"/>
      <c r="CL348" s="379"/>
      <c r="CM348" s="194"/>
      <c r="CN348" s="194"/>
      <c r="CO348" s="194"/>
      <c r="CP348" s="194"/>
      <c r="CQ348" s="194"/>
      <c r="CR348" s="194"/>
      <c r="CS348" s="194"/>
      <c r="CT348" s="194"/>
      <c r="CU348" s="194"/>
      <c r="CV348" s="194"/>
    </row>
    <row r="349" spans="1:100">
      <c r="A349" s="175"/>
      <c r="B349" s="175"/>
      <c r="P349" s="4"/>
      <c r="Q349" s="214"/>
      <c r="CL349" s="379"/>
      <c r="CM349" s="194"/>
      <c r="CN349" s="194"/>
      <c r="CO349" s="194"/>
      <c r="CP349" s="194"/>
      <c r="CQ349" s="194"/>
      <c r="CR349" s="194"/>
      <c r="CS349" s="194"/>
      <c r="CT349" s="194"/>
      <c r="CU349" s="194"/>
      <c r="CV349" s="194"/>
    </row>
    <row r="350" spans="1:100">
      <c r="A350" s="175"/>
      <c r="B350" s="175"/>
      <c r="P350" s="4"/>
      <c r="Q350" s="214"/>
      <c r="CL350" s="379"/>
      <c r="CM350" s="194"/>
      <c r="CN350" s="194"/>
      <c r="CO350" s="194"/>
      <c r="CP350" s="194"/>
      <c r="CQ350" s="194"/>
      <c r="CR350" s="194"/>
      <c r="CS350" s="194"/>
      <c r="CT350" s="194"/>
      <c r="CU350" s="194"/>
      <c r="CV350" s="194"/>
    </row>
    <row r="351" spans="1:100">
      <c r="A351" s="175"/>
      <c r="B351" s="175"/>
      <c r="P351" s="4"/>
      <c r="Q351" s="214"/>
      <c r="CL351" s="379"/>
      <c r="CM351" s="194"/>
      <c r="CN351" s="194"/>
      <c r="CO351" s="194"/>
      <c r="CP351" s="194"/>
      <c r="CQ351" s="194"/>
      <c r="CR351" s="194"/>
      <c r="CS351" s="194"/>
      <c r="CT351" s="194"/>
      <c r="CU351" s="194"/>
      <c r="CV351" s="194"/>
    </row>
    <row r="352" spans="1:100">
      <c r="A352" s="175"/>
      <c r="B352" s="175"/>
      <c r="P352" s="4"/>
      <c r="Q352" s="214"/>
      <c r="CL352" s="379"/>
      <c r="CM352" s="194"/>
      <c r="CN352" s="194"/>
      <c r="CO352" s="194"/>
      <c r="CP352" s="194"/>
      <c r="CQ352" s="194"/>
      <c r="CR352" s="194"/>
      <c r="CS352" s="194"/>
      <c r="CT352" s="194"/>
      <c r="CU352" s="194"/>
      <c r="CV352" s="194"/>
    </row>
    <row r="353" spans="1:100">
      <c r="A353" s="175"/>
      <c r="B353" s="175"/>
      <c r="P353" s="4"/>
      <c r="Q353" s="214"/>
      <c r="CL353" s="379"/>
      <c r="CM353" s="194"/>
      <c r="CN353" s="194"/>
      <c r="CO353" s="194"/>
      <c r="CP353" s="194"/>
      <c r="CQ353" s="194"/>
      <c r="CR353" s="194"/>
      <c r="CS353" s="194"/>
      <c r="CT353" s="194"/>
      <c r="CU353" s="194"/>
      <c r="CV353" s="194"/>
    </row>
    <row r="354" spans="1:100">
      <c r="A354" s="175"/>
      <c r="B354" s="175"/>
      <c r="P354" s="4"/>
      <c r="Q354" s="214"/>
      <c r="CL354" s="379"/>
      <c r="CM354" s="194"/>
      <c r="CN354" s="194"/>
      <c r="CO354" s="194"/>
      <c r="CP354" s="194"/>
      <c r="CQ354" s="194"/>
      <c r="CR354" s="194"/>
      <c r="CS354" s="194"/>
      <c r="CT354" s="194"/>
      <c r="CU354" s="194"/>
      <c r="CV354" s="194"/>
    </row>
    <row r="355" spans="1:100">
      <c r="A355" s="175"/>
      <c r="B355" s="175"/>
      <c r="P355" s="4"/>
      <c r="Q355" s="214"/>
      <c r="CL355" s="379"/>
      <c r="CM355" s="194"/>
      <c r="CN355" s="194"/>
      <c r="CO355" s="194"/>
      <c r="CP355" s="194"/>
      <c r="CQ355" s="194"/>
      <c r="CR355" s="194"/>
      <c r="CS355" s="194"/>
      <c r="CT355" s="194"/>
      <c r="CU355" s="194"/>
      <c r="CV355" s="194"/>
    </row>
    <row r="356" spans="1:100">
      <c r="A356" s="175"/>
      <c r="B356" s="175"/>
      <c r="P356" s="4"/>
      <c r="Q356" s="214"/>
      <c r="CL356" s="379"/>
      <c r="CM356" s="194"/>
      <c r="CN356" s="194"/>
      <c r="CO356" s="194"/>
      <c r="CP356" s="194"/>
      <c r="CQ356" s="194"/>
      <c r="CR356" s="194"/>
      <c r="CS356" s="194"/>
      <c r="CT356" s="194"/>
      <c r="CU356" s="194"/>
      <c r="CV356" s="194"/>
    </row>
    <row r="357" spans="1:100">
      <c r="A357" s="175"/>
      <c r="B357" s="175"/>
      <c r="P357" s="4"/>
      <c r="Q357" s="214"/>
      <c r="CL357" s="379"/>
      <c r="CM357" s="194"/>
      <c r="CN357" s="194"/>
      <c r="CO357" s="194"/>
      <c r="CP357" s="194"/>
      <c r="CQ357" s="194"/>
      <c r="CR357" s="194"/>
      <c r="CS357" s="194"/>
      <c r="CT357" s="194"/>
      <c r="CU357" s="194"/>
      <c r="CV357" s="194"/>
    </row>
    <row r="358" spans="1:100">
      <c r="A358" s="175"/>
      <c r="B358" s="175"/>
      <c r="P358" s="4"/>
      <c r="Q358" s="214"/>
      <c r="CL358" s="379"/>
      <c r="CM358" s="194"/>
      <c r="CN358" s="194"/>
      <c r="CO358" s="194"/>
      <c r="CP358" s="194"/>
      <c r="CQ358" s="194"/>
      <c r="CR358" s="194"/>
      <c r="CS358" s="194"/>
      <c r="CT358" s="194"/>
      <c r="CU358" s="194"/>
      <c r="CV358" s="194"/>
    </row>
    <row r="359" spans="1:100">
      <c r="A359" s="175"/>
      <c r="B359" s="175"/>
      <c r="P359" s="4"/>
      <c r="Q359" s="214"/>
      <c r="CL359" s="379"/>
      <c r="CM359" s="194"/>
      <c r="CN359" s="194"/>
      <c r="CO359" s="194"/>
      <c r="CP359" s="194"/>
      <c r="CQ359" s="194"/>
      <c r="CR359" s="194"/>
      <c r="CS359" s="194"/>
      <c r="CT359" s="194"/>
      <c r="CU359" s="194"/>
      <c r="CV359" s="194"/>
    </row>
    <row r="360" spans="1:100">
      <c r="A360" s="175"/>
      <c r="B360" s="175"/>
      <c r="P360" s="4"/>
      <c r="Q360" s="214"/>
      <c r="CL360" s="379"/>
      <c r="CM360" s="194"/>
      <c r="CN360" s="194"/>
      <c r="CO360" s="194"/>
      <c r="CP360" s="194"/>
      <c r="CQ360" s="194"/>
      <c r="CR360" s="194"/>
      <c r="CS360" s="194"/>
      <c r="CT360" s="194"/>
      <c r="CU360" s="194"/>
      <c r="CV360" s="194"/>
    </row>
    <row r="361" spans="1:100">
      <c r="A361" s="175"/>
      <c r="B361" s="175"/>
      <c r="P361" s="4"/>
      <c r="Q361" s="214"/>
      <c r="CL361" s="379"/>
      <c r="CM361" s="194"/>
      <c r="CN361" s="194"/>
      <c r="CO361" s="194"/>
      <c r="CP361" s="194"/>
      <c r="CQ361" s="194"/>
      <c r="CR361" s="194"/>
      <c r="CS361" s="194"/>
      <c r="CT361" s="194"/>
      <c r="CU361" s="194"/>
      <c r="CV361" s="194"/>
    </row>
    <row r="362" spans="1:100">
      <c r="A362" s="175"/>
      <c r="B362" s="175"/>
      <c r="P362" s="4"/>
      <c r="Q362" s="214"/>
      <c r="CL362" s="379"/>
      <c r="CM362" s="194"/>
      <c r="CN362" s="194"/>
      <c r="CO362" s="194"/>
      <c r="CP362" s="194"/>
      <c r="CQ362" s="194"/>
      <c r="CR362" s="194"/>
      <c r="CS362" s="194"/>
      <c r="CT362" s="194"/>
      <c r="CU362" s="194"/>
      <c r="CV362" s="194"/>
    </row>
    <row r="363" spans="1:100">
      <c r="A363" s="175"/>
      <c r="B363" s="175"/>
      <c r="P363" s="4"/>
      <c r="Q363" s="214"/>
      <c r="CL363" s="379"/>
      <c r="CM363" s="194"/>
      <c r="CN363" s="194"/>
      <c r="CO363" s="194"/>
      <c r="CP363" s="194"/>
      <c r="CQ363" s="194"/>
      <c r="CR363" s="194"/>
      <c r="CS363" s="194"/>
      <c r="CT363" s="194"/>
      <c r="CU363" s="194"/>
      <c r="CV363" s="194"/>
    </row>
    <row r="364" spans="1:100">
      <c r="A364" s="175"/>
      <c r="B364" s="175"/>
      <c r="P364" s="4"/>
      <c r="Q364" s="214"/>
      <c r="CL364" s="379"/>
      <c r="CM364" s="194"/>
      <c r="CN364" s="194"/>
      <c r="CO364" s="194"/>
      <c r="CP364" s="194"/>
      <c r="CQ364" s="194"/>
      <c r="CR364" s="194"/>
      <c r="CS364" s="194"/>
      <c r="CT364" s="194"/>
      <c r="CU364" s="194"/>
      <c r="CV364" s="194"/>
    </row>
    <row r="365" spans="1:100">
      <c r="A365" s="175"/>
      <c r="B365" s="175"/>
      <c r="P365" s="4"/>
      <c r="Q365" s="214"/>
      <c r="CL365" s="379"/>
      <c r="CM365" s="194"/>
      <c r="CN365" s="194"/>
      <c r="CO365" s="194"/>
      <c r="CP365" s="194"/>
      <c r="CQ365" s="194"/>
      <c r="CR365" s="194"/>
      <c r="CS365" s="194"/>
      <c r="CT365" s="194"/>
      <c r="CU365" s="194"/>
      <c r="CV365" s="194"/>
    </row>
    <row r="366" spans="1:100">
      <c r="A366" s="175"/>
      <c r="B366" s="175"/>
      <c r="P366" s="4"/>
      <c r="Q366" s="214"/>
      <c r="CL366" s="379"/>
      <c r="CM366" s="194"/>
      <c r="CN366" s="194"/>
      <c r="CO366" s="194"/>
      <c r="CP366" s="194"/>
      <c r="CQ366" s="194"/>
      <c r="CR366" s="194"/>
      <c r="CS366" s="194"/>
      <c r="CT366" s="194"/>
      <c r="CU366" s="194"/>
      <c r="CV366" s="194"/>
    </row>
    <row r="367" spans="1:100">
      <c r="A367" s="175"/>
      <c r="B367" s="175"/>
      <c r="P367" s="4"/>
      <c r="Q367" s="214"/>
      <c r="CL367" s="379"/>
      <c r="CM367" s="194"/>
      <c r="CN367" s="194"/>
      <c r="CO367" s="194"/>
      <c r="CP367" s="194"/>
      <c r="CQ367" s="194"/>
      <c r="CR367" s="194"/>
      <c r="CS367" s="194"/>
      <c r="CT367" s="194"/>
      <c r="CU367" s="194"/>
      <c r="CV367" s="194"/>
    </row>
    <row r="368" spans="1:100">
      <c r="A368" s="175"/>
      <c r="B368" s="175"/>
      <c r="P368" s="4"/>
      <c r="Q368" s="214"/>
      <c r="CL368" s="379"/>
      <c r="CM368" s="194"/>
      <c r="CN368" s="194"/>
      <c r="CO368" s="194"/>
      <c r="CP368" s="194"/>
      <c r="CQ368" s="194"/>
      <c r="CR368" s="194"/>
      <c r="CS368" s="194"/>
      <c r="CT368" s="194"/>
      <c r="CU368" s="194"/>
      <c r="CV368" s="194"/>
    </row>
    <row r="369" spans="1:100">
      <c r="A369" s="175"/>
      <c r="B369" s="175"/>
      <c r="P369" s="4"/>
      <c r="Q369" s="214"/>
      <c r="CL369" s="379"/>
      <c r="CM369" s="194"/>
      <c r="CN369" s="194"/>
      <c r="CO369" s="194"/>
      <c r="CP369" s="194"/>
      <c r="CQ369" s="194"/>
      <c r="CR369" s="194"/>
      <c r="CS369" s="194"/>
      <c r="CT369" s="194"/>
      <c r="CU369" s="194"/>
      <c r="CV369" s="194"/>
    </row>
    <row r="370" spans="1:100">
      <c r="A370" s="175"/>
      <c r="B370" s="175"/>
      <c r="P370" s="4"/>
      <c r="Q370" s="214"/>
      <c r="CL370" s="379"/>
      <c r="CM370" s="194"/>
      <c r="CN370" s="194"/>
      <c r="CO370" s="194"/>
      <c r="CP370" s="194"/>
      <c r="CQ370" s="194"/>
      <c r="CR370" s="194"/>
      <c r="CS370" s="194"/>
      <c r="CT370" s="194"/>
      <c r="CU370" s="194"/>
      <c r="CV370" s="194"/>
    </row>
    <row r="371" spans="1:100">
      <c r="A371" s="175"/>
      <c r="B371" s="175"/>
      <c r="P371" s="4"/>
      <c r="Q371" s="214"/>
      <c r="CL371" s="379"/>
      <c r="CM371" s="194"/>
      <c r="CN371" s="194"/>
      <c r="CO371" s="194"/>
      <c r="CP371" s="194"/>
      <c r="CQ371" s="194"/>
      <c r="CR371" s="194"/>
      <c r="CS371" s="194"/>
      <c r="CT371" s="194"/>
      <c r="CU371" s="194"/>
      <c r="CV371" s="194"/>
    </row>
    <row r="372" spans="1:100">
      <c r="A372" s="175"/>
      <c r="B372" s="175"/>
      <c r="P372" s="4"/>
      <c r="Q372" s="214"/>
      <c r="CL372" s="379"/>
      <c r="CM372" s="194"/>
      <c r="CN372" s="194"/>
      <c r="CO372" s="194"/>
      <c r="CP372" s="194"/>
      <c r="CQ372" s="194"/>
      <c r="CR372" s="194"/>
      <c r="CS372" s="194"/>
      <c r="CT372" s="194"/>
      <c r="CU372" s="194"/>
      <c r="CV372" s="194"/>
    </row>
    <row r="373" spans="1:100">
      <c r="A373" s="175"/>
      <c r="B373" s="175"/>
      <c r="P373" s="4"/>
      <c r="Q373" s="214"/>
      <c r="CL373" s="379"/>
      <c r="CM373" s="194"/>
      <c r="CN373" s="194"/>
      <c r="CO373" s="194"/>
      <c r="CP373" s="194"/>
      <c r="CQ373" s="194"/>
      <c r="CR373" s="194"/>
      <c r="CS373" s="194"/>
      <c r="CT373" s="194"/>
      <c r="CU373" s="194"/>
      <c r="CV373" s="194"/>
    </row>
    <row r="374" spans="1:100">
      <c r="A374" s="175"/>
      <c r="B374" s="175"/>
      <c r="P374" s="4"/>
      <c r="Q374" s="214"/>
      <c r="CL374" s="379"/>
      <c r="CM374" s="194"/>
      <c r="CN374" s="194"/>
      <c r="CO374" s="194"/>
      <c r="CP374" s="194"/>
      <c r="CQ374" s="194"/>
      <c r="CR374" s="194"/>
      <c r="CS374" s="194"/>
      <c r="CT374" s="194"/>
      <c r="CU374" s="194"/>
      <c r="CV374" s="194"/>
    </row>
    <row r="375" spans="1:100">
      <c r="A375" s="175"/>
      <c r="B375" s="175"/>
      <c r="P375" s="4"/>
      <c r="Q375" s="214"/>
      <c r="CL375" s="379"/>
      <c r="CM375" s="194"/>
      <c r="CN375" s="194"/>
      <c r="CO375" s="194"/>
      <c r="CP375" s="194"/>
      <c r="CQ375" s="194"/>
      <c r="CR375" s="194"/>
      <c r="CS375" s="194"/>
      <c r="CT375" s="194"/>
      <c r="CU375" s="194"/>
      <c r="CV375" s="194"/>
    </row>
    <row r="376" spans="1:100">
      <c r="A376" s="175"/>
      <c r="B376" s="175"/>
      <c r="P376" s="4"/>
      <c r="Q376" s="214"/>
      <c r="CL376" s="379"/>
      <c r="CM376" s="194"/>
      <c r="CN376" s="194"/>
      <c r="CO376" s="194"/>
      <c r="CP376" s="194"/>
      <c r="CQ376" s="194"/>
      <c r="CR376" s="194"/>
      <c r="CS376" s="194"/>
      <c r="CT376" s="194"/>
      <c r="CU376" s="194"/>
      <c r="CV376" s="194"/>
    </row>
    <row r="377" spans="1:100">
      <c r="A377" s="175"/>
      <c r="B377" s="175"/>
      <c r="P377" s="4"/>
      <c r="Q377" s="214"/>
      <c r="CL377" s="379"/>
      <c r="CM377" s="194"/>
      <c r="CN377" s="194"/>
      <c r="CO377" s="194"/>
      <c r="CP377" s="194"/>
      <c r="CQ377" s="194"/>
      <c r="CR377" s="194"/>
      <c r="CS377" s="194"/>
      <c r="CT377" s="194"/>
      <c r="CU377" s="194"/>
      <c r="CV377" s="194"/>
    </row>
    <row r="378" spans="1:100">
      <c r="A378" s="175"/>
      <c r="B378" s="175"/>
      <c r="P378" s="4"/>
      <c r="Q378" s="214"/>
      <c r="CL378" s="379"/>
      <c r="CM378" s="194"/>
      <c r="CN378" s="194"/>
      <c r="CO378" s="194"/>
      <c r="CP378" s="194"/>
      <c r="CQ378" s="194"/>
      <c r="CR378" s="194"/>
      <c r="CS378" s="194"/>
      <c r="CT378" s="194"/>
      <c r="CU378" s="194"/>
      <c r="CV378" s="194"/>
    </row>
    <row r="379" spans="1:100">
      <c r="A379" s="175"/>
      <c r="B379" s="175"/>
      <c r="P379" s="4"/>
      <c r="Q379" s="214"/>
      <c r="CL379" s="379"/>
      <c r="CM379" s="194"/>
      <c r="CN379" s="194"/>
      <c r="CO379" s="194"/>
      <c r="CP379" s="194"/>
      <c r="CQ379" s="194"/>
      <c r="CR379" s="194"/>
      <c r="CS379" s="194"/>
      <c r="CT379" s="194"/>
      <c r="CU379" s="194"/>
      <c r="CV379" s="194"/>
    </row>
    <row r="380" spans="1:100">
      <c r="A380" s="175"/>
      <c r="B380" s="175"/>
      <c r="P380" s="4"/>
      <c r="Q380" s="214"/>
      <c r="CL380" s="379"/>
      <c r="CM380" s="194"/>
      <c r="CN380" s="194"/>
      <c r="CO380" s="194"/>
      <c r="CP380" s="194"/>
      <c r="CQ380" s="194"/>
      <c r="CR380" s="194"/>
      <c r="CS380" s="194"/>
      <c r="CT380" s="194"/>
      <c r="CU380" s="194"/>
      <c r="CV380" s="194"/>
    </row>
    <row r="381" spans="1:100">
      <c r="A381" s="175"/>
      <c r="B381" s="175"/>
      <c r="P381" s="4"/>
      <c r="Q381" s="214"/>
      <c r="CL381" s="379"/>
      <c r="CM381" s="194"/>
      <c r="CN381" s="194"/>
      <c r="CO381" s="194"/>
      <c r="CP381" s="194"/>
      <c r="CQ381" s="194"/>
      <c r="CR381" s="194"/>
      <c r="CS381" s="194"/>
      <c r="CT381" s="194"/>
      <c r="CU381" s="194"/>
      <c r="CV381" s="194"/>
    </row>
    <row r="382" spans="1:100">
      <c r="A382" s="175"/>
      <c r="B382" s="175"/>
      <c r="P382" s="4"/>
      <c r="Q382" s="214"/>
      <c r="CL382" s="379"/>
      <c r="CM382" s="194"/>
      <c r="CN382" s="194"/>
      <c r="CO382" s="194"/>
      <c r="CP382" s="194"/>
      <c r="CQ382" s="194"/>
      <c r="CR382" s="194"/>
      <c r="CS382" s="194"/>
      <c r="CT382" s="194"/>
      <c r="CU382" s="194"/>
      <c r="CV382" s="194"/>
    </row>
    <row r="383" spans="1:100">
      <c r="A383" s="175"/>
      <c r="B383" s="175"/>
      <c r="P383" s="4"/>
      <c r="Q383" s="214"/>
      <c r="CL383" s="379"/>
      <c r="CM383" s="194"/>
      <c r="CN383" s="194"/>
      <c r="CO383" s="194"/>
      <c r="CP383" s="194"/>
      <c r="CQ383" s="194"/>
      <c r="CR383" s="194"/>
      <c r="CS383" s="194"/>
      <c r="CT383" s="194"/>
      <c r="CU383" s="194"/>
      <c r="CV383" s="194"/>
    </row>
    <row r="384" spans="1:100">
      <c r="A384" s="175"/>
      <c r="B384" s="175"/>
      <c r="P384" s="4"/>
      <c r="Q384" s="214"/>
      <c r="CL384" s="379"/>
      <c r="CM384" s="194"/>
      <c r="CN384" s="194"/>
      <c r="CO384" s="194"/>
      <c r="CP384" s="194"/>
      <c r="CQ384" s="194"/>
      <c r="CR384" s="194"/>
      <c r="CS384" s="194"/>
      <c r="CT384" s="194"/>
      <c r="CU384" s="194"/>
      <c r="CV384" s="194"/>
    </row>
    <row r="385" spans="1:100">
      <c r="A385" s="175"/>
      <c r="B385" s="175"/>
      <c r="P385" s="4"/>
      <c r="Q385" s="214"/>
      <c r="CL385" s="379"/>
      <c r="CM385" s="194"/>
      <c r="CN385" s="194"/>
      <c r="CO385" s="194"/>
      <c r="CP385" s="194"/>
      <c r="CQ385" s="194"/>
      <c r="CR385" s="194"/>
      <c r="CS385" s="194"/>
      <c r="CT385" s="194"/>
      <c r="CU385" s="194"/>
      <c r="CV385" s="194"/>
    </row>
    <row r="386" spans="1:100">
      <c r="A386" s="175"/>
      <c r="B386" s="175"/>
      <c r="P386" s="4"/>
      <c r="Q386" s="214"/>
      <c r="CL386" s="379"/>
      <c r="CM386" s="194"/>
      <c r="CN386" s="194"/>
      <c r="CO386" s="194"/>
      <c r="CP386" s="194"/>
      <c r="CQ386" s="194"/>
      <c r="CR386" s="194"/>
      <c r="CS386" s="194"/>
      <c r="CT386" s="194"/>
      <c r="CU386" s="194"/>
      <c r="CV386" s="194"/>
    </row>
    <row r="387" spans="1:100">
      <c r="A387" s="175"/>
      <c r="B387" s="175"/>
      <c r="P387" s="4"/>
      <c r="Q387" s="214"/>
      <c r="CL387" s="379"/>
      <c r="CM387" s="194"/>
      <c r="CN387" s="194"/>
      <c r="CO387" s="194"/>
      <c r="CP387" s="194"/>
      <c r="CQ387" s="194"/>
      <c r="CR387" s="194"/>
      <c r="CS387" s="194"/>
      <c r="CT387" s="194"/>
      <c r="CU387" s="194"/>
      <c r="CV387" s="194"/>
    </row>
    <row r="388" spans="1:100">
      <c r="A388" s="175"/>
      <c r="B388" s="175"/>
      <c r="P388" s="4"/>
      <c r="Q388" s="214"/>
      <c r="CL388" s="379"/>
      <c r="CM388" s="194"/>
      <c r="CN388" s="194"/>
      <c r="CO388" s="194"/>
      <c r="CP388" s="194"/>
      <c r="CQ388" s="194"/>
      <c r="CR388" s="194"/>
      <c r="CS388" s="194"/>
      <c r="CT388" s="194"/>
      <c r="CU388" s="194"/>
      <c r="CV388" s="194"/>
    </row>
    <row r="389" spans="1:100">
      <c r="A389" s="175"/>
      <c r="B389" s="175"/>
      <c r="P389" s="4"/>
      <c r="Q389" s="214"/>
      <c r="CL389" s="379"/>
      <c r="CM389" s="194"/>
      <c r="CN389" s="194"/>
      <c r="CO389" s="194"/>
      <c r="CP389" s="194"/>
      <c r="CQ389" s="194"/>
      <c r="CR389" s="194"/>
      <c r="CS389" s="194"/>
      <c r="CT389" s="194"/>
      <c r="CU389" s="194"/>
      <c r="CV389" s="194"/>
    </row>
    <row r="390" spans="1:100">
      <c r="A390" s="175"/>
      <c r="B390" s="175"/>
      <c r="P390" s="4"/>
      <c r="Q390" s="214"/>
      <c r="CL390" s="379"/>
      <c r="CM390" s="194"/>
      <c r="CN390" s="194"/>
      <c r="CO390" s="194"/>
      <c r="CP390" s="194"/>
      <c r="CQ390" s="194"/>
      <c r="CR390" s="194"/>
      <c r="CS390" s="194"/>
      <c r="CT390" s="194"/>
      <c r="CU390" s="194"/>
      <c r="CV390" s="194"/>
    </row>
    <row r="391" spans="1:100">
      <c r="A391" s="175"/>
      <c r="B391" s="175"/>
      <c r="P391" s="4"/>
      <c r="Q391" s="214"/>
      <c r="CL391" s="379"/>
      <c r="CM391" s="194"/>
      <c r="CN391" s="194"/>
      <c r="CO391" s="194"/>
      <c r="CP391" s="194"/>
      <c r="CQ391" s="194"/>
      <c r="CR391" s="194"/>
      <c r="CS391" s="194"/>
      <c r="CT391" s="194"/>
      <c r="CU391" s="194"/>
      <c r="CV391" s="194"/>
    </row>
    <row r="392" spans="1:100">
      <c r="A392" s="175"/>
      <c r="B392" s="175"/>
      <c r="P392" s="4"/>
      <c r="Q392" s="214"/>
      <c r="CL392" s="379"/>
      <c r="CM392" s="194"/>
      <c r="CN392" s="194"/>
      <c r="CO392" s="194"/>
      <c r="CP392" s="194"/>
      <c r="CQ392" s="194"/>
      <c r="CR392" s="194"/>
      <c r="CS392" s="194"/>
      <c r="CT392" s="194"/>
      <c r="CU392" s="194"/>
      <c r="CV392" s="194"/>
    </row>
    <row r="393" spans="1:100">
      <c r="A393" s="175"/>
      <c r="B393" s="175"/>
      <c r="P393" s="4"/>
      <c r="Q393" s="214"/>
      <c r="CL393" s="379"/>
      <c r="CM393" s="194"/>
      <c r="CN393" s="194"/>
      <c r="CO393" s="194"/>
      <c r="CP393" s="194"/>
      <c r="CQ393" s="194"/>
      <c r="CR393" s="194"/>
      <c r="CS393" s="194"/>
      <c r="CT393" s="194"/>
      <c r="CU393" s="194"/>
      <c r="CV393" s="194"/>
    </row>
    <row r="394" spans="1:100">
      <c r="A394" s="175"/>
      <c r="B394" s="175"/>
      <c r="P394" s="4"/>
      <c r="Q394" s="214"/>
      <c r="CL394" s="379"/>
      <c r="CM394" s="194"/>
      <c r="CN394" s="194"/>
      <c r="CO394" s="194"/>
      <c r="CP394" s="194"/>
      <c r="CQ394" s="194"/>
      <c r="CR394" s="194"/>
      <c r="CS394" s="194"/>
      <c r="CT394" s="194"/>
      <c r="CU394" s="194"/>
      <c r="CV394" s="194"/>
    </row>
    <row r="395" spans="1:100">
      <c r="A395" s="175"/>
      <c r="B395" s="175"/>
      <c r="P395" s="4"/>
      <c r="Q395" s="214"/>
      <c r="CL395" s="379"/>
      <c r="CM395" s="194"/>
      <c r="CN395" s="194"/>
      <c r="CO395" s="194"/>
      <c r="CP395" s="194"/>
      <c r="CQ395" s="194"/>
      <c r="CR395" s="194"/>
      <c r="CS395" s="194"/>
      <c r="CT395" s="194"/>
      <c r="CU395" s="194"/>
      <c r="CV395" s="194"/>
    </row>
    <row r="396" spans="1:100">
      <c r="A396" s="175"/>
      <c r="B396" s="175"/>
      <c r="P396" s="4"/>
      <c r="Q396" s="214"/>
      <c r="CL396" s="379"/>
      <c r="CM396" s="194"/>
      <c r="CN396" s="194"/>
      <c r="CO396" s="194"/>
      <c r="CP396" s="194"/>
      <c r="CQ396" s="194"/>
      <c r="CR396" s="194"/>
      <c r="CS396" s="194"/>
      <c r="CT396" s="194"/>
      <c r="CU396" s="194"/>
      <c r="CV396" s="194"/>
    </row>
    <row r="397" spans="1:100">
      <c r="A397" s="175"/>
      <c r="B397" s="175"/>
      <c r="P397" s="4"/>
      <c r="Q397" s="214"/>
      <c r="CL397" s="379"/>
      <c r="CM397" s="194"/>
      <c r="CN397" s="194"/>
      <c r="CO397" s="194"/>
      <c r="CP397" s="194"/>
      <c r="CQ397" s="194"/>
      <c r="CR397" s="194"/>
      <c r="CS397" s="194"/>
      <c r="CT397" s="194"/>
      <c r="CU397" s="194"/>
      <c r="CV397" s="194"/>
    </row>
    <row r="398" spans="1:100">
      <c r="A398" s="175"/>
      <c r="B398" s="175"/>
      <c r="P398" s="4"/>
      <c r="Q398" s="214"/>
      <c r="CL398" s="379"/>
      <c r="CM398" s="194"/>
      <c r="CN398" s="194"/>
      <c r="CO398" s="194"/>
      <c r="CP398" s="194"/>
      <c r="CQ398" s="194"/>
      <c r="CR398" s="194"/>
      <c r="CS398" s="194"/>
      <c r="CT398" s="194"/>
      <c r="CU398" s="194"/>
      <c r="CV398" s="194"/>
    </row>
    <row r="399" spans="1:100">
      <c r="A399" s="175"/>
      <c r="B399" s="175"/>
      <c r="P399" s="4"/>
      <c r="Q399" s="214"/>
      <c r="CL399" s="379"/>
      <c r="CM399" s="194"/>
      <c r="CN399" s="194"/>
      <c r="CO399" s="194"/>
      <c r="CP399" s="194"/>
      <c r="CQ399" s="194"/>
      <c r="CR399" s="194"/>
      <c r="CS399" s="194"/>
      <c r="CT399" s="194"/>
      <c r="CU399" s="194"/>
      <c r="CV399" s="194"/>
    </row>
    <row r="400" spans="1:100">
      <c r="A400" s="175"/>
      <c r="B400" s="175"/>
      <c r="P400" s="4"/>
      <c r="Q400" s="214"/>
      <c r="CL400" s="379"/>
      <c r="CM400" s="194"/>
      <c r="CN400" s="194"/>
      <c r="CO400" s="194"/>
      <c r="CP400" s="194"/>
      <c r="CQ400" s="194"/>
      <c r="CR400" s="194"/>
      <c r="CS400" s="194"/>
      <c r="CT400" s="194"/>
      <c r="CU400" s="194"/>
      <c r="CV400" s="194"/>
    </row>
    <row r="401" spans="1:100">
      <c r="A401" s="175"/>
      <c r="B401" s="175"/>
      <c r="P401" s="4"/>
      <c r="Q401" s="214"/>
      <c r="CL401" s="379"/>
      <c r="CM401" s="194"/>
      <c r="CN401" s="194"/>
      <c r="CO401" s="194"/>
      <c r="CP401" s="194"/>
      <c r="CQ401" s="194"/>
      <c r="CR401" s="194"/>
      <c r="CS401" s="194"/>
      <c r="CT401" s="194"/>
      <c r="CU401" s="194"/>
      <c r="CV401" s="194"/>
    </row>
    <row r="402" spans="1:100">
      <c r="A402" s="175"/>
      <c r="B402" s="175"/>
      <c r="P402" s="4"/>
      <c r="Q402" s="214"/>
      <c r="CL402" s="379"/>
      <c r="CM402" s="194"/>
      <c r="CN402" s="194"/>
      <c r="CO402" s="194"/>
      <c r="CP402" s="194"/>
      <c r="CQ402" s="194"/>
      <c r="CR402" s="194"/>
      <c r="CS402" s="194"/>
      <c r="CT402" s="194"/>
      <c r="CU402" s="194"/>
      <c r="CV402" s="194"/>
    </row>
    <row r="403" spans="1:100">
      <c r="A403" s="175"/>
      <c r="B403" s="175"/>
      <c r="P403" s="4"/>
      <c r="Q403" s="214"/>
      <c r="CL403" s="379"/>
      <c r="CM403" s="194"/>
      <c r="CN403" s="194"/>
      <c r="CO403" s="194"/>
      <c r="CP403" s="194"/>
      <c r="CQ403" s="194"/>
      <c r="CR403" s="194"/>
      <c r="CS403" s="194"/>
      <c r="CT403" s="194"/>
      <c r="CU403" s="194"/>
      <c r="CV403" s="194"/>
    </row>
    <row r="404" spans="1:100">
      <c r="A404" s="175"/>
      <c r="B404" s="175"/>
      <c r="P404" s="4"/>
      <c r="Q404" s="214"/>
      <c r="CL404" s="379"/>
      <c r="CM404" s="194"/>
      <c r="CN404" s="194"/>
      <c r="CO404" s="194"/>
      <c r="CP404" s="194"/>
      <c r="CQ404" s="194"/>
      <c r="CR404" s="194"/>
      <c r="CS404" s="194"/>
      <c r="CT404" s="194"/>
      <c r="CU404" s="194"/>
      <c r="CV404" s="194"/>
    </row>
    <row r="405" spans="1:100">
      <c r="A405" s="175"/>
      <c r="B405" s="175"/>
      <c r="P405" s="4"/>
      <c r="Q405" s="214"/>
      <c r="CL405" s="379"/>
      <c r="CM405" s="194"/>
      <c r="CN405" s="194"/>
      <c r="CO405" s="194"/>
      <c r="CP405" s="194"/>
      <c r="CQ405" s="194"/>
      <c r="CR405" s="194"/>
      <c r="CS405" s="194"/>
      <c r="CT405" s="194"/>
      <c r="CU405" s="194"/>
      <c r="CV405" s="194"/>
    </row>
    <row r="406" spans="1:100">
      <c r="A406" s="175"/>
      <c r="B406" s="175"/>
      <c r="P406" s="4"/>
      <c r="Q406" s="214"/>
      <c r="CL406" s="379"/>
      <c r="CM406" s="194"/>
      <c r="CN406" s="194"/>
      <c r="CO406" s="194"/>
      <c r="CP406" s="194"/>
      <c r="CQ406" s="194"/>
      <c r="CR406" s="194"/>
      <c r="CS406" s="194"/>
      <c r="CT406" s="194"/>
      <c r="CU406" s="194"/>
      <c r="CV406" s="194"/>
    </row>
    <row r="407" spans="1:100">
      <c r="A407" s="175"/>
      <c r="B407" s="175"/>
      <c r="P407" s="4"/>
      <c r="Q407" s="214"/>
      <c r="CL407" s="379"/>
      <c r="CM407" s="194"/>
      <c r="CN407" s="194"/>
      <c r="CO407" s="194"/>
      <c r="CP407" s="194"/>
      <c r="CQ407" s="194"/>
      <c r="CR407" s="194"/>
      <c r="CS407" s="194"/>
      <c r="CT407" s="194"/>
      <c r="CU407" s="194"/>
      <c r="CV407" s="194"/>
    </row>
    <row r="408" spans="1:100">
      <c r="A408" s="175"/>
      <c r="B408" s="175"/>
      <c r="P408" s="4"/>
      <c r="Q408" s="214"/>
      <c r="CL408" s="379"/>
      <c r="CM408" s="194"/>
      <c r="CN408" s="194"/>
      <c r="CO408" s="194"/>
      <c r="CP408" s="194"/>
      <c r="CQ408" s="194"/>
      <c r="CR408" s="194"/>
      <c r="CS408" s="194"/>
      <c r="CT408" s="194"/>
      <c r="CU408" s="194"/>
      <c r="CV408" s="194"/>
    </row>
    <row r="409" spans="1:100">
      <c r="A409" s="175"/>
      <c r="B409" s="175"/>
      <c r="P409" s="4"/>
      <c r="Q409" s="214"/>
      <c r="CL409" s="379"/>
      <c r="CM409" s="194"/>
      <c r="CN409" s="194"/>
      <c r="CO409" s="194"/>
      <c r="CP409" s="194"/>
      <c r="CQ409" s="194"/>
      <c r="CR409" s="194"/>
      <c r="CS409" s="194"/>
      <c r="CT409" s="194"/>
      <c r="CU409" s="194"/>
      <c r="CV409" s="194"/>
    </row>
    <row r="410" spans="1:100">
      <c r="A410" s="175"/>
      <c r="B410" s="175"/>
      <c r="P410" s="4"/>
      <c r="Q410" s="214"/>
      <c r="CL410" s="379"/>
      <c r="CM410" s="194"/>
      <c r="CN410" s="194"/>
      <c r="CO410" s="194"/>
      <c r="CP410" s="194"/>
      <c r="CQ410" s="194"/>
      <c r="CR410" s="194"/>
      <c r="CS410" s="194"/>
      <c r="CT410" s="194"/>
      <c r="CU410" s="194"/>
      <c r="CV410" s="194"/>
    </row>
    <row r="411" spans="1:100">
      <c r="A411" s="175"/>
      <c r="B411" s="175"/>
      <c r="P411" s="4"/>
      <c r="Q411" s="214"/>
      <c r="CL411" s="379"/>
      <c r="CM411" s="194"/>
      <c r="CN411" s="194"/>
      <c r="CO411" s="194"/>
      <c r="CP411" s="194"/>
      <c r="CQ411" s="194"/>
      <c r="CR411" s="194"/>
      <c r="CS411" s="194"/>
      <c r="CT411" s="194"/>
      <c r="CU411" s="194"/>
      <c r="CV411" s="194"/>
    </row>
    <row r="412" spans="1:100">
      <c r="A412" s="175"/>
      <c r="B412" s="175"/>
      <c r="P412" s="4"/>
      <c r="Q412" s="214"/>
      <c r="CL412" s="379"/>
      <c r="CM412" s="194"/>
      <c r="CN412" s="194"/>
      <c r="CO412" s="194"/>
      <c r="CP412" s="194"/>
      <c r="CQ412" s="194"/>
      <c r="CR412" s="194"/>
      <c r="CS412" s="194"/>
      <c r="CT412" s="194"/>
      <c r="CU412" s="194"/>
      <c r="CV412" s="194"/>
    </row>
    <row r="413" spans="1:100">
      <c r="A413" s="175"/>
      <c r="B413" s="175"/>
      <c r="P413" s="4"/>
      <c r="Q413" s="214"/>
      <c r="CL413" s="379"/>
      <c r="CM413" s="194"/>
      <c r="CN413" s="194"/>
      <c r="CO413" s="194"/>
      <c r="CP413" s="194"/>
      <c r="CQ413" s="194"/>
      <c r="CR413" s="194"/>
      <c r="CS413" s="194"/>
      <c r="CT413" s="194"/>
      <c r="CU413" s="194"/>
      <c r="CV413" s="194"/>
    </row>
    <row r="414" spans="1:100">
      <c r="A414" s="175"/>
      <c r="B414" s="175"/>
      <c r="P414" s="4"/>
      <c r="Q414" s="214"/>
      <c r="CL414" s="379"/>
      <c r="CM414" s="194"/>
      <c r="CN414" s="194"/>
      <c r="CO414" s="194"/>
      <c r="CP414" s="194"/>
      <c r="CQ414" s="194"/>
      <c r="CR414" s="194"/>
      <c r="CS414" s="194"/>
      <c r="CT414" s="194"/>
      <c r="CU414" s="194"/>
      <c r="CV414" s="194"/>
    </row>
    <row r="415" spans="1:100">
      <c r="A415" s="175"/>
      <c r="B415" s="175"/>
      <c r="P415" s="4"/>
      <c r="Q415" s="214"/>
      <c r="CL415" s="379"/>
      <c r="CM415" s="194"/>
      <c r="CN415" s="194"/>
      <c r="CO415" s="194"/>
      <c r="CP415" s="194"/>
      <c r="CQ415" s="194"/>
      <c r="CR415" s="194"/>
      <c r="CS415" s="194"/>
      <c r="CT415" s="194"/>
      <c r="CU415" s="194"/>
      <c r="CV415" s="194"/>
    </row>
    <row r="416" spans="1:100">
      <c r="A416" s="175"/>
      <c r="B416" s="175"/>
      <c r="P416" s="4"/>
      <c r="Q416" s="214"/>
      <c r="CL416" s="379"/>
      <c r="CM416" s="194"/>
      <c r="CN416" s="194"/>
      <c r="CO416" s="194"/>
      <c r="CP416" s="194"/>
      <c r="CQ416" s="194"/>
      <c r="CR416" s="194"/>
      <c r="CS416" s="194"/>
      <c r="CT416" s="194"/>
      <c r="CU416" s="194"/>
      <c r="CV416" s="194"/>
    </row>
    <row r="417" spans="1:100">
      <c r="A417" s="175"/>
      <c r="B417" s="175"/>
      <c r="P417" s="4"/>
      <c r="Q417" s="214"/>
      <c r="CL417" s="379"/>
      <c r="CM417" s="194"/>
      <c r="CN417" s="194"/>
      <c r="CO417" s="194"/>
      <c r="CP417" s="194"/>
      <c r="CQ417" s="194"/>
      <c r="CR417" s="194"/>
      <c r="CS417" s="194"/>
      <c r="CT417" s="194"/>
      <c r="CU417" s="194"/>
      <c r="CV417" s="194"/>
    </row>
    <row r="418" spans="1:100">
      <c r="A418" s="175"/>
      <c r="B418" s="175"/>
      <c r="P418" s="4"/>
      <c r="Q418" s="214"/>
      <c r="CL418" s="379"/>
      <c r="CM418" s="194"/>
      <c r="CN418" s="194"/>
      <c r="CO418" s="194"/>
      <c r="CP418" s="194"/>
      <c r="CQ418" s="194"/>
      <c r="CR418" s="194"/>
      <c r="CS418" s="194"/>
      <c r="CT418" s="194"/>
      <c r="CU418" s="194"/>
      <c r="CV418" s="194"/>
    </row>
    <row r="419" spans="1:100">
      <c r="A419" s="175"/>
      <c r="B419" s="175"/>
      <c r="P419" s="4"/>
      <c r="Q419" s="214"/>
      <c r="CL419" s="379"/>
      <c r="CM419" s="194"/>
      <c r="CN419" s="194"/>
      <c r="CO419" s="194"/>
      <c r="CP419" s="194"/>
      <c r="CQ419" s="194"/>
      <c r="CR419" s="194"/>
      <c r="CS419" s="194"/>
      <c r="CT419" s="194"/>
      <c r="CU419" s="194"/>
      <c r="CV419" s="194"/>
    </row>
    <row r="420" spans="1:100">
      <c r="A420" s="175"/>
      <c r="B420" s="175"/>
      <c r="P420" s="4"/>
      <c r="Q420" s="214"/>
      <c r="CL420" s="379"/>
      <c r="CM420" s="194"/>
      <c r="CN420" s="194"/>
      <c r="CO420" s="194"/>
      <c r="CP420" s="194"/>
      <c r="CQ420" s="194"/>
      <c r="CR420" s="194"/>
      <c r="CS420" s="194"/>
      <c r="CT420" s="194"/>
      <c r="CU420" s="194"/>
      <c r="CV420" s="194"/>
    </row>
    <row r="421" spans="1:100">
      <c r="A421" s="175"/>
      <c r="B421" s="175"/>
      <c r="P421" s="4"/>
      <c r="Q421" s="214"/>
      <c r="CL421" s="379"/>
      <c r="CM421" s="194"/>
      <c r="CN421" s="194"/>
      <c r="CO421" s="194"/>
      <c r="CP421" s="194"/>
      <c r="CQ421" s="194"/>
      <c r="CR421" s="194"/>
      <c r="CS421" s="194"/>
      <c r="CT421" s="194"/>
      <c r="CU421" s="194"/>
      <c r="CV421" s="194"/>
    </row>
    <row r="422" spans="1:100">
      <c r="A422" s="175"/>
      <c r="B422" s="175"/>
      <c r="P422" s="4"/>
      <c r="Q422" s="214"/>
      <c r="CL422" s="379"/>
      <c r="CM422" s="194"/>
      <c r="CN422" s="194"/>
      <c r="CO422" s="194"/>
      <c r="CP422" s="194"/>
      <c r="CQ422" s="194"/>
      <c r="CR422" s="194"/>
      <c r="CS422" s="194"/>
      <c r="CT422" s="194"/>
      <c r="CU422" s="194"/>
      <c r="CV422" s="194"/>
    </row>
    <row r="423" spans="1:100">
      <c r="A423" s="175"/>
      <c r="B423" s="175"/>
      <c r="P423" s="4"/>
      <c r="Q423" s="214"/>
      <c r="CL423" s="379"/>
      <c r="CM423" s="194"/>
      <c r="CN423" s="194"/>
      <c r="CO423" s="194"/>
      <c r="CP423" s="194"/>
      <c r="CQ423" s="194"/>
      <c r="CR423" s="194"/>
      <c r="CS423" s="194"/>
      <c r="CT423" s="194"/>
      <c r="CU423" s="194"/>
      <c r="CV423" s="194"/>
    </row>
    <row r="424" spans="1:100">
      <c r="A424" s="175"/>
      <c r="B424" s="175"/>
      <c r="P424" s="4"/>
      <c r="Q424" s="214"/>
      <c r="CL424" s="379"/>
      <c r="CM424" s="194"/>
      <c r="CN424" s="194"/>
      <c r="CO424" s="194"/>
      <c r="CP424" s="194"/>
      <c r="CQ424" s="194"/>
      <c r="CR424" s="194"/>
      <c r="CS424" s="194"/>
      <c r="CT424" s="194"/>
      <c r="CU424" s="194"/>
      <c r="CV424" s="194"/>
    </row>
    <row r="425" spans="1:100">
      <c r="A425" s="175"/>
      <c r="B425" s="175"/>
      <c r="P425" s="4"/>
      <c r="Q425" s="214"/>
      <c r="CL425" s="379"/>
      <c r="CM425" s="194"/>
      <c r="CN425" s="194"/>
      <c r="CO425" s="194"/>
      <c r="CP425" s="194"/>
      <c r="CQ425" s="194"/>
      <c r="CR425" s="194"/>
      <c r="CS425" s="194"/>
      <c r="CT425" s="194"/>
      <c r="CU425" s="194"/>
      <c r="CV425" s="194"/>
    </row>
    <row r="426" spans="1:100">
      <c r="A426" s="175"/>
      <c r="B426" s="175"/>
      <c r="P426" s="4"/>
      <c r="Q426" s="214"/>
      <c r="CL426" s="379"/>
      <c r="CM426" s="194"/>
      <c r="CN426" s="194"/>
      <c r="CO426" s="194"/>
      <c r="CP426" s="194"/>
      <c r="CQ426" s="194"/>
      <c r="CR426" s="194"/>
      <c r="CS426" s="194"/>
      <c r="CT426" s="194"/>
      <c r="CU426" s="194"/>
      <c r="CV426" s="194"/>
    </row>
    <row r="427" spans="1:100">
      <c r="A427" s="175"/>
      <c r="B427" s="175"/>
      <c r="P427" s="4"/>
      <c r="Q427" s="214"/>
      <c r="CL427" s="379"/>
      <c r="CM427" s="194"/>
      <c r="CN427" s="194"/>
      <c r="CO427" s="194"/>
      <c r="CP427" s="194"/>
      <c r="CQ427" s="194"/>
      <c r="CR427" s="194"/>
      <c r="CS427" s="194"/>
      <c r="CT427" s="194"/>
      <c r="CU427" s="194"/>
      <c r="CV427" s="194"/>
    </row>
    <row r="428" spans="1:100">
      <c r="A428" s="175"/>
      <c r="B428" s="175"/>
      <c r="P428" s="4"/>
      <c r="Q428" s="214"/>
      <c r="CL428" s="379"/>
      <c r="CM428" s="194"/>
      <c r="CN428" s="194"/>
      <c r="CO428" s="194"/>
      <c r="CP428" s="194"/>
      <c r="CQ428" s="194"/>
      <c r="CR428" s="194"/>
      <c r="CS428" s="194"/>
      <c r="CT428" s="194"/>
      <c r="CU428" s="194"/>
      <c r="CV428" s="194"/>
    </row>
    <row r="429" spans="1:100">
      <c r="A429" s="175"/>
      <c r="B429" s="175"/>
      <c r="P429" s="4"/>
      <c r="Q429" s="214"/>
      <c r="CL429" s="379"/>
      <c r="CM429" s="194"/>
      <c r="CN429" s="194"/>
      <c r="CO429" s="194"/>
      <c r="CP429" s="194"/>
      <c r="CQ429" s="194"/>
      <c r="CR429" s="194"/>
      <c r="CS429" s="194"/>
      <c r="CT429" s="194"/>
      <c r="CU429" s="194"/>
      <c r="CV429" s="194"/>
    </row>
    <row r="430" spans="1:100">
      <c r="A430" s="175"/>
      <c r="B430" s="175"/>
      <c r="P430" s="4"/>
      <c r="Q430" s="214"/>
      <c r="CL430" s="379"/>
      <c r="CM430" s="194"/>
      <c r="CN430" s="194"/>
      <c r="CO430" s="194"/>
      <c r="CP430" s="194"/>
      <c r="CQ430" s="194"/>
      <c r="CR430" s="194"/>
      <c r="CS430" s="194"/>
      <c r="CT430" s="194"/>
      <c r="CU430" s="194"/>
      <c r="CV430" s="194"/>
    </row>
    <row r="431" spans="1:100">
      <c r="A431" s="175"/>
      <c r="B431" s="175"/>
      <c r="P431" s="4"/>
      <c r="Q431" s="214"/>
      <c r="CL431" s="379"/>
      <c r="CM431" s="194"/>
      <c r="CN431" s="194"/>
      <c r="CO431" s="194"/>
      <c r="CP431" s="194"/>
      <c r="CQ431" s="194"/>
      <c r="CR431" s="194"/>
      <c r="CS431" s="194"/>
      <c r="CT431" s="194"/>
      <c r="CU431" s="194"/>
      <c r="CV431" s="194"/>
    </row>
    <row r="432" spans="1:100">
      <c r="A432" s="175"/>
      <c r="B432" s="175"/>
      <c r="P432" s="4"/>
      <c r="Q432" s="214"/>
      <c r="CL432" s="379"/>
      <c r="CM432" s="194"/>
      <c r="CN432" s="194"/>
      <c r="CO432" s="194"/>
      <c r="CP432" s="194"/>
      <c r="CQ432" s="194"/>
      <c r="CR432" s="194"/>
      <c r="CS432" s="194"/>
      <c r="CT432" s="194"/>
      <c r="CU432" s="194"/>
      <c r="CV432" s="194"/>
    </row>
    <row r="433" spans="1:100">
      <c r="A433" s="175"/>
      <c r="B433" s="175"/>
      <c r="P433" s="4"/>
      <c r="Q433" s="214"/>
      <c r="CL433" s="379"/>
      <c r="CM433" s="194"/>
      <c r="CN433" s="194"/>
      <c r="CO433" s="194"/>
      <c r="CP433" s="194"/>
      <c r="CQ433" s="194"/>
      <c r="CR433" s="194"/>
      <c r="CS433" s="194"/>
      <c r="CT433" s="194"/>
      <c r="CU433" s="194"/>
      <c r="CV433" s="194"/>
    </row>
    <row r="434" spans="1:100">
      <c r="A434" s="175"/>
      <c r="B434" s="175"/>
      <c r="P434" s="4"/>
      <c r="Q434" s="214"/>
      <c r="CL434" s="379"/>
      <c r="CM434" s="194"/>
      <c r="CN434" s="194"/>
      <c r="CO434" s="194"/>
      <c r="CP434" s="194"/>
      <c r="CQ434" s="194"/>
      <c r="CR434" s="194"/>
      <c r="CS434" s="194"/>
      <c r="CT434" s="194"/>
      <c r="CU434" s="194"/>
      <c r="CV434" s="194"/>
    </row>
    <row r="435" spans="1:100">
      <c r="A435" s="175"/>
      <c r="B435" s="175"/>
      <c r="P435" s="4"/>
      <c r="Q435" s="214"/>
      <c r="CL435" s="379"/>
      <c r="CM435" s="194"/>
      <c r="CN435" s="194"/>
      <c r="CO435" s="194"/>
      <c r="CP435" s="194"/>
      <c r="CQ435" s="194"/>
      <c r="CR435" s="194"/>
      <c r="CS435" s="194"/>
      <c r="CT435" s="194"/>
      <c r="CU435" s="194"/>
      <c r="CV435" s="194"/>
    </row>
    <row r="436" spans="1:100">
      <c r="A436" s="175"/>
      <c r="B436" s="175"/>
      <c r="P436" s="4"/>
      <c r="Q436" s="214"/>
      <c r="CL436" s="379"/>
      <c r="CM436" s="194"/>
      <c r="CN436" s="194"/>
      <c r="CO436" s="194"/>
      <c r="CP436" s="194"/>
      <c r="CQ436" s="194"/>
      <c r="CR436" s="194"/>
      <c r="CS436" s="194"/>
      <c r="CT436" s="194"/>
      <c r="CU436" s="194"/>
      <c r="CV436" s="194"/>
    </row>
    <row r="437" spans="1:100">
      <c r="A437" s="175"/>
      <c r="B437" s="175"/>
      <c r="P437" s="4"/>
      <c r="Q437" s="214"/>
      <c r="CL437" s="379"/>
      <c r="CM437" s="194"/>
      <c r="CN437" s="194"/>
      <c r="CO437" s="194"/>
      <c r="CP437" s="194"/>
      <c r="CQ437" s="194"/>
      <c r="CR437" s="194"/>
      <c r="CS437" s="194"/>
      <c r="CT437" s="194"/>
      <c r="CU437" s="194"/>
      <c r="CV437" s="194"/>
    </row>
    <row r="438" spans="1:100">
      <c r="A438" s="175"/>
      <c r="B438" s="175"/>
      <c r="P438" s="4"/>
      <c r="Q438" s="214"/>
      <c r="CL438" s="379"/>
      <c r="CM438" s="194"/>
      <c r="CN438" s="194"/>
      <c r="CO438" s="194"/>
      <c r="CP438" s="194"/>
      <c r="CQ438" s="194"/>
      <c r="CR438" s="194"/>
      <c r="CS438" s="194"/>
      <c r="CT438" s="194"/>
      <c r="CU438" s="194"/>
      <c r="CV438" s="194"/>
    </row>
    <row r="439" spans="1:100">
      <c r="A439" s="175"/>
      <c r="B439" s="175"/>
      <c r="P439" s="4"/>
      <c r="Q439" s="214"/>
      <c r="CL439" s="379"/>
      <c r="CM439" s="194"/>
      <c r="CN439" s="194"/>
      <c r="CO439" s="194"/>
      <c r="CP439" s="194"/>
      <c r="CQ439" s="194"/>
      <c r="CR439" s="194"/>
      <c r="CS439" s="194"/>
      <c r="CT439" s="194"/>
      <c r="CU439" s="194"/>
      <c r="CV439" s="194"/>
    </row>
    <row r="440" spans="1:100">
      <c r="A440" s="175"/>
      <c r="B440" s="175"/>
      <c r="P440" s="4"/>
      <c r="Q440" s="214"/>
      <c r="CL440" s="379"/>
      <c r="CM440" s="194"/>
      <c r="CN440" s="194"/>
      <c r="CO440" s="194"/>
      <c r="CP440" s="194"/>
      <c r="CQ440" s="194"/>
      <c r="CR440" s="194"/>
      <c r="CS440" s="194"/>
      <c r="CT440" s="194"/>
      <c r="CU440" s="194"/>
      <c r="CV440" s="194"/>
    </row>
    <row r="441" spans="1:100">
      <c r="A441" s="175"/>
      <c r="B441" s="175"/>
      <c r="P441" s="4"/>
      <c r="Q441" s="214"/>
      <c r="CL441" s="379"/>
      <c r="CM441" s="194"/>
      <c r="CN441" s="194"/>
      <c r="CO441" s="194"/>
      <c r="CP441" s="194"/>
      <c r="CQ441" s="194"/>
      <c r="CR441" s="194"/>
      <c r="CS441" s="194"/>
      <c r="CT441" s="194"/>
      <c r="CU441" s="194"/>
      <c r="CV441" s="194"/>
    </row>
    <row r="442" spans="1:100">
      <c r="A442" s="175"/>
      <c r="B442" s="175"/>
      <c r="P442" s="4"/>
      <c r="Q442" s="214"/>
      <c r="CL442" s="379"/>
      <c r="CM442" s="194"/>
      <c r="CN442" s="194"/>
      <c r="CO442" s="194"/>
      <c r="CP442" s="194"/>
      <c r="CQ442" s="194"/>
      <c r="CR442" s="194"/>
      <c r="CS442" s="194"/>
      <c r="CT442" s="194"/>
      <c r="CU442" s="194"/>
      <c r="CV442" s="194"/>
    </row>
    <row r="443" spans="1:100">
      <c r="A443" s="175"/>
      <c r="B443" s="175"/>
      <c r="P443" s="4"/>
      <c r="Q443" s="214"/>
      <c r="CL443" s="379"/>
      <c r="CM443" s="194"/>
      <c r="CN443" s="194"/>
      <c r="CO443" s="194"/>
      <c r="CP443" s="194"/>
      <c r="CQ443" s="194"/>
      <c r="CR443" s="194"/>
      <c r="CS443" s="194"/>
      <c r="CT443" s="194"/>
      <c r="CU443" s="194"/>
      <c r="CV443" s="194"/>
    </row>
    <row r="444" spans="1:100">
      <c r="A444" s="175"/>
      <c r="B444" s="175"/>
      <c r="P444" s="4"/>
      <c r="Q444" s="214"/>
      <c r="CL444" s="379"/>
      <c r="CM444" s="194"/>
      <c r="CN444" s="194"/>
      <c r="CO444" s="194"/>
      <c r="CP444" s="194"/>
      <c r="CQ444" s="194"/>
      <c r="CR444" s="194"/>
      <c r="CS444" s="194"/>
      <c r="CT444" s="194"/>
      <c r="CU444" s="194"/>
      <c r="CV444" s="194"/>
    </row>
    <row r="445" spans="1:100">
      <c r="A445" s="175"/>
      <c r="B445" s="175"/>
      <c r="P445" s="4"/>
      <c r="Q445" s="214"/>
      <c r="CL445" s="379"/>
      <c r="CM445" s="194"/>
      <c r="CN445" s="194"/>
      <c r="CO445" s="194"/>
      <c r="CP445" s="194"/>
      <c r="CQ445" s="194"/>
      <c r="CR445" s="194"/>
      <c r="CS445" s="194"/>
      <c r="CT445" s="194"/>
      <c r="CU445" s="194"/>
      <c r="CV445" s="194"/>
    </row>
    <row r="446" spans="1:100">
      <c r="A446" s="175"/>
      <c r="B446" s="175"/>
      <c r="P446" s="4"/>
      <c r="Q446" s="214"/>
      <c r="CL446" s="379"/>
      <c r="CM446" s="194"/>
      <c r="CN446" s="194"/>
      <c r="CO446" s="194"/>
      <c r="CP446" s="194"/>
      <c r="CQ446" s="194"/>
      <c r="CR446" s="194"/>
      <c r="CS446" s="194"/>
      <c r="CT446" s="194"/>
      <c r="CU446" s="194"/>
      <c r="CV446" s="194"/>
    </row>
    <row r="447" spans="1:100">
      <c r="A447" s="175"/>
      <c r="B447" s="175"/>
      <c r="P447" s="4"/>
      <c r="Q447" s="214"/>
      <c r="CL447" s="379"/>
      <c r="CM447" s="194"/>
      <c r="CN447" s="194"/>
      <c r="CO447" s="194"/>
      <c r="CP447" s="194"/>
      <c r="CQ447" s="194"/>
      <c r="CR447" s="194"/>
      <c r="CS447" s="194"/>
      <c r="CT447" s="194"/>
      <c r="CU447" s="194"/>
      <c r="CV447" s="194"/>
    </row>
    <row r="448" spans="1:100">
      <c r="A448" s="175"/>
      <c r="B448" s="175"/>
      <c r="P448" s="4"/>
      <c r="Q448" s="214"/>
      <c r="CL448" s="379"/>
      <c r="CM448" s="194"/>
      <c r="CN448" s="194"/>
      <c r="CO448" s="194"/>
      <c r="CP448" s="194"/>
      <c r="CQ448" s="194"/>
      <c r="CR448" s="194"/>
      <c r="CS448" s="194"/>
      <c r="CT448" s="194"/>
      <c r="CU448" s="194"/>
      <c r="CV448" s="194"/>
    </row>
    <row r="449" spans="1:100">
      <c r="A449" s="175"/>
      <c r="B449" s="175"/>
      <c r="P449" s="4"/>
      <c r="Q449" s="214"/>
      <c r="CL449" s="379"/>
      <c r="CM449" s="194"/>
      <c r="CN449" s="194"/>
      <c r="CO449" s="194"/>
      <c r="CP449" s="194"/>
      <c r="CQ449" s="194"/>
      <c r="CR449" s="194"/>
      <c r="CS449" s="194"/>
      <c r="CT449" s="194"/>
      <c r="CU449" s="194"/>
      <c r="CV449" s="194"/>
    </row>
    <row r="450" spans="1:100">
      <c r="A450" s="175"/>
      <c r="B450" s="175"/>
      <c r="P450" s="4"/>
      <c r="Q450" s="214"/>
      <c r="CL450" s="379"/>
      <c r="CM450" s="194"/>
      <c r="CN450" s="194"/>
      <c r="CO450" s="194"/>
      <c r="CP450" s="194"/>
      <c r="CQ450" s="194"/>
      <c r="CR450" s="194"/>
      <c r="CS450" s="194"/>
      <c r="CT450" s="194"/>
      <c r="CU450" s="194"/>
      <c r="CV450" s="194"/>
    </row>
    <row r="451" spans="1:100">
      <c r="A451" s="175"/>
      <c r="B451" s="175"/>
      <c r="P451" s="4"/>
      <c r="Q451" s="214"/>
      <c r="CL451" s="379"/>
      <c r="CM451" s="194"/>
      <c r="CN451" s="194"/>
      <c r="CO451" s="194"/>
      <c r="CP451" s="194"/>
      <c r="CQ451" s="194"/>
      <c r="CR451" s="194"/>
      <c r="CS451" s="194"/>
      <c r="CT451" s="194"/>
      <c r="CU451" s="194"/>
      <c r="CV451" s="194"/>
    </row>
    <row r="452" spans="1:100">
      <c r="A452" s="175"/>
      <c r="B452" s="175"/>
      <c r="P452" s="4"/>
      <c r="Q452" s="214"/>
      <c r="CL452" s="379"/>
      <c r="CM452" s="194"/>
      <c r="CN452" s="194"/>
      <c r="CO452" s="194"/>
      <c r="CP452" s="194"/>
      <c r="CQ452" s="194"/>
      <c r="CR452" s="194"/>
      <c r="CS452" s="194"/>
      <c r="CT452" s="194"/>
      <c r="CU452" s="194"/>
      <c r="CV452" s="194"/>
    </row>
    <row r="453" spans="1:100">
      <c r="A453" s="175"/>
      <c r="B453" s="175"/>
      <c r="P453" s="4"/>
      <c r="Q453" s="214"/>
      <c r="CL453" s="379"/>
      <c r="CM453" s="194"/>
      <c r="CN453" s="194"/>
      <c r="CO453" s="194"/>
      <c r="CP453" s="194"/>
      <c r="CQ453" s="194"/>
      <c r="CR453" s="194"/>
      <c r="CS453" s="194"/>
      <c r="CT453" s="194"/>
      <c r="CU453" s="194"/>
      <c r="CV453" s="194"/>
    </row>
    <row r="454" spans="1:100">
      <c r="A454" s="175"/>
      <c r="B454" s="175"/>
      <c r="P454" s="4"/>
      <c r="Q454" s="214"/>
      <c r="CL454" s="379"/>
      <c r="CM454" s="194"/>
      <c r="CN454" s="194"/>
      <c r="CO454" s="194"/>
      <c r="CP454" s="194"/>
      <c r="CQ454" s="194"/>
      <c r="CR454" s="194"/>
      <c r="CS454" s="194"/>
      <c r="CT454" s="194"/>
      <c r="CU454" s="194"/>
      <c r="CV454" s="194"/>
    </row>
    <row r="455" spans="1:100">
      <c r="A455" s="175"/>
      <c r="B455" s="175"/>
      <c r="P455" s="4"/>
      <c r="Q455" s="214"/>
      <c r="CL455" s="379"/>
      <c r="CM455" s="194"/>
      <c r="CN455" s="194"/>
      <c r="CO455" s="194"/>
      <c r="CP455" s="194"/>
      <c r="CQ455" s="194"/>
      <c r="CR455" s="194"/>
      <c r="CS455" s="194"/>
      <c r="CT455" s="194"/>
      <c r="CU455" s="194"/>
      <c r="CV455" s="194"/>
    </row>
    <row r="456" spans="1:100">
      <c r="A456" s="175"/>
      <c r="B456" s="175"/>
      <c r="P456" s="4"/>
      <c r="Q456" s="214"/>
      <c r="CL456" s="379"/>
      <c r="CM456" s="194"/>
      <c r="CN456" s="194"/>
      <c r="CO456" s="194"/>
      <c r="CP456" s="194"/>
      <c r="CQ456" s="194"/>
      <c r="CR456" s="194"/>
      <c r="CS456" s="194"/>
      <c r="CT456" s="194"/>
      <c r="CU456" s="194"/>
      <c r="CV456" s="194"/>
    </row>
    <row r="457" spans="1:100">
      <c r="A457" s="175"/>
      <c r="B457" s="175"/>
      <c r="P457" s="4"/>
      <c r="Q457" s="214"/>
      <c r="CL457" s="379"/>
      <c r="CM457" s="194"/>
      <c r="CN457" s="194"/>
      <c r="CO457" s="194"/>
      <c r="CP457" s="194"/>
      <c r="CQ457" s="194"/>
      <c r="CR457" s="194"/>
      <c r="CS457" s="194"/>
      <c r="CT457" s="194"/>
      <c r="CU457" s="194"/>
      <c r="CV457" s="194"/>
    </row>
    <row r="458" spans="1:100">
      <c r="A458" s="175"/>
      <c r="B458" s="175"/>
      <c r="P458" s="4"/>
      <c r="Q458" s="214"/>
      <c r="CL458" s="379"/>
      <c r="CM458" s="194"/>
      <c r="CN458" s="194"/>
      <c r="CO458" s="194"/>
      <c r="CP458" s="194"/>
      <c r="CQ458" s="194"/>
      <c r="CR458" s="194"/>
      <c r="CS458" s="194"/>
      <c r="CT458" s="194"/>
      <c r="CU458" s="194"/>
      <c r="CV458" s="194"/>
    </row>
    <row r="459" spans="1:100">
      <c r="A459" s="175"/>
      <c r="B459" s="175"/>
      <c r="P459" s="4"/>
      <c r="Q459" s="214"/>
      <c r="CL459" s="379"/>
      <c r="CM459" s="194"/>
      <c r="CN459" s="194"/>
      <c r="CO459" s="194"/>
      <c r="CP459" s="194"/>
      <c r="CQ459" s="194"/>
      <c r="CR459" s="194"/>
      <c r="CS459" s="194"/>
      <c r="CT459" s="194"/>
      <c r="CU459" s="194"/>
      <c r="CV459" s="194"/>
    </row>
    <row r="460" spans="1:100">
      <c r="A460" s="175"/>
      <c r="B460" s="175"/>
      <c r="P460" s="4"/>
      <c r="Q460" s="214"/>
      <c r="CL460" s="379"/>
      <c r="CM460" s="194"/>
      <c r="CN460" s="194"/>
      <c r="CO460" s="194"/>
      <c r="CP460" s="194"/>
      <c r="CQ460" s="194"/>
      <c r="CR460" s="194"/>
      <c r="CS460" s="194"/>
      <c r="CT460" s="194"/>
      <c r="CU460" s="194"/>
      <c r="CV460" s="194"/>
    </row>
    <row r="461" spans="1:100">
      <c r="A461" s="175"/>
      <c r="B461" s="175"/>
      <c r="P461" s="4"/>
      <c r="Q461" s="214"/>
      <c r="CL461" s="379"/>
      <c r="CM461" s="194"/>
      <c r="CN461" s="194"/>
      <c r="CO461" s="194"/>
      <c r="CP461" s="194"/>
      <c r="CQ461" s="194"/>
      <c r="CR461" s="194"/>
      <c r="CS461" s="194"/>
      <c r="CT461" s="194"/>
      <c r="CU461" s="194"/>
      <c r="CV461" s="194"/>
    </row>
    <row r="462" spans="1:100">
      <c r="A462" s="175"/>
      <c r="B462" s="175"/>
      <c r="P462" s="4"/>
      <c r="Q462" s="214"/>
      <c r="CL462" s="379"/>
      <c r="CM462" s="194"/>
      <c r="CN462" s="194"/>
      <c r="CO462" s="194"/>
      <c r="CP462" s="194"/>
      <c r="CQ462" s="194"/>
      <c r="CR462" s="194"/>
      <c r="CS462" s="194"/>
      <c r="CT462" s="194"/>
      <c r="CU462" s="194"/>
      <c r="CV462" s="194"/>
    </row>
    <row r="463" spans="1:100">
      <c r="A463" s="175"/>
      <c r="B463" s="175"/>
      <c r="P463" s="4"/>
      <c r="Q463" s="214"/>
      <c r="CL463" s="379"/>
      <c r="CM463" s="194"/>
      <c r="CN463" s="194"/>
      <c r="CO463" s="194"/>
      <c r="CP463" s="194"/>
      <c r="CQ463" s="194"/>
      <c r="CR463" s="194"/>
      <c r="CS463" s="194"/>
      <c r="CT463" s="194"/>
      <c r="CU463" s="194"/>
      <c r="CV463" s="194"/>
    </row>
    <row r="464" spans="1:100">
      <c r="A464" s="175"/>
      <c r="B464" s="175"/>
      <c r="P464" s="4"/>
      <c r="Q464" s="214"/>
      <c r="CL464" s="379"/>
      <c r="CM464" s="194"/>
      <c r="CN464" s="194"/>
      <c r="CO464" s="194"/>
      <c r="CP464" s="194"/>
      <c r="CQ464" s="194"/>
      <c r="CR464" s="194"/>
      <c r="CS464" s="194"/>
      <c r="CT464" s="194"/>
      <c r="CU464" s="194"/>
      <c r="CV464" s="194"/>
    </row>
    <row r="465" spans="1:100">
      <c r="A465" s="175"/>
      <c r="B465" s="175"/>
      <c r="P465" s="4"/>
      <c r="Q465" s="214"/>
      <c r="CL465" s="379"/>
      <c r="CM465" s="194"/>
      <c r="CN465" s="194"/>
      <c r="CO465" s="194"/>
      <c r="CP465" s="194"/>
      <c r="CQ465" s="194"/>
      <c r="CR465" s="194"/>
      <c r="CS465" s="194"/>
      <c r="CT465" s="194"/>
      <c r="CU465" s="194"/>
      <c r="CV465" s="194"/>
    </row>
    <row r="466" spans="1:100">
      <c r="A466" s="175"/>
      <c r="B466" s="175"/>
      <c r="P466" s="4"/>
      <c r="Q466" s="214"/>
      <c r="CL466" s="379"/>
      <c r="CM466" s="194"/>
      <c r="CN466" s="194"/>
      <c r="CO466" s="194"/>
      <c r="CP466" s="194"/>
      <c r="CQ466" s="194"/>
      <c r="CR466" s="194"/>
      <c r="CS466" s="194"/>
      <c r="CT466" s="194"/>
      <c r="CU466" s="194"/>
      <c r="CV466" s="194"/>
    </row>
    <row r="467" spans="1:100">
      <c r="A467" s="175"/>
      <c r="B467" s="175"/>
      <c r="P467" s="4"/>
      <c r="Q467" s="214"/>
      <c r="CL467" s="379"/>
      <c r="CM467" s="194"/>
      <c r="CN467" s="194"/>
      <c r="CO467" s="194"/>
      <c r="CP467" s="194"/>
      <c r="CQ467" s="194"/>
      <c r="CR467" s="194"/>
      <c r="CS467" s="194"/>
      <c r="CT467" s="194"/>
      <c r="CU467" s="194"/>
      <c r="CV467" s="194"/>
    </row>
    <row r="468" spans="1:100">
      <c r="A468" s="175"/>
      <c r="B468" s="175"/>
      <c r="P468" s="4"/>
      <c r="Q468" s="214"/>
      <c r="CL468" s="379"/>
      <c r="CM468" s="194"/>
      <c r="CN468" s="194"/>
      <c r="CO468" s="194"/>
      <c r="CP468" s="194"/>
      <c r="CQ468" s="194"/>
      <c r="CR468" s="194"/>
      <c r="CS468" s="194"/>
      <c r="CT468" s="194"/>
      <c r="CU468" s="194"/>
      <c r="CV468" s="194"/>
    </row>
    <row r="469" spans="1:100">
      <c r="A469" s="175"/>
      <c r="B469" s="175"/>
      <c r="P469" s="4"/>
      <c r="Q469" s="214"/>
      <c r="CL469" s="379"/>
      <c r="CM469" s="194"/>
      <c r="CN469" s="194"/>
      <c r="CO469" s="194"/>
      <c r="CP469" s="194"/>
      <c r="CQ469" s="194"/>
      <c r="CR469" s="194"/>
      <c r="CS469" s="194"/>
      <c r="CT469" s="194"/>
      <c r="CU469" s="194"/>
      <c r="CV469" s="194"/>
    </row>
    <row r="470" spans="1:100">
      <c r="A470" s="175"/>
      <c r="B470" s="175"/>
      <c r="P470" s="4"/>
      <c r="Q470" s="214"/>
      <c r="CL470" s="379"/>
      <c r="CM470" s="194"/>
      <c r="CN470" s="194"/>
      <c r="CO470" s="194"/>
      <c r="CP470" s="194"/>
      <c r="CQ470" s="194"/>
      <c r="CR470" s="194"/>
      <c r="CS470" s="194"/>
      <c r="CT470" s="194"/>
      <c r="CU470" s="194"/>
      <c r="CV470" s="194"/>
    </row>
    <row r="471" spans="1:100">
      <c r="A471" s="175"/>
      <c r="B471" s="175"/>
      <c r="P471" s="4"/>
      <c r="Q471" s="214"/>
      <c r="CL471" s="379"/>
      <c r="CM471" s="194"/>
      <c r="CN471" s="194"/>
      <c r="CO471" s="194"/>
      <c r="CP471" s="194"/>
      <c r="CQ471" s="194"/>
      <c r="CR471" s="194"/>
      <c r="CS471" s="194"/>
      <c r="CT471" s="194"/>
      <c r="CU471" s="194"/>
      <c r="CV471" s="194"/>
    </row>
    <row r="472" spans="1:100">
      <c r="A472" s="175"/>
      <c r="B472" s="175"/>
      <c r="P472" s="4"/>
      <c r="Q472" s="214"/>
      <c r="CL472" s="379"/>
      <c r="CM472" s="194"/>
      <c r="CN472" s="194"/>
      <c r="CO472" s="194"/>
      <c r="CP472" s="194"/>
      <c r="CQ472" s="194"/>
      <c r="CR472" s="194"/>
      <c r="CS472" s="194"/>
      <c r="CT472" s="194"/>
      <c r="CU472" s="194"/>
      <c r="CV472" s="194"/>
    </row>
    <row r="473" spans="1:100">
      <c r="A473" s="175"/>
      <c r="B473" s="175"/>
      <c r="P473" s="4"/>
      <c r="Q473" s="214"/>
      <c r="CL473" s="379"/>
      <c r="CM473" s="194"/>
      <c r="CN473" s="194"/>
      <c r="CO473" s="194"/>
      <c r="CP473" s="194"/>
      <c r="CQ473" s="194"/>
      <c r="CR473" s="194"/>
      <c r="CS473" s="194"/>
      <c r="CT473" s="194"/>
      <c r="CU473" s="194"/>
      <c r="CV473" s="194"/>
    </row>
    <row r="474" spans="1:100">
      <c r="A474" s="175"/>
      <c r="B474" s="175"/>
      <c r="P474" s="4"/>
      <c r="Q474" s="214"/>
      <c r="CL474" s="379"/>
      <c r="CM474" s="194"/>
      <c r="CN474" s="194"/>
      <c r="CO474" s="194"/>
      <c r="CP474" s="194"/>
      <c r="CQ474" s="194"/>
      <c r="CR474" s="194"/>
      <c r="CS474" s="194"/>
      <c r="CT474" s="194"/>
      <c r="CU474" s="194"/>
      <c r="CV474" s="194"/>
    </row>
    <row r="475" spans="1:100">
      <c r="A475" s="175"/>
      <c r="B475" s="175"/>
      <c r="P475" s="4"/>
      <c r="Q475" s="214"/>
      <c r="CL475" s="379"/>
      <c r="CM475" s="194"/>
      <c r="CN475" s="194"/>
      <c r="CO475" s="194"/>
      <c r="CP475" s="194"/>
      <c r="CQ475" s="194"/>
      <c r="CR475" s="194"/>
      <c r="CS475" s="194"/>
      <c r="CT475" s="194"/>
      <c r="CU475" s="194"/>
      <c r="CV475" s="194"/>
    </row>
    <row r="476" spans="1:100">
      <c r="A476" s="175"/>
      <c r="B476" s="175"/>
      <c r="P476" s="4"/>
      <c r="Q476" s="214"/>
      <c r="CL476" s="379"/>
      <c r="CM476" s="194"/>
      <c r="CN476" s="194"/>
      <c r="CO476" s="194"/>
      <c r="CP476" s="194"/>
      <c r="CQ476" s="194"/>
      <c r="CR476" s="194"/>
      <c r="CS476" s="194"/>
      <c r="CT476" s="194"/>
      <c r="CU476" s="194"/>
      <c r="CV476" s="194"/>
    </row>
    <row r="477" spans="1:100">
      <c r="A477" s="175"/>
      <c r="B477" s="175"/>
      <c r="P477" s="4"/>
      <c r="Q477" s="214"/>
      <c r="CL477" s="379"/>
      <c r="CM477" s="194"/>
      <c r="CN477" s="194"/>
      <c r="CO477" s="194"/>
      <c r="CP477" s="194"/>
      <c r="CQ477" s="194"/>
      <c r="CR477" s="194"/>
      <c r="CS477" s="194"/>
      <c r="CT477" s="194"/>
      <c r="CU477" s="194"/>
      <c r="CV477" s="194"/>
    </row>
    <row r="478" spans="1:100">
      <c r="A478" s="175"/>
      <c r="B478" s="175"/>
      <c r="P478" s="4"/>
      <c r="Q478" s="214"/>
      <c r="CL478" s="379"/>
      <c r="CM478" s="194"/>
      <c r="CN478" s="194"/>
      <c r="CO478" s="194"/>
      <c r="CP478" s="194"/>
      <c r="CQ478" s="194"/>
      <c r="CR478" s="194"/>
      <c r="CS478" s="194"/>
      <c r="CT478" s="194"/>
      <c r="CU478" s="194"/>
      <c r="CV478" s="194"/>
    </row>
    <row r="479" spans="1:100">
      <c r="A479" s="175"/>
      <c r="B479" s="175"/>
      <c r="P479" s="4"/>
      <c r="Q479" s="214"/>
      <c r="CL479" s="379"/>
      <c r="CM479" s="194"/>
      <c r="CN479" s="194"/>
      <c r="CO479" s="194"/>
      <c r="CP479" s="194"/>
      <c r="CQ479" s="194"/>
      <c r="CR479" s="194"/>
      <c r="CS479" s="194"/>
      <c r="CT479" s="194"/>
      <c r="CU479" s="194"/>
      <c r="CV479" s="194"/>
    </row>
    <row r="480" spans="1:100">
      <c r="A480" s="175"/>
      <c r="B480" s="175"/>
      <c r="P480" s="4"/>
      <c r="Q480" s="214"/>
      <c r="CL480" s="379"/>
      <c r="CM480" s="194"/>
      <c r="CN480" s="194"/>
      <c r="CO480" s="194"/>
      <c r="CP480" s="194"/>
      <c r="CQ480" s="194"/>
      <c r="CR480" s="194"/>
      <c r="CS480" s="194"/>
      <c r="CT480" s="194"/>
      <c r="CU480" s="194"/>
      <c r="CV480" s="194"/>
    </row>
    <row r="481" spans="1:100">
      <c r="A481" s="175"/>
      <c r="B481" s="175"/>
      <c r="P481" s="4"/>
      <c r="Q481" s="214"/>
      <c r="CL481" s="379"/>
      <c r="CM481" s="194"/>
      <c r="CN481" s="194"/>
      <c r="CO481" s="194"/>
      <c r="CP481" s="194"/>
      <c r="CQ481" s="194"/>
      <c r="CR481" s="194"/>
      <c r="CS481" s="194"/>
      <c r="CT481" s="194"/>
      <c r="CU481" s="194"/>
      <c r="CV481" s="194"/>
    </row>
    <row r="482" spans="1:100">
      <c r="A482" s="175"/>
      <c r="B482" s="175"/>
      <c r="P482" s="4"/>
      <c r="Q482" s="214"/>
      <c r="CL482" s="379"/>
      <c r="CM482" s="194"/>
      <c r="CN482" s="194"/>
      <c r="CO482" s="194"/>
      <c r="CP482" s="194"/>
      <c r="CQ482" s="194"/>
      <c r="CR482" s="194"/>
      <c r="CS482" s="194"/>
      <c r="CT482" s="194"/>
      <c r="CU482" s="194"/>
      <c r="CV482" s="194"/>
    </row>
    <row r="483" spans="1:100">
      <c r="A483" s="175"/>
      <c r="B483" s="175"/>
      <c r="P483" s="4"/>
      <c r="Q483" s="214"/>
      <c r="CL483" s="379"/>
      <c r="CM483" s="194"/>
      <c r="CN483" s="194"/>
      <c r="CO483" s="194"/>
      <c r="CP483" s="194"/>
      <c r="CQ483" s="194"/>
      <c r="CR483" s="194"/>
      <c r="CS483" s="194"/>
      <c r="CT483" s="194"/>
      <c r="CU483" s="194"/>
      <c r="CV483" s="194"/>
    </row>
    <row r="484" spans="1:100">
      <c r="A484" s="175"/>
      <c r="B484" s="175"/>
      <c r="P484" s="4"/>
      <c r="Q484" s="214"/>
      <c r="CL484" s="379"/>
      <c r="CM484" s="194"/>
      <c r="CN484" s="194"/>
      <c r="CO484" s="194"/>
      <c r="CP484" s="194"/>
      <c r="CQ484" s="194"/>
      <c r="CR484" s="194"/>
      <c r="CS484" s="194"/>
      <c r="CT484" s="194"/>
      <c r="CU484" s="194"/>
      <c r="CV484" s="194"/>
    </row>
    <row r="485" spans="1:100">
      <c r="A485" s="175"/>
      <c r="B485" s="175"/>
      <c r="P485" s="4"/>
      <c r="Q485" s="214"/>
      <c r="CL485" s="379"/>
      <c r="CM485" s="194"/>
      <c r="CN485" s="194"/>
      <c r="CO485" s="194"/>
      <c r="CP485" s="194"/>
      <c r="CQ485" s="194"/>
      <c r="CR485" s="194"/>
      <c r="CS485" s="194"/>
      <c r="CT485" s="194"/>
      <c r="CU485" s="194"/>
      <c r="CV485" s="194"/>
    </row>
    <row r="486" spans="1:100">
      <c r="A486" s="175"/>
      <c r="B486" s="175"/>
      <c r="P486" s="4"/>
      <c r="Q486" s="214"/>
      <c r="CL486" s="379"/>
      <c r="CM486" s="194"/>
      <c r="CN486" s="194"/>
      <c r="CO486" s="194"/>
      <c r="CP486" s="194"/>
      <c r="CQ486" s="194"/>
      <c r="CR486" s="194"/>
      <c r="CS486" s="194"/>
      <c r="CT486" s="194"/>
      <c r="CU486" s="194"/>
      <c r="CV486" s="194"/>
    </row>
    <row r="487" spans="1:100">
      <c r="A487" s="175"/>
      <c r="B487" s="175"/>
      <c r="P487" s="4"/>
      <c r="Q487" s="214"/>
      <c r="CL487" s="379"/>
      <c r="CM487" s="194"/>
      <c r="CN487" s="194"/>
      <c r="CO487" s="194"/>
      <c r="CP487" s="194"/>
      <c r="CQ487" s="194"/>
      <c r="CR487" s="194"/>
      <c r="CS487" s="194"/>
      <c r="CT487" s="194"/>
      <c r="CU487" s="194"/>
      <c r="CV487" s="194"/>
    </row>
    <row r="488" spans="1:100">
      <c r="A488" s="175"/>
      <c r="B488" s="175"/>
      <c r="P488" s="4"/>
      <c r="Q488" s="214"/>
      <c r="CL488" s="379"/>
      <c r="CM488" s="194"/>
      <c r="CN488" s="194"/>
      <c r="CO488" s="194"/>
      <c r="CP488" s="194"/>
      <c r="CQ488" s="194"/>
      <c r="CR488" s="194"/>
      <c r="CS488" s="194"/>
      <c r="CT488" s="194"/>
      <c r="CU488" s="194"/>
      <c r="CV488" s="194"/>
    </row>
    <row r="489" spans="1:100">
      <c r="A489" s="175"/>
      <c r="B489" s="175"/>
      <c r="P489" s="4"/>
      <c r="Q489" s="214"/>
      <c r="CL489" s="379"/>
      <c r="CM489" s="194"/>
      <c r="CN489" s="194"/>
      <c r="CO489" s="194"/>
      <c r="CP489" s="194"/>
      <c r="CQ489" s="194"/>
      <c r="CR489" s="194"/>
      <c r="CS489" s="194"/>
      <c r="CT489" s="194"/>
      <c r="CU489" s="194"/>
      <c r="CV489" s="194"/>
    </row>
    <row r="490" spans="1:100">
      <c r="A490" s="175"/>
      <c r="B490" s="175"/>
      <c r="P490" s="4"/>
      <c r="Q490" s="214"/>
      <c r="CL490" s="379"/>
      <c r="CM490" s="194"/>
      <c r="CN490" s="194"/>
      <c r="CO490" s="194"/>
      <c r="CP490" s="194"/>
      <c r="CQ490" s="194"/>
      <c r="CR490" s="194"/>
      <c r="CS490" s="194"/>
      <c r="CT490" s="194"/>
      <c r="CU490" s="194"/>
      <c r="CV490" s="194"/>
    </row>
    <row r="491" spans="1:100">
      <c r="A491" s="175"/>
      <c r="B491" s="175"/>
      <c r="P491" s="4"/>
      <c r="Q491" s="214"/>
      <c r="CL491" s="379"/>
      <c r="CM491" s="194"/>
      <c r="CN491" s="194"/>
      <c r="CO491" s="194"/>
      <c r="CP491" s="194"/>
      <c r="CQ491" s="194"/>
      <c r="CR491" s="194"/>
      <c r="CS491" s="194"/>
      <c r="CT491" s="194"/>
      <c r="CU491" s="194"/>
      <c r="CV491" s="194"/>
    </row>
    <row r="492" spans="1:100">
      <c r="A492" s="175"/>
      <c r="B492" s="175"/>
      <c r="P492" s="4"/>
      <c r="Q492" s="214"/>
      <c r="CL492" s="379"/>
      <c r="CM492" s="194"/>
      <c r="CN492" s="194"/>
      <c r="CO492" s="194"/>
      <c r="CP492" s="194"/>
      <c r="CQ492" s="194"/>
      <c r="CR492" s="194"/>
      <c r="CS492" s="194"/>
      <c r="CT492" s="194"/>
      <c r="CU492" s="194"/>
      <c r="CV492" s="194"/>
    </row>
    <row r="493" spans="1:100">
      <c r="A493" s="175"/>
      <c r="B493" s="175"/>
      <c r="P493" s="4"/>
      <c r="Q493" s="214"/>
      <c r="CL493" s="379"/>
      <c r="CM493" s="194"/>
      <c r="CN493" s="194"/>
      <c r="CO493" s="194"/>
      <c r="CP493" s="194"/>
      <c r="CQ493" s="194"/>
      <c r="CR493" s="194"/>
      <c r="CS493" s="194"/>
      <c r="CT493" s="194"/>
      <c r="CU493" s="194"/>
      <c r="CV493" s="194"/>
    </row>
    <row r="494" spans="1:100">
      <c r="A494" s="175"/>
      <c r="B494" s="175"/>
      <c r="P494" s="4"/>
      <c r="Q494" s="214"/>
      <c r="CL494" s="379"/>
      <c r="CM494" s="194"/>
      <c r="CN494" s="194"/>
      <c r="CO494" s="194"/>
      <c r="CP494" s="194"/>
      <c r="CQ494" s="194"/>
      <c r="CR494" s="194"/>
      <c r="CS494" s="194"/>
      <c r="CT494" s="194"/>
      <c r="CU494" s="194"/>
      <c r="CV494" s="194"/>
    </row>
    <row r="495" spans="1:100">
      <c r="A495" s="175"/>
      <c r="B495" s="175"/>
      <c r="P495" s="4"/>
      <c r="Q495" s="214"/>
      <c r="CL495" s="379"/>
      <c r="CM495" s="194"/>
      <c r="CN495" s="194"/>
      <c r="CO495" s="194"/>
      <c r="CP495" s="194"/>
      <c r="CQ495" s="194"/>
      <c r="CR495" s="194"/>
      <c r="CS495" s="194"/>
      <c r="CT495" s="194"/>
      <c r="CU495" s="194"/>
      <c r="CV495" s="194"/>
    </row>
    <row r="496" spans="1:100">
      <c r="A496" s="175"/>
      <c r="B496" s="175"/>
      <c r="P496" s="4"/>
      <c r="Q496" s="214"/>
      <c r="CL496" s="379"/>
      <c r="CM496" s="194"/>
      <c r="CN496" s="194"/>
      <c r="CO496" s="194"/>
      <c r="CP496" s="194"/>
      <c r="CQ496" s="194"/>
      <c r="CR496" s="194"/>
      <c r="CS496" s="194"/>
      <c r="CT496" s="194"/>
      <c r="CU496" s="194"/>
      <c r="CV496" s="194"/>
    </row>
    <row r="497" spans="1:100">
      <c r="A497" s="175"/>
      <c r="B497" s="175"/>
      <c r="P497" s="4"/>
      <c r="Q497" s="214"/>
      <c r="CL497" s="379"/>
      <c r="CM497" s="194"/>
      <c r="CN497" s="194"/>
      <c r="CO497" s="194"/>
      <c r="CP497" s="194"/>
      <c r="CQ497" s="194"/>
      <c r="CR497" s="194"/>
      <c r="CS497" s="194"/>
      <c r="CT497" s="194"/>
      <c r="CU497" s="194"/>
      <c r="CV497" s="194"/>
    </row>
    <row r="498" spans="1:100">
      <c r="A498" s="175"/>
      <c r="B498" s="175"/>
      <c r="P498" s="4"/>
      <c r="Q498" s="214"/>
      <c r="CL498" s="379"/>
      <c r="CM498" s="194"/>
      <c r="CN498" s="194"/>
      <c r="CO498" s="194"/>
      <c r="CP498" s="194"/>
      <c r="CQ498" s="194"/>
      <c r="CR498" s="194"/>
      <c r="CS498" s="194"/>
      <c r="CT498" s="194"/>
      <c r="CU498" s="194"/>
      <c r="CV498" s="194"/>
    </row>
    <row r="499" spans="1:100">
      <c r="A499" s="175"/>
      <c r="B499" s="175"/>
      <c r="P499" s="4"/>
      <c r="Q499" s="214"/>
      <c r="CL499" s="379"/>
      <c r="CM499" s="194"/>
      <c r="CN499" s="194"/>
      <c r="CO499" s="194"/>
      <c r="CP499" s="194"/>
      <c r="CQ499" s="194"/>
      <c r="CR499" s="194"/>
      <c r="CS499" s="194"/>
      <c r="CT499" s="194"/>
      <c r="CU499" s="194"/>
      <c r="CV499" s="194"/>
    </row>
    <row r="500" spans="1:100">
      <c r="A500" s="175"/>
      <c r="B500" s="175"/>
      <c r="P500" s="4"/>
      <c r="Q500" s="214"/>
      <c r="CL500" s="379"/>
      <c r="CM500" s="194"/>
      <c r="CN500" s="194"/>
      <c r="CO500" s="194"/>
      <c r="CP500" s="194"/>
      <c r="CQ500" s="194"/>
      <c r="CR500" s="194"/>
      <c r="CS500" s="194"/>
      <c r="CT500" s="194"/>
      <c r="CU500" s="194"/>
      <c r="CV500" s="194"/>
    </row>
    <row r="501" spans="1:100">
      <c r="A501" s="175"/>
      <c r="B501" s="175"/>
      <c r="P501" s="4"/>
      <c r="Q501" s="214"/>
      <c r="CL501" s="379"/>
      <c r="CM501" s="194"/>
      <c r="CN501" s="194"/>
      <c r="CO501" s="194"/>
      <c r="CP501" s="194"/>
      <c r="CQ501" s="194"/>
      <c r="CR501" s="194"/>
      <c r="CS501" s="194"/>
      <c r="CT501" s="194"/>
      <c r="CU501" s="194"/>
      <c r="CV501" s="194"/>
    </row>
    <row r="502" spans="1:100">
      <c r="A502" s="175"/>
      <c r="B502" s="175"/>
      <c r="P502" s="4"/>
      <c r="Q502" s="214"/>
      <c r="CL502" s="379"/>
      <c r="CM502" s="194"/>
      <c r="CN502" s="194"/>
      <c r="CO502" s="194"/>
      <c r="CP502" s="194"/>
      <c r="CQ502" s="194"/>
      <c r="CR502" s="194"/>
      <c r="CS502" s="194"/>
      <c r="CT502" s="194"/>
      <c r="CU502" s="194"/>
      <c r="CV502" s="194"/>
    </row>
    <row r="503" spans="1:100">
      <c r="A503" s="175"/>
      <c r="B503" s="175"/>
      <c r="P503" s="4"/>
      <c r="Q503" s="214"/>
      <c r="CL503" s="379"/>
      <c r="CM503" s="194"/>
      <c r="CN503" s="194"/>
      <c r="CO503" s="194"/>
      <c r="CP503" s="194"/>
      <c r="CQ503" s="194"/>
      <c r="CR503" s="194"/>
      <c r="CS503" s="194"/>
      <c r="CT503" s="194"/>
      <c r="CU503" s="194"/>
      <c r="CV503" s="194"/>
    </row>
    <row r="504" spans="1:100">
      <c r="A504" s="175"/>
      <c r="B504" s="175"/>
      <c r="P504" s="4"/>
      <c r="Q504" s="214"/>
      <c r="CL504" s="379"/>
      <c r="CM504" s="194"/>
      <c r="CN504" s="194"/>
      <c r="CO504" s="194"/>
      <c r="CP504" s="194"/>
      <c r="CQ504" s="194"/>
      <c r="CR504" s="194"/>
      <c r="CS504" s="194"/>
      <c r="CT504" s="194"/>
      <c r="CU504" s="194"/>
      <c r="CV504" s="194"/>
    </row>
    <row r="505" spans="1:100">
      <c r="A505" s="175"/>
      <c r="B505" s="175"/>
      <c r="P505" s="4"/>
      <c r="Q505" s="214"/>
      <c r="CL505" s="379"/>
      <c r="CM505" s="194"/>
      <c r="CN505" s="194"/>
      <c r="CO505" s="194"/>
      <c r="CP505" s="194"/>
      <c r="CQ505" s="194"/>
      <c r="CR505" s="194"/>
      <c r="CS505" s="194"/>
      <c r="CT505" s="194"/>
      <c r="CU505" s="194"/>
      <c r="CV505" s="194"/>
    </row>
    <row r="506" spans="1:100">
      <c r="A506" s="175"/>
      <c r="B506" s="175"/>
      <c r="P506" s="4"/>
      <c r="Q506" s="214"/>
      <c r="CL506" s="379"/>
      <c r="CM506" s="194"/>
      <c r="CN506" s="194"/>
      <c r="CO506" s="194"/>
      <c r="CP506" s="194"/>
      <c r="CQ506" s="194"/>
      <c r="CR506" s="194"/>
      <c r="CS506" s="194"/>
      <c r="CT506" s="194"/>
      <c r="CU506" s="194"/>
      <c r="CV506" s="194"/>
    </row>
    <row r="507" spans="1:100">
      <c r="A507" s="175"/>
      <c r="B507" s="175"/>
      <c r="P507" s="4"/>
      <c r="Q507" s="214"/>
      <c r="CL507" s="379"/>
      <c r="CM507" s="194"/>
      <c r="CN507" s="194"/>
      <c r="CO507" s="194"/>
      <c r="CP507" s="194"/>
      <c r="CQ507" s="194"/>
      <c r="CR507" s="194"/>
      <c r="CS507" s="194"/>
      <c r="CT507" s="194"/>
      <c r="CU507" s="194"/>
      <c r="CV507" s="194"/>
    </row>
    <row r="508" spans="1:100">
      <c r="A508" s="175"/>
      <c r="B508" s="175"/>
      <c r="P508" s="4"/>
      <c r="Q508" s="214"/>
      <c r="CL508" s="379"/>
      <c r="CM508" s="194"/>
      <c r="CN508" s="194"/>
      <c r="CO508" s="194"/>
      <c r="CP508" s="194"/>
      <c r="CQ508" s="194"/>
      <c r="CR508" s="194"/>
      <c r="CS508" s="194"/>
      <c r="CT508" s="194"/>
      <c r="CU508" s="194"/>
      <c r="CV508" s="194"/>
    </row>
    <row r="509" spans="1:100">
      <c r="A509" s="175"/>
      <c r="B509" s="175"/>
      <c r="P509" s="4"/>
      <c r="Q509" s="214"/>
      <c r="CL509" s="379"/>
      <c r="CM509" s="194"/>
      <c r="CN509" s="194"/>
      <c r="CO509" s="194"/>
      <c r="CP509" s="194"/>
      <c r="CQ509" s="194"/>
      <c r="CR509" s="194"/>
      <c r="CS509" s="194"/>
      <c r="CT509" s="194"/>
      <c r="CU509" s="194"/>
      <c r="CV509" s="194"/>
    </row>
    <row r="510" spans="1:100">
      <c r="A510" s="175"/>
      <c r="B510" s="175"/>
      <c r="P510" s="4"/>
      <c r="Q510" s="214"/>
      <c r="CL510" s="379"/>
      <c r="CM510" s="194"/>
      <c r="CN510" s="194"/>
      <c r="CO510" s="194"/>
      <c r="CP510" s="194"/>
      <c r="CQ510" s="194"/>
      <c r="CR510" s="194"/>
      <c r="CS510" s="194"/>
      <c r="CT510" s="194"/>
      <c r="CU510" s="194"/>
      <c r="CV510" s="194"/>
    </row>
    <row r="511" spans="1:100">
      <c r="A511" s="175"/>
      <c r="B511" s="175"/>
      <c r="P511" s="4"/>
      <c r="Q511" s="214"/>
      <c r="CL511" s="379"/>
      <c r="CM511" s="194"/>
      <c r="CN511" s="194"/>
      <c r="CO511" s="194"/>
      <c r="CP511" s="194"/>
      <c r="CQ511" s="194"/>
      <c r="CR511" s="194"/>
      <c r="CS511" s="194"/>
      <c r="CT511" s="194"/>
      <c r="CU511" s="194"/>
      <c r="CV511" s="194"/>
    </row>
    <row r="512" spans="1:100">
      <c r="A512" s="175"/>
      <c r="B512" s="175"/>
      <c r="P512" s="4"/>
      <c r="Q512" s="214"/>
      <c r="CL512" s="379"/>
      <c r="CM512" s="194"/>
      <c r="CN512" s="194"/>
      <c r="CO512" s="194"/>
      <c r="CP512" s="194"/>
      <c r="CQ512" s="194"/>
      <c r="CR512" s="194"/>
      <c r="CS512" s="194"/>
      <c r="CT512" s="194"/>
      <c r="CU512" s="194"/>
      <c r="CV512" s="194"/>
    </row>
    <row r="513" spans="1:100">
      <c r="A513" s="175"/>
      <c r="B513" s="175"/>
      <c r="P513" s="4"/>
      <c r="Q513" s="214"/>
      <c r="CL513" s="379"/>
      <c r="CM513" s="194"/>
      <c r="CN513" s="194"/>
      <c r="CO513" s="194"/>
      <c r="CP513" s="194"/>
      <c r="CQ513" s="194"/>
      <c r="CR513" s="194"/>
      <c r="CS513" s="194"/>
      <c r="CT513" s="194"/>
      <c r="CU513" s="194"/>
      <c r="CV513" s="194"/>
    </row>
    <row r="514" spans="1:100">
      <c r="A514" s="175"/>
      <c r="B514" s="175"/>
      <c r="P514" s="4"/>
      <c r="Q514" s="214"/>
      <c r="CL514" s="379"/>
      <c r="CM514" s="194"/>
      <c r="CN514" s="194"/>
      <c r="CO514" s="194"/>
      <c r="CP514" s="194"/>
      <c r="CQ514" s="194"/>
      <c r="CR514" s="194"/>
      <c r="CS514" s="194"/>
      <c r="CT514" s="194"/>
      <c r="CU514" s="194"/>
      <c r="CV514" s="194"/>
    </row>
    <row r="515" spans="1:100">
      <c r="A515" s="175"/>
      <c r="B515" s="175"/>
      <c r="P515" s="4"/>
      <c r="Q515" s="214"/>
      <c r="CL515" s="379"/>
      <c r="CM515" s="194"/>
      <c r="CN515" s="194"/>
      <c r="CO515" s="194"/>
      <c r="CP515" s="194"/>
      <c r="CQ515" s="194"/>
      <c r="CR515" s="194"/>
      <c r="CS515" s="194"/>
      <c r="CT515" s="194"/>
      <c r="CU515" s="194"/>
      <c r="CV515" s="194"/>
    </row>
    <row r="516" spans="1:100">
      <c r="A516" s="175"/>
      <c r="B516" s="175"/>
      <c r="P516" s="4"/>
      <c r="Q516" s="214"/>
      <c r="CL516" s="379"/>
      <c r="CM516" s="194"/>
      <c r="CN516" s="194"/>
      <c r="CO516" s="194"/>
      <c r="CP516" s="194"/>
      <c r="CQ516" s="194"/>
      <c r="CR516" s="194"/>
      <c r="CS516" s="194"/>
      <c r="CT516" s="194"/>
      <c r="CU516" s="194"/>
      <c r="CV516" s="194"/>
    </row>
    <row r="517" spans="1:100">
      <c r="A517" s="175"/>
      <c r="B517" s="175"/>
      <c r="P517" s="4"/>
      <c r="Q517" s="214"/>
      <c r="CL517" s="379"/>
      <c r="CM517" s="194"/>
      <c r="CN517" s="194"/>
      <c r="CO517" s="194"/>
      <c r="CP517" s="194"/>
      <c r="CQ517" s="194"/>
      <c r="CR517" s="194"/>
      <c r="CS517" s="194"/>
      <c r="CT517" s="194"/>
      <c r="CU517" s="194"/>
      <c r="CV517" s="194"/>
    </row>
    <row r="518" spans="1:100">
      <c r="A518" s="175"/>
      <c r="B518" s="175"/>
      <c r="P518" s="4"/>
      <c r="Q518" s="214"/>
      <c r="CL518" s="379"/>
      <c r="CM518" s="194"/>
      <c r="CN518" s="194"/>
      <c r="CO518" s="194"/>
      <c r="CP518" s="194"/>
      <c r="CQ518" s="194"/>
      <c r="CR518" s="194"/>
      <c r="CS518" s="194"/>
      <c r="CT518" s="194"/>
      <c r="CU518" s="194"/>
      <c r="CV518" s="194"/>
    </row>
    <row r="519" spans="1:100">
      <c r="A519" s="175"/>
      <c r="B519" s="175"/>
      <c r="P519" s="4"/>
      <c r="Q519" s="214"/>
      <c r="CL519" s="379"/>
      <c r="CM519" s="194"/>
      <c r="CN519" s="194"/>
      <c r="CO519" s="194"/>
      <c r="CP519" s="194"/>
      <c r="CQ519" s="194"/>
      <c r="CR519" s="194"/>
      <c r="CS519" s="194"/>
      <c r="CT519" s="194"/>
      <c r="CU519" s="194"/>
      <c r="CV519" s="194"/>
    </row>
    <row r="520" spans="1:100">
      <c r="A520" s="175"/>
      <c r="B520" s="175"/>
      <c r="P520" s="4"/>
      <c r="Q520" s="214"/>
      <c r="CL520" s="379"/>
      <c r="CM520" s="194"/>
      <c r="CN520" s="194"/>
      <c r="CO520" s="194"/>
      <c r="CP520" s="194"/>
      <c r="CQ520" s="194"/>
      <c r="CR520" s="194"/>
      <c r="CS520" s="194"/>
      <c r="CT520" s="194"/>
      <c r="CU520" s="194"/>
      <c r="CV520" s="194"/>
    </row>
    <row r="521" spans="1:100">
      <c r="A521" s="175"/>
      <c r="B521" s="175"/>
      <c r="P521" s="4"/>
      <c r="Q521" s="214"/>
      <c r="CL521" s="379"/>
      <c r="CM521" s="194"/>
      <c r="CN521" s="194"/>
      <c r="CO521" s="194"/>
      <c r="CP521" s="194"/>
      <c r="CQ521" s="194"/>
      <c r="CR521" s="194"/>
      <c r="CS521" s="194"/>
      <c r="CT521" s="194"/>
      <c r="CU521" s="194"/>
      <c r="CV521" s="194"/>
    </row>
    <row r="522" spans="1:100">
      <c r="A522" s="175"/>
      <c r="B522" s="175"/>
      <c r="P522" s="4"/>
      <c r="Q522" s="214"/>
      <c r="CL522" s="379"/>
      <c r="CM522" s="194"/>
      <c r="CN522" s="194"/>
      <c r="CO522" s="194"/>
      <c r="CP522" s="194"/>
      <c r="CQ522" s="194"/>
      <c r="CR522" s="194"/>
      <c r="CS522" s="194"/>
      <c r="CT522" s="194"/>
      <c r="CU522" s="194"/>
      <c r="CV522" s="194"/>
    </row>
    <row r="523" spans="1:100">
      <c r="A523" s="175"/>
      <c r="B523" s="175"/>
      <c r="P523" s="4"/>
      <c r="Q523" s="214"/>
      <c r="CL523" s="379"/>
      <c r="CM523" s="194"/>
      <c r="CN523" s="194"/>
      <c r="CO523" s="194"/>
      <c r="CP523" s="194"/>
      <c r="CQ523" s="194"/>
      <c r="CR523" s="194"/>
      <c r="CS523" s="194"/>
      <c r="CT523" s="194"/>
      <c r="CU523" s="194"/>
      <c r="CV523" s="194"/>
    </row>
    <row r="524" spans="1:100">
      <c r="A524" s="175"/>
      <c r="B524" s="175"/>
      <c r="P524" s="4"/>
      <c r="Q524" s="214"/>
      <c r="CL524" s="379"/>
      <c r="CM524" s="194"/>
      <c r="CN524" s="194"/>
      <c r="CO524" s="194"/>
      <c r="CP524" s="194"/>
      <c r="CQ524" s="194"/>
      <c r="CR524" s="194"/>
      <c r="CS524" s="194"/>
      <c r="CT524" s="194"/>
      <c r="CU524" s="194"/>
      <c r="CV524" s="194"/>
    </row>
    <row r="525" spans="1:100">
      <c r="A525" s="175"/>
      <c r="B525" s="175"/>
      <c r="P525" s="4"/>
      <c r="Q525" s="214"/>
      <c r="CL525" s="379"/>
      <c r="CM525" s="194"/>
      <c r="CN525" s="194"/>
      <c r="CO525" s="194"/>
      <c r="CP525" s="194"/>
      <c r="CQ525" s="194"/>
      <c r="CR525" s="194"/>
      <c r="CS525" s="194"/>
      <c r="CT525" s="194"/>
      <c r="CU525" s="194"/>
      <c r="CV525" s="194"/>
    </row>
    <row r="526" spans="1:100">
      <c r="A526" s="175"/>
      <c r="B526" s="175"/>
      <c r="P526" s="4"/>
      <c r="Q526" s="214"/>
      <c r="CL526" s="379"/>
      <c r="CM526" s="194"/>
      <c r="CN526" s="194"/>
      <c r="CO526" s="194"/>
      <c r="CP526" s="194"/>
      <c r="CQ526" s="194"/>
      <c r="CR526" s="194"/>
      <c r="CS526" s="194"/>
      <c r="CT526" s="194"/>
      <c r="CU526" s="194"/>
      <c r="CV526" s="194"/>
    </row>
    <row r="527" spans="1:100">
      <c r="A527" s="175"/>
      <c r="B527" s="175"/>
      <c r="P527" s="4"/>
      <c r="Q527" s="214"/>
      <c r="CL527" s="379"/>
      <c r="CM527" s="194"/>
      <c r="CN527" s="194"/>
      <c r="CO527" s="194"/>
      <c r="CP527" s="194"/>
      <c r="CQ527" s="194"/>
      <c r="CR527" s="194"/>
      <c r="CS527" s="194"/>
      <c r="CT527" s="194"/>
      <c r="CU527" s="194"/>
      <c r="CV527" s="194"/>
    </row>
    <row r="528" spans="1:100">
      <c r="A528" s="175"/>
      <c r="B528" s="175"/>
      <c r="P528" s="4"/>
      <c r="Q528" s="214"/>
      <c r="CL528" s="379"/>
      <c r="CM528" s="194"/>
      <c r="CN528" s="194"/>
      <c r="CO528" s="194"/>
      <c r="CP528" s="194"/>
      <c r="CQ528" s="194"/>
      <c r="CR528" s="194"/>
      <c r="CS528" s="194"/>
      <c r="CT528" s="194"/>
      <c r="CU528" s="194"/>
      <c r="CV528" s="194"/>
    </row>
    <row r="529" spans="1:100">
      <c r="A529" s="175"/>
      <c r="B529" s="175"/>
      <c r="P529" s="4"/>
      <c r="Q529" s="214"/>
      <c r="CL529" s="379"/>
      <c r="CM529" s="194"/>
      <c r="CN529" s="194"/>
      <c r="CO529" s="194"/>
      <c r="CP529" s="194"/>
      <c r="CQ529" s="194"/>
      <c r="CR529" s="194"/>
      <c r="CS529" s="194"/>
      <c r="CT529" s="194"/>
      <c r="CU529" s="194"/>
      <c r="CV529" s="194"/>
    </row>
    <row r="530" spans="1:100">
      <c r="A530" s="175"/>
      <c r="B530" s="175"/>
      <c r="P530" s="4"/>
      <c r="Q530" s="214"/>
      <c r="CL530" s="379"/>
      <c r="CM530" s="194"/>
      <c r="CN530" s="194"/>
      <c r="CO530" s="194"/>
      <c r="CP530" s="194"/>
      <c r="CQ530" s="194"/>
      <c r="CR530" s="194"/>
      <c r="CS530" s="194"/>
      <c r="CT530" s="194"/>
      <c r="CU530" s="194"/>
      <c r="CV530" s="194"/>
    </row>
    <row r="531" spans="1:100">
      <c r="A531" s="175"/>
      <c r="B531" s="175"/>
      <c r="P531" s="4"/>
      <c r="Q531" s="214"/>
      <c r="CL531" s="379"/>
      <c r="CM531" s="194"/>
      <c r="CN531" s="194"/>
      <c r="CO531" s="194"/>
      <c r="CP531" s="194"/>
      <c r="CQ531" s="194"/>
      <c r="CR531" s="194"/>
      <c r="CS531" s="194"/>
      <c r="CT531" s="194"/>
      <c r="CU531" s="194"/>
      <c r="CV531" s="194"/>
    </row>
    <row r="532" spans="1:100">
      <c r="A532" s="175"/>
      <c r="B532" s="175"/>
      <c r="P532" s="4"/>
      <c r="Q532" s="214"/>
      <c r="CL532" s="379"/>
      <c r="CM532" s="194"/>
      <c r="CN532" s="194"/>
      <c r="CO532" s="194"/>
      <c r="CP532" s="194"/>
      <c r="CQ532" s="194"/>
      <c r="CR532" s="194"/>
      <c r="CS532" s="194"/>
      <c r="CT532" s="194"/>
      <c r="CU532" s="194"/>
      <c r="CV532" s="194"/>
    </row>
    <row r="533" spans="1:100">
      <c r="A533" s="175"/>
      <c r="B533" s="175"/>
      <c r="P533" s="4"/>
      <c r="Q533" s="214"/>
      <c r="CL533" s="379"/>
      <c r="CM533" s="194"/>
      <c r="CN533" s="194"/>
      <c r="CO533" s="194"/>
      <c r="CP533" s="194"/>
      <c r="CQ533" s="194"/>
      <c r="CR533" s="194"/>
      <c r="CS533" s="194"/>
      <c r="CT533" s="194"/>
      <c r="CU533" s="194"/>
      <c r="CV533" s="194"/>
    </row>
    <row r="534" spans="1:100">
      <c r="A534" s="175"/>
      <c r="B534" s="175"/>
      <c r="P534" s="4"/>
      <c r="Q534" s="214"/>
      <c r="CL534" s="379"/>
      <c r="CM534" s="194"/>
      <c r="CN534" s="194"/>
      <c r="CO534" s="194"/>
      <c r="CP534" s="194"/>
      <c r="CQ534" s="194"/>
      <c r="CR534" s="194"/>
      <c r="CS534" s="194"/>
      <c r="CT534" s="194"/>
      <c r="CU534" s="194"/>
      <c r="CV534" s="194"/>
    </row>
    <row r="535" spans="1:100">
      <c r="A535" s="175"/>
      <c r="B535" s="175"/>
      <c r="P535" s="4"/>
      <c r="Q535" s="214"/>
      <c r="CL535" s="379"/>
      <c r="CM535" s="194"/>
      <c r="CN535" s="194"/>
      <c r="CO535" s="194"/>
      <c r="CP535" s="194"/>
      <c r="CQ535" s="194"/>
      <c r="CR535" s="194"/>
      <c r="CS535" s="194"/>
      <c r="CT535" s="194"/>
      <c r="CU535" s="194"/>
      <c r="CV535" s="194"/>
    </row>
    <row r="536" spans="1:100">
      <c r="A536" s="175"/>
      <c r="B536" s="175"/>
      <c r="P536" s="4"/>
      <c r="Q536" s="214"/>
      <c r="CL536" s="379"/>
      <c r="CM536" s="194"/>
      <c r="CN536" s="194"/>
      <c r="CO536" s="194"/>
      <c r="CP536" s="194"/>
      <c r="CQ536" s="194"/>
      <c r="CR536" s="194"/>
      <c r="CS536" s="194"/>
      <c r="CT536" s="194"/>
      <c r="CU536" s="194"/>
      <c r="CV536" s="194"/>
    </row>
    <row r="537" spans="1:100">
      <c r="A537" s="175"/>
      <c r="B537" s="175"/>
      <c r="P537" s="4"/>
      <c r="Q537" s="214"/>
      <c r="CL537" s="379"/>
      <c r="CM537" s="194"/>
      <c r="CN537" s="194"/>
      <c r="CO537" s="194"/>
      <c r="CP537" s="194"/>
      <c r="CQ537" s="194"/>
      <c r="CR537" s="194"/>
      <c r="CS537" s="194"/>
      <c r="CT537" s="194"/>
      <c r="CU537" s="194"/>
      <c r="CV537" s="194"/>
    </row>
    <row r="538" spans="1:100">
      <c r="A538" s="175"/>
      <c r="B538" s="175"/>
      <c r="P538" s="4"/>
      <c r="Q538" s="214"/>
      <c r="CL538" s="379"/>
      <c r="CM538" s="194"/>
      <c r="CN538" s="194"/>
      <c r="CO538" s="194"/>
      <c r="CP538" s="194"/>
      <c r="CQ538" s="194"/>
      <c r="CR538" s="194"/>
      <c r="CS538" s="194"/>
      <c r="CT538" s="194"/>
      <c r="CU538" s="194"/>
      <c r="CV538" s="194"/>
    </row>
    <row r="539" spans="1:100">
      <c r="A539" s="175"/>
      <c r="B539" s="175"/>
      <c r="P539" s="4"/>
      <c r="Q539" s="214"/>
      <c r="CL539" s="379"/>
      <c r="CM539" s="194"/>
      <c r="CN539" s="194"/>
      <c r="CO539" s="194"/>
      <c r="CP539" s="194"/>
      <c r="CQ539" s="194"/>
      <c r="CR539" s="194"/>
      <c r="CS539" s="194"/>
      <c r="CT539" s="194"/>
      <c r="CU539" s="194"/>
      <c r="CV539" s="194"/>
    </row>
    <row r="540" spans="1:100">
      <c r="A540" s="175"/>
      <c r="B540" s="175"/>
      <c r="P540" s="4"/>
      <c r="Q540" s="214"/>
      <c r="CL540" s="379"/>
      <c r="CM540" s="194"/>
      <c r="CN540" s="194"/>
      <c r="CO540" s="194"/>
      <c r="CP540" s="194"/>
      <c r="CQ540" s="194"/>
      <c r="CR540" s="194"/>
      <c r="CS540" s="194"/>
      <c r="CT540" s="194"/>
      <c r="CU540" s="194"/>
      <c r="CV540" s="194"/>
    </row>
    <row r="541" spans="1:100">
      <c r="A541" s="175"/>
      <c r="B541" s="175"/>
      <c r="P541" s="4"/>
      <c r="Q541" s="214"/>
      <c r="CL541" s="379"/>
      <c r="CM541" s="194"/>
      <c r="CN541" s="194"/>
      <c r="CO541" s="194"/>
      <c r="CP541" s="194"/>
      <c r="CQ541" s="194"/>
      <c r="CR541" s="194"/>
      <c r="CS541" s="194"/>
      <c r="CT541" s="194"/>
      <c r="CU541" s="194"/>
      <c r="CV541" s="194"/>
    </row>
    <row r="542" spans="1:100">
      <c r="A542" s="175"/>
      <c r="B542" s="175"/>
      <c r="P542" s="4"/>
      <c r="Q542" s="214"/>
      <c r="CL542" s="379"/>
      <c r="CM542" s="194"/>
      <c r="CN542" s="194"/>
      <c r="CO542" s="194"/>
      <c r="CP542" s="194"/>
      <c r="CQ542" s="194"/>
      <c r="CR542" s="194"/>
      <c r="CS542" s="194"/>
      <c r="CT542" s="194"/>
      <c r="CU542" s="194"/>
      <c r="CV542" s="194"/>
    </row>
    <row r="543" spans="1:100">
      <c r="A543" s="175"/>
      <c r="B543" s="175"/>
      <c r="P543" s="4"/>
      <c r="Q543" s="214"/>
      <c r="CL543" s="379"/>
      <c r="CM543" s="194"/>
      <c r="CN543" s="194"/>
      <c r="CO543" s="194"/>
      <c r="CP543" s="194"/>
      <c r="CQ543" s="194"/>
      <c r="CR543" s="194"/>
      <c r="CS543" s="194"/>
      <c r="CT543" s="194"/>
      <c r="CU543" s="194"/>
      <c r="CV543" s="194"/>
    </row>
    <row r="544" spans="1:100">
      <c r="A544" s="175"/>
      <c r="B544" s="175"/>
      <c r="P544" s="4"/>
      <c r="Q544" s="214"/>
      <c r="CL544" s="379"/>
      <c r="CM544" s="194"/>
      <c r="CN544" s="194"/>
      <c r="CO544" s="194"/>
      <c r="CP544" s="194"/>
      <c r="CQ544" s="194"/>
      <c r="CR544" s="194"/>
      <c r="CS544" s="194"/>
      <c r="CT544" s="194"/>
      <c r="CU544" s="194"/>
      <c r="CV544" s="194"/>
    </row>
    <row r="545" spans="1:100">
      <c r="A545" s="175"/>
      <c r="B545" s="175"/>
      <c r="P545" s="4"/>
      <c r="Q545" s="214"/>
      <c r="CL545" s="379"/>
      <c r="CM545" s="194"/>
      <c r="CN545" s="194"/>
      <c r="CO545" s="194"/>
      <c r="CP545" s="194"/>
      <c r="CQ545" s="194"/>
      <c r="CR545" s="194"/>
      <c r="CS545" s="194"/>
      <c r="CT545" s="194"/>
      <c r="CU545" s="194"/>
      <c r="CV545" s="194"/>
    </row>
    <row r="546" spans="1:100">
      <c r="A546" s="175"/>
      <c r="B546" s="175"/>
      <c r="P546" s="4"/>
      <c r="Q546" s="214"/>
      <c r="CL546" s="379"/>
      <c r="CM546" s="194"/>
      <c r="CN546" s="194"/>
      <c r="CO546" s="194"/>
      <c r="CP546" s="194"/>
      <c r="CQ546" s="194"/>
      <c r="CR546" s="194"/>
      <c r="CS546" s="194"/>
      <c r="CT546" s="194"/>
      <c r="CU546" s="194"/>
      <c r="CV546" s="194"/>
    </row>
    <row r="547" spans="1:100">
      <c r="A547" s="175"/>
      <c r="B547" s="175"/>
      <c r="P547" s="4"/>
      <c r="Q547" s="214"/>
      <c r="CL547" s="379"/>
      <c r="CM547" s="194"/>
      <c r="CN547" s="194"/>
      <c r="CO547" s="194"/>
      <c r="CP547" s="194"/>
      <c r="CQ547" s="194"/>
      <c r="CR547" s="194"/>
      <c r="CS547" s="194"/>
      <c r="CT547" s="194"/>
      <c r="CU547" s="194"/>
      <c r="CV547" s="194"/>
    </row>
    <row r="548" spans="1:100">
      <c r="A548" s="175"/>
      <c r="B548" s="175"/>
      <c r="P548" s="4"/>
      <c r="Q548" s="214"/>
      <c r="CL548" s="379"/>
      <c r="CM548" s="194"/>
      <c r="CN548" s="194"/>
      <c r="CO548" s="194"/>
      <c r="CP548" s="194"/>
      <c r="CQ548" s="194"/>
      <c r="CR548" s="194"/>
      <c r="CS548" s="194"/>
      <c r="CT548" s="194"/>
      <c r="CU548" s="194"/>
      <c r="CV548" s="194"/>
    </row>
    <row r="549" spans="1:100">
      <c r="A549" s="175"/>
      <c r="B549" s="175"/>
      <c r="P549" s="4"/>
      <c r="Q549" s="214"/>
      <c r="CL549" s="379"/>
      <c r="CM549" s="194"/>
      <c r="CN549" s="194"/>
      <c r="CO549" s="194"/>
      <c r="CP549" s="194"/>
      <c r="CQ549" s="194"/>
      <c r="CR549" s="194"/>
      <c r="CS549" s="194"/>
      <c r="CT549" s="194"/>
      <c r="CU549" s="194"/>
      <c r="CV549" s="194"/>
    </row>
    <row r="550" spans="1:100">
      <c r="A550" s="175"/>
      <c r="B550" s="175"/>
      <c r="P550" s="4"/>
      <c r="Q550" s="214"/>
      <c r="CL550" s="379"/>
      <c r="CM550" s="194"/>
      <c r="CN550" s="194"/>
      <c r="CO550" s="194"/>
      <c r="CP550" s="194"/>
      <c r="CQ550" s="194"/>
      <c r="CR550" s="194"/>
      <c r="CS550" s="194"/>
      <c r="CT550" s="194"/>
      <c r="CU550" s="194"/>
      <c r="CV550" s="194"/>
    </row>
    <row r="551" spans="1:100">
      <c r="A551" s="175"/>
      <c r="B551" s="175"/>
      <c r="P551" s="4"/>
      <c r="Q551" s="214"/>
      <c r="CL551" s="379"/>
      <c r="CM551" s="194"/>
      <c r="CN551" s="194"/>
      <c r="CO551" s="194"/>
      <c r="CP551" s="194"/>
      <c r="CQ551" s="194"/>
      <c r="CR551" s="194"/>
      <c r="CS551" s="194"/>
      <c r="CT551" s="194"/>
      <c r="CU551" s="194"/>
      <c r="CV551" s="194"/>
    </row>
    <row r="552" spans="1:100">
      <c r="A552" s="175"/>
      <c r="B552" s="175"/>
      <c r="P552" s="4"/>
      <c r="Q552" s="214"/>
      <c r="CL552" s="379"/>
      <c r="CM552" s="194"/>
      <c r="CN552" s="194"/>
      <c r="CO552" s="194"/>
      <c r="CP552" s="194"/>
      <c r="CQ552" s="194"/>
      <c r="CR552" s="194"/>
      <c r="CS552" s="194"/>
      <c r="CT552" s="194"/>
      <c r="CU552" s="194"/>
      <c r="CV552" s="194"/>
    </row>
    <row r="553" spans="1:100">
      <c r="A553" s="175"/>
      <c r="B553" s="175"/>
      <c r="P553" s="4"/>
      <c r="Q553" s="214"/>
      <c r="CL553" s="379"/>
      <c r="CM553" s="194"/>
      <c r="CN553" s="194"/>
      <c r="CO553" s="194"/>
      <c r="CP553" s="194"/>
      <c r="CQ553" s="194"/>
      <c r="CR553" s="194"/>
      <c r="CS553" s="194"/>
      <c r="CT553" s="194"/>
      <c r="CU553" s="194"/>
      <c r="CV553" s="194"/>
    </row>
    <row r="554" spans="1:100">
      <c r="A554" s="175"/>
      <c r="B554" s="175"/>
      <c r="P554" s="4"/>
      <c r="Q554" s="214"/>
      <c r="CL554" s="379"/>
      <c r="CM554" s="194"/>
      <c r="CN554" s="194"/>
      <c r="CO554" s="194"/>
      <c r="CP554" s="194"/>
      <c r="CQ554" s="194"/>
      <c r="CR554" s="194"/>
      <c r="CS554" s="194"/>
      <c r="CT554" s="194"/>
      <c r="CU554" s="194"/>
      <c r="CV554" s="194"/>
    </row>
    <row r="555" spans="1:100">
      <c r="A555" s="175"/>
      <c r="B555" s="175"/>
      <c r="P555" s="4"/>
      <c r="Q555" s="214"/>
      <c r="CL555" s="379"/>
      <c r="CM555" s="194"/>
      <c r="CN555" s="194"/>
      <c r="CO555" s="194"/>
      <c r="CP555" s="194"/>
      <c r="CQ555" s="194"/>
      <c r="CR555" s="194"/>
      <c r="CS555" s="194"/>
      <c r="CT555" s="194"/>
      <c r="CU555" s="194"/>
      <c r="CV555" s="194"/>
    </row>
    <row r="556" spans="1:100">
      <c r="A556" s="175"/>
      <c r="B556" s="175"/>
      <c r="P556" s="4"/>
      <c r="Q556" s="214"/>
      <c r="CL556" s="379"/>
      <c r="CM556" s="194"/>
      <c r="CN556" s="194"/>
      <c r="CO556" s="194"/>
      <c r="CP556" s="194"/>
      <c r="CQ556" s="194"/>
      <c r="CR556" s="194"/>
      <c r="CS556" s="194"/>
      <c r="CT556" s="194"/>
      <c r="CU556" s="194"/>
      <c r="CV556" s="194"/>
    </row>
    <row r="557" spans="1:100">
      <c r="A557" s="175"/>
      <c r="B557" s="175"/>
      <c r="P557" s="4"/>
      <c r="Q557" s="214"/>
      <c r="CL557" s="379"/>
      <c r="CM557" s="194"/>
      <c r="CN557" s="194"/>
      <c r="CO557" s="194"/>
      <c r="CP557" s="194"/>
      <c r="CQ557" s="194"/>
      <c r="CR557" s="194"/>
      <c r="CS557" s="194"/>
      <c r="CT557" s="194"/>
      <c r="CU557" s="194"/>
      <c r="CV557" s="194"/>
    </row>
    <row r="558" spans="1:100">
      <c r="A558" s="175"/>
      <c r="B558" s="175"/>
      <c r="P558" s="4"/>
      <c r="Q558" s="214"/>
      <c r="CL558" s="379"/>
      <c r="CM558" s="194"/>
      <c r="CN558" s="194"/>
      <c r="CO558" s="194"/>
      <c r="CP558" s="194"/>
      <c r="CQ558" s="194"/>
      <c r="CR558" s="194"/>
      <c r="CS558" s="194"/>
      <c r="CT558" s="194"/>
      <c r="CU558" s="194"/>
      <c r="CV558" s="194"/>
    </row>
    <row r="559" spans="1:100">
      <c r="A559" s="175"/>
      <c r="B559" s="175"/>
      <c r="P559" s="4"/>
      <c r="Q559" s="214"/>
      <c r="CL559" s="379"/>
      <c r="CM559" s="194"/>
      <c r="CN559" s="194"/>
      <c r="CO559" s="194"/>
      <c r="CP559" s="194"/>
      <c r="CQ559" s="194"/>
      <c r="CR559" s="194"/>
      <c r="CS559" s="194"/>
      <c r="CT559" s="194"/>
      <c r="CU559" s="194"/>
      <c r="CV559" s="194"/>
    </row>
    <row r="560" spans="1:100">
      <c r="A560" s="175"/>
      <c r="B560" s="175"/>
      <c r="P560" s="4"/>
      <c r="Q560" s="214"/>
      <c r="CL560" s="379"/>
      <c r="CM560" s="194"/>
      <c r="CN560" s="194"/>
      <c r="CO560" s="194"/>
      <c r="CP560" s="194"/>
      <c r="CQ560" s="194"/>
      <c r="CR560" s="194"/>
      <c r="CS560" s="194"/>
      <c r="CT560" s="194"/>
      <c r="CU560" s="194"/>
      <c r="CV560" s="194"/>
    </row>
    <row r="561" spans="1:100">
      <c r="A561" s="175"/>
      <c r="B561" s="175"/>
      <c r="P561" s="4"/>
      <c r="Q561" s="214"/>
      <c r="CL561" s="379"/>
      <c r="CM561" s="194"/>
      <c r="CN561" s="194"/>
      <c r="CO561" s="194"/>
      <c r="CP561" s="194"/>
      <c r="CQ561" s="194"/>
      <c r="CR561" s="194"/>
      <c r="CS561" s="194"/>
      <c r="CT561" s="194"/>
      <c r="CU561" s="194"/>
      <c r="CV561" s="194"/>
    </row>
    <row r="562" spans="1:100">
      <c r="A562" s="175"/>
      <c r="B562" s="175"/>
      <c r="P562" s="4"/>
      <c r="Q562" s="214"/>
      <c r="CL562" s="379"/>
      <c r="CM562" s="194"/>
      <c r="CN562" s="194"/>
      <c r="CO562" s="194"/>
      <c r="CP562" s="194"/>
      <c r="CQ562" s="194"/>
      <c r="CR562" s="194"/>
      <c r="CS562" s="194"/>
      <c r="CT562" s="194"/>
      <c r="CU562" s="194"/>
      <c r="CV562" s="194"/>
    </row>
    <row r="563" spans="1:100">
      <c r="A563" s="175"/>
      <c r="B563" s="175"/>
      <c r="P563" s="4"/>
      <c r="Q563" s="214"/>
      <c r="CL563" s="379"/>
      <c r="CM563" s="194"/>
      <c r="CN563" s="194"/>
      <c r="CO563" s="194"/>
      <c r="CP563" s="194"/>
      <c r="CQ563" s="194"/>
      <c r="CR563" s="194"/>
      <c r="CS563" s="194"/>
      <c r="CT563" s="194"/>
      <c r="CU563" s="194"/>
      <c r="CV563" s="194"/>
    </row>
    <row r="564" spans="1:100">
      <c r="A564" s="175"/>
      <c r="B564" s="175"/>
      <c r="P564" s="4"/>
      <c r="Q564" s="214"/>
      <c r="CL564" s="379"/>
      <c r="CM564" s="194"/>
      <c r="CN564" s="194"/>
      <c r="CO564" s="194"/>
      <c r="CP564" s="194"/>
      <c r="CQ564" s="194"/>
      <c r="CR564" s="194"/>
      <c r="CS564" s="194"/>
      <c r="CT564" s="194"/>
      <c r="CU564" s="194"/>
      <c r="CV564" s="194"/>
    </row>
    <row r="565" spans="1:100">
      <c r="A565" s="175"/>
      <c r="B565" s="175"/>
      <c r="P565" s="4"/>
      <c r="Q565" s="214"/>
    </row>
    <row r="566" spans="1:100">
      <c r="A566" s="175"/>
      <c r="B566" s="175"/>
      <c r="P566" s="4"/>
      <c r="Q566" s="214"/>
    </row>
    <row r="567" spans="1:100">
      <c r="A567" s="175"/>
      <c r="B567" s="175"/>
      <c r="P567" s="4"/>
      <c r="Q567" s="214"/>
    </row>
    <row r="568" spans="1:100">
      <c r="A568" s="175"/>
      <c r="B568" s="175"/>
      <c r="P568" s="4"/>
      <c r="Q568" s="214"/>
    </row>
    <row r="569" spans="1:100">
      <c r="A569" s="175"/>
      <c r="B569" s="175"/>
      <c r="P569" s="4"/>
      <c r="Q569" s="214"/>
    </row>
    <row r="570" spans="1:100">
      <c r="A570" s="175"/>
      <c r="B570" s="175"/>
      <c r="P570" s="4"/>
      <c r="Q570" s="214"/>
    </row>
    <row r="571" spans="1:100">
      <c r="A571" s="175"/>
      <c r="B571" s="175"/>
      <c r="P571" s="4"/>
      <c r="Q571" s="214"/>
    </row>
    <row r="572" spans="1:100">
      <c r="A572" s="175"/>
      <c r="B572" s="175"/>
      <c r="P572" s="4"/>
      <c r="Q572" s="214"/>
    </row>
    <row r="573" spans="1:100">
      <c r="A573" s="175"/>
      <c r="B573" s="175"/>
      <c r="P573" s="4"/>
      <c r="Q573" s="214"/>
    </row>
    <row r="574" spans="1:100">
      <c r="A574" s="175"/>
      <c r="B574" s="175"/>
      <c r="P574" s="4"/>
      <c r="Q574" s="214"/>
    </row>
    <row r="575" spans="1:100">
      <c r="A575" s="175"/>
      <c r="B575" s="175"/>
      <c r="P575" s="4"/>
      <c r="Q575" s="214"/>
    </row>
    <row r="576" spans="1:100">
      <c r="A576" s="175"/>
      <c r="B576" s="175"/>
      <c r="P576" s="4"/>
      <c r="Q576" s="214"/>
    </row>
    <row r="577" spans="1:17">
      <c r="A577" s="175"/>
      <c r="B577" s="175"/>
      <c r="P577" s="4"/>
      <c r="Q577" s="214"/>
    </row>
    <row r="578" spans="1:17">
      <c r="A578" s="175"/>
      <c r="B578" s="175"/>
      <c r="P578" s="4"/>
      <c r="Q578" s="214"/>
    </row>
    <row r="579" spans="1:17">
      <c r="A579" s="175"/>
      <c r="B579" s="175"/>
      <c r="P579" s="4"/>
      <c r="Q579" s="214"/>
    </row>
    <row r="580" spans="1:17">
      <c r="A580" s="175"/>
      <c r="B580" s="175"/>
      <c r="P580" s="4"/>
      <c r="Q580" s="214"/>
    </row>
    <row r="581" spans="1:17">
      <c r="A581" s="175"/>
      <c r="B581" s="175"/>
      <c r="P581" s="4"/>
      <c r="Q581" s="214"/>
    </row>
    <row r="582" spans="1:17">
      <c r="A582" s="175"/>
      <c r="B582" s="175"/>
      <c r="P582" s="4"/>
      <c r="Q582" s="214"/>
    </row>
    <row r="583" spans="1:17">
      <c r="A583" s="175"/>
      <c r="B583" s="175"/>
      <c r="P583" s="4"/>
      <c r="Q583" s="214"/>
    </row>
    <row r="584" spans="1:17">
      <c r="A584" s="175"/>
      <c r="B584" s="175"/>
      <c r="P584" s="4"/>
      <c r="Q584" s="214"/>
    </row>
    <row r="585" spans="1:17">
      <c r="A585" s="175"/>
      <c r="B585" s="175"/>
      <c r="P585" s="4"/>
      <c r="Q585" s="214"/>
    </row>
    <row r="586" spans="1:17">
      <c r="A586" s="175"/>
      <c r="B586" s="175"/>
      <c r="P586" s="4"/>
      <c r="Q586" s="214"/>
    </row>
    <row r="587" spans="1:17">
      <c r="A587" s="175"/>
      <c r="B587" s="175"/>
      <c r="P587" s="4"/>
      <c r="Q587" s="214"/>
    </row>
    <row r="588" spans="1:17">
      <c r="A588" s="175"/>
      <c r="B588" s="175"/>
      <c r="P588" s="4"/>
      <c r="Q588" s="214"/>
    </row>
    <row r="589" spans="1:17">
      <c r="A589" s="175"/>
      <c r="B589" s="175"/>
      <c r="P589" s="4"/>
      <c r="Q589" s="214"/>
    </row>
    <row r="590" spans="1:17">
      <c r="A590" s="175"/>
      <c r="B590" s="175"/>
      <c r="P590" s="4"/>
      <c r="Q590" s="214"/>
    </row>
    <row r="591" spans="1:17">
      <c r="A591" s="175"/>
      <c r="B591" s="175"/>
      <c r="P591" s="4"/>
      <c r="Q591" s="214"/>
    </row>
    <row r="592" spans="1:17">
      <c r="A592" s="175"/>
      <c r="B592" s="175"/>
      <c r="P592" s="4"/>
      <c r="Q592" s="214"/>
    </row>
    <row r="593" spans="1:17">
      <c r="A593" s="175"/>
      <c r="B593" s="175"/>
      <c r="P593" s="4"/>
      <c r="Q593" s="214"/>
    </row>
    <row r="594" spans="1:17">
      <c r="A594" s="175"/>
      <c r="B594" s="175"/>
      <c r="P594" s="4"/>
      <c r="Q594" s="214"/>
    </row>
    <row r="595" spans="1:17">
      <c r="A595" s="175"/>
      <c r="B595" s="175"/>
      <c r="P595" s="4"/>
      <c r="Q595" s="214"/>
    </row>
    <row r="596" spans="1:17">
      <c r="A596" s="175"/>
      <c r="B596" s="175"/>
      <c r="P596" s="4"/>
      <c r="Q596" s="214"/>
    </row>
    <row r="597" spans="1:17">
      <c r="A597" s="175"/>
      <c r="B597" s="175"/>
      <c r="P597" s="4"/>
      <c r="Q597" s="214"/>
    </row>
    <row r="598" spans="1:17">
      <c r="A598" s="175"/>
      <c r="B598" s="175"/>
      <c r="P598" s="4"/>
      <c r="Q598" s="214"/>
    </row>
    <row r="599" spans="1:17">
      <c r="A599" s="175"/>
      <c r="B599" s="175"/>
      <c r="P599" s="4"/>
      <c r="Q599" s="214"/>
    </row>
    <row r="600" spans="1:17">
      <c r="A600" s="175"/>
      <c r="B600" s="175"/>
      <c r="P600" s="4"/>
      <c r="Q600" s="214"/>
    </row>
    <row r="601" spans="1:17">
      <c r="A601" s="175"/>
      <c r="B601" s="175"/>
      <c r="P601" s="4"/>
      <c r="Q601" s="214"/>
    </row>
    <row r="602" spans="1:17">
      <c r="A602" s="175"/>
      <c r="B602" s="175"/>
      <c r="P602" s="4"/>
      <c r="Q602" s="214"/>
    </row>
    <row r="603" spans="1:17">
      <c r="A603" s="175"/>
      <c r="B603" s="175"/>
      <c r="P603" s="4"/>
      <c r="Q603" s="214"/>
    </row>
    <row r="604" spans="1:17">
      <c r="A604" s="175"/>
      <c r="B604" s="175"/>
      <c r="P604" s="4"/>
      <c r="Q604" s="214"/>
    </row>
    <row r="605" spans="1:17">
      <c r="A605" s="175"/>
      <c r="B605" s="175"/>
      <c r="P605" s="4"/>
      <c r="Q605" s="214"/>
    </row>
    <row r="606" spans="1:17">
      <c r="A606" s="175"/>
      <c r="B606" s="175"/>
      <c r="P606" s="4"/>
      <c r="Q606" s="214"/>
    </row>
    <row r="607" spans="1:17">
      <c r="A607" s="175"/>
      <c r="B607" s="175"/>
      <c r="P607" s="4"/>
      <c r="Q607" s="214"/>
    </row>
    <row r="608" spans="1:17">
      <c r="A608" s="175"/>
      <c r="B608" s="175"/>
      <c r="P608" s="4"/>
      <c r="Q608" s="214"/>
    </row>
    <row r="609" spans="1:17">
      <c r="A609" s="175"/>
      <c r="B609" s="175"/>
      <c r="P609" s="4"/>
      <c r="Q609" s="214"/>
    </row>
    <row r="610" spans="1:17">
      <c r="A610" s="175"/>
      <c r="B610" s="175"/>
      <c r="P610" s="4"/>
      <c r="Q610" s="214"/>
    </row>
    <row r="611" spans="1:17">
      <c r="A611" s="175"/>
      <c r="B611" s="175"/>
      <c r="P611" s="4"/>
      <c r="Q611" s="214"/>
    </row>
    <row r="612" spans="1:17">
      <c r="A612" s="175"/>
      <c r="B612" s="175"/>
      <c r="P612" s="4"/>
      <c r="Q612" s="214"/>
    </row>
    <row r="613" spans="1:17">
      <c r="A613" s="175"/>
      <c r="B613" s="175"/>
      <c r="P613" s="4"/>
      <c r="Q613" s="214"/>
    </row>
    <row r="614" spans="1:17">
      <c r="A614" s="175"/>
      <c r="B614" s="175"/>
      <c r="P614" s="4"/>
      <c r="Q614" s="214"/>
    </row>
    <row r="615" spans="1:17">
      <c r="A615" s="175"/>
      <c r="B615" s="175"/>
      <c r="P615" s="4"/>
      <c r="Q615" s="214"/>
    </row>
    <row r="616" spans="1:17">
      <c r="A616" s="175"/>
      <c r="B616" s="175"/>
      <c r="P616" s="4"/>
      <c r="Q616" s="214"/>
    </row>
    <row r="617" spans="1:17">
      <c r="A617" s="175"/>
      <c r="B617" s="175"/>
      <c r="P617" s="4"/>
      <c r="Q617" s="214"/>
    </row>
    <row r="618" spans="1:17">
      <c r="A618" s="175"/>
      <c r="B618" s="175"/>
      <c r="P618" s="4"/>
      <c r="Q618" s="214"/>
    </row>
    <row r="619" spans="1:17">
      <c r="A619" s="175"/>
      <c r="B619" s="175"/>
      <c r="P619" s="4"/>
      <c r="Q619" s="214"/>
    </row>
    <row r="620" spans="1:17">
      <c r="A620" s="175"/>
      <c r="B620" s="175"/>
      <c r="P620" s="4"/>
      <c r="Q620" s="214"/>
    </row>
    <row r="621" spans="1:17">
      <c r="A621" s="175"/>
      <c r="B621" s="175"/>
      <c r="P621" s="4"/>
      <c r="Q621" s="214"/>
    </row>
    <row r="622" spans="1:17">
      <c r="A622" s="175"/>
      <c r="B622" s="175"/>
      <c r="P622" s="4"/>
      <c r="Q622" s="214"/>
    </row>
    <row r="623" spans="1:17">
      <c r="A623" s="175"/>
      <c r="B623" s="175"/>
      <c r="P623" s="4"/>
      <c r="Q623" s="214"/>
    </row>
    <row r="624" spans="1:17">
      <c r="A624" s="175"/>
      <c r="B624" s="175"/>
      <c r="P624" s="4"/>
      <c r="Q624" s="214"/>
    </row>
    <row r="625" spans="1:17">
      <c r="A625" s="175"/>
      <c r="B625" s="175"/>
      <c r="P625" s="4"/>
      <c r="Q625" s="214"/>
    </row>
    <row r="626" spans="1:17">
      <c r="A626" s="175"/>
      <c r="B626" s="175"/>
      <c r="P626" s="4"/>
      <c r="Q626" s="214"/>
    </row>
    <row r="627" spans="1:17">
      <c r="A627" s="175"/>
      <c r="B627" s="175"/>
      <c r="P627" s="4"/>
      <c r="Q627" s="214"/>
    </row>
    <row r="628" spans="1:17">
      <c r="A628" s="175"/>
      <c r="B628" s="175"/>
      <c r="P628" s="4"/>
      <c r="Q628" s="214"/>
    </row>
    <row r="629" spans="1:17">
      <c r="A629" s="175"/>
      <c r="B629" s="175"/>
      <c r="P629" s="4"/>
      <c r="Q629" s="214"/>
    </row>
    <row r="630" spans="1:17">
      <c r="A630" s="175"/>
      <c r="B630" s="175"/>
      <c r="P630" s="4"/>
      <c r="Q630" s="214"/>
    </row>
    <row r="631" spans="1:17">
      <c r="A631" s="175"/>
      <c r="B631" s="175"/>
      <c r="P631" s="4"/>
      <c r="Q631" s="214"/>
    </row>
    <row r="632" spans="1:17">
      <c r="A632" s="175"/>
      <c r="B632" s="175"/>
      <c r="P632" s="4"/>
      <c r="Q632" s="214"/>
    </row>
    <row r="633" spans="1:17">
      <c r="A633" s="175"/>
      <c r="B633" s="175"/>
      <c r="P633" s="4"/>
      <c r="Q633" s="214"/>
    </row>
    <row r="634" spans="1:17">
      <c r="A634" s="175"/>
      <c r="B634" s="175"/>
      <c r="P634" s="4"/>
      <c r="Q634" s="214"/>
    </row>
    <row r="635" spans="1:17">
      <c r="A635" s="175"/>
      <c r="B635" s="175"/>
      <c r="P635" s="4"/>
      <c r="Q635" s="214"/>
    </row>
    <row r="636" spans="1:17">
      <c r="A636" s="175"/>
      <c r="B636" s="175"/>
      <c r="P636" s="4"/>
      <c r="Q636" s="214"/>
    </row>
    <row r="637" spans="1:17">
      <c r="A637" s="175"/>
      <c r="B637" s="175"/>
      <c r="P637" s="4"/>
      <c r="Q637" s="214"/>
    </row>
    <row r="638" spans="1:17">
      <c r="A638" s="175"/>
      <c r="B638" s="175"/>
      <c r="P638" s="4"/>
      <c r="Q638" s="214"/>
    </row>
    <row r="639" spans="1:17">
      <c r="A639" s="175"/>
      <c r="B639" s="175"/>
      <c r="P639" s="4"/>
      <c r="Q639" s="214"/>
    </row>
    <row r="640" spans="1:17">
      <c r="A640" s="175"/>
      <c r="B640" s="175"/>
      <c r="P640" s="4"/>
      <c r="Q640" s="214"/>
    </row>
    <row r="641" spans="1:17">
      <c r="A641" s="175"/>
      <c r="B641" s="175"/>
      <c r="P641" s="4"/>
      <c r="Q641" s="214"/>
    </row>
    <row r="642" spans="1:17">
      <c r="A642" s="175"/>
      <c r="B642" s="175"/>
      <c r="P642" s="4"/>
      <c r="Q642" s="214"/>
    </row>
    <row r="643" spans="1:17">
      <c r="A643" s="175"/>
      <c r="B643" s="175"/>
      <c r="P643" s="4"/>
      <c r="Q643" s="214"/>
    </row>
    <row r="644" spans="1:17">
      <c r="A644" s="175"/>
      <c r="B644" s="175"/>
      <c r="P644" s="4"/>
      <c r="Q644" s="214"/>
    </row>
    <row r="645" spans="1:17">
      <c r="A645" s="175"/>
      <c r="B645" s="175"/>
      <c r="P645" s="4"/>
      <c r="Q645" s="214"/>
    </row>
    <row r="646" spans="1:17">
      <c r="A646" s="175"/>
      <c r="B646" s="175"/>
      <c r="P646" s="4"/>
      <c r="Q646" s="214"/>
    </row>
    <row r="647" spans="1:17">
      <c r="A647" s="175"/>
      <c r="B647" s="175"/>
      <c r="P647" s="4"/>
      <c r="Q647" s="214"/>
    </row>
    <row r="648" spans="1:17">
      <c r="A648" s="175"/>
      <c r="B648" s="175"/>
      <c r="P648" s="4"/>
      <c r="Q648" s="214"/>
    </row>
    <row r="649" spans="1:17">
      <c r="A649" s="175"/>
      <c r="B649" s="175"/>
      <c r="P649" s="4"/>
      <c r="Q649" s="214"/>
    </row>
    <row r="650" spans="1:17">
      <c r="A650" s="175"/>
      <c r="B650" s="175"/>
      <c r="P650" s="4"/>
      <c r="Q650" s="214"/>
    </row>
    <row r="651" spans="1:17">
      <c r="A651" s="175"/>
      <c r="B651" s="175"/>
      <c r="P651" s="4"/>
      <c r="Q651" s="214"/>
    </row>
    <row r="652" spans="1:17">
      <c r="A652" s="175"/>
      <c r="B652" s="175"/>
      <c r="P652" s="4"/>
      <c r="Q652" s="214"/>
    </row>
    <row r="653" spans="1:17">
      <c r="A653" s="175"/>
      <c r="B653" s="175"/>
      <c r="P653" s="4"/>
      <c r="Q653" s="214"/>
    </row>
    <row r="654" spans="1:17">
      <c r="A654" s="175"/>
      <c r="B654" s="175"/>
      <c r="P654" s="4"/>
      <c r="Q654" s="214"/>
    </row>
    <row r="655" spans="1:17">
      <c r="A655" s="175"/>
      <c r="B655" s="175"/>
      <c r="P655" s="4"/>
      <c r="Q655" s="214"/>
    </row>
    <row r="656" spans="1:17">
      <c r="A656" s="175"/>
      <c r="B656" s="175"/>
      <c r="P656" s="4"/>
      <c r="Q656" s="214"/>
    </row>
    <row r="657" spans="1:17">
      <c r="A657" s="175"/>
      <c r="B657" s="175"/>
      <c r="P657" s="4"/>
      <c r="Q657" s="214"/>
    </row>
    <row r="658" spans="1:17">
      <c r="A658" s="175"/>
      <c r="B658" s="175"/>
      <c r="P658" s="4"/>
      <c r="Q658" s="214"/>
    </row>
    <row r="659" spans="1:17">
      <c r="A659" s="175"/>
      <c r="B659" s="175"/>
      <c r="P659" s="4"/>
      <c r="Q659" s="214"/>
    </row>
    <row r="660" spans="1:17">
      <c r="A660" s="175"/>
      <c r="B660" s="175"/>
      <c r="P660" s="4"/>
      <c r="Q660" s="214"/>
    </row>
    <row r="661" spans="1:17">
      <c r="A661" s="175"/>
      <c r="B661" s="175"/>
      <c r="P661" s="4"/>
      <c r="Q661" s="214"/>
    </row>
    <row r="662" spans="1:17">
      <c r="A662" s="175"/>
      <c r="B662" s="175"/>
      <c r="P662" s="4"/>
      <c r="Q662" s="214"/>
    </row>
    <row r="663" spans="1:17">
      <c r="A663" s="175"/>
      <c r="B663" s="175"/>
      <c r="P663" s="4"/>
      <c r="Q663" s="214"/>
    </row>
    <row r="664" spans="1:17">
      <c r="A664" s="175"/>
      <c r="B664" s="175"/>
      <c r="P664" s="4"/>
      <c r="Q664" s="214"/>
    </row>
    <row r="665" spans="1:17">
      <c r="A665" s="175"/>
      <c r="B665" s="175"/>
      <c r="P665" s="4"/>
      <c r="Q665" s="214"/>
    </row>
    <row r="666" spans="1:17">
      <c r="A666" s="175"/>
      <c r="B666" s="175"/>
      <c r="P666" s="4"/>
      <c r="Q666" s="214"/>
    </row>
    <row r="667" spans="1:17">
      <c r="A667" s="175"/>
      <c r="B667" s="175"/>
      <c r="P667" s="4"/>
      <c r="Q667" s="214"/>
    </row>
    <row r="668" spans="1:17">
      <c r="A668" s="175"/>
      <c r="B668" s="175"/>
      <c r="P668" s="4"/>
      <c r="Q668" s="214"/>
    </row>
    <row r="669" spans="1:17">
      <c r="A669" s="175"/>
      <c r="B669" s="175"/>
      <c r="P669" s="4"/>
      <c r="Q669" s="214"/>
    </row>
    <row r="670" spans="1:17">
      <c r="A670" s="175"/>
      <c r="B670" s="175"/>
      <c r="P670" s="4"/>
      <c r="Q670" s="214"/>
    </row>
    <row r="671" spans="1:17">
      <c r="A671" s="175"/>
      <c r="B671" s="175"/>
      <c r="P671" s="4"/>
      <c r="Q671" s="214"/>
    </row>
    <row r="672" spans="1:17">
      <c r="A672" s="175"/>
      <c r="B672" s="175"/>
      <c r="P672" s="4"/>
      <c r="Q672" s="214"/>
    </row>
    <row r="673" spans="1:17">
      <c r="A673" s="175"/>
      <c r="B673" s="175"/>
      <c r="P673" s="4"/>
      <c r="Q673" s="214"/>
    </row>
    <row r="674" spans="1:17">
      <c r="A674" s="175"/>
      <c r="B674" s="175"/>
      <c r="P674" s="4"/>
      <c r="Q674" s="214"/>
    </row>
    <row r="675" spans="1:17">
      <c r="A675" s="175"/>
      <c r="B675" s="175"/>
      <c r="P675" s="4"/>
      <c r="Q675" s="214"/>
    </row>
    <row r="676" spans="1:17">
      <c r="A676" s="175"/>
      <c r="B676" s="175"/>
      <c r="P676" s="4"/>
      <c r="Q676" s="214"/>
    </row>
    <row r="677" spans="1:17">
      <c r="A677" s="175"/>
      <c r="B677" s="175"/>
      <c r="P677" s="4"/>
      <c r="Q677" s="214"/>
    </row>
    <row r="678" spans="1:17">
      <c r="A678" s="175"/>
      <c r="B678" s="175"/>
      <c r="P678" s="4"/>
      <c r="Q678" s="214"/>
    </row>
    <row r="679" spans="1:17">
      <c r="A679" s="175"/>
      <c r="B679" s="175"/>
      <c r="P679" s="4"/>
      <c r="Q679" s="214"/>
    </row>
    <row r="680" spans="1:17">
      <c r="A680" s="175"/>
      <c r="B680" s="175"/>
      <c r="P680" s="4"/>
      <c r="Q680" s="214"/>
    </row>
    <row r="681" spans="1:17">
      <c r="A681" s="175"/>
      <c r="B681" s="175"/>
      <c r="P681" s="4"/>
      <c r="Q681" s="214"/>
    </row>
    <row r="682" spans="1:17">
      <c r="A682" s="175"/>
      <c r="B682" s="175"/>
      <c r="P682" s="4"/>
      <c r="Q682" s="214"/>
    </row>
    <row r="683" spans="1:17">
      <c r="A683" s="175"/>
      <c r="B683" s="175"/>
      <c r="P683" s="4"/>
      <c r="Q683" s="214"/>
    </row>
    <row r="684" spans="1:17">
      <c r="A684" s="175"/>
      <c r="B684" s="175"/>
      <c r="P684" s="4"/>
      <c r="Q684" s="214"/>
    </row>
    <row r="685" spans="1:17">
      <c r="A685" s="175"/>
      <c r="B685" s="175"/>
      <c r="P685" s="4"/>
      <c r="Q685" s="214"/>
    </row>
    <row r="686" spans="1:17">
      <c r="A686" s="175"/>
      <c r="B686" s="175"/>
      <c r="P686" s="4"/>
      <c r="Q686" s="214"/>
    </row>
    <row r="687" spans="1:17">
      <c r="A687" s="175"/>
      <c r="B687" s="175"/>
      <c r="P687" s="4"/>
      <c r="Q687" s="214"/>
    </row>
    <row r="688" spans="1:17">
      <c r="A688" s="175"/>
      <c r="B688" s="175"/>
      <c r="P688" s="4"/>
      <c r="Q688" s="214"/>
    </row>
    <row r="689" spans="1:17">
      <c r="A689" s="175"/>
      <c r="B689" s="175"/>
      <c r="P689" s="4"/>
      <c r="Q689" s="214"/>
    </row>
    <row r="690" spans="1:17">
      <c r="A690" s="175"/>
      <c r="B690" s="175"/>
      <c r="P690" s="4"/>
      <c r="Q690" s="214"/>
    </row>
    <row r="691" spans="1:17">
      <c r="A691" s="175"/>
      <c r="B691" s="175"/>
      <c r="P691" s="4"/>
      <c r="Q691" s="214"/>
    </row>
    <row r="692" spans="1:17">
      <c r="A692" s="175"/>
      <c r="B692" s="175"/>
      <c r="P692" s="4"/>
      <c r="Q692" s="214"/>
    </row>
    <row r="693" spans="1:17">
      <c r="A693" s="175"/>
      <c r="B693" s="175"/>
      <c r="P693" s="4"/>
      <c r="Q693" s="214"/>
    </row>
    <row r="694" spans="1:17">
      <c r="A694" s="175"/>
      <c r="B694" s="175"/>
      <c r="P694" s="4"/>
      <c r="Q694" s="214"/>
    </row>
    <row r="695" spans="1:17">
      <c r="A695" s="175"/>
      <c r="B695" s="175"/>
      <c r="P695" s="4"/>
      <c r="Q695" s="214"/>
    </row>
    <row r="696" spans="1:17">
      <c r="A696" s="175"/>
      <c r="B696" s="175"/>
      <c r="P696" s="4"/>
      <c r="Q696" s="214"/>
    </row>
    <row r="697" spans="1:17">
      <c r="A697" s="175"/>
      <c r="B697" s="175"/>
      <c r="P697" s="4"/>
      <c r="Q697" s="214"/>
    </row>
    <row r="698" spans="1:17">
      <c r="A698" s="175"/>
      <c r="B698" s="175"/>
      <c r="P698" s="4"/>
      <c r="Q698" s="214"/>
    </row>
    <row r="699" spans="1:17">
      <c r="A699" s="175"/>
      <c r="B699" s="175"/>
      <c r="P699" s="4"/>
      <c r="Q699" s="214"/>
    </row>
    <row r="700" spans="1:17">
      <c r="A700" s="175"/>
      <c r="B700" s="175"/>
      <c r="P700" s="4"/>
      <c r="Q700" s="214"/>
    </row>
    <row r="701" spans="1:17">
      <c r="A701" s="175"/>
      <c r="B701" s="175"/>
      <c r="P701" s="4"/>
      <c r="Q701" s="214"/>
    </row>
    <row r="702" spans="1:17">
      <c r="A702" s="175"/>
      <c r="B702" s="175"/>
      <c r="P702" s="4"/>
      <c r="Q702" s="214"/>
    </row>
    <row r="703" spans="1:17">
      <c r="A703" s="175"/>
      <c r="B703" s="175"/>
      <c r="P703" s="4"/>
      <c r="Q703" s="214"/>
    </row>
    <row r="704" spans="1:17">
      <c r="A704" s="175"/>
      <c r="B704" s="175"/>
      <c r="P704" s="4"/>
      <c r="Q704" s="214"/>
    </row>
    <row r="705" spans="1:17">
      <c r="A705" s="175"/>
      <c r="B705" s="175"/>
      <c r="P705" s="4"/>
      <c r="Q705" s="214"/>
    </row>
    <row r="706" spans="1:17">
      <c r="A706" s="175"/>
      <c r="B706" s="175"/>
      <c r="P706" s="4"/>
      <c r="Q706" s="214"/>
    </row>
    <row r="707" spans="1:17">
      <c r="A707" s="175"/>
      <c r="B707" s="175"/>
      <c r="P707" s="4"/>
      <c r="Q707" s="214"/>
    </row>
    <row r="708" spans="1:17">
      <c r="A708" s="175"/>
      <c r="B708" s="175"/>
      <c r="P708" s="4"/>
      <c r="Q708" s="214"/>
    </row>
    <row r="709" spans="1:17">
      <c r="A709" s="175"/>
      <c r="B709" s="175"/>
      <c r="P709" s="4"/>
      <c r="Q709" s="214"/>
    </row>
    <row r="710" spans="1:17">
      <c r="A710" s="175"/>
      <c r="B710" s="175"/>
      <c r="P710" s="4"/>
      <c r="Q710" s="214"/>
    </row>
    <row r="711" spans="1:17">
      <c r="A711" s="175"/>
      <c r="B711" s="175"/>
      <c r="P711" s="4"/>
      <c r="Q711" s="214"/>
    </row>
    <row r="712" spans="1:17">
      <c r="A712" s="175"/>
      <c r="B712" s="175"/>
      <c r="P712" s="4"/>
      <c r="Q712" s="214"/>
    </row>
    <row r="713" spans="1:17">
      <c r="A713" s="175"/>
      <c r="B713" s="175"/>
      <c r="P713" s="4"/>
      <c r="Q713" s="214"/>
    </row>
    <row r="714" spans="1:17">
      <c r="A714" s="175"/>
      <c r="B714" s="175"/>
      <c r="P714" s="4"/>
      <c r="Q714" s="214"/>
    </row>
    <row r="715" spans="1:17">
      <c r="A715" s="175"/>
      <c r="B715" s="175"/>
      <c r="P715" s="4"/>
      <c r="Q715" s="214"/>
    </row>
    <row r="716" spans="1:17">
      <c r="A716" s="175"/>
      <c r="B716" s="175"/>
      <c r="P716" s="4"/>
      <c r="Q716" s="214"/>
    </row>
    <row r="717" spans="1:17">
      <c r="A717" s="175"/>
      <c r="B717" s="175"/>
      <c r="P717" s="4"/>
      <c r="Q717" s="214"/>
    </row>
    <row r="718" spans="1:17">
      <c r="A718" s="175"/>
      <c r="B718" s="175"/>
      <c r="P718" s="4"/>
      <c r="Q718" s="214"/>
    </row>
    <row r="719" spans="1:17">
      <c r="A719" s="175"/>
      <c r="B719" s="175"/>
      <c r="P719" s="4"/>
      <c r="Q719" s="214"/>
    </row>
    <row r="720" spans="1:17">
      <c r="A720" s="175"/>
      <c r="B720" s="175"/>
      <c r="P720" s="4"/>
      <c r="Q720" s="214"/>
    </row>
    <row r="721" spans="1:17">
      <c r="A721" s="175"/>
      <c r="B721" s="175"/>
      <c r="P721" s="4"/>
      <c r="Q721" s="214"/>
    </row>
    <row r="722" spans="1:17">
      <c r="A722" s="175"/>
      <c r="B722" s="175"/>
      <c r="P722" s="4"/>
      <c r="Q722" s="214"/>
    </row>
    <row r="723" spans="1:17">
      <c r="A723" s="175"/>
      <c r="B723" s="175"/>
      <c r="P723" s="4"/>
      <c r="Q723" s="214"/>
    </row>
    <row r="724" spans="1:17">
      <c r="A724" s="175"/>
      <c r="B724" s="175"/>
      <c r="P724" s="4"/>
      <c r="Q724" s="214"/>
    </row>
    <row r="725" spans="1:17">
      <c r="A725" s="175"/>
      <c r="B725" s="175"/>
      <c r="P725" s="4"/>
      <c r="Q725" s="214"/>
    </row>
    <row r="726" spans="1:17">
      <c r="A726" s="175"/>
      <c r="B726" s="175"/>
      <c r="P726" s="4"/>
      <c r="Q726" s="214"/>
    </row>
    <row r="727" spans="1:17">
      <c r="A727" s="175"/>
      <c r="B727" s="175"/>
      <c r="P727" s="4"/>
      <c r="Q727" s="214"/>
    </row>
    <row r="728" spans="1:17">
      <c r="A728" s="175"/>
      <c r="B728" s="175"/>
      <c r="P728" s="4"/>
      <c r="Q728" s="214"/>
    </row>
    <row r="729" spans="1:17">
      <c r="A729" s="175"/>
      <c r="B729" s="175"/>
      <c r="P729" s="4"/>
      <c r="Q729" s="214"/>
    </row>
    <row r="730" spans="1:17">
      <c r="A730" s="175"/>
      <c r="B730" s="175"/>
      <c r="P730" s="4"/>
      <c r="Q730" s="214"/>
    </row>
    <row r="731" spans="1:17">
      <c r="A731" s="175"/>
      <c r="B731" s="175"/>
      <c r="P731" s="4"/>
      <c r="Q731" s="214"/>
    </row>
    <row r="732" spans="1:17">
      <c r="A732" s="175"/>
      <c r="B732" s="175"/>
      <c r="P732" s="4"/>
      <c r="Q732" s="214"/>
    </row>
    <row r="733" spans="1:17">
      <c r="A733" s="175"/>
      <c r="B733" s="175"/>
      <c r="P733" s="4"/>
      <c r="Q733" s="214"/>
    </row>
    <row r="734" spans="1:17">
      <c r="A734" s="175"/>
      <c r="B734" s="175"/>
      <c r="P734" s="4"/>
      <c r="Q734" s="214"/>
    </row>
    <row r="735" spans="1:17">
      <c r="A735" s="175"/>
      <c r="B735" s="175"/>
      <c r="P735" s="4"/>
      <c r="Q735" s="214"/>
    </row>
    <row r="736" spans="1:17">
      <c r="A736" s="175"/>
      <c r="B736" s="175"/>
      <c r="P736" s="4"/>
      <c r="Q736" s="214"/>
    </row>
    <row r="737" spans="1:17">
      <c r="A737" s="175"/>
      <c r="B737" s="175"/>
      <c r="P737" s="4"/>
      <c r="Q737" s="214"/>
    </row>
    <row r="738" spans="1:17">
      <c r="A738" s="175"/>
      <c r="B738" s="175"/>
      <c r="P738" s="4"/>
      <c r="Q738" s="214"/>
    </row>
    <row r="739" spans="1:17">
      <c r="A739" s="175"/>
      <c r="B739" s="175"/>
      <c r="P739" s="4"/>
      <c r="Q739" s="214"/>
    </row>
    <row r="740" spans="1:17">
      <c r="A740" s="175"/>
      <c r="B740" s="175"/>
      <c r="P740" s="4"/>
      <c r="Q740" s="214"/>
    </row>
    <row r="741" spans="1:17">
      <c r="A741" s="175"/>
      <c r="B741" s="175"/>
      <c r="P741" s="4"/>
      <c r="Q741" s="214"/>
    </row>
    <row r="742" spans="1:17">
      <c r="A742" s="175"/>
      <c r="B742" s="175"/>
      <c r="P742" s="4"/>
      <c r="Q742" s="214"/>
    </row>
    <row r="743" spans="1:17">
      <c r="A743" s="175"/>
      <c r="B743" s="175"/>
      <c r="P743" s="4"/>
      <c r="Q743" s="214"/>
    </row>
    <row r="744" spans="1:17">
      <c r="A744" s="175"/>
      <c r="B744" s="175"/>
      <c r="P744" s="4"/>
      <c r="Q744" s="214"/>
    </row>
    <row r="745" spans="1:17">
      <c r="A745" s="175"/>
      <c r="B745" s="175"/>
      <c r="P745" s="4"/>
      <c r="Q745" s="214"/>
    </row>
    <row r="746" spans="1:17">
      <c r="A746" s="175"/>
      <c r="B746" s="175"/>
      <c r="P746" s="4"/>
      <c r="Q746" s="214"/>
    </row>
    <row r="747" spans="1:17">
      <c r="A747" s="175"/>
      <c r="B747" s="175"/>
      <c r="P747" s="4"/>
      <c r="Q747" s="214"/>
    </row>
    <row r="748" spans="1:17">
      <c r="A748" s="175"/>
      <c r="B748" s="175"/>
      <c r="P748" s="4"/>
      <c r="Q748" s="214"/>
    </row>
    <row r="749" spans="1:17">
      <c r="A749" s="175"/>
      <c r="B749" s="175"/>
      <c r="P749" s="4"/>
      <c r="Q749" s="214"/>
    </row>
    <row r="750" spans="1:17">
      <c r="A750" s="175"/>
      <c r="B750" s="175"/>
      <c r="P750" s="4"/>
      <c r="Q750" s="214"/>
    </row>
    <row r="751" spans="1:17">
      <c r="A751" s="175"/>
      <c r="B751" s="175"/>
      <c r="P751" s="4"/>
      <c r="Q751" s="214"/>
    </row>
    <row r="752" spans="1:17">
      <c r="A752" s="175"/>
      <c r="B752" s="175"/>
      <c r="P752" s="4"/>
      <c r="Q752" s="214"/>
    </row>
    <row r="753" spans="1:17">
      <c r="A753" s="175"/>
      <c r="B753" s="175"/>
      <c r="P753" s="4"/>
      <c r="Q753" s="214"/>
    </row>
    <row r="754" spans="1:17">
      <c r="A754" s="175"/>
      <c r="B754" s="175"/>
      <c r="P754" s="4"/>
      <c r="Q754" s="214"/>
    </row>
    <row r="755" spans="1:17">
      <c r="A755" s="175"/>
      <c r="B755" s="175"/>
      <c r="P755" s="4"/>
      <c r="Q755" s="214"/>
    </row>
    <row r="756" spans="1:17">
      <c r="A756" s="175"/>
      <c r="B756" s="175"/>
      <c r="P756" s="4"/>
      <c r="Q756" s="214"/>
    </row>
    <row r="757" spans="1:17">
      <c r="A757" s="175"/>
      <c r="B757" s="175"/>
      <c r="P757" s="4"/>
      <c r="Q757" s="214"/>
    </row>
    <row r="758" spans="1:17">
      <c r="A758" s="175"/>
      <c r="B758" s="175"/>
      <c r="P758" s="4"/>
      <c r="Q758" s="214"/>
    </row>
    <row r="759" spans="1:17">
      <c r="A759" s="175"/>
      <c r="B759" s="175"/>
      <c r="P759" s="4"/>
      <c r="Q759" s="214"/>
    </row>
    <row r="760" spans="1:17">
      <c r="A760" s="175"/>
      <c r="B760" s="175"/>
      <c r="P760" s="4"/>
      <c r="Q760" s="214"/>
    </row>
    <row r="761" spans="1:17">
      <c r="A761" s="175"/>
      <c r="B761" s="175"/>
      <c r="P761" s="4"/>
      <c r="Q761" s="214"/>
    </row>
    <row r="762" spans="1:17">
      <c r="A762" s="175"/>
      <c r="B762" s="175"/>
      <c r="P762" s="4"/>
      <c r="Q762" s="214"/>
    </row>
    <row r="763" spans="1:17">
      <c r="A763" s="175"/>
      <c r="B763" s="175"/>
      <c r="P763" s="4"/>
      <c r="Q763" s="214"/>
    </row>
    <row r="764" spans="1:17">
      <c r="A764" s="175"/>
      <c r="B764" s="175"/>
      <c r="P764" s="4"/>
      <c r="Q764" s="214"/>
    </row>
    <row r="765" spans="1:17">
      <c r="A765" s="175"/>
      <c r="B765" s="175"/>
      <c r="P765" s="4"/>
      <c r="Q765" s="214"/>
    </row>
    <row r="766" spans="1:17">
      <c r="A766" s="175"/>
      <c r="B766" s="175"/>
      <c r="P766" s="4"/>
      <c r="Q766" s="214"/>
    </row>
    <row r="767" spans="1:17">
      <c r="A767" s="175"/>
      <c r="B767" s="175"/>
      <c r="P767" s="4"/>
      <c r="Q767" s="214"/>
    </row>
    <row r="768" spans="1:17">
      <c r="A768" s="175"/>
      <c r="B768" s="175"/>
      <c r="P768" s="4"/>
      <c r="Q768" s="214"/>
    </row>
    <row r="769" spans="1:17">
      <c r="A769" s="175"/>
      <c r="B769" s="175"/>
      <c r="P769" s="4"/>
      <c r="Q769" s="214"/>
    </row>
    <row r="770" spans="1:17">
      <c r="A770" s="175"/>
      <c r="B770" s="175"/>
      <c r="P770" s="4"/>
      <c r="Q770" s="214"/>
    </row>
    <row r="771" spans="1:17">
      <c r="A771" s="175"/>
      <c r="B771" s="175"/>
      <c r="P771" s="4"/>
      <c r="Q771" s="214"/>
    </row>
    <row r="772" spans="1:17">
      <c r="A772" s="175"/>
      <c r="B772" s="175"/>
      <c r="P772" s="4"/>
      <c r="Q772" s="214"/>
    </row>
    <row r="773" spans="1:17">
      <c r="A773" s="175"/>
      <c r="B773" s="175"/>
      <c r="P773" s="4"/>
      <c r="Q773" s="214"/>
    </row>
    <row r="774" spans="1:17">
      <c r="A774" s="175"/>
      <c r="B774" s="175"/>
      <c r="P774" s="4"/>
      <c r="Q774" s="214"/>
    </row>
    <row r="775" spans="1:17">
      <c r="A775" s="175"/>
      <c r="B775" s="175"/>
      <c r="P775" s="4"/>
      <c r="Q775" s="214"/>
    </row>
    <row r="776" spans="1:17">
      <c r="A776" s="175"/>
      <c r="B776" s="175"/>
      <c r="P776" s="4"/>
      <c r="Q776" s="214"/>
    </row>
    <row r="777" spans="1:17">
      <c r="A777" s="175"/>
      <c r="B777" s="175"/>
      <c r="P777" s="4"/>
      <c r="Q777" s="214"/>
    </row>
    <row r="778" spans="1:17">
      <c r="A778" s="175"/>
      <c r="B778" s="175"/>
      <c r="P778" s="4"/>
      <c r="Q778" s="214"/>
    </row>
    <row r="779" spans="1:17">
      <c r="A779" s="175"/>
      <c r="B779" s="175"/>
      <c r="P779" s="4"/>
      <c r="Q779" s="214"/>
    </row>
    <row r="780" spans="1:17">
      <c r="A780" s="175"/>
      <c r="B780" s="175"/>
      <c r="P780" s="4"/>
      <c r="Q780" s="214"/>
    </row>
    <row r="781" spans="1:17">
      <c r="A781" s="175"/>
      <c r="B781" s="175"/>
      <c r="P781" s="4"/>
      <c r="Q781" s="214"/>
    </row>
    <row r="782" spans="1:17">
      <c r="A782" s="175"/>
      <c r="B782" s="175"/>
      <c r="P782" s="4"/>
      <c r="Q782" s="214"/>
    </row>
    <row r="783" spans="1:17">
      <c r="A783" s="175"/>
      <c r="B783" s="175"/>
      <c r="P783" s="4"/>
      <c r="Q783" s="214"/>
    </row>
    <row r="784" spans="1:17">
      <c r="A784" s="175"/>
      <c r="B784" s="175"/>
      <c r="P784" s="4"/>
      <c r="Q784" s="214"/>
    </row>
    <row r="785" spans="1:17">
      <c r="A785" s="175"/>
      <c r="B785" s="175"/>
      <c r="P785" s="4"/>
      <c r="Q785" s="214"/>
    </row>
    <row r="786" spans="1:17">
      <c r="A786" s="175"/>
      <c r="B786" s="175"/>
      <c r="P786" s="4"/>
      <c r="Q786" s="214"/>
    </row>
    <row r="787" spans="1:17">
      <c r="A787" s="175"/>
      <c r="B787" s="175"/>
      <c r="P787" s="4"/>
      <c r="Q787" s="214"/>
    </row>
    <row r="788" spans="1:17">
      <c r="A788" s="175"/>
      <c r="B788" s="175"/>
      <c r="P788" s="4"/>
      <c r="Q788" s="214"/>
    </row>
    <row r="789" spans="1:17">
      <c r="A789" s="175"/>
      <c r="B789" s="175"/>
      <c r="P789" s="4"/>
      <c r="Q789" s="214"/>
    </row>
    <row r="790" spans="1:17">
      <c r="A790" s="175"/>
      <c r="B790" s="175"/>
      <c r="P790" s="4"/>
      <c r="Q790" s="214"/>
    </row>
    <row r="791" spans="1:17">
      <c r="A791" s="175"/>
      <c r="B791" s="175"/>
      <c r="P791" s="4"/>
      <c r="Q791" s="214"/>
    </row>
    <row r="792" spans="1:17">
      <c r="A792" s="175"/>
      <c r="B792" s="175"/>
      <c r="P792" s="4"/>
      <c r="Q792" s="214"/>
    </row>
    <row r="793" spans="1:17">
      <c r="A793" s="175"/>
      <c r="B793" s="175"/>
      <c r="P793" s="4"/>
      <c r="Q793" s="214"/>
    </row>
    <row r="794" spans="1:17">
      <c r="A794" s="175"/>
      <c r="B794" s="175"/>
      <c r="P794" s="4"/>
      <c r="Q794" s="214"/>
    </row>
    <row r="795" spans="1:17">
      <c r="A795" s="175"/>
      <c r="B795" s="175"/>
      <c r="P795" s="4"/>
      <c r="Q795" s="214"/>
    </row>
    <row r="796" spans="1:17">
      <c r="A796" s="175"/>
      <c r="B796" s="175"/>
      <c r="P796" s="4"/>
      <c r="Q796" s="214"/>
    </row>
    <row r="797" spans="1:17">
      <c r="A797" s="175"/>
      <c r="B797" s="175"/>
      <c r="P797" s="4"/>
      <c r="Q797" s="214"/>
    </row>
    <row r="798" spans="1:17">
      <c r="A798" s="175"/>
      <c r="B798" s="175"/>
      <c r="P798" s="4"/>
      <c r="Q798" s="214"/>
    </row>
    <row r="799" spans="1:17">
      <c r="A799" s="175"/>
      <c r="B799" s="175"/>
      <c r="P799" s="4"/>
      <c r="Q799" s="214"/>
    </row>
    <row r="800" spans="1:17">
      <c r="A800" s="175"/>
      <c r="B800" s="175"/>
      <c r="P800" s="4"/>
      <c r="Q800" s="214"/>
    </row>
    <row r="801" spans="1:17">
      <c r="A801" s="175"/>
      <c r="B801" s="175"/>
      <c r="P801" s="4"/>
      <c r="Q801" s="214"/>
    </row>
    <row r="802" spans="1:17">
      <c r="A802" s="175"/>
      <c r="B802" s="175"/>
      <c r="P802" s="4"/>
      <c r="Q802" s="214"/>
    </row>
    <row r="803" spans="1:17">
      <c r="A803" s="175"/>
      <c r="B803" s="175"/>
      <c r="P803" s="4"/>
      <c r="Q803" s="214"/>
    </row>
    <row r="804" spans="1:17">
      <c r="A804" s="175"/>
      <c r="B804" s="175"/>
      <c r="P804" s="4"/>
      <c r="Q804" s="214"/>
    </row>
    <row r="805" spans="1:17">
      <c r="A805" s="175"/>
      <c r="B805" s="175"/>
      <c r="P805" s="4"/>
      <c r="Q805" s="214"/>
    </row>
    <row r="806" spans="1:17">
      <c r="A806" s="175"/>
      <c r="B806" s="175"/>
      <c r="P806" s="4"/>
      <c r="Q806" s="214"/>
    </row>
    <row r="807" spans="1:17">
      <c r="A807" s="175"/>
      <c r="B807" s="175"/>
      <c r="P807" s="4"/>
      <c r="Q807" s="214"/>
    </row>
    <row r="808" spans="1:17">
      <c r="A808" s="175"/>
      <c r="B808" s="175"/>
      <c r="P808" s="4"/>
      <c r="Q808" s="214"/>
    </row>
    <row r="809" spans="1:17">
      <c r="A809" s="175"/>
      <c r="B809" s="175"/>
      <c r="P809" s="4"/>
      <c r="Q809" s="214"/>
    </row>
    <row r="810" spans="1:17">
      <c r="A810" s="175"/>
      <c r="B810" s="175"/>
      <c r="P810" s="4"/>
      <c r="Q810" s="214"/>
    </row>
    <row r="811" spans="1:17">
      <c r="A811" s="175"/>
      <c r="B811" s="175"/>
      <c r="P811" s="4"/>
      <c r="Q811" s="214"/>
    </row>
    <row r="812" spans="1:17">
      <c r="A812" s="175"/>
      <c r="B812" s="175"/>
      <c r="P812" s="4"/>
      <c r="Q812" s="214"/>
    </row>
    <row r="813" spans="1:17">
      <c r="A813" s="175"/>
      <c r="B813" s="175"/>
      <c r="P813" s="4"/>
      <c r="Q813" s="214"/>
    </row>
    <row r="814" spans="1:17">
      <c r="A814" s="175"/>
      <c r="B814" s="175"/>
      <c r="P814" s="4"/>
      <c r="Q814" s="214"/>
    </row>
    <row r="815" spans="1:17">
      <c r="A815" s="175"/>
      <c r="B815" s="175"/>
      <c r="P815" s="4"/>
      <c r="Q815" s="214"/>
    </row>
    <row r="816" spans="1:17">
      <c r="A816" s="175"/>
      <c r="B816" s="175"/>
      <c r="P816" s="4"/>
      <c r="Q816" s="214"/>
    </row>
    <row r="817" spans="1:17">
      <c r="A817" s="175"/>
      <c r="B817" s="175"/>
      <c r="P817" s="4"/>
      <c r="Q817" s="214"/>
    </row>
    <row r="818" spans="1:17">
      <c r="A818" s="175"/>
      <c r="B818" s="175"/>
      <c r="P818" s="4"/>
      <c r="Q818" s="214"/>
    </row>
    <row r="819" spans="1:17">
      <c r="A819" s="175"/>
      <c r="B819" s="175"/>
      <c r="P819" s="4"/>
      <c r="Q819" s="214"/>
    </row>
    <row r="820" spans="1:17">
      <c r="A820" s="175"/>
      <c r="B820" s="175"/>
      <c r="P820" s="4"/>
      <c r="Q820" s="214"/>
    </row>
    <row r="821" spans="1:17">
      <c r="A821" s="175"/>
      <c r="B821" s="175"/>
      <c r="P821" s="4"/>
      <c r="Q821" s="214"/>
    </row>
    <row r="822" spans="1:17">
      <c r="A822" s="175"/>
      <c r="B822" s="175"/>
      <c r="P822" s="4"/>
      <c r="Q822" s="214"/>
    </row>
    <row r="823" spans="1:17">
      <c r="A823" s="175"/>
      <c r="B823" s="175"/>
      <c r="P823" s="4"/>
      <c r="Q823" s="214"/>
    </row>
    <row r="824" spans="1:17">
      <c r="A824" s="175"/>
      <c r="B824" s="175"/>
      <c r="P824" s="4"/>
      <c r="Q824" s="214"/>
    </row>
    <row r="825" spans="1:17">
      <c r="A825" s="175"/>
      <c r="B825" s="175"/>
      <c r="P825" s="4"/>
      <c r="Q825" s="214"/>
    </row>
    <row r="826" spans="1:17">
      <c r="A826" s="175"/>
      <c r="B826" s="175"/>
      <c r="P826" s="4"/>
      <c r="Q826" s="214"/>
    </row>
    <row r="827" spans="1:17">
      <c r="A827" s="175"/>
      <c r="B827" s="175"/>
      <c r="P827" s="4"/>
      <c r="Q827" s="214"/>
    </row>
    <row r="828" spans="1:17">
      <c r="A828" s="175"/>
      <c r="B828" s="175"/>
      <c r="P828" s="4"/>
      <c r="Q828" s="214"/>
    </row>
    <row r="829" spans="1:17">
      <c r="A829" s="175"/>
      <c r="B829" s="175"/>
      <c r="P829" s="4"/>
      <c r="Q829" s="214"/>
    </row>
    <row r="830" spans="1:17">
      <c r="A830" s="175"/>
      <c r="B830" s="175"/>
      <c r="P830" s="4"/>
      <c r="Q830" s="214"/>
    </row>
    <row r="831" spans="1:17">
      <c r="A831" s="175"/>
      <c r="B831" s="175"/>
      <c r="P831" s="4"/>
      <c r="Q831" s="214"/>
    </row>
    <row r="832" spans="1:17">
      <c r="A832" s="175"/>
      <c r="B832" s="175"/>
      <c r="P832" s="4"/>
      <c r="Q832" s="214"/>
    </row>
    <row r="833" spans="1:17">
      <c r="A833" s="175"/>
      <c r="B833" s="175"/>
      <c r="P833" s="4"/>
      <c r="Q833" s="214"/>
    </row>
    <row r="834" spans="1:17">
      <c r="A834" s="175"/>
      <c r="B834" s="175"/>
      <c r="P834" s="4"/>
      <c r="Q834" s="214"/>
    </row>
    <row r="835" spans="1:17">
      <c r="A835" s="175"/>
      <c r="B835" s="175"/>
      <c r="P835" s="4"/>
      <c r="Q835" s="214"/>
    </row>
    <row r="836" spans="1:17">
      <c r="A836" s="175"/>
      <c r="B836" s="175"/>
      <c r="P836" s="4"/>
      <c r="Q836" s="214"/>
    </row>
    <row r="837" spans="1:17">
      <c r="A837" s="175"/>
      <c r="B837" s="175"/>
      <c r="P837" s="4"/>
      <c r="Q837" s="214"/>
    </row>
    <row r="838" spans="1:17">
      <c r="A838" s="175"/>
      <c r="B838" s="175"/>
      <c r="P838" s="4"/>
      <c r="Q838" s="214"/>
    </row>
    <row r="839" spans="1:17">
      <c r="A839" s="175"/>
      <c r="B839" s="175"/>
      <c r="P839" s="4"/>
      <c r="Q839" s="214"/>
    </row>
    <row r="840" spans="1:17">
      <c r="A840" s="175"/>
      <c r="B840" s="175"/>
      <c r="P840" s="4"/>
      <c r="Q840" s="214"/>
    </row>
    <row r="841" spans="1:17">
      <c r="A841" s="175"/>
      <c r="B841" s="175"/>
      <c r="P841" s="4"/>
      <c r="Q841" s="214"/>
    </row>
    <row r="842" spans="1:17">
      <c r="A842" s="175"/>
      <c r="B842" s="175"/>
      <c r="P842" s="4"/>
      <c r="Q842" s="214"/>
    </row>
    <row r="843" spans="1:17">
      <c r="A843" s="175"/>
      <c r="B843" s="175"/>
      <c r="P843" s="4"/>
      <c r="Q843" s="214"/>
    </row>
    <row r="844" spans="1:17">
      <c r="A844" s="175"/>
      <c r="B844" s="175"/>
      <c r="P844" s="4"/>
      <c r="Q844" s="214"/>
    </row>
    <row r="845" spans="1:17">
      <c r="A845" s="175"/>
      <c r="B845" s="175"/>
      <c r="P845" s="4"/>
      <c r="Q845" s="214"/>
    </row>
    <row r="846" spans="1:17">
      <c r="A846" s="175"/>
      <c r="B846" s="175"/>
      <c r="P846" s="4"/>
      <c r="Q846" s="214"/>
    </row>
    <row r="847" spans="1:17">
      <c r="A847" s="175"/>
      <c r="B847" s="175"/>
      <c r="P847" s="4"/>
      <c r="Q847" s="214"/>
    </row>
    <row r="848" spans="1:17">
      <c r="A848" s="175"/>
      <c r="B848" s="175"/>
      <c r="P848" s="4"/>
      <c r="Q848" s="214"/>
    </row>
    <row r="849" spans="1:17">
      <c r="A849" s="175"/>
      <c r="B849" s="175"/>
      <c r="P849" s="4"/>
      <c r="Q849" s="214"/>
    </row>
    <row r="850" spans="1:17">
      <c r="A850" s="175"/>
      <c r="B850" s="175"/>
      <c r="P850" s="4"/>
      <c r="Q850" s="214"/>
    </row>
    <row r="851" spans="1:17">
      <c r="A851" s="175"/>
      <c r="B851" s="175"/>
      <c r="P851" s="4"/>
      <c r="Q851" s="214"/>
    </row>
    <row r="852" spans="1:17">
      <c r="A852" s="175"/>
      <c r="B852" s="175"/>
      <c r="P852" s="4"/>
      <c r="Q852" s="214"/>
    </row>
    <row r="853" spans="1:17">
      <c r="A853" s="175"/>
      <c r="B853" s="175"/>
      <c r="P853" s="4"/>
      <c r="Q853" s="214"/>
    </row>
    <row r="854" spans="1:17">
      <c r="A854" s="175"/>
      <c r="B854" s="175"/>
      <c r="P854" s="4"/>
      <c r="Q854" s="214"/>
    </row>
    <row r="855" spans="1:17">
      <c r="A855" s="175"/>
      <c r="B855" s="175"/>
      <c r="P855" s="4"/>
      <c r="Q855" s="214"/>
    </row>
    <row r="856" spans="1:17">
      <c r="A856" s="175"/>
      <c r="B856" s="175"/>
      <c r="P856" s="4"/>
      <c r="Q856" s="214"/>
    </row>
    <row r="857" spans="1:17">
      <c r="A857" s="175"/>
      <c r="B857" s="175"/>
      <c r="P857" s="4"/>
      <c r="Q857" s="214"/>
    </row>
    <row r="858" spans="1:17">
      <c r="A858" s="175"/>
      <c r="B858" s="175"/>
      <c r="P858" s="4"/>
      <c r="Q858" s="214"/>
    </row>
    <row r="859" spans="1:17">
      <c r="A859" s="175"/>
      <c r="B859" s="175"/>
      <c r="P859" s="4"/>
      <c r="Q859" s="214"/>
    </row>
    <row r="860" spans="1:17">
      <c r="A860" s="175"/>
      <c r="B860" s="175"/>
      <c r="P860" s="4"/>
      <c r="Q860" s="214"/>
    </row>
    <row r="861" spans="1:17">
      <c r="A861" s="175"/>
      <c r="B861" s="175"/>
      <c r="P861" s="4"/>
      <c r="Q861" s="214"/>
    </row>
    <row r="862" spans="1:17">
      <c r="A862" s="175"/>
      <c r="B862" s="175"/>
      <c r="P862" s="4"/>
      <c r="Q862" s="214"/>
    </row>
    <row r="863" spans="1:17">
      <c r="A863" s="175"/>
      <c r="B863" s="175"/>
      <c r="P863" s="4"/>
      <c r="Q863" s="214"/>
    </row>
    <row r="864" spans="1:17">
      <c r="A864" s="175"/>
      <c r="B864" s="175"/>
      <c r="P864" s="4"/>
      <c r="Q864" s="214"/>
    </row>
    <row r="865" spans="1:17">
      <c r="A865" s="175"/>
      <c r="B865" s="175"/>
      <c r="P865" s="4"/>
      <c r="Q865" s="214"/>
    </row>
    <row r="866" spans="1:17">
      <c r="A866" s="175"/>
      <c r="B866" s="175"/>
      <c r="P866" s="4"/>
      <c r="Q866" s="214"/>
    </row>
    <row r="867" spans="1:17">
      <c r="A867" s="175"/>
      <c r="B867" s="175"/>
      <c r="P867" s="4"/>
      <c r="Q867" s="214"/>
    </row>
    <row r="868" spans="1:17">
      <c r="A868" s="175"/>
      <c r="B868" s="175"/>
      <c r="P868" s="4"/>
      <c r="Q868" s="214"/>
    </row>
    <row r="869" spans="1:17">
      <c r="A869" s="175"/>
      <c r="B869" s="175"/>
      <c r="P869" s="4"/>
      <c r="Q869" s="214"/>
    </row>
    <row r="870" spans="1:17">
      <c r="A870" s="175"/>
      <c r="B870" s="175"/>
      <c r="P870" s="4"/>
      <c r="Q870" s="214"/>
    </row>
    <row r="871" spans="1:17">
      <c r="A871" s="175"/>
      <c r="B871" s="175"/>
      <c r="P871" s="4"/>
      <c r="Q871" s="214"/>
    </row>
    <row r="872" spans="1:17">
      <c r="A872" s="175"/>
      <c r="B872" s="175"/>
      <c r="P872" s="4"/>
      <c r="Q872" s="214"/>
    </row>
    <row r="873" spans="1:17">
      <c r="A873" s="175"/>
      <c r="B873" s="175"/>
      <c r="P873" s="4"/>
      <c r="Q873" s="214"/>
    </row>
    <row r="874" spans="1:17">
      <c r="A874" s="175"/>
      <c r="B874" s="175"/>
      <c r="P874" s="4"/>
      <c r="Q874" s="214"/>
    </row>
    <row r="875" spans="1:17">
      <c r="A875" s="175"/>
      <c r="B875" s="175"/>
      <c r="P875" s="4"/>
      <c r="Q875" s="214"/>
    </row>
    <row r="876" spans="1:17">
      <c r="A876" s="175"/>
      <c r="B876" s="175"/>
      <c r="P876" s="4"/>
      <c r="Q876" s="214"/>
    </row>
    <row r="877" spans="1:17">
      <c r="A877" s="175"/>
      <c r="B877" s="175"/>
      <c r="P877" s="4"/>
      <c r="Q877" s="214"/>
    </row>
    <row r="878" spans="1:17">
      <c r="A878" s="175"/>
      <c r="B878" s="175"/>
      <c r="P878" s="4"/>
      <c r="Q878" s="214"/>
    </row>
    <row r="879" spans="1:17">
      <c r="A879" s="175"/>
      <c r="B879" s="175"/>
      <c r="P879" s="4"/>
      <c r="Q879" s="214"/>
    </row>
    <row r="880" spans="1:17">
      <c r="A880" s="175"/>
      <c r="B880" s="175"/>
      <c r="P880" s="4"/>
      <c r="Q880" s="214"/>
    </row>
    <row r="881" spans="1:17">
      <c r="A881" s="175"/>
      <c r="B881" s="175"/>
      <c r="P881" s="4"/>
      <c r="Q881" s="214"/>
    </row>
    <row r="882" spans="1:17">
      <c r="A882" s="175"/>
      <c r="B882" s="175"/>
      <c r="P882" s="4"/>
      <c r="Q882" s="214"/>
    </row>
    <row r="883" spans="1:17">
      <c r="A883" s="175"/>
      <c r="B883" s="175"/>
      <c r="P883" s="4"/>
      <c r="Q883" s="214"/>
    </row>
    <row r="884" spans="1:17">
      <c r="A884" s="175"/>
      <c r="B884" s="175"/>
      <c r="P884" s="4"/>
      <c r="Q884" s="214"/>
    </row>
    <row r="885" spans="1:17">
      <c r="A885" s="175"/>
      <c r="B885" s="175"/>
      <c r="P885" s="4"/>
      <c r="Q885" s="214"/>
    </row>
    <row r="886" spans="1:17">
      <c r="A886" s="175"/>
      <c r="B886" s="175"/>
      <c r="P886" s="4"/>
      <c r="Q886" s="214"/>
    </row>
    <row r="887" spans="1:17">
      <c r="A887" s="175"/>
      <c r="B887" s="175"/>
      <c r="P887" s="4"/>
      <c r="Q887" s="214"/>
    </row>
    <row r="888" spans="1:17">
      <c r="A888" s="175"/>
      <c r="B888" s="175"/>
      <c r="P888" s="4"/>
      <c r="Q888" s="214"/>
    </row>
    <row r="889" spans="1:17">
      <c r="A889" s="175"/>
      <c r="B889" s="175"/>
      <c r="P889" s="4"/>
      <c r="Q889" s="214"/>
    </row>
    <row r="890" spans="1:17">
      <c r="A890" s="175"/>
      <c r="B890" s="175"/>
      <c r="P890" s="4"/>
      <c r="Q890" s="214"/>
    </row>
    <row r="891" spans="1:17">
      <c r="A891" s="175"/>
      <c r="B891" s="175"/>
      <c r="P891" s="4"/>
      <c r="Q891" s="214"/>
    </row>
    <row r="892" spans="1:17">
      <c r="A892" s="175"/>
      <c r="B892" s="175"/>
      <c r="P892" s="4"/>
      <c r="Q892" s="214"/>
    </row>
    <row r="893" spans="1:17">
      <c r="A893" s="175"/>
      <c r="B893" s="175"/>
      <c r="P893" s="4"/>
      <c r="Q893" s="214"/>
    </row>
    <row r="894" spans="1:17">
      <c r="A894" s="175"/>
      <c r="B894" s="175"/>
      <c r="P894" s="4"/>
      <c r="Q894" s="214"/>
    </row>
    <row r="895" spans="1:17">
      <c r="A895" s="175"/>
      <c r="B895" s="175"/>
      <c r="P895" s="4"/>
      <c r="Q895" s="214"/>
    </row>
    <row r="896" spans="1:17">
      <c r="A896" s="175"/>
      <c r="B896" s="175"/>
      <c r="P896" s="4"/>
      <c r="Q896" s="214"/>
    </row>
    <row r="897" spans="1:17">
      <c r="A897" s="175"/>
      <c r="B897" s="175"/>
      <c r="P897" s="4"/>
      <c r="Q897" s="214"/>
    </row>
    <row r="898" spans="1:17">
      <c r="A898" s="175"/>
      <c r="B898" s="175"/>
      <c r="P898" s="4"/>
      <c r="Q898" s="214"/>
    </row>
    <row r="899" spans="1:17">
      <c r="A899" s="175"/>
      <c r="B899" s="175"/>
      <c r="P899" s="4"/>
      <c r="Q899" s="214"/>
    </row>
    <row r="900" spans="1:17">
      <c r="A900" s="175"/>
      <c r="B900" s="175"/>
      <c r="P900" s="4"/>
      <c r="Q900" s="214"/>
    </row>
    <row r="901" spans="1:17">
      <c r="A901" s="175"/>
      <c r="B901" s="175"/>
      <c r="P901" s="4"/>
      <c r="Q901" s="214"/>
    </row>
    <row r="902" spans="1:17">
      <c r="A902" s="175"/>
      <c r="B902" s="175"/>
      <c r="P902" s="4"/>
      <c r="Q902" s="214"/>
    </row>
    <row r="903" spans="1:17">
      <c r="A903" s="175"/>
      <c r="B903" s="175"/>
      <c r="P903" s="4"/>
      <c r="Q903" s="214"/>
    </row>
    <row r="904" spans="1:17">
      <c r="A904" s="175"/>
      <c r="B904" s="175"/>
      <c r="P904" s="4"/>
      <c r="Q904" s="214"/>
    </row>
    <row r="905" spans="1:17">
      <c r="A905" s="175"/>
      <c r="B905" s="175"/>
      <c r="P905" s="4"/>
      <c r="Q905" s="214"/>
    </row>
    <row r="906" spans="1:17">
      <c r="A906" s="175"/>
      <c r="B906" s="175"/>
      <c r="P906" s="4"/>
      <c r="Q906" s="214"/>
    </row>
    <row r="907" spans="1:17">
      <c r="A907" s="175"/>
      <c r="B907" s="175"/>
      <c r="P907" s="4"/>
      <c r="Q907" s="214"/>
    </row>
    <row r="908" spans="1:17">
      <c r="A908" s="175"/>
      <c r="B908" s="175"/>
      <c r="P908" s="4"/>
      <c r="Q908" s="214"/>
    </row>
    <row r="909" spans="1:17">
      <c r="A909" s="175"/>
      <c r="B909" s="175"/>
      <c r="P909" s="4"/>
      <c r="Q909" s="214"/>
    </row>
    <row r="910" spans="1:17">
      <c r="A910" s="175"/>
      <c r="B910" s="175"/>
      <c r="P910" s="4"/>
      <c r="Q910" s="214"/>
    </row>
    <row r="911" spans="1:17">
      <c r="A911" s="175"/>
      <c r="B911" s="175"/>
      <c r="P911" s="4"/>
      <c r="Q911" s="214"/>
    </row>
    <row r="912" spans="1:17">
      <c r="A912" s="175"/>
      <c r="B912" s="175"/>
      <c r="P912" s="4"/>
      <c r="Q912" s="214"/>
    </row>
    <row r="913" spans="1:17">
      <c r="A913" s="175"/>
      <c r="B913" s="175"/>
      <c r="P913" s="4"/>
      <c r="Q913" s="214"/>
    </row>
    <row r="914" spans="1:17">
      <c r="A914" s="175"/>
      <c r="B914" s="175"/>
      <c r="P914" s="4"/>
      <c r="Q914" s="214"/>
    </row>
    <row r="915" spans="1:17">
      <c r="A915" s="175"/>
      <c r="B915" s="175"/>
      <c r="P915" s="4"/>
      <c r="Q915" s="214"/>
    </row>
    <row r="916" spans="1:17">
      <c r="A916" s="175"/>
      <c r="B916" s="175"/>
      <c r="P916" s="4"/>
      <c r="Q916" s="214"/>
    </row>
    <row r="917" spans="1:17">
      <c r="A917" s="175"/>
      <c r="B917" s="175"/>
      <c r="P917" s="4"/>
      <c r="Q917" s="214"/>
    </row>
    <row r="918" spans="1:17">
      <c r="A918" s="175"/>
      <c r="B918" s="175"/>
      <c r="P918" s="4"/>
      <c r="Q918" s="214"/>
    </row>
    <row r="919" spans="1:17">
      <c r="A919" s="175"/>
      <c r="B919" s="175"/>
      <c r="P919" s="4"/>
      <c r="Q919" s="214"/>
    </row>
    <row r="920" spans="1:17">
      <c r="A920" s="175"/>
      <c r="B920" s="175"/>
      <c r="P920" s="4"/>
      <c r="Q920" s="214"/>
    </row>
    <row r="921" spans="1:17">
      <c r="A921" s="175"/>
      <c r="B921" s="175"/>
      <c r="P921" s="4"/>
      <c r="Q921" s="214"/>
    </row>
    <row r="922" spans="1:17">
      <c r="A922" s="175"/>
      <c r="B922" s="175"/>
      <c r="P922" s="4"/>
      <c r="Q922" s="214"/>
    </row>
    <row r="923" spans="1:17">
      <c r="A923" s="175"/>
      <c r="B923" s="175"/>
      <c r="P923" s="4"/>
      <c r="Q923" s="214"/>
    </row>
    <row r="924" spans="1:17">
      <c r="A924" s="175"/>
      <c r="B924" s="175"/>
      <c r="P924" s="4"/>
      <c r="Q924" s="214"/>
    </row>
    <row r="925" spans="1:17">
      <c r="A925" s="175"/>
      <c r="B925" s="175"/>
      <c r="P925" s="4"/>
      <c r="Q925" s="214"/>
    </row>
    <row r="926" spans="1:17">
      <c r="A926" s="175"/>
      <c r="B926" s="175"/>
      <c r="P926" s="4"/>
      <c r="Q926" s="214"/>
    </row>
    <row r="927" spans="1:17">
      <c r="A927" s="175"/>
      <c r="B927" s="175"/>
      <c r="P927" s="4"/>
      <c r="Q927" s="214"/>
    </row>
    <row r="928" spans="1:17">
      <c r="A928" s="175"/>
      <c r="B928" s="175"/>
      <c r="P928" s="4"/>
      <c r="Q928" s="214"/>
    </row>
    <row r="929" spans="1:17">
      <c r="A929" s="175"/>
      <c r="B929" s="175"/>
      <c r="P929" s="4"/>
      <c r="Q929" s="214"/>
    </row>
    <row r="930" spans="1:17">
      <c r="A930" s="175"/>
      <c r="B930" s="175"/>
      <c r="P930" s="4"/>
      <c r="Q930" s="214"/>
    </row>
    <row r="931" spans="1:17">
      <c r="A931" s="175"/>
      <c r="B931" s="175"/>
      <c r="P931" s="4"/>
      <c r="Q931" s="214"/>
    </row>
    <row r="932" spans="1:17">
      <c r="A932" s="175"/>
      <c r="B932" s="175"/>
      <c r="P932" s="4"/>
      <c r="Q932" s="214"/>
    </row>
    <row r="933" spans="1:17">
      <c r="A933" s="175"/>
      <c r="B933" s="175"/>
      <c r="P933" s="4"/>
      <c r="Q933" s="214"/>
    </row>
    <row r="934" spans="1:17">
      <c r="A934" s="175"/>
      <c r="B934" s="175"/>
      <c r="P934" s="4"/>
      <c r="Q934" s="214"/>
    </row>
    <row r="935" spans="1:17">
      <c r="A935" s="175"/>
      <c r="B935" s="175"/>
      <c r="P935" s="4"/>
      <c r="Q935" s="214"/>
    </row>
    <row r="936" spans="1:17">
      <c r="A936" s="175"/>
      <c r="B936" s="175"/>
      <c r="P936" s="4"/>
      <c r="Q936" s="214"/>
    </row>
    <row r="937" spans="1:17">
      <c r="A937" s="175"/>
      <c r="B937" s="175"/>
      <c r="P937" s="4"/>
      <c r="Q937" s="214"/>
    </row>
    <row r="938" spans="1:17">
      <c r="A938" s="175"/>
      <c r="B938" s="175"/>
      <c r="P938" s="4"/>
      <c r="Q938" s="214"/>
    </row>
    <row r="939" spans="1:17">
      <c r="A939" s="175"/>
      <c r="B939" s="175"/>
      <c r="P939" s="4"/>
      <c r="Q939" s="214"/>
    </row>
    <row r="940" spans="1:17">
      <c r="A940" s="175"/>
      <c r="B940" s="175"/>
      <c r="P940" s="4"/>
      <c r="Q940" s="214"/>
    </row>
    <row r="941" spans="1:17">
      <c r="A941" s="175"/>
      <c r="B941" s="175"/>
      <c r="P941" s="4"/>
      <c r="Q941" s="214"/>
    </row>
    <row r="942" spans="1:17">
      <c r="A942" s="175"/>
      <c r="B942" s="175"/>
      <c r="P942" s="4"/>
      <c r="Q942" s="214"/>
    </row>
    <row r="943" spans="1:17">
      <c r="A943" s="175"/>
      <c r="B943" s="175"/>
      <c r="P943" s="4"/>
      <c r="Q943" s="214"/>
    </row>
    <row r="944" spans="1:17">
      <c r="A944" s="175"/>
      <c r="B944" s="175"/>
      <c r="P944" s="4"/>
      <c r="Q944" s="214"/>
    </row>
    <row r="945" spans="1:17">
      <c r="A945" s="175"/>
      <c r="B945" s="175"/>
      <c r="P945" s="4"/>
      <c r="Q945" s="214"/>
    </row>
    <row r="946" spans="1:17">
      <c r="A946" s="175"/>
      <c r="B946" s="175"/>
      <c r="P946" s="4"/>
      <c r="Q946" s="214"/>
    </row>
    <row r="947" spans="1:17">
      <c r="A947" s="175"/>
      <c r="B947" s="175"/>
      <c r="P947" s="4"/>
      <c r="Q947" s="214"/>
    </row>
    <row r="948" spans="1:17">
      <c r="A948" s="175"/>
      <c r="B948" s="175"/>
      <c r="P948" s="4"/>
      <c r="Q948" s="214"/>
    </row>
    <row r="949" spans="1:17">
      <c r="A949" s="175"/>
      <c r="B949" s="175"/>
      <c r="P949" s="4"/>
      <c r="Q949" s="214"/>
    </row>
    <row r="950" spans="1:17">
      <c r="A950" s="175"/>
      <c r="B950" s="175"/>
      <c r="P950" s="4"/>
      <c r="Q950" s="214"/>
    </row>
    <row r="951" spans="1:17">
      <c r="A951" s="175"/>
      <c r="B951" s="175"/>
      <c r="P951" s="4"/>
      <c r="Q951" s="214"/>
    </row>
    <row r="952" spans="1:17">
      <c r="A952" s="175"/>
      <c r="B952" s="175"/>
      <c r="P952" s="4"/>
      <c r="Q952" s="214"/>
    </row>
    <row r="953" spans="1:17">
      <c r="A953" s="175"/>
      <c r="B953" s="175"/>
      <c r="P953" s="4"/>
      <c r="Q953" s="214"/>
    </row>
    <row r="954" spans="1:17">
      <c r="A954" s="175"/>
      <c r="B954" s="175"/>
      <c r="P954" s="4"/>
      <c r="Q954" s="214"/>
    </row>
    <row r="955" spans="1:17">
      <c r="A955" s="175"/>
      <c r="B955" s="175"/>
      <c r="P955" s="4"/>
      <c r="Q955" s="214"/>
    </row>
    <row r="956" spans="1:17">
      <c r="A956" s="175"/>
      <c r="B956" s="175"/>
      <c r="P956" s="4"/>
      <c r="Q956" s="214"/>
    </row>
    <row r="957" spans="1:17">
      <c r="A957" s="175"/>
      <c r="B957" s="175"/>
      <c r="P957" s="4"/>
      <c r="Q957" s="214"/>
    </row>
    <row r="958" spans="1:17">
      <c r="A958" s="175"/>
      <c r="B958" s="175"/>
      <c r="P958" s="4"/>
      <c r="Q958" s="214"/>
    </row>
    <row r="959" spans="1:17">
      <c r="A959" s="175"/>
      <c r="B959" s="175"/>
      <c r="P959" s="4"/>
      <c r="Q959" s="214"/>
    </row>
    <row r="960" spans="1:17">
      <c r="A960" s="175"/>
      <c r="B960" s="175"/>
      <c r="P960" s="4"/>
      <c r="Q960" s="214"/>
    </row>
    <row r="961" spans="1:17">
      <c r="A961" s="175"/>
      <c r="B961" s="175"/>
      <c r="P961" s="4"/>
      <c r="Q961" s="214"/>
    </row>
    <row r="962" spans="1:17">
      <c r="A962" s="175"/>
      <c r="B962" s="175"/>
      <c r="P962" s="4"/>
      <c r="Q962" s="214"/>
    </row>
    <row r="963" spans="1:17">
      <c r="A963" s="175"/>
      <c r="B963" s="175"/>
      <c r="P963" s="4"/>
      <c r="Q963" s="214"/>
    </row>
    <row r="964" spans="1:17">
      <c r="A964" s="175"/>
      <c r="B964" s="175"/>
      <c r="P964" s="4"/>
      <c r="Q964" s="214"/>
    </row>
    <row r="965" spans="1:17">
      <c r="A965" s="175"/>
      <c r="B965" s="175"/>
      <c r="P965" s="4"/>
      <c r="Q965" s="214"/>
    </row>
    <row r="966" spans="1:17">
      <c r="A966" s="175"/>
      <c r="B966" s="175"/>
      <c r="P966" s="4"/>
      <c r="Q966" s="214"/>
    </row>
    <row r="967" spans="1:17">
      <c r="A967" s="175"/>
      <c r="B967" s="175"/>
      <c r="P967" s="4"/>
      <c r="Q967" s="214"/>
    </row>
    <row r="968" spans="1:17">
      <c r="A968" s="175"/>
      <c r="B968" s="175"/>
      <c r="P968" s="4"/>
      <c r="Q968" s="214"/>
    </row>
    <row r="969" spans="1:17">
      <c r="A969" s="175"/>
      <c r="B969" s="175"/>
      <c r="P969" s="4"/>
      <c r="Q969" s="214"/>
    </row>
    <row r="970" spans="1:17">
      <c r="A970" s="175"/>
      <c r="B970" s="175"/>
      <c r="P970" s="4"/>
      <c r="Q970" s="214"/>
    </row>
    <row r="971" spans="1:17">
      <c r="A971" s="175"/>
      <c r="B971" s="175"/>
      <c r="P971" s="4"/>
      <c r="Q971" s="214"/>
    </row>
    <row r="972" spans="1:17">
      <c r="A972" s="175"/>
      <c r="B972" s="175"/>
      <c r="P972" s="4"/>
      <c r="Q972" s="214"/>
    </row>
    <row r="973" spans="1:17">
      <c r="A973" s="175"/>
      <c r="B973" s="175"/>
      <c r="P973" s="4"/>
      <c r="Q973" s="214"/>
    </row>
    <row r="974" spans="1:17">
      <c r="A974" s="175"/>
      <c r="B974" s="175"/>
      <c r="P974" s="4"/>
      <c r="Q974" s="214"/>
    </row>
    <row r="975" spans="1:17">
      <c r="A975" s="175"/>
      <c r="B975" s="175"/>
      <c r="P975" s="4"/>
      <c r="Q975" s="214"/>
    </row>
    <row r="976" spans="1:17">
      <c r="A976" s="175"/>
      <c r="B976" s="175"/>
      <c r="P976" s="4"/>
      <c r="Q976" s="214"/>
    </row>
    <row r="977" spans="1:17">
      <c r="A977" s="175"/>
      <c r="B977" s="175"/>
      <c r="P977" s="4"/>
      <c r="Q977" s="214"/>
    </row>
    <row r="978" spans="1:17">
      <c r="A978" s="175"/>
      <c r="B978" s="175"/>
      <c r="P978" s="4"/>
      <c r="Q978" s="214"/>
    </row>
    <row r="979" spans="1:17">
      <c r="A979" s="175"/>
      <c r="B979" s="175"/>
      <c r="P979" s="4"/>
      <c r="Q979" s="214"/>
    </row>
    <row r="980" spans="1:17">
      <c r="A980" s="175"/>
      <c r="B980" s="175"/>
      <c r="P980" s="4"/>
      <c r="Q980" s="214"/>
    </row>
    <row r="981" spans="1:17">
      <c r="A981" s="175"/>
      <c r="B981" s="175"/>
      <c r="P981" s="4"/>
      <c r="Q981" s="214"/>
    </row>
    <row r="982" spans="1:17">
      <c r="A982" s="175"/>
      <c r="B982" s="175"/>
      <c r="P982" s="4"/>
      <c r="Q982" s="214"/>
    </row>
    <row r="983" spans="1:17">
      <c r="A983" s="175"/>
      <c r="B983" s="175"/>
      <c r="P983" s="4"/>
      <c r="Q983" s="214"/>
    </row>
    <row r="984" spans="1:17">
      <c r="A984" s="175"/>
      <c r="B984" s="175"/>
      <c r="P984" s="4"/>
      <c r="Q984" s="214"/>
    </row>
    <row r="985" spans="1:17">
      <c r="A985" s="175"/>
      <c r="B985" s="175"/>
      <c r="P985" s="4"/>
      <c r="Q985" s="214"/>
    </row>
    <row r="986" spans="1:17">
      <c r="A986" s="175"/>
      <c r="B986" s="175"/>
      <c r="P986" s="4"/>
      <c r="Q986" s="214"/>
    </row>
    <row r="987" spans="1:17">
      <c r="A987" s="175"/>
      <c r="B987" s="175"/>
      <c r="P987" s="4"/>
      <c r="Q987" s="214"/>
    </row>
    <row r="988" spans="1:17">
      <c r="A988" s="175"/>
      <c r="B988" s="175"/>
      <c r="P988" s="4"/>
      <c r="Q988" s="214"/>
    </row>
    <row r="989" spans="1:17">
      <c r="A989" s="175"/>
      <c r="B989" s="175"/>
      <c r="P989" s="4"/>
      <c r="Q989" s="214"/>
    </row>
    <row r="990" spans="1:17">
      <c r="A990" s="175"/>
      <c r="B990" s="175"/>
      <c r="P990" s="4"/>
      <c r="Q990" s="214"/>
    </row>
    <row r="991" spans="1:17">
      <c r="A991" s="175"/>
      <c r="B991" s="175"/>
      <c r="P991" s="4"/>
      <c r="Q991" s="214"/>
    </row>
    <row r="992" spans="1:17">
      <c r="A992" s="175"/>
      <c r="B992" s="175"/>
      <c r="P992" s="4"/>
      <c r="Q992" s="214"/>
    </row>
    <row r="993" spans="1:17">
      <c r="A993" s="175"/>
      <c r="B993" s="175"/>
      <c r="P993" s="4"/>
      <c r="Q993" s="214"/>
    </row>
    <row r="994" spans="1:17">
      <c r="A994" s="175"/>
      <c r="B994" s="175"/>
      <c r="P994" s="4"/>
      <c r="Q994" s="214"/>
    </row>
    <row r="995" spans="1:17">
      <c r="A995" s="175"/>
      <c r="B995" s="175"/>
      <c r="P995" s="4"/>
      <c r="Q995" s="214"/>
    </row>
    <row r="996" spans="1:17">
      <c r="A996" s="175"/>
      <c r="B996" s="175"/>
      <c r="P996" s="4"/>
      <c r="Q996" s="214"/>
    </row>
    <row r="997" spans="1:17">
      <c r="A997" s="175"/>
      <c r="B997" s="175"/>
      <c r="P997" s="4"/>
      <c r="Q997" s="214"/>
    </row>
    <row r="998" spans="1:17">
      <c r="A998" s="175"/>
      <c r="B998" s="175"/>
      <c r="P998" s="4"/>
      <c r="Q998" s="214"/>
    </row>
    <row r="999" spans="1:17">
      <c r="A999" s="175"/>
      <c r="B999" s="175"/>
      <c r="P999" s="4"/>
      <c r="Q999" s="214"/>
    </row>
    <row r="1000" spans="1:17">
      <c r="A1000" s="175"/>
      <c r="B1000" s="175"/>
      <c r="P1000" s="4"/>
      <c r="Q1000" s="214"/>
    </row>
    <row r="1001" spans="1:17">
      <c r="A1001" s="175"/>
      <c r="B1001" s="175"/>
      <c r="P1001" s="4"/>
      <c r="Q1001" s="214"/>
    </row>
    <row r="1002" spans="1:17">
      <c r="A1002" s="175"/>
      <c r="B1002" s="175"/>
      <c r="P1002" s="4"/>
      <c r="Q1002" s="214"/>
    </row>
    <row r="1003" spans="1:17">
      <c r="A1003" s="175"/>
      <c r="B1003" s="175"/>
      <c r="P1003" s="4"/>
      <c r="Q1003" s="214"/>
    </row>
    <row r="1004" spans="1:17">
      <c r="A1004" s="175"/>
      <c r="B1004" s="175"/>
      <c r="P1004" s="4"/>
      <c r="Q1004" s="214"/>
    </row>
    <row r="1005" spans="1:17">
      <c r="A1005" s="175"/>
      <c r="B1005" s="175"/>
      <c r="P1005" s="4"/>
      <c r="Q1005" s="214"/>
    </row>
    <row r="1006" spans="1:17">
      <c r="A1006" s="175"/>
      <c r="B1006" s="175"/>
      <c r="P1006" s="4"/>
      <c r="Q1006" s="214"/>
    </row>
    <row r="1007" spans="1:17">
      <c r="A1007" s="175"/>
      <c r="B1007" s="175"/>
      <c r="P1007" s="4"/>
      <c r="Q1007" s="214"/>
    </row>
    <row r="1008" spans="1:17">
      <c r="A1008" s="175"/>
      <c r="B1008" s="175"/>
      <c r="P1008" s="4"/>
      <c r="Q1008" s="214"/>
    </row>
    <row r="1009" spans="1:17">
      <c r="A1009" s="175"/>
      <c r="B1009" s="175"/>
      <c r="P1009" s="4"/>
      <c r="Q1009" s="214"/>
    </row>
    <row r="1010" spans="1:17">
      <c r="A1010" s="175"/>
      <c r="B1010" s="175"/>
      <c r="P1010" s="4"/>
      <c r="Q1010" s="214"/>
    </row>
    <row r="1011" spans="1:17">
      <c r="A1011" s="175"/>
      <c r="B1011" s="175"/>
      <c r="P1011" s="4"/>
      <c r="Q1011" s="214"/>
    </row>
    <row r="1012" spans="1:17">
      <c r="A1012" s="175"/>
      <c r="B1012" s="175"/>
      <c r="P1012" s="4"/>
      <c r="Q1012" s="214"/>
    </row>
    <row r="1013" spans="1:17">
      <c r="A1013" s="175"/>
      <c r="B1013" s="175"/>
      <c r="P1013" s="4"/>
      <c r="Q1013" s="214"/>
    </row>
    <row r="1014" spans="1:17">
      <c r="A1014" s="175"/>
      <c r="B1014" s="175"/>
      <c r="P1014" s="4"/>
      <c r="Q1014" s="214"/>
    </row>
    <row r="1015" spans="1:17">
      <c r="A1015" s="175"/>
      <c r="B1015" s="175"/>
      <c r="P1015" s="4"/>
      <c r="Q1015" s="214"/>
    </row>
    <row r="1016" spans="1:17">
      <c r="A1016" s="175"/>
      <c r="B1016" s="175"/>
      <c r="P1016" s="4"/>
      <c r="Q1016" s="214"/>
    </row>
    <row r="1017" spans="1:17">
      <c r="A1017" s="175"/>
      <c r="B1017" s="175"/>
      <c r="P1017" s="4"/>
      <c r="Q1017" s="214"/>
    </row>
    <row r="1018" spans="1:17">
      <c r="A1018" s="175"/>
      <c r="B1018" s="175"/>
      <c r="P1018" s="4"/>
      <c r="Q1018" s="214"/>
    </row>
    <row r="1019" spans="1:17">
      <c r="A1019" s="175"/>
      <c r="B1019" s="175"/>
      <c r="P1019" s="4"/>
      <c r="Q1019" s="214"/>
    </row>
    <row r="1020" spans="1:17">
      <c r="A1020" s="175"/>
      <c r="B1020" s="175"/>
      <c r="P1020" s="4"/>
      <c r="Q1020" s="214"/>
    </row>
    <row r="1021" spans="1:17">
      <c r="A1021" s="175"/>
      <c r="B1021" s="175"/>
      <c r="P1021" s="4"/>
      <c r="Q1021" s="214"/>
    </row>
    <row r="1022" spans="1:17">
      <c r="A1022" s="175"/>
      <c r="B1022" s="175"/>
      <c r="P1022" s="4"/>
      <c r="Q1022" s="214"/>
    </row>
    <row r="1023" spans="1:17">
      <c r="A1023" s="175"/>
      <c r="B1023" s="175"/>
      <c r="P1023" s="4"/>
      <c r="Q1023" s="214"/>
    </row>
    <row r="1024" spans="1:17">
      <c r="A1024" s="175"/>
      <c r="B1024" s="175"/>
      <c r="P1024" s="4"/>
      <c r="Q1024" s="214"/>
    </row>
    <row r="1025" spans="1:17">
      <c r="A1025" s="175"/>
      <c r="B1025" s="175"/>
      <c r="P1025" s="4"/>
      <c r="Q1025" s="214"/>
    </row>
    <row r="1026" spans="1:17">
      <c r="A1026" s="175"/>
      <c r="B1026" s="175"/>
      <c r="P1026" s="4"/>
      <c r="Q1026" s="214"/>
    </row>
    <row r="1027" spans="1:17">
      <c r="A1027" s="175"/>
      <c r="B1027" s="175"/>
      <c r="P1027" s="4"/>
      <c r="Q1027" s="214"/>
    </row>
    <row r="1028" spans="1:17">
      <c r="A1028" s="175"/>
      <c r="B1028" s="175"/>
      <c r="P1028" s="4"/>
      <c r="Q1028" s="214"/>
    </row>
    <row r="1029" spans="1:17">
      <c r="A1029" s="175"/>
      <c r="B1029" s="175"/>
      <c r="P1029" s="4"/>
      <c r="Q1029" s="214"/>
    </row>
    <row r="1030" spans="1:17">
      <c r="A1030" s="175"/>
      <c r="B1030" s="175"/>
      <c r="P1030" s="4"/>
      <c r="Q1030" s="214"/>
    </row>
    <row r="1031" spans="1:17">
      <c r="A1031" s="175"/>
      <c r="B1031" s="175"/>
      <c r="P1031" s="4"/>
      <c r="Q1031" s="214"/>
    </row>
    <row r="1032" spans="1:17">
      <c r="A1032" s="175"/>
      <c r="B1032" s="175"/>
      <c r="P1032" s="4"/>
      <c r="Q1032" s="214"/>
    </row>
    <row r="1033" spans="1:17">
      <c r="A1033" s="175"/>
      <c r="B1033" s="175"/>
      <c r="P1033" s="4"/>
      <c r="Q1033" s="214"/>
    </row>
    <row r="1034" spans="1:17">
      <c r="A1034" s="175"/>
      <c r="B1034" s="175"/>
      <c r="P1034" s="4"/>
      <c r="Q1034" s="214"/>
    </row>
    <row r="1035" spans="1:17">
      <c r="A1035" s="175"/>
      <c r="B1035" s="175"/>
      <c r="P1035" s="4"/>
      <c r="Q1035" s="214"/>
    </row>
    <row r="1036" spans="1:17">
      <c r="A1036" s="175"/>
      <c r="B1036" s="175"/>
      <c r="P1036" s="4"/>
      <c r="Q1036" s="214"/>
    </row>
    <row r="1037" spans="1:17">
      <c r="A1037" s="175"/>
      <c r="B1037" s="175"/>
      <c r="P1037" s="4"/>
      <c r="Q1037" s="214"/>
    </row>
    <row r="1038" spans="1:17">
      <c r="A1038" s="175"/>
      <c r="B1038" s="175"/>
      <c r="P1038" s="4"/>
      <c r="Q1038" s="214"/>
    </row>
    <row r="1039" spans="1:17">
      <c r="A1039" s="175"/>
      <c r="B1039" s="175"/>
      <c r="P1039" s="4"/>
      <c r="Q1039" s="214"/>
    </row>
    <row r="1040" spans="1:17">
      <c r="A1040" s="175"/>
      <c r="B1040" s="175"/>
      <c r="P1040" s="4"/>
      <c r="Q1040" s="214"/>
    </row>
    <row r="1041" spans="1:17">
      <c r="A1041" s="175"/>
      <c r="B1041" s="175"/>
      <c r="P1041" s="4"/>
      <c r="Q1041" s="214"/>
    </row>
    <row r="1042" spans="1:17">
      <c r="A1042" s="175"/>
      <c r="B1042" s="175"/>
      <c r="P1042" s="4"/>
      <c r="Q1042" s="214"/>
    </row>
    <row r="1043" spans="1:17">
      <c r="A1043" s="175"/>
      <c r="B1043" s="175"/>
      <c r="P1043" s="4"/>
      <c r="Q1043" s="214"/>
    </row>
    <row r="1044" spans="1:17">
      <c r="A1044" s="175"/>
      <c r="B1044" s="175"/>
      <c r="P1044" s="4"/>
      <c r="Q1044" s="214"/>
    </row>
    <row r="1045" spans="1:17">
      <c r="A1045" s="175"/>
      <c r="B1045" s="175"/>
      <c r="P1045" s="4"/>
      <c r="Q1045" s="214"/>
    </row>
    <row r="1046" spans="1:17">
      <c r="A1046" s="175"/>
      <c r="B1046" s="175"/>
      <c r="P1046" s="4"/>
      <c r="Q1046" s="214"/>
    </row>
    <row r="1047" spans="1:17">
      <c r="A1047" s="175"/>
      <c r="B1047" s="175"/>
      <c r="P1047" s="4"/>
      <c r="Q1047" s="214"/>
    </row>
    <row r="1048" spans="1:17">
      <c r="A1048" s="175"/>
      <c r="B1048" s="175"/>
      <c r="P1048" s="4"/>
      <c r="Q1048" s="214"/>
    </row>
    <row r="1049" spans="1:17">
      <c r="A1049" s="175"/>
      <c r="B1049" s="175"/>
      <c r="P1049" s="4"/>
      <c r="Q1049" s="214"/>
    </row>
    <row r="1050" spans="1:17">
      <c r="A1050" s="175"/>
      <c r="B1050" s="175"/>
      <c r="P1050" s="4"/>
      <c r="Q1050" s="214"/>
    </row>
    <row r="1051" spans="1:17">
      <c r="A1051" s="175"/>
      <c r="B1051" s="175"/>
      <c r="P1051" s="4"/>
      <c r="Q1051" s="214"/>
    </row>
    <row r="1052" spans="1:17">
      <c r="A1052" s="175"/>
      <c r="B1052" s="175"/>
      <c r="P1052" s="4"/>
      <c r="Q1052" s="214"/>
    </row>
    <row r="1053" spans="1:17">
      <c r="A1053" s="175"/>
      <c r="B1053" s="175"/>
      <c r="P1053" s="4"/>
      <c r="Q1053" s="214"/>
    </row>
    <row r="1054" spans="1:17">
      <c r="A1054" s="175"/>
      <c r="B1054" s="175"/>
      <c r="P1054" s="4"/>
      <c r="Q1054" s="214"/>
    </row>
    <row r="1055" spans="1:17">
      <c r="A1055" s="175"/>
      <c r="B1055" s="175"/>
      <c r="P1055" s="4"/>
      <c r="Q1055" s="214"/>
    </row>
    <row r="1056" spans="1:17">
      <c r="A1056" s="175"/>
      <c r="B1056" s="175"/>
      <c r="P1056" s="4"/>
      <c r="Q1056" s="214"/>
    </row>
    <row r="1057" spans="1:17">
      <c r="A1057" s="175"/>
      <c r="B1057" s="175"/>
      <c r="P1057" s="4"/>
      <c r="Q1057" s="214"/>
    </row>
    <row r="1058" spans="1:17">
      <c r="A1058" s="175"/>
      <c r="B1058" s="175"/>
      <c r="P1058" s="4"/>
      <c r="Q1058" s="214"/>
    </row>
    <row r="1059" spans="1:17">
      <c r="A1059" s="175"/>
      <c r="B1059" s="175"/>
      <c r="P1059" s="4"/>
      <c r="Q1059" s="214"/>
    </row>
    <row r="1060" spans="1:17">
      <c r="A1060" s="175"/>
      <c r="B1060" s="175"/>
      <c r="P1060" s="4"/>
      <c r="Q1060" s="214"/>
    </row>
    <row r="1061" spans="1:17">
      <c r="A1061" s="175"/>
      <c r="B1061" s="175"/>
      <c r="P1061" s="4"/>
      <c r="Q1061" s="214"/>
    </row>
    <row r="1062" spans="1:17">
      <c r="A1062" s="175"/>
      <c r="B1062" s="175"/>
      <c r="P1062" s="4"/>
      <c r="Q1062" s="214"/>
    </row>
    <row r="1063" spans="1:17">
      <c r="A1063" s="175"/>
      <c r="B1063" s="175"/>
      <c r="P1063" s="4"/>
      <c r="Q1063" s="214"/>
    </row>
    <row r="1064" spans="1:17">
      <c r="A1064" s="175"/>
      <c r="B1064" s="175"/>
      <c r="P1064" s="4"/>
      <c r="Q1064" s="214"/>
    </row>
    <row r="1065" spans="1:17">
      <c r="A1065" s="175"/>
      <c r="B1065" s="175"/>
      <c r="P1065" s="4"/>
      <c r="Q1065" s="214"/>
    </row>
    <row r="1066" spans="1:17">
      <c r="A1066" s="175"/>
      <c r="B1066" s="175"/>
      <c r="P1066" s="4"/>
      <c r="Q1066" s="214"/>
    </row>
    <row r="1067" spans="1:17">
      <c r="A1067" s="175"/>
      <c r="B1067" s="175"/>
      <c r="P1067" s="4"/>
      <c r="Q1067" s="214"/>
    </row>
    <row r="1068" spans="1:17">
      <c r="A1068" s="175"/>
      <c r="B1068" s="175"/>
      <c r="P1068" s="4"/>
      <c r="Q1068" s="214"/>
    </row>
    <row r="1069" spans="1:17">
      <c r="A1069" s="175"/>
      <c r="B1069" s="175"/>
      <c r="P1069" s="4"/>
      <c r="Q1069" s="214"/>
    </row>
    <row r="1070" spans="1:17">
      <c r="A1070" s="175"/>
      <c r="B1070" s="175"/>
      <c r="P1070" s="4"/>
      <c r="Q1070" s="214"/>
    </row>
    <row r="1071" spans="1:17">
      <c r="A1071" s="175"/>
      <c r="B1071" s="175"/>
      <c r="P1071" s="4"/>
      <c r="Q1071" s="214"/>
    </row>
    <row r="1072" spans="1:17">
      <c r="A1072" s="175"/>
      <c r="B1072" s="175"/>
      <c r="P1072" s="4"/>
      <c r="Q1072" s="214"/>
    </row>
    <row r="1073" spans="1:17">
      <c r="A1073" s="175"/>
      <c r="B1073" s="175"/>
      <c r="P1073" s="4"/>
      <c r="Q1073" s="214"/>
    </row>
    <row r="1074" spans="1:17">
      <c r="A1074" s="175"/>
      <c r="B1074" s="175"/>
      <c r="P1074" s="4"/>
      <c r="Q1074" s="214"/>
    </row>
    <row r="1075" spans="1:17">
      <c r="A1075" s="175"/>
      <c r="B1075" s="175"/>
      <c r="P1075" s="4"/>
      <c r="Q1075" s="214"/>
    </row>
    <row r="1076" spans="1:17">
      <c r="A1076" s="175"/>
      <c r="B1076" s="175"/>
      <c r="P1076" s="4"/>
      <c r="Q1076" s="214"/>
    </row>
    <row r="1077" spans="1:17">
      <c r="A1077" s="175"/>
      <c r="B1077" s="175"/>
      <c r="P1077" s="4"/>
      <c r="Q1077" s="214"/>
    </row>
    <row r="1078" spans="1:17">
      <c r="A1078" s="175"/>
      <c r="B1078" s="175"/>
      <c r="P1078" s="4"/>
      <c r="Q1078" s="214"/>
    </row>
    <row r="1079" spans="1:17">
      <c r="A1079" s="175"/>
      <c r="B1079" s="175"/>
      <c r="P1079" s="4"/>
      <c r="Q1079" s="214"/>
    </row>
    <row r="1080" spans="1:17">
      <c r="A1080" s="175"/>
      <c r="B1080" s="175"/>
      <c r="P1080" s="4"/>
      <c r="Q1080" s="214"/>
    </row>
    <row r="1081" spans="1:17">
      <c r="A1081" s="175"/>
      <c r="B1081" s="175"/>
      <c r="P1081" s="4"/>
      <c r="Q1081" s="214"/>
    </row>
    <row r="1082" spans="1:17">
      <c r="A1082" s="175"/>
      <c r="B1082" s="175"/>
      <c r="P1082" s="4"/>
      <c r="Q1082" s="214"/>
    </row>
    <row r="1083" spans="1:17">
      <c r="A1083" s="175"/>
      <c r="B1083" s="175"/>
      <c r="P1083" s="4"/>
      <c r="Q1083" s="214"/>
    </row>
    <row r="1084" spans="1:17">
      <c r="A1084" s="175"/>
      <c r="B1084" s="175"/>
      <c r="P1084" s="4"/>
      <c r="Q1084" s="214"/>
    </row>
    <row r="1085" spans="1:17">
      <c r="A1085" s="175"/>
      <c r="B1085" s="175"/>
      <c r="P1085" s="4"/>
      <c r="Q1085" s="214"/>
    </row>
    <row r="1086" spans="1:17">
      <c r="A1086" s="175"/>
      <c r="B1086" s="175"/>
      <c r="P1086" s="4"/>
      <c r="Q1086" s="214"/>
    </row>
    <row r="1087" spans="1:17">
      <c r="A1087" s="175"/>
      <c r="B1087" s="175"/>
      <c r="P1087" s="4"/>
      <c r="Q1087" s="214"/>
    </row>
    <row r="1088" spans="1:17">
      <c r="A1088" s="175"/>
      <c r="B1088" s="175"/>
      <c r="P1088" s="4"/>
      <c r="Q1088" s="214"/>
    </row>
    <row r="1089" spans="1:17">
      <c r="A1089" s="175"/>
      <c r="B1089" s="175"/>
      <c r="P1089" s="4"/>
      <c r="Q1089" s="214"/>
    </row>
    <row r="1090" spans="1:17">
      <c r="A1090" s="175"/>
      <c r="B1090" s="175"/>
      <c r="P1090" s="4"/>
      <c r="Q1090" s="214"/>
    </row>
    <row r="1091" spans="1:17">
      <c r="A1091" s="175"/>
      <c r="B1091" s="175"/>
      <c r="P1091" s="4"/>
      <c r="Q1091" s="214"/>
    </row>
    <row r="1092" spans="1:17">
      <c r="A1092" s="175"/>
      <c r="B1092" s="175"/>
      <c r="P1092" s="4"/>
      <c r="Q1092" s="214"/>
    </row>
    <row r="1093" spans="1:17">
      <c r="A1093" s="175"/>
      <c r="B1093" s="175"/>
      <c r="P1093" s="4"/>
      <c r="Q1093" s="214"/>
    </row>
    <row r="1094" spans="1:17">
      <c r="A1094" s="175"/>
      <c r="B1094" s="175"/>
      <c r="P1094" s="4"/>
      <c r="Q1094" s="214"/>
    </row>
    <row r="1095" spans="1:17">
      <c r="A1095" s="175"/>
      <c r="B1095" s="175"/>
      <c r="P1095" s="4"/>
      <c r="Q1095" s="214"/>
    </row>
    <row r="1096" spans="1:17">
      <c r="A1096" s="175"/>
      <c r="B1096" s="175"/>
      <c r="P1096" s="4"/>
      <c r="Q1096" s="214"/>
    </row>
    <row r="1097" spans="1:17">
      <c r="A1097" s="175"/>
      <c r="B1097" s="175"/>
      <c r="P1097" s="4"/>
      <c r="Q1097" s="214"/>
    </row>
    <row r="1098" spans="1:17">
      <c r="A1098" s="175"/>
      <c r="B1098" s="175"/>
      <c r="P1098" s="4"/>
      <c r="Q1098" s="214"/>
    </row>
    <row r="1099" spans="1:17">
      <c r="A1099" s="175"/>
      <c r="B1099" s="175"/>
      <c r="P1099" s="4"/>
      <c r="Q1099" s="214"/>
    </row>
    <row r="1100" spans="1:17">
      <c r="A1100" s="175"/>
      <c r="B1100" s="175"/>
      <c r="P1100" s="4"/>
      <c r="Q1100" s="214"/>
    </row>
    <row r="1101" spans="1:17">
      <c r="A1101" s="175"/>
      <c r="B1101" s="175"/>
      <c r="P1101" s="4"/>
      <c r="Q1101" s="214"/>
    </row>
    <row r="1102" spans="1:17">
      <c r="A1102" s="175"/>
      <c r="B1102" s="175"/>
      <c r="P1102" s="4"/>
      <c r="Q1102" s="214"/>
    </row>
    <row r="1103" spans="1:17">
      <c r="A1103" s="175"/>
      <c r="B1103" s="175"/>
      <c r="P1103" s="4"/>
      <c r="Q1103" s="214"/>
    </row>
    <row r="1104" spans="1:17">
      <c r="A1104" s="175"/>
      <c r="B1104" s="175"/>
      <c r="P1104" s="4"/>
      <c r="Q1104" s="214"/>
    </row>
    <row r="1105" spans="1:17">
      <c r="A1105" s="175"/>
      <c r="B1105" s="175"/>
      <c r="P1105" s="4"/>
      <c r="Q1105" s="214"/>
    </row>
    <row r="1106" spans="1:17">
      <c r="A1106" s="175"/>
      <c r="B1106" s="175"/>
      <c r="P1106" s="4"/>
      <c r="Q1106" s="214"/>
    </row>
    <row r="1107" spans="1:17">
      <c r="A1107" s="175"/>
      <c r="B1107" s="175"/>
      <c r="P1107" s="4"/>
      <c r="Q1107" s="214"/>
    </row>
    <row r="1108" spans="1:17">
      <c r="A1108" s="175"/>
      <c r="B1108" s="175"/>
      <c r="P1108" s="4"/>
      <c r="Q1108" s="214"/>
    </row>
    <row r="1109" spans="1:17">
      <c r="A1109" s="175"/>
      <c r="B1109" s="175"/>
      <c r="P1109" s="4"/>
      <c r="Q1109" s="214"/>
    </row>
    <row r="1110" spans="1:17">
      <c r="A1110" s="175"/>
      <c r="B1110" s="175"/>
      <c r="P1110" s="4"/>
      <c r="Q1110" s="214"/>
    </row>
    <row r="1111" spans="1:17">
      <c r="A1111" s="175"/>
      <c r="B1111" s="175"/>
      <c r="P1111" s="4"/>
      <c r="Q1111" s="214"/>
    </row>
    <row r="1112" spans="1:17">
      <c r="A1112" s="175"/>
      <c r="B1112" s="175"/>
      <c r="P1112" s="4"/>
      <c r="Q1112" s="214"/>
    </row>
    <row r="1113" spans="1:17">
      <c r="A1113" s="175"/>
      <c r="B1113" s="175"/>
      <c r="P1113" s="4"/>
      <c r="Q1113" s="214"/>
    </row>
    <row r="1114" spans="1:17">
      <c r="A1114" s="175"/>
      <c r="B1114" s="175"/>
      <c r="P1114" s="4"/>
      <c r="Q1114" s="214"/>
    </row>
    <row r="1115" spans="1:17">
      <c r="A1115" s="175"/>
      <c r="B1115" s="175"/>
      <c r="P1115" s="4"/>
      <c r="Q1115" s="214"/>
    </row>
    <row r="1116" spans="1:17">
      <c r="A1116" s="175"/>
      <c r="B1116" s="175"/>
      <c r="P1116" s="4"/>
      <c r="Q1116" s="214"/>
    </row>
    <row r="1117" spans="1:17">
      <c r="A1117" s="175"/>
      <c r="B1117" s="175"/>
      <c r="P1117" s="4"/>
      <c r="Q1117" s="214"/>
    </row>
    <row r="1118" spans="1:17">
      <c r="A1118" s="175"/>
      <c r="B1118" s="175"/>
      <c r="P1118" s="4"/>
      <c r="Q1118" s="214"/>
    </row>
    <row r="1119" spans="1:17">
      <c r="A1119" s="175"/>
      <c r="B1119" s="175"/>
      <c r="P1119" s="4"/>
      <c r="Q1119" s="214"/>
    </row>
    <row r="1120" spans="1:17">
      <c r="A1120" s="175"/>
      <c r="B1120" s="175"/>
      <c r="P1120" s="4"/>
      <c r="Q1120" s="214"/>
    </row>
    <row r="1121" spans="1:17">
      <c r="A1121" s="175"/>
      <c r="B1121" s="175"/>
      <c r="P1121" s="4"/>
      <c r="Q1121" s="214"/>
    </row>
    <row r="1122" spans="1:17">
      <c r="A1122" s="175"/>
      <c r="B1122" s="175"/>
      <c r="P1122" s="4"/>
      <c r="Q1122" s="214"/>
    </row>
    <row r="1123" spans="1:17">
      <c r="A1123" s="175"/>
      <c r="B1123" s="175"/>
      <c r="P1123" s="4"/>
      <c r="Q1123" s="214"/>
    </row>
    <row r="1124" spans="1:17">
      <c r="A1124" s="175"/>
      <c r="B1124" s="175"/>
      <c r="P1124" s="4"/>
      <c r="Q1124" s="214"/>
    </row>
    <row r="1125" spans="1:17">
      <c r="A1125" s="175"/>
      <c r="B1125" s="175"/>
      <c r="P1125" s="4"/>
      <c r="Q1125" s="214"/>
    </row>
    <row r="1126" spans="1:17">
      <c r="A1126" s="175"/>
      <c r="B1126" s="175"/>
      <c r="P1126" s="4"/>
      <c r="Q1126" s="214"/>
    </row>
    <row r="1127" spans="1:17">
      <c r="A1127" s="175"/>
      <c r="B1127" s="175"/>
      <c r="P1127" s="4"/>
      <c r="Q1127" s="214"/>
    </row>
    <row r="1128" spans="1:17">
      <c r="A1128" s="175"/>
      <c r="B1128" s="175"/>
      <c r="P1128" s="4"/>
      <c r="Q1128" s="214"/>
    </row>
    <row r="1129" spans="1:17">
      <c r="A1129" s="175"/>
      <c r="B1129" s="175"/>
      <c r="P1129" s="4"/>
      <c r="Q1129" s="214"/>
    </row>
    <row r="1130" spans="1:17">
      <c r="A1130" s="175"/>
      <c r="B1130" s="175"/>
      <c r="P1130" s="4"/>
      <c r="Q1130" s="214"/>
    </row>
    <row r="1131" spans="1:17">
      <c r="A1131" s="175"/>
      <c r="B1131" s="175"/>
      <c r="P1131" s="4"/>
      <c r="Q1131" s="214"/>
    </row>
    <row r="1132" spans="1:17">
      <c r="A1132" s="175"/>
      <c r="B1132" s="175"/>
      <c r="P1132" s="4"/>
      <c r="Q1132" s="214"/>
    </row>
    <row r="1133" spans="1:17">
      <c r="A1133" s="175"/>
      <c r="B1133" s="175"/>
      <c r="P1133" s="4"/>
      <c r="Q1133" s="214"/>
    </row>
    <row r="1134" spans="1:17">
      <c r="A1134" s="175"/>
      <c r="B1134" s="175"/>
      <c r="P1134" s="4"/>
      <c r="Q1134" s="214"/>
    </row>
    <row r="1135" spans="1:17">
      <c r="A1135" s="175"/>
      <c r="B1135" s="175"/>
      <c r="P1135" s="4"/>
      <c r="Q1135" s="214"/>
    </row>
    <row r="1136" spans="1:17">
      <c r="A1136" s="175"/>
      <c r="B1136" s="175"/>
      <c r="P1136" s="4"/>
      <c r="Q1136" s="214"/>
    </row>
    <row r="1137" spans="1:17">
      <c r="A1137" s="175"/>
      <c r="B1137" s="175"/>
      <c r="P1137" s="4"/>
      <c r="Q1137" s="214"/>
    </row>
    <row r="1138" spans="1:17">
      <c r="A1138" s="175"/>
      <c r="B1138" s="175"/>
      <c r="P1138" s="4"/>
      <c r="Q1138" s="214"/>
    </row>
    <row r="1139" spans="1:17">
      <c r="A1139" s="175"/>
      <c r="B1139" s="175"/>
      <c r="P1139" s="4"/>
      <c r="Q1139" s="214"/>
    </row>
    <row r="1140" spans="1:17">
      <c r="A1140" s="175"/>
      <c r="B1140" s="175"/>
      <c r="P1140" s="4"/>
      <c r="Q1140" s="214"/>
    </row>
    <row r="1141" spans="1:17">
      <c r="A1141" s="175"/>
      <c r="B1141" s="175"/>
      <c r="P1141" s="4"/>
      <c r="Q1141" s="214"/>
    </row>
    <row r="1142" spans="1:17">
      <c r="A1142" s="175"/>
      <c r="B1142" s="175"/>
      <c r="P1142" s="4"/>
      <c r="Q1142" s="214"/>
    </row>
    <row r="1143" spans="1:17">
      <c r="A1143" s="175"/>
      <c r="B1143" s="175"/>
      <c r="P1143" s="4"/>
      <c r="Q1143" s="214"/>
    </row>
    <row r="1144" spans="1:17">
      <c r="A1144" s="175"/>
      <c r="B1144" s="175"/>
      <c r="P1144" s="4"/>
      <c r="Q1144" s="214"/>
    </row>
    <row r="1145" spans="1:17">
      <c r="A1145" s="175"/>
      <c r="B1145" s="175"/>
      <c r="P1145" s="4"/>
      <c r="Q1145" s="214"/>
    </row>
    <row r="1146" spans="1:17">
      <c r="A1146" s="175"/>
      <c r="B1146" s="175"/>
      <c r="P1146" s="4"/>
      <c r="Q1146" s="214"/>
    </row>
    <row r="1147" spans="1:17">
      <c r="A1147" s="175"/>
      <c r="B1147" s="175"/>
      <c r="P1147" s="4"/>
      <c r="Q1147" s="214"/>
    </row>
    <row r="1148" spans="1:17">
      <c r="A1148" s="175"/>
      <c r="B1148" s="175"/>
      <c r="P1148" s="4"/>
      <c r="Q1148" s="214"/>
    </row>
    <row r="1149" spans="1:17">
      <c r="A1149" s="175"/>
      <c r="B1149" s="175"/>
      <c r="P1149" s="4"/>
      <c r="Q1149" s="214"/>
    </row>
    <row r="1150" spans="1:17">
      <c r="A1150" s="175"/>
      <c r="B1150" s="175"/>
      <c r="P1150" s="4"/>
      <c r="Q1150" s="214"/>
    </row>
    <row r="1151" spans="1:17">
      <c r="A1151" s="175"/>
      <c r="B1151" s="175"/>
      <c r="P1151" s="4"/>
      <c r="Q1151" s="214"/>
    </row>
    <row r="1152" spans="1:17">
      <c r="A1152" s="175"/>
      <c r="B1152" s="175"/>
      <c r="P1152" s="4"/>
      <c r="Q1152" s="214"/>
    </row>
    <row r="1153" spans="1:17">
      <c r="A1153" s="175"/>
      <c r="B1153" s="175"/>
      <c r="P1153" s="4"/>
      <c r="Q1153" s="214"/>
    </row>
    <row r="1154" spans="1:17">
      <c r="A1154" s="175"/>
      <c r="B1154" s="175"/>
      <c r="P1154" s="4"/>
      <c r="Q1154" s="214"/>
    </row>
    <row r="1155" spans="1:17">
      <c r="A1155" s="175"/>
      <c r="B1155" s="175"/>
      <c r="P1155" s="4"/>
      <c r="Q1155" s="214"/>
    </row>
    <row r="1156" spans="1:17">
      <c r="A1156" s="175"/>
      <c r="B1156" s="175"/>
      <c r="P1156" s="4"/>
      <c r="Q1156" s="214"/>
    </row>
    <row r="1157" spans="1:17">
      <c r="A1157" s="175"/>
      <c r="B1157" s="175"/>
      <c r="P1157" s="4"/>
      <c r="Q1157" s="214"/>
    </row>
    <row r="1158" spans="1:17">
      <c r="A1158" s="175"/>
      <c r="B1158" s="175"/>
      <c r="P1158" s="4"/>
      <c r="Q1158" s="214"/>
    </row>
    <row r="1159" spans="1:17">
      <c r="A1159" s="175"/>
      <c r="B1159" s="175"/>
      <c r="P1159" s="4"/>
      <c r="Q1159" s="214"/>
    </row>
    <row r="1160" spans="1:17">
      <c r="A1160" s="175"/>
      <c r="B1160" s="175"/>
      <c r="P1160" s="4"/>
      <c r="Q1160" s="214"/>
    </row>
    <row r="1161" spans="1:17">
      <c r="A1161" s="175"/>
      <c r="B1161" s="175"/>
      <c r="P1161" s="4"/>
      <c r="Q1161" s="214"/>
    </row>
    <row r="1162" spans="1:17">
      <c r="A1162" s="175"/>
      <c r="B1162" s="175"/>
      <c r="P1162" s="4"/>
      <c r="Q1162" s="214"/>
    </row>
    <row r="1163" spans="1:17">
      <c r="A1163" s="175"/>
      <c r="B1163" s="175"/>
      <c r="P1163" s="4"/>
      <c r="Q1163" s="214"/>
    </row>
    <row r="1164" spans="1:17">
      <c r="A1164" s="175"/>
      <c r="B1164" s="175"/>
      <c r="P1164" s="4"/>
      <c r="Q1164" s="214"/>
    </row>
    <row r="1165" spans="1:17">
      <c r="A1165" s="175"/>
      <c r="B1165" s="175"/>
      <c r="P1165" s="4"/>
      <c r="Q1165" s="214"/>
    </row>
    <row r="1166" spans="1:17">
      <c r="A1166" s="175"/>
      <c r="B1166" s="175"/>
      <c r="P1166" s="4"/>
      <c r="Q1166" s="214"/>
    </row>
    <row r="1167" spans="1:17">
      <c r="A1167" s="175"/>
      <c r="B1167" s="175"/>
      <c r="P1167" s="4"/>
      <c r="Q1167" s="214"/>
    </row>
    <row r="1168" spans="1:17">
      <c r="A1168" s="175"/>
      <c r="B1168" s="175"/>
      <c r="P1168" s="4"/>
      <c r="Q1168" s="214"/>
    </row>
    <row r="1169" spans="1:17">
      <c r="A1169" s="175"/>
      <c r="B1169" s="175"/>
      <c r="P1169" s="4"/>
      <c r="Q1169" s="214"/>
    </row>
    <row r="1170" spans="1:17">
      <c r="A1170" s="175"/>
      <c r="B1170" s="175"/>
      <c r="P1170" s="4"/>
      <c r="Q1170" s="214"/>
    </row>
    <row r="1171" spans="1:17">
      <c r="A1171" s="175"/>
      <c r="B1171" s="175"/>
      <c r="P1171" s="4"/>
      <c r="Q1171" s="214"/>
    </row>
    <row r="1172" spans="1:17">
      <c r="A1172" s="175"/>
      <c r="B1172" s="175"/>
      <c r="P1172" s="4"/>
      <c r="Q1172" s="214"/>
    </row>
    <row r="1173" spans="1:17">
      <c r="A1173" s="175"/>
      <c r="B1173" s="175"/>
      <c r="P1173" s="4"/>
      <c r="Q1173" s="214"/>
    </row>
    <row r="1174" spans="1:17">
      <c r="A1174" s="175"/>
      <c r="B1174" s="175"/>
      <c r="P1174" s="4"/>
      <c r="Q1174" s="214"/>
    </row>
    <row r="1175" spans="1:17">
      <c r="A1175" s="175"/>
      <c r="B1175" s="175"/>
      <c r="P1175" s="4"/>
      <c r="Q1175" s="214"/>
    </row>
    <row r="1176" spans="1:17">
      <c r="A1176" s="175"/>
      <c r="B1176" s="175"/>
      <c r="P1176" s="4"/>
      <c r="Q1176" s="214"/>
    </row>
    <row r="1177" spans="1:17">
      <c r="A1177" s="175"/>
      <c r="B1177" s="175"/>
      <c r="P1177" s="4"/>
      <c r="Q1177" s="214"/>
    </row>
    <row r="1178" spans="1:17">
      <c r="A1178" s="175"/>
      <c r="B1178" s="175"/>
      <c r="P1178" s="4"/>
      <c r="Q1178" s="214"/>
    </row>
    <row r="1179" spans="1:17">
      <c r="A1179" s="175"/>
      <c r="B1179" s="175"/>
      <c r="P1179" s="4"/>
      <c r="Q1179" s="214"/>
    </row>
    <row r="1180" spans="1:17">
      <c r="A1180" s="175"/>
      <c r="B1180" s="175"/>
      <c r="P1180" s="4"/>
      <c r="Q1180" s="214"/>
    </row>
    <row r="1181" spans="1:17">
      <c r="A1181" s="175"/>
      <c r="B1181" s="175"/>
      <c r="P1181" s="4"/>
      <c r="Q1181" s="214"/>
    </row>
    <row r="1182" spans="1:17">
      <c r="A1182" s="175"/>
      <c r="B1182" s="175"/>
      <c r="P1182" s="4"/>
      <c r="Q1182" s="214"/>
    </row>
    <row r="1183" spans="1:17">
      <c r="A1183" s="175"/>
      <c r="B1183" s="175"/>
      <c r="P1183" s="4"/>
      <c r="Q1183" s="214"/>
    </row>
    <row r="1184" spans="1:17">
      <c r="A1184" s="175"/>
      <c r="B1184" s="175"/>
      <c r="P1184" s="4"/>
      <c r="Q1184" s="214"/>
    </row>
    <row r="1185" spans="1:17">
      <c r="A1185" s="175"/>
      <c r="B1185" s="175"/>
      <c r="P1185" s="4"/>
      <c r="Q1185" s="214"/>
    </row>
    <row r="1186" spans="1:17">
      <c r="A1186" s="175"/>
      <c r="B1186" s="175"/>
      <c r="P1186" s="4"/>
      <c r="Q1186" s="214"/>
    </row>
    <row r="1187" spans="1:17">
      <c r="A1187" s="175"/>
      <c r="B1187" s="175"/>
      <c r="P1187" s="4"/>
      <c r="Q1187" s="214"/>
    </row>
    <row r="1188" spans="1:17">
      <c r="A1188" s="175"/>
      <c r="B1188" s="175"/>
      <c r="P1188" s="4"/>
      <c r="Q1188" s="214"/>
    </row>
    <row r="1189" spans="1:17">
      <c r="A1189" s="175"/>
      <c r="B1189" s="175"/>
      <c r="P1189" s="4"/>
      <c r="Q1189" s="214"/>
    </row>
    <row r="1190" spans="1:17">
      <c r="A1190" s="175"/>
      <c r="B1190" s="175"/>
      <c r="P1190" s="4"/>
      <c r="Q1190" s="214"/>
    </row>
    <row r="1191" spans="1:17">
      <c r="A1191" s="175"/>
      <c r="B1191" s="175"/>
      <c r="P1191" s="4"/>
      <c r="Q1191" s="214"/>
    </row>
    <row r="1192" spans="1:17">
      <c r="A1192" s="175"/>
      <c r="B1192" s="175"/>
      <c r="P1192" s="4"/>
      <c r="Q1192" s="214"/>
    </row>
    <row r="1193" spans="1:17">
      <c r="A1193" s="175"/>
      <c r="B1193" s="175"/>
      <c r="P1193" s="4"/>
      <c r="Q1193" s="214"/>
    </row>
    <row r="1194" spans="1:17">
      <c r="A1194" s="175"/>
      <c r="B1194" s="175"/>
      <c r="P1194" s="4"/>
      <c r="Q1194" s="214"/>
    </row>
    <row r="1195" spans="1:17">
      <c r="A1195" s="175"/>
      <c r="B1195" s="175"/>
      <c r="P1195" s="4"/>
      <c r="Q1195" s="214"/>
    </row>
    <row r="1196" spans="1:17">
      <c r="A1196" s="175"/>
      <c r="B1196" s="175"/>
      <c r="P1196" s="4"/>
      <c r="Q1196" s="214"/>
    </row>
    <row r="1197" spans="1:17">
      <c r="A1197" s="175"/>
      <c r="B1197" s="175"/>
      <c r="P1197" s="4"/>
      <c r="Q1197" s="214"/>
    </row>
    <row r="1198" spans="1:17">
      <c r="A1198" s="175"/>
      <c r="B1198" s="175"/>
      <c r="P1198" s="4"/>
      <c r="Q1198" s="214"/>
    </row>
    <row r="1199" spans="1:17">
      <c r="A1199" s="175"/>
      <c r="B1199" s="175"/>
      <c r="P1199" s="4"/>
      <c r="Q1199" s="214"/>
    </row>
    <row r="1200" spans="1:17">
      <c r="A1200" s="175"/>
      <c r="B1200" s="175"/>
      <c r="P1200" s="4"/>
      <c r="Q1200" s="214"/>
    </row>
    <row r="1201" spans="1:17">
      <c r="A1201" s="175"/>
      <c r="B1201" s="175"/>
      <c r="P1201" s="4"/>
      <c r="Q1201" s="214"/>
    </row>
    <row r="1202" spans="1:17">
      <c r="A1202" s="175"/>
      <c r="B1202" s="175"/>
      <c r="P1202" s="4"/>
      <c r="Q1202" s="214"/>
    </row>
    <row r="1203" spans="1:17">
      <c r="A1203" s="175"/>
      <c r="B1203" s="175"/>
      <c r="P1203" s="4"/>
      <c r="Q1203" s="214"/>
    </row>
    <row r="1204" spans="1:17">
      <c r="A1204" s="175"/>
      <c r="B1204" s="175"/>
      <c r="P1204" s="4"/>
      <c r="Q1204" s="214"/>
    </row>
    <row r="1205" spans="1:17">
      <c r="A1205" s="175"/>
      <c r="B1205" s="175"/>
      <c r="P1205" s="4"/>
      <c r="Q1205" s="214"/>
    </row>
    <row r="1206" spans="1:17">
      <c r="A1206" s="175"/>
      <c r="B1206" s="175"/>
      <c r="P1206" s="4"/>
      <c r="Q1206" s="214"/>
    </row>
    <row r="1207" spans="1:17">
      <c r="A1207" s="175"/>
      <c r="B1207" s="175"/>
      <c r="P1207" s="4"/>
      <c r="Q1207" s="214"/>
    </row>
    <row r="1208" spans="1:17">
      <c r="A1208" s="175"/>
      <c r="B1208" s="175"/>
      <c r="P1208" s="4"/>
      <c r="Q1208" s="214"/>
    </row>
    <row r="1209" spans="1:17">
      <c r="A1209" s="175"/>
      <c r="B1209" s="175"/>
      <c r="P1209" s="4"/>
      <c r="Q1209" s="214"/>
    </row>
    <row r="1210" spans="1:17">
      <c r="A1210" s="175"/>
      <c r="B1210" s="175"/>
      <c r="P1210" s="4"/>
      <c r="Q1210" s="214"/>
    </row>
    <row r="1211" spans="1:17">
      <c r="A1211" s="175"/>
      <c r="B1211" s="175"/>
      <c r="P1211" s="4"/>
      <c r="Q1211" s="214"/>
    </row>
    <row r="1212" spans="1:17">
      <c r="A1212" s="175"/>
      <c r="B1212" s="175"/>
      <c r="P1212" s="4"/>
      <c r="Q1212" s="214"/>
    </row>
    <row r="1213" spans="1:17">
      <c r="A1213" s="175"/>
      <c r="B1213" s="175"/>
      <c r="P1213" s="4"/>
      <c r="Q1213" s="214"/>
    </row>
    <row r="1214" spans="1:17">
      <c r="A1214" s="175"/>
      <c r="B1214" s="175"/>
      <c r="P1214" s="4"/>
      <c r="Q1214" s="214"/>
    </row>
    <row r="1215" spans="1:17">
      <c r="A1215" s="175"/>
      <c r="B1215" s="175"/>
      <c r="P1215" s="4"/>
      <c r="Q1215" s="214"/>
    </row>
    <row r="1216" spans="1:17">
      <c r="A1216" s="175"/>
      <c r="B1216" s="175"/>
      <c r="P1216" s="4"/>
      <c r="Q1216" s="214"/>
    </row>
    <row r="1217" spans="1:17">
      <c r="A1217" s="175"/>
      <c r="B1217" s="175"/>
      <c r="P1217" s="4"/>
      <c r="Q1217" s="214"/>
    </row>
    <row r="1218" spans="1:17">
      <c r="A1218" s="175"/>
      <c r="B1218" s="175"/>
      <c r="P1218" s="4"/>
      <c r="Q1218" s="214"/>
    </row>
    <row r="1219" spans="1:17">
      <c r="A1219" s="175"/>
      <c r="B1219" s="175"/>
      <c r="P1219" s="4"/>
      <c r="Q1219" s="214"/>
    </row>
    <row r="1220" spans="1:17">
      <c r="A1220" s="175"/>
      <c r="B1220" s="175"/>
      <c r="P1220" s="4"/>
      <c r="Q1220" s="214"/>
    </row>
    <row r="1221" spans="1:17">
      <c r="A1221" s="175"/>
      <c r="B1221" s="175"/>
      <c r="P1221" s="4"/>
      <c r="Q1221" s="214"/>
    </row>
    <row r="1222" spans="1:17">
      <c r="A1222" s="175"/>
      <c r="B1222" s="175"/>
      <c r="P1222" s="4"/>
      <c r="Q1222" s="214"/>
    </row>
    <row r="1223" spans="1:17">
      <c r="A1223" s="175"/>
      <c r="B1223" s="175"/>
      <c r="P1223" s="4"/>
      <c r="Q1223" s="214"/>
    </row>
    <row r="1224" spans="1:17">
      <c r="A1224" s="175"/>
      <c r="B1224" s="175"/>
      <c r="P1224" s="4"/>
      <c r="Q1224" s="214"/>
    </row>
    <row r="1225" spans="1:17">
      <c r="A1225" s="175"/>
      <c r="B1225" s="175"/>
      <c r="P1225" s="4"/>
      <c r="Q1225" s="214"/>
    </row>
    <row r="1226" spans="1:17">
      <c r="A1226" s="175"/>
      <c r="B1226" s="175"/>
      <c r="P1226" s="4"/>
      <c r="Q1226" s="214"/>
    </row>
    <row r="1227" spans="1:17">
      <c r="A1227" s="175"/>
      <c r="B1227" s="175"/>
      <c r="P1227" s="4"/>
      <c r="Q1227" s="214"/>
    </row>
    <row r="1228" spans="1:17">
      <c r="A1228" s="175"/>
      <c r="B1228" s="175"/>
      <c r="P1228" s="4"/>
      <c r="Q1228" s="214"/>
    </row>
    <row r="1229" spans="1:17">
      <c r="A1229" s="175"/>
      <c r="B1229" s="175"/>
      <c r="P1229" s="4"/>
      <c r="Q1229" s="214"/>
    </row>
    <row r="1230" spans="1:17">
      <c r="A1230" s="175"/>
      <c r="B1230" s="175"/>
      <c r="P1230" s="4"/>
      <c r="Q1230" s="214"/>
    </row>
    <row r="1231" spans="1:17">
      <c r="A1231" s="175"/>
      <c r="B1231" s="175"/>
      <c r="P1231" s="4"/>
      <c r="Q1231" s="214"/>
    </row>
    <row r="1232" spans="1:17">
      <c r="A1232" s="175"/>
      <c r="B1232" s="175"/>
      <c r="P1232" s="4"/>
      <c r="Q1232" s="214"/>
    </row>
    <row r="1233" spans="1:17">
      <c r="A1233" s="175"/>
      <c r="B1233" s="175"/>
      <c r="P1233" s="4"/>
      <c r="Q1233" s="214"/>
    </row>
    <row r="1234" spans="1:17">
      <c r="A1234" s="175"/>
      <c r="B1234" s="175"/>
      <c r="P1234" s="4"/>
      <c r="Q1234" s="214"/>
    </row>
    <row r="1235" spans="1:17">
      <c r="A1235" s="175"/>
      <c r="B1235" s="175"/>
      <c r="P1235" s="4"/>
      <c r="Q1235" s="214"/>
    </row>
    <row r="1236" spans="1:17">
      <c r="A1236" s="175"/>
      <c r="B1236" s="175"/>
      <c r="P1236" s="4"/>
      <c r="Q1236" s="214"/>
    </row>
    <row r="1237" spans="1:17">
      <c r="A1237" s="175"/>
      <c r="B1237" s="175"/>
      <c r="P1237" s="4"/>
      <c r="Q1237" s="214"/>
    </row>
    <row r="1238" spans="1:17">
      <c r="A1238" s="175"/>
      <c r="B1238" s="175"/>
      <c r="P1238" s="4"/>
      <c r="Q1238" s="214"/>
    </row>
    <row r="1239" spans="1:17">
      <c r="A1239" s="175"/>
      <c r="B1239" s="175"/>
      <c r="P1239" s="4"/>
      <c r="Q1239" s="214"/>
    </row>
    <row r="1240" spans="1:17">
      <c r="A1240" s="175"/>
      <c r="B1240" s="175"/>
      <c r="P1240" s="4"/>
      <c r="Q1240" s="214"/>
    </row>
    <row r="1241" spans="1:17">
      <c r="A1241" s="175"/>
      <c r="B1241" s="175"/>
      <c r="P1241" s="4"/>
      <c r="Q1241" s="214"/>
    </row>
    <row r="1242" spans="1:17">
      <c r="A1242" s="175"/>
      <c r="B1242" s="175"/>
      <c r="P1242" s="4"/>
      <c r="Q1242" s="214"/>
    </row>
    <row r="1243" spans="1:17">
      <c r="A1243" s="175"/>
      <c r="B1243" s="175"/>
      <c r="P1243" s="4"/>
      <c r="Q1243" s="214"/>
    </row>
    <row r="1244" spans="1:17">
      <c r="A1244" s="175"/>
      <c r="B1244" s="175"/>
      <c r="P1244" s="4"/>
      <c r="Q1244" s="214"/>
    </row>
    <row r="1245" spans="1:17">
      <c r="A1245" s="175"/>
      <c r="B1245" s="175"/>
      <c r="P1245" s="4"/>
      <c r="Q1245" s="214"/>
    </row>
    <row r="1246" spans="1:17">
      <c r="A1246" s="175"/>
      <c r="B1246" s="175"/>
      <c r="P1246" s="4"/>
      <c r="Q1246" s="214"/>
    </row>
    <row r="1247" spans="1:17">
      <c r="A1247" s="175"/>
      <c r="B1247" s="175"/>
      <c r="P1247" s="4"/>
      <c r="Q1247" s="214"/>
    </row>
    <row r="1248" spans="1:17">
      <c r="A1248" s="175"/>
      <c r="B1248" s="175"/>
      <c r="P1248" s="4"/>
      <c r="Q1248" s="214"/>
    </row>
    <row r="1249" spans="1:17">
      <c r="A1249" s="175"/>
      <c r="B1249" s="175"/>
      <c r="P1249" s="4"/>
      <c r="Q1249" s="214"/>
    </row>
    <row r="1250" spans="1:17">
      <c r="A1250" s="175"/>
      <c r="B1250" s="175"/>
      <c r="P1250" s="4"/>
      <c r="Q1250" s="214"/>
    </row>
    <row r="1251" spans="1:17">
      <c r="A1251" s="175"/>
      <c r="B1251" s="175"/>
      <c r="P1251" s="4"/>
      <c r="Q1251" s="214"/>
    </row>
    <row r="1252" spans="1:17">
      <c r="A1252" s="175"/>
      <c r="B1252" s="175"/>
      <c r="P1252" s="4"/>
      <c r="Q1252" s="214"/>
    </row>
    <row r="1253" spans="1:17">
      <c r="A1253" s="175"/>
      <c r="B1253" s="175"/>
      <c r="P1253" s="4"/>
      <c r="Q1253" s="214"/>
    </row>
    <row r="1254" spans="1:17">
      <c r="A1254" s="175"/>
      <c r="B1254" s="175"/>
      <c r="P1254" s="4"/>
      <c r="Q1254" s="214"/>
    </row>
    <row r="1255" spans="1:17">
      <c r="A1255" s="175"/>
      <c r="B1255" s="175"/>
      <c r="P1255" s="4"/>
      <c r="Q1255" s="214"/>
    </row>
    <row r="1256" spans="1:17">
      <c r="A1256" s="175"/>
      <c r="B1256" s="175"/>
      <c r="P1256" s="4"/>
      <c r="Q1256" s="214"/>
    </row>
    <row r="1257" spans="1:17">
      <c r="A1257" s="175"/>
      <c r="B1257" s="175"/>
      <c r="P1257" s="4"/>
      <c r="Q1257" s="214"/>
    </row>
    <row r="1258" spans="1:17">
      <c r="A1258" s="175"/>
      <c r="B1258" s="175"/>
      <c r="P1258" s="4"/>
      <c r="Q1258" s="214"/>
    </row>
    <row r="1259" spans="1:17">
      <c r="A1259" s="175"/>
      <c r="B1259" s="175"/>
      <c r="P1259" s="4"/>
      <c r="Q1259" s="214"/>
    </row>
    <row r="1260" spans="1:17">
      <c r="A1260" s="175"/>
      <c r="B1260" s="175"/>
      <c r="P1260" s="4"/>
      <c r="Q1260" s="214"/>
    </row>
    <row r="1261" spans="1:17">
      <c r="A1261" s="175"/>
      <c r="B1261" s="175"/>
      <c r="P1261" s="4"/>
      <c r="Q1261" s="214"/>
    </row>
    <row r="1262" spans="1:17">
      <c r="A1262" s="175"/>
      <c r="B1262" s="175"/>
      <c r="P1262" s="4"/>
      <c r="Q1262" s="214"/>
    </row>
    <row r="1263" spans="1:17">
      <c r="A1263" s="175"/>
      <c r="B1263" s="175"/>
      <c r="P1263" s="4"/>
      <c r="Q1263" s="214"/>
    </row>
    <row r="1264" spans="1:17">
      <c r="A1264" s="175"/>
      <c r="B1264" s="175"/>
      <c r="P1264" s="4"/>
      <c r="Q1264" s="214"/>
    </row>
    <row r="1265" spans="1:17">
      <c r="A1265" s="175"/>
      <c r="B1265" s="175"/>
      <c r="P1265" s="4"/>
      <c r="Q1265" s="214"/>
    </row>
    <row r="1266" spans="1:17">
      <c r="A1266" s="175"/>
      <c r="B1266" s="175"/>
      <c r="P1266" s="4"/>
      <c r="Q1266" s="214"/>
    </row>
    <row r="1267" spans="1:17">
      <c r="A1267" s="175"/>
      <c r="B1267" s="175"/>
      <c r="P1267" s="4"/>
      <c r="Q1267" s="214"/>
    </row>
    <row r="1268" spans="1:17">
      <c r="A1268" s="175"/>
      <c r="B1268" s="175"/>
      <c r="P1268" s="4"/>
      <c r="Q1268" s="214"/>
    </row>
    <row r="1269" spans="1:17">
      <c r="A1269" s="175"/>
      <c r="B1269" s="175"/>
      <c r="P1269" s="4"/>
      <c r="Q1269" s="214"/>
    </row>
    <row r="1270" spans="1:17">
      <c r="A1270" s="175"/>
      <c r="B1270" s="175"/>
      <c r="P1270" s="4"/>
      <c r="Q1270" s="214"/>
    </row>
    <row r="1271" spans="1:17">
      <c r="A1271" s="175"/>
      <c r="B1271" s="175"/>
      <c r="P1271" s="4"/>
      <c r="Q1271" s="214"/>
    </row>
    <row r="1272" spans="1:17">
      <c r="A1272" s="175"/>
      <c r="B1272" s="175"/>
      <c r="P1272" s="4"/>
      <c r="Q1272" s="214"/>
    </row>
    <row r="1273" spans="1:17">
      <c r="A1273" s="175"/>
      <c r="B1273" s="175"/>
      <c r="P1273" s="4"/>
      <c r="Q1273" s="214"/>
    </row>
    <row r="1274" spans="1:17">
      <c r="A1274" s="175"/>
      <c r="B1274" s="175"/>
      <c r="P1274" s="4"/>
      <c r="Q1274" s="214"/>
    </row>
    <row r="1275" spans="1:17">
      <c r="A1275" s="175"/>
      <c r="B1275" s="175"/>
      <c r="P1275" s="4"/>
      <c r="Q1275" s="214"/>
    </row>
    <row r="1276" spans="1:17">
      <c r="A1276" s="175"/>
      <c r="B1276" s="175"/>
      <c r="P1276" s="4"/>
      <c r="Q1276" s="214"/>
    </row>
    <row r="1277" spans="1:17">
      <c r="A1277" s="175"/>
      <c r="B1277" s="175"/>
      <c r="P1277" s="4"/>
      <c r="Q1277" s="214"/>
    </row>
    <row r="1278" spans="1:17">
      <c r="A1278" s="175"/>
      <c r="B1278" s="175"/>
      <c r="P1278" s="4"/>
      <c r="Q1278" s="214"/>
    </row>
    <row r="1279" spans="1:17">
      <c r="A1279" s="175"/>
      <c r="B1279" s="175"/>
      <c r="P1279" s="4"/>
      <c r="Q1279" s="214"/>
    </row>
    <row r="1280" spans="1:17">
      <c r="A1280" s="175"/>
      <c r="B1280" s="175"/>
      <c r="P1280" s="4"/>
      <c r="Q1280" s="214"/>
    </row>
    <row r="1281" spans="1:17">
      <c r="A1281" s="175"/>
      <c r="B1281" s="175"/>
      <c r="P1281" s="4"/>
      <c r="Q1281" s="214"/>
    </row>
    <row r="1282" spans="1:17">
      <c r="A1282" s="175"/>
      <c r="B1282" s="175"/>
      <c r="P1282" s="4"/>
      <c r="Q1282" s="214"/>
    </row>
    <row r="1283" spans="1:17">
      <c r="A1283" s="175"/>
      <c r="B1283" s="175"/>
      <c r="P1283" s="4"/>
      <c r="Q1283" s="214"/>
    </row>
    <row r="1284" spans="1:17">
      <c r="A1284" s="175"/>
      <c r="B1284" s="175"/>
      <c r="P1284" s="4"/>
      <c r="Q1284" s="214"/>
    </row>
    <row r="1285" spans="1:17">
      <c r="A1285" s="175"/>
      <c r="B1285" s="175"/>
      <c r="P1285" s="4"/>
      <c r="Q1285" s="214"/>
    </row>
    <row r="1286" spans="1:17">
      <c r="A1286" s="175"/>
      <c r="B1286" s="175"/>
      <c r="P1286" s="4"/>
      <c r="Q1286" s="214"/>
    </row>
    <row r="1287" spans="1:17">
      <c r="A1287" s="175"/>
      <c r="B1287" s="175"/>
      <c r="P1287" s="4"/>
      <c r="Q1287" s="214"/>
    </row>
    <row r="1288" spans="1:17">
      <c r="A1288" s="175"/>
      <c r="B1288" s="175"/>
      <c r="P1288" s="4"/>
      <c r="Q1288" s="214"/>
    </row>
    <row r="1289" spans="1:17">
      <c r="A1289" s="175"/>
      <c r="B1289" s="175"/>
      <c r="P1289" s="4"/>
      <c r="Q1289" s="214"/>
    </row>
    <row r="1290" spans="1:17">
      <c r="A1290" s="175"/>
      <c r="B1290" s="175"/>
      <c r="P1290" s="4"/>
      <c r="Q1290" s="214"/>
    </row>
    <row r="1291" spans="1:17">
      <c r="A1291" s="175"/>
      <c r="B1291" s="175"/>
      <c r="P1291" s="4"/>
      <c r="Q1291" s="214"/>
    </row>
    <row r="1292" spans="1:17">
      <c r="A1292" s="175"/>
      <c r="B1292" s="175"/>
      <c r="P1292" s="4"/>
      <c r="Q1292" s="214"/>
    </row>
    <row r="1293" spans="1:17">
      <c r="A1293" s="175"/>
      <c r="B1293" s="175"/>
      <c r="P1293" s="4"/>
      <c r="Q1293" s="214"/>
    </row>
    <row r="1294" spans="1:17">
      <c r="A1294" s="175"/>
      <c r="B1294" s="175"/>
      <c r="P1294" s="4"/>
      <c r="Q1294" s="214"/>
    </row>
    <row r="1295" spans="1:17">
      <c r="A1295" s="175"/>
      <c r="B1295" s="175"/>
      <c r="P1295" s="4"/>
      <c r="Q1295" s="214"/>
    </row>
    <row r="1296" spans="1:17">
      <c r="A1296" s="175"/>
      <c r="B1296" s="175"/>
      <c r="P1296" s="4"/>
      <c r="Q1296" s="214"/>
    </row>
    <row r="1297" spans="1:17">
      <c r="A1297" s="175"/>
      <c r="B1297" s="175"/>
      <c r="P1297" s="4"/>
      <c r="Q1297" s="214"/>
    </row>
    <row r="1298" spans="1:17">
      <c r="A1298" s="175"/>
      <c r="B1298" s="175"/>
      <c r="P1298" s="4"/>
      <c r="Q1298" s="214"/>
    </row>
    <row r="1299" spans="1:17">
      <c r="A1299" s="175"/>
      <c r="B1299" s="175"/>
      <c r="P1299" s="4"/>
      <c r="Q1299" s="214"/>
    </row>
    <row r="1300" spans="1:17">
      <c r="A1300" s="175"/>
      <c r="B1300" s="175"/>
      <c r="P1300" s="4"/>
      <c r="Q1300" s="214"/>
    </row>
    <row r="1301" spans="1:17">
      <c r="A1301" s="175"/>
      <c r="B1301" s="175"/>
      <c r="P1301" s="4"/>
      <c r="Q1301" s="214"/>
    </row>
    <row r="1302" spans="1:17">
      <c r="A1302" s="175"/>
      <c r="B1302" s="175"/>
      <c r="P1302" s="4"/>
      <c r="Q1302" s="214"/>
    </row>
    <row r="1303" spans="1:17">
      <c r="A1303" s="175"/>
      <c r="B1303" s="175"/>
      <c r="P1303" s="4"/>
      <c r="Q1303" s="214"/>
    </row>
    <row r="1304" spans="1:17">
      <c r="A1304" s="175"/>
      <c r="B1304" s="175"/>
      <c r="P1304" s="4"/>
      <c r="Q1304" s="214"/>
    </row>
    <row r="1305" spans="1:17">
      <c r="A1305" s="175"/>
      <c r="B1305" s="175"/>
      <c r="P1305" s="4"/>
      <c r="Q1305" s="214"/>
    </row>
    <row r="1306" spans="1:17">
      <c r="A1306" s="175"/>
      <c r="B1306" s="175"/>
      <c r="P1306" s="4"/>
      <c r="Q1306" s="214"/>
    </row>
    <row r="1307" spans="1:17">
      <c r="A1307" s="175"/>
      <c r="B1307" s="175"/>
      <c r="P1307" s="4"/>
      <c r="Q1307" s="214"/>
    </row>
    <row r="1308" spans="1:17">
      <c r="A1308" s="175"/>
      <c r="B1308" s="175"/>
      <c r="P1308" s="4"/>
      <c r="Q1308" s="214"/>
    </row>
    <row r="1309" spans="1:17">
      <c r="A1309" s="175"/>
      <c r="B1309" s="175"/>
      <c r="P1309" s="4"/>
      <c r="Q1309" s="214"/>
    </row>
    <row r="1310" spans="1:17">
      <c r="A1310" s="175"/>
      <c r="B1310" s="175"/>
      <c r="P1310" s="4"/>
      <c r="Q1310" s="214"/>
    </row>
    <row r="1311" spans="1:17">
      <c r="A1311" s="175"/>
      <c r="B1311" s="175"/>
      <c r="P1311" s="4"/>
      <c r="Q1311" s="214"/>
    </row>
    <row r="1312" spans="1:17">
      <c r="A1312" s="175"/>
      <c r="B1312" s="175"/>
      <c r="P1312" s="4"/>
      <c r="Q1312" s="214"/>
    </row>
    <row r="1313" spans="1:17">
      <c r="A1313" s="175"/>
      <c r="B1313" s="175"/>
      <c r="P1313" s="4"/>
      <c r="Q1313" s="214"/>
    </row>
    <row r="1314" spans="1:17">
      <c r="A1314" s="175"/>
      <c r="B1314" s="175"/>
      <c r="P1314" s="4"/>
      <c r="Q1314" s="214"/>
    </row>
    <row r="1315" spans="1:17">
      <c r="A1315" s="175"/>
      <c r="B1315" s="175"/>
      <c r="P1315" s="4"/>
      <c r="Q1315" s="214"/>
    </row>
    <row r="1316" spans="1:17">
      <c r="A1316" s="175"/>
      <c r="B1316" s="175"/>
      <c r="P1316" s="4"/>
      <c r="Q1316" s="214"/>
    </row>
    <row r="1317" spans="1:17">
      <c r="A1317" s="175"/>
      <c r="B1317" s="175"/>
      <c r="P1317" s="4"/>
      <c r="Q1317" s="214"/>
    </row>
    <row r="1318" spans="1:17">
      <c r="A1318" s="175"/>
      <c r="B1318" s="175"/>
      <c r="P1318" s="4"/>
      <c r="Q1318" s="214"/>
    </row>
    <row r="1319" spans="1:17">
      <c r="A1319" s="175"/>
      <c r="B1319" s="175"/>
      <c r="P1319" s="4"/>
      <c r="Q1319" s="214"/>
    </row>
    <row r="1320" spans="1:17">
      <c r="A1320" s="175"/>
      <c r="B1320" s="175"/>
      <c r="P1320" s="4"/>
      <c r="Q1320" s="214"/>
    </row>
    <row r="1321" spans="1:17">
      <c r="A1321" s="175"/>
      <c r="B1321" s="175"/>
      <c r="P1321" s="4"/>
      <c r="Q1321" s="214"/>
    </row>
    <row r="1322" spans="1:17">
      <c r="A1322" s="175"/>
      <c r="B1322" s="175"/>
      <c r="P1322" s="4"/>
      <c r="Q1322" s="214"/>
    </row>
    <row r="1323" spans="1:17">
      <c r="A1323" s="175"/>
      <c r="B1323" s="175"/>
      <c r="P1323" s="4"/>
      <c r="Q1323" s="214"/>
    </row>
    <row r="1324" spans="1:17">
      <c r="A1324" s="175"/>
      <c r="B1324" s="175"/>
      <c r="P1324" s="4"/>
      <c r="Q1324" s="214"/>
    </row>
    <row r="1325" spans="1:17">
      <c r="A1325" s="175"/>
      <c r="B1325" s="175"/>
      <c r="P1325" s="4"/>
      <c r="Q1325" s="214"/>
    </row>
    <row r="1326" spans="1:17">
      <c r="A1326" s="175"/>
      <c r="B1326" s="175"/>
      <c r="P1326" s="4"/>
      <c r="Q1326" s="214"/>
    </row>
    <row r="1327" spans="1:17">
      <c r="A1327" s="175"/>
      <c r="B1327" s="175"/>
      <c r="P1327" s="4"/>
      <c r="Q1327" s="214"/>
    </row>
    <row r="1328" spans="1:17">
      <c r="A1328" s="175"/>
      <c r="B1328" s="175"/>
      <c r="P1328" s="4"/>
      <c r="Q1328" s="214"/>
    </row>
    <row r="1329" spans="1:17">
      <c r="A1329" s="175"/>
      <c r="B1329" s="175"/>
      <c r="P1329" s="4"/>
      <c r="Q1329" s="214"/>
    </row>
    <row r="1330" spans="1:17">
      <c r="A1330" s="175"/>
      <c r="B1330" s="175"/>
      <c r="P1330" s="4"/>
      <c r="Q1330" s="214"/>
    </row>
    <row r="1331" spans="1:17">
      <c r="A1331" s="175"/>
      <c r="B1331" s="175"/>
      <c r="P1331" s="4"/>
      <c r="Q1331" s="214"/>
    </row>
    <row r="1332" spans="1:17">
      <c r="A1332" s="175"/>
      <c r="B1332" s="175"/>
      <c r="P1332" s="4"/>
      <c r="Q1332" s="214"/>
    </row>
    <row r="1333" spans="1:17">
      <c r="A1333" s="175"/>
      <c r="B1333" s="175"/>
      <c r="P1333" s="4"/>
      <c r="Q1333" s="214"/>
    </row>
    <row r="1334" spans="1:17">
      <c r="A1334" s="175"/>
      <c r="B1334" s="175"/>
      <c r="P1334" s="4"/>
      <c r="Q1334" s="214"/>
    </row>
    <row r="1335" spans="1:17">
      <c r="A1335" s="175"/>
      <c r="B1335" s="175"/>
      <c r="P1335" s="4"/>
      <c r="Q1335" s="214"/>
    </row>
    <row r="1336" spans="1:17">
      <c r="A1336" s="175"/>
      <c r="B1336" s="175"/>
      <c r="P1336" s="4"/>
      <c r="Q1336" s="214"/>
    </row>
    <row r="1337" spans="1:17">
      <c r="A1337" s="175"/>
      <c r="B1337" s="175"/>
      <c r="P1337" s="4"/>
      <c r="Q1337" s="214"/>
    </row>
    <row r="1338" spans="1:17">
      <c r="A1338" s="175"/>
      <c r="B1338" s="175"/>
      <c r="P1338" s="4"/>
      <c r="Q1338" s="214"/>
    </row>
    <row r="1339" spans="1:17">
      <c r="A1339" s="175"/>
      <c r="B1339" s="175"/>
      <c r="P1339" s="4"/>
      <c r="Q1339" s="214"/>
    </row>
    <row r="1340" spans="1:17">
      <c r="A1340" s="175"/>
      <c r="B1340" s="175"/>
      <c r="P1340" s="4"/>
      <c r="Q1340" s="214"/>
    </row>
    <row r="1341" spans="1:17">
      <c r="A1341" s="175"/>
      <c r="B1341" s="175"/>
      <c r="P1341" s="4"/>
      <c r="Q1341" s="214"/>
    </row>
    <row r="1342" spans="1:17">
      <c r="A1342" s="175"/>
      <c r="B1342" s="175"/>
      <c r="P1342" s="4"/>
      <c r="Q1342" s="214"/>
    </row>
    <row r="1343" spans="1:17">
      <c r="A1343" s="175"/>
      <c r="B1343" s="175"/>
      <c r="P1343" s="4"/>
      <c r="Q1343" s="214"/>
    </row>
    <row r="1344" spans="1:17">
      <c r="A1344" s="175"/>
      <c r="B1344" s="175"/>
      <c r="P1344" s="4"/>
      <c r="Q1344" s="214"/>
    </row>
    <row r="1345" spans="1:17">
      <c r="A1345" s="175"/>
      <c r="B1345" s="175"/>
      <c r="P1345" s="4"/>
      <c r="Q1345" s="214"/>
    </row>
    <row r="1346" spans="1:17">
      <c r="A1346" s="175"/>
      <c r="B1346" s="175"/>
      <c r="P1346" s="4"/>
      <c r="Q1346" s="214"/>
    </row>
    <row r="1347" spans="1:17">
      <c r="A1347" s="175"/>
      <c r="B1347" s="175"/>
      <c r="P1347" s="4"/>
      <c r="Q1347" s="214"/>
    </row>
    <row r="1348" spans="1:17">
      <c r="A1348" s="175"/>
      <c r="B1348" s="175"/>
      <c r="P1348" s="4"/>
      <c r="Q1348" s="214"/>
    </row>
    <row r="1349" spans="1:17">
      <c r="A1349" s="175"/>
      <c r="B1349" s="175"/>
      <c r="P1349" s="4"/>
      <c r="Q1349" s="214"/>
    </row>
    <row r="1350" spans="1:17">
      <c r="A1350" s="175"/>
      <c r="B1350" s="175"/>
      <c r="P1350" s="4"/>
      <c r="Q1350" s="214"/>
    </row>
    <row r="1351" spans="1:17">
      <c r="A1351" s="175"/>
      <c r="B1351" s="175"/>
      <c r="P1351" s="4"/>
      <c r="Q1351" s="214"/>
    </row>
    <row r="1352" spans="1:17">
      <c r="A1352" s="175"/>
      <c r="B1352" s="175"/>
      <c r="P1352" s="4"/>
      <c r="Q1352" s="214"/>
    </row>
    <row r="1353" spans="1:17">
      <c r="A1353" s="175"/>
      <c r="B1353" s="175"/>
      <c r="P1353" s="4"/>
      <c r="Q1353" s="214"/>
    </row>
    <row r="1354" spans="1:17">
      <c r="A1354" s="175"/>
      <c r="B1354" s="175"/>
      <c r="P1354" s="4"/>
      <c r="Q1354" s="214"/>
    </row>
    <row r="1355" spans="1:17">
      <c r="A1355" s="175"/>
      <c r="B1355" s="175"/>
      <c r="P1355" s="4"/>
      <c r="Q1355" s="214"/>
    </row>
    <row r="1356" spans="1:17">
      <c r="A1356" s="175"/>
      <c r="B1356" s="175"/>
      <c r="P1356" s="4"/>
      <c r="Q1356" s="214"/>
    </row>
    <row r="1357" spans="1:17">
      <c r="A1357" s="175"/>
      <c r="B1357" s="175"/>
      <c r="P1357" s="4"/>
      <c r="Q1357" s="214"/>
    </row>
    <row r="1358" spans="1:17">
      <c r="A1358" s="175"/>
      <c r="B1358" s="175"/>
      <c r="P1358" s="4"/>
      <c r="Q1358" s="214"/>
    </row>
    <row r="1359" spans="1:17">
      <c r="A1359" s="175"/>
      <c r="B1359" s="175"/>
      <c r="P1359" s="4"/>
      <c r="Q1359" s="214"/>
    </row>
    <row r="1360" spans="1:17">
      <c r="A1360" s="175"/>
      <c r="B1360" s="175"/>
      <c r="P1360" s="4"/>
      <c r="Q1360" s="214"/>
    </row>
    <row r="1361" spans="1:17">
      <c r="A1361" s="175"/>
      <c r="B1361" s="175"/>
      <c r="P1361" s="4"/>
      <c r="Q1361" s="214"/>
    </row>
    <row r="1362" spans="1:17">
      <c r="A1362" s="175"/>
      <c r="B1362" s="175"/>
      <c r="P1362" s="4"/>
      <c r="Q1362" s="214"/>
    </row>
    <row r="1363" spans="1:17">
      <c r="A1363" s="175"/>
      <c r="B1363" s="175"/>
      <c r="P1363" s="4"/>
      <c r="Q1363" s="214"/>
    </row>
    <row r="1364" spans="1:17">
      <c r="A1364" s="175"/>
      <c r="B1364" s="175"/>
      <c r="P1364" s="4"/>
      <c r="Q1364" s="214"/>
    </row>
    <row r="1365" spans="1:17">
      <c r="A1365" s="175"/>
      <c r="B1365" s="175"/>
      <c r="P1365" s="4"/>
      <c r="Q1365" s="214"/>
    </row>
    <row r="1366" spans="1:17">
      <c r="A1366" s="175"/>
      <c r="B1366" s="175"/>
      <c r="P1366" s="4"/>
      <c r="Q1366" s="214"/>
    </row>
    <row r="1367" spans="1:17">
      <c r="A1367" s="175"/>
      <c r="B1367" s="175"/>
      <c r="P1367" s="4"/>
      <c r="Q1367" s="214"/>
    </row>
    <row r="1368" spans="1:17">
      <c r="A1368" s="175"/>
      <c r="B1368" s="175"/>
      <c r="P1368" s="4"/>
      <c r="Q1368" s="214"/>
    </row>
    <row r="1369" spans="1:17">
      <c r="A1369" s="175"/>
      <c r="B1369" s="175"/>
      <c r="P1369" s="4"/>
      <c r="Q1369" s="214"/>
    </row>
    <row r="1370" spans="1:17">
      <c r="A1370" s="175"/>
      <c r="B1370" s="175"/>
      <c r="P1370" s="4"/>
      <c r="Q1370" s="214"/>
    </row>
    <row r="1371" spans="1:17">
      <c r="A1371" s="175"/>
      <c r="B1371" s="175"/>
      <c r="P1371" s="4"/>
      <c r="Q1371" s="214"/>
    </row>
    <row r="1372" spans="1:17">
      <c r="A1372" s="175"/>
      <c r="B1372" s="175"/>
      <c r="P1372" s="4"/>
      <c r="Q1372" s="214"/>
    </row>
    <row r="1373" spans="1:17">
      <c r="A1373" s="175"/>
      <c r="B1373" s="175"/>
      <c r="P1373" s="4"/>
      <c r="Q1373" s="214"/>
    </row>
    <row r="1374" spans="1:17">
      <c r="A1374" s="175"/>
      <c r="B1374" s="175"/>
      <c r="P1374" s="4"/>
      <c r="Q1374" s="214"/>
    </row>
    <row r="1375" spans="1:17">
      <c r="A1375" s="175"/>
      <c r="B1375" s="175"/>
      <c r="P1375" s="4"/>
      <c r="Q1375" s="214"/>
    </row>
    <row r="1376" spans="1:17">
      <c r="A1376" s="175"/>
      <c r="B1376" s="175"/>
      <c r="P1376" s="4"/>
      <c r="Q1376" s="214"/>
    </row>
    <row r="1377" spans="1:17">
      <c r="A1377" s="175"/>
      <c r="B1377" s="175"/>
      <c r="P1377" s="4"/>
      <c r="Q1377" s="214"/>
    </row>
    <row r="1378" spans="1:17">
      <c r="A1378" s="175"/>
      <c r="B1378" s="175"/>
      <c r="P1378" s="4"/>
      <c r="Q1378" s="214"/>
    </row>
    <row r="1379" spans="1:17">
      <c r="A1379" s="175"/>
      <c r="B1379" s="175"/>
      <c r="P1379" s="4"/>
      <c r="Q1379" s="214"/>
    </row>
    <row r="1380" spans="1:17">
      <c r="A1380" s="175"/>
      <c r="B1380" s="175"/>
      <c r="P1380" s="4"/>
      <c r="Q1380" s="214"/>
    </row>
    <row r="1381" spans="1:17">
      <c r="A1381" s="175"/>
      <c r="B1381" s="175"/>
      <c r="P1381" s="4"/>
      <c r="Q1381" s="214"/>
    </row>
    <row r="1382" spans="1:17">
      <c r="A1382" s="175"/>
      <c r="B1382" s="175"/>
      <c r="P1382" s="4"/>
      <c r="Q1382" s="214"/>
    </row>
    <row r="1383" spans="1:17">
      <c r="A1383" s="175"/>
      <c r="B1383" s="175"/>
      <c r="P1383" s="4"/>
      <c r="Q1383" s="214"/>
    </row>
    <row r="1384" spans="1:17">
      <c r="A1384" s="175"/>
      <c r="B1384" s="175"/>
      <c r="P1384" s="4"/>
      <c r="Q1384" s="214"/>
    </row>
    <row r="1385" spans="1:17">
      <c r="A1385" s="175"/>
      <c r="B1385" s="175"/>
      <c r="P1385" s="4"/>
      <c r="Q1385" s="214"/>
    </row>
    <row r="1386" spans="1:17">
      <c r="A1386" s="175"/>
      <c r="B1386" s="175"/>
      <c r="P1386" s="4"/>
      <c r="Q1386" s="214"/>
    </row>
    <row r="1387" spans="1:17">
      <c r="A1387" s="175"/>
      <c r="B1387" s="175"/>
      <c r="P1387" s="4"/>
      <c r="Q1387" s="214"/>
    </row>
    <row r="1388" spans="1:17">
      <c r="A1388" s="175"/>
      <c r="B1388" s="175"/>
      <c r="P1388" s="4"/>
      <c r="Q1388" s="214"/>
    </row>
    <row r="1389" spans="1:17">
      <c r="A1389" s="175"/>
      <c r="B1389" s="175"/>
      <c r="P1389" s="4"/>
      <c r="Q1389" s="214"/>
    </row>
    <row r="1390" spans="1:17">
      <c r="A1390" s="175"/>
      <c r="B1390" s="175"/>
      <c r="P1390" s="4"/>
      <c r="Q1390" s="214"/>
    </row>
    <row r="1391" spans="1:17">
      <c r="A1391" s="175"/>
      <c r="B1391" s="175"/>
      <c r="P1391" s="4"/>
      <c r="Q1391" s="214"/>
    </row>
    <row r="1392" spans="1:17">
      <c r="A1392" s="175"/>
      <c r="B1392" s="175"/>
      <c r="P1392" s="4"/>
      <c r="Q1392" s="214"/>
    </row>
    <row r="1393" spans="1:17">
      <c r="A1393" s="175"/>
      <c r="B1393" s="175"/>
      <c r="P1393" s="4"/>
      <c r="Q1393" s="214"/>
    </row>
    <row r="1394" spans="1:17">
      <c r="A1394" s="175"/>
      <c r="B1394" s="175"/>
      <c r="P1394" s="4"/>
      <c r="Q1394" s="214"/>
    </row>
    <row r="1395" spans="1:17">
      <c r="A1395" s="175"/>
      <c r="B1395" s="175"/>
      <c r="P1395" s="4"/>
      <c r="Q1395" s="214"/>
    </row>
    <row r="1396" spans="1:17">
      <c r="A1396" s="175"/>
      <c r="B1396" s="175"/>
      <c r="P1396" s="4"/>
      <c r="Q1396" s="214"/>
    </row>
    <row r="1397" spans="1:17">
      <c r="A1397" s="175"/>
      <c r="B1397" s="175"/>
      <c r="P1397" s="4"/>
      <c r="Q1397" s="214"/>
    </row>
    <row r="1398" spans="1:17">
      <c r="A1398" s="175"/>
      <c r="B1398" s="175"/>
      <c r="P1398" s="4"/>
      <c r="Q1398" s="214"/>
    </row>
    <row r="1399" spans="1:17">
      <c r="A1399" s="175"/>
      <c r="B1399" s="175"/>
      <c r="P1399" s="4"/>
      <c r="Q1399" s="214"/>
    </row>
    <row r="1400" spans="1:17">
      <c r="A1400" s="175"/>
      <c r="B1400" s="175"/>
      <c r="P1400" s="4"/>
      <c r="Q1400" s="214"/>
    </row>
    <row r="1401" spans="1:17">
      <c r="A1401" s="175"/>
      <c r="B1401" s="175"/>
      <c r="P1401" s="4"/>
      <c r="Q1401" s="214"/>
    </row>
    <row r="1402" spans="1:17">
      <c r="A1402" s="175"/>
      <c r="B1402" s="175"/>
      <c r="P1402" s="4"/>
      <c r="Q1402" s="214"/>
    </row>
    <row r="1403" spans="1:17">
      <c r="A1403" s="175"/>
      <c r="B1403" s="175"/>
      <c r="P1403" s="4"/>
      <c r="Q1403" s="214"/>
    </row>
    <row r="1404" spans="1:17">
      <c r="A1404" s="175"/>
      <c r="B1404" s="175"/>
      <c r="P1404" s="4"/>
      <c r="Q1404" s="214"/>
    </row>
    <row r="1405" spans="1:17">
      <c r="A1405" s="175"/>
      <c r="B1405" s="175"/>
      <c r="P1405" s="4"/>
      <c r="Q1405" s="214"/>
    </row>
    <row r="1406" spans="1:17">
      <c r="A1406" s="175"/>
      <c r="B1406" s="175"/>
      <c r="P1406" s="4"/>
      <c r="Q1406" s="214"/>
    </row>
    <row r="1407" spans="1:17">
      <c r="A1407" s="175"/>
      <c r="B1407" s="175"/>
      <c r="P1407" s="4"/>
      <c r="Q1407" s="214"/>
    </row>
    <row r="1408" spans="1:17">
      <c r="A1408" s="175"/>
      <c r="B1408" s="175"/>
      <c r="P1408" s="4"/>
      <c r="Q1408" s="214"/>
    </row>
    <row r="1409" spans="1:17">
      <c r="A1409" s="175"/>
      <c r="B1409" s="175"/>
      <c r="P1409" s="4"/>
      <c r="Q1409" s="214"/>
    </row>
    <row r="1410" spans="1:17">
      <c r="A1410" s="175"/>
      <c r="B1410" s="175"/>
      <c r="P1410" s="4"/>
      <c r="Q1410" s="214"/>
    </row>
    <row r="1411" spans="1:17">
      <c r="A1411" s="175"/>
      <c r="B1411" s="175"/>
      <c r="P1411" s="4"/>
      <c r="Q1411" s="214"/>
    </row>
    <row r="1412" spans="1:17">
      <c r="A1412" s="175"/>
      <c r="B1412" s="175"/>
      <c r="P1412" s="4"/>
      <c r="Q1412" s="214"/>
    </row>
    <row r="1413" spans="1:17">
      <c r="A1413" s="175"/>
      <c r="B1413" s="175"/>
      <c r="P1413" s="4"/>
      <c r="Q1413" s="214"/>
    </row>
    <row r="1414" spans="1:17">
      <c r="A1414" s="175"/>
      <c r="B1414" s="175"/>
      <c r="P1414" s="4"/>
      <c r="Q1414" s="214"/>
    </row>
    <row r="1415" spans="1:17">
      <c r="A1415" s="175"/>
      <c r="B1415" s="175"/>
      <c r="P1415" s="4"/>
      <c r="Q1415" s="214"/>
    </row>
    <row r="1416" spans="1:17">
      <c r="A1416" s="175"/>
      <c r="B1416" s="175"/>
      <c r="P1416" s="4"/>
      <c r="Q1416" s="214"/>
    </row>
    <row r="1417" spans="1:17">
      <c r="A1417" s="175"/>
      <c r="B1417" s="175"/>
      <c r="P1417" s="4"/>
      <c r="Q1417" s="214"/>
    </row>
    <row r="1418" spans="1:17">
      <c r="A1418" s="175"/>
      <c r="B1418" s="175"/>
      <c r="P1418" s="4"/>
      <c r="Q1418" s="214"/>
    </row>
    <row r="1419" spans="1:17">
      <c r="A1419" s="175"/>
      <c r="B1419" s="175"/>
      <c r="P1419" s="4"/>
      <c r="Q1419" s="214"/>
    </row>
    <row r="1420" spans="1:17">
      <c r="A1420" s="175"/>
      <c r="B1420" s="175"/>
      <c r="P1420" s="4"/>
      <c r="Q1420" s="214"/>
    </row>
    <row r="1421" spans="1:17">
      <c r="A1421" s="175"/>
      <c r="B1421" s="175"/>
      <c r="P1421" s="4"/>
      <c r="Q1421" s="214"/>
    </row>
    <row r="1422" spans="1:17">
      <c r="A1422" s="175"/>
      <c r="B1422" s="175"/>
      <c r="P1422" s="4"/>
      <c r="Q1422" s="214"/>
    </row>
    <row r="1423" spans="1:17">
      <c r="A1423" s="175"/>
      <c r="B1423" s="175"/>
      <c r="P1423" s="4"/>
      <c r="Q1423" s="214"/>
    </row>
    <row r="1424" spans="1:17">
      <c r="A1424" s="175"/>
      <c r="B1424" s="175"/>
      <c r="P1424" s="4"/>
      <c r="Q1424" s="214"/>
    </row>
    <row r="1425" spans="1:17">
      <c r="A1425" s="175"/>
      <c r="B1425" s="175"/>
      <c r="P1425" s="4"/>
      <c r="Q1425" s="214"/>
    </row>
    <row r="1426" spans="1:17">
      <c r="A1426" s="175"/>
      <c r="B1426" s="175"/>
      <c r="P1426" s="4"/>
      <c r="Q1426" s="214"/>
    </row>
    <row r="1427" spans="1:17">
      <c r="A1427" s="175"/>
      <c r="B1427" s="175"/>
      <c r="P1427" s="4"/>
      <c r="Q1427" s="214"/>
    </row>
    <row r="1428" spans="1:17">
      <c r="A1428" s="175"/>
      <c r="B1428" s="175"/>
      <c r="P1428" s="4"/>
      <c r="Q1428" s="214"/>
    </row>
    <row r="1429" spans="1:17">
      <c r="A1429" s="175"/>
      <c r="B1429" s="175"/>
      <c r="P1429" s="4"/>
      <c r="Q1429" s="214"/>
    </row>
    <row r="1430" spans="1:17">
      <c r="A1430" s="175"/>
      <c r="B1430" s="175"/>
      <c r="P1430" s="4"/>
      <c r="Q1430" s="214"/>
    </row>
    <row r="1431" spans="1:17">
      <c r="A1431" s="175"/>
      <c r="B1431" s="175"/>
      <c r="P1431" s="4"/>
      <c r="Q1431" s="214"/>
    </row>
    <row r="1432" spans="1:17">
      <c r="A1432" s="175"/>
      <c r="B1432" s="175"/>
      <c r="P1432" s="4"/>
      <c r="Q1432" s="214"/>
    </row>
    <row r="1433" spans="1:17">
      <c r="A1433" s="175"/>
      <c r="B1433" s="175"/>
      <c r="P1433" s="4"/>
      <c r="Q1433" s="214"/>
    </row>
    <row r="1434" spans="1:17">
      <c r="A1434" s="175"/>
      <c r="B1434" s="175"/>
      <c r="P1434" s="4"/>
      <c r="Q1434" s="214"/>
    </row>
    <row r="1435" spans="1:17">
      <c r="A1435" s="175"/>
      <c r="B1435" s="175"/>
      <c r="P1435" s="4"/>
      <c r="Q1435" s="214"/>
    </row>
    <row r="1436" spans="1:17">
      <c r="A1436" s="175"/>
      <c r="B1436" s="175"/>
      <c r="P1436" s="4"/>
      <c r="Q1436" s="214"/>
    </row>
    <row r="1437" spans="1:17">
      <c r="A1437" s="175"/>
      <c r="B1437" s="175"/>
      <c r="P1437" s="4"/>
      <c r="Q1437" s="214"/>
    </row>
    <row r="1438" spans="1:17">
      <c r="A1438" s="175"/>
      <c r="B1438" s="175"/>
      <c r="P1438" s="4"/>
      <c r="Q1438" s="214"/>
    </row>
    <row r="1439" spans="1:17">
      <c r="A1439" s="175"/>
      <c r="B1439" s="175"/>
      <c r="P1439" s="4"/>
      <c r="Q1439" s="214"/>
    </row>
    <row r="1440" spans="1:17">
      <c r="A1440" s="175"/>
      <c r="B1440" s="175"/>
      <c r="P1440" s="4"/>
      <c r="Q1440" s="214"/>
    </row>
    <row r="1441" spans="1:17">
      <c r="A1441" s="175"/>
      <c r="B1441" s="175"/>
      <c r="P1441" s="4"/>
      <c r="Q1441" s="214"/>
    </row>
    <row r="1442" spans="1:17">
      <c r="A1442" s="175"/>
      <c r="B1442" s="175"/>
      <c r="P1442" s="4"/>
      <c r="Q1442" s="214"/>
    </row>
    <row r="1443" spans="1:17">
      <c r="A1443" s="175"/>
      <c r="B1443" s="175"/>
      <c r="P1443" s="4"/>
      <c r="Q1443" s="214"/>
    </row>
    <row r="1444" spans="1:17">
      <c r="A1444" s="175"/>
      <c r="B1444" s="175"/>
      <c r="P1444" s="4"/>
      <c r="Q1444" s="214"/>
    </row>
    <row r="1445" spans="1:17">
      <c r="A1445" s="175"/>
      <c r="B1445" s="175"/>
      <c r="P1445" s="4"/>
      <c r="Q1445" s="214"/>
    </row>
    <row r="1446" spans="1:17">
      <c r="A1446" s="175"/>
      <c r="B1446" s="175"/>
      <c r="P1446" s="4"/>
      <c r="Q1446" s="214"/>
    </row>
    <row r="1447" spans="1:17">
      <c r="A1447" s="175"/>
      <c r="B1447" s="175"/>
      <c r="P1447" s="4"/>
      <c r="Q1447" s="214"/>
    </row>
    <row r="1448" spans="1:17">
      <c r="A1448" s="175"/>
      <c r="B1448" s="175"/>
      <c r="P1448" s="4"/>
      <c r="Q1448" s="214"/>
    </row>
    <row r="1449" spans="1:17">
      <c r="A1449" s="175"/>
      <c r="B1449" s="175"/>
      <c r="P1449" s="4"/>
      <c r="Q1449" s="214"/>
    </row>
    <row r="1450" spans="1:17">
      <c r="A1450" s="175"/>
      <c r="B1450" s="175"/>
      <c r="P1450" s="4"/>
      <c r="Q1450" s="214"/>
    </row>
    <row r="1451" spans="1:17">
      <c r="A1451" s="175"/>
      <c r="B1451" s="175"/>
      <c r="P1451" s="4"/>
      <c r="Q1451" s="214"/>
    </row>
    <row r="1452" spans="1:17">
      <c r="A1452" s="175"/>
      <c r="B1452" s="175"/>
      <c r="P1452" s="4"/>
      <c r="Q1452" s="214"/>
    </row>
    <row r="1453" spans="1:17">
      <c r="A1453" s="175"/>
      <c r="B1453" s="175"/>
      <c r="P1453" s="4"/>
      <c r="Q1453" s="214"/>
    </row>
    <row r="1454" spans="1:17">
      <c r="A1454" s="175"/>
      <c r="B1454" s="175"/>
      <c r="P1454" s="4"/>
      <c r="Q1454" s="214"/>
    </row>
    <row r="1455" spans="1:17">
      <c r="A1455" s="175"/>
      <c r="B1455" s="175"/>
      <c r="P1455" s="4"/>
      <c r="Q1455" s="214"/>
    </row>
    <row r="1456" spans="1:17">
      <c r="A1456" s="175"/>
      <c r="B1456" s="175"/>
      <c r="P1456" s="4"/>
      <c r="Q1456" s="214"/>
    </row>
    <row r="1457" spans="1:17">
      <c r="A1457" s="175"/>
      <c r="B1457" s="175"/>
      <c r="P1457" s="4"/>
      <c r="Q1457" s="214"/>
    </row>
    <row r="1458" spans="1:17">
      <c r="A1458" s="175"/>
      <c r="B1458" s="175"/>
      <c r="P1458" s="4"/>
      <c r="Q1458" s="214"/>
    </row>
    <row r="1459" spans="1:17">
      <c r="A1459" s="175"/>
      <c r="B1459" s="175"/>
      <c r="P1459" s="4"/>
      <c r="Q1459" s="214"/>
    </row>
    <row r="1460" spans="1:17">
      <c r="A1460" s="175"/>
      <c r="B1460" s="175"/>
      <c r="P1460" s="4"/>
      <c r="Q1460" s="214"/>
    </row>
    <row r="1461" spans="1:17">
      <c r="A1461" s="175"/>
      <c r="B1461" s="175"/>
      <c r="P1461" s="4"/>
      <c r="Q1461" s="214"/>
    </row>
    <row r="1462" spans="1:17">
      <c r="A1462" s="175"/>
      <c r="B1462" s="175"/>
      <c r="P1462" s="4"/>
      <c r="Q1462" s="214"/>
    </row>
    <row r="1463" spans="1:17">
      <c r="A1463" s="175"/>
      <c r="B1463" s="175"/>
      <c r="P1463" s="4"/>
      <c r="Q1463" s="214"/>
    </row>
    <row r="1464" spans="1:17">
      <c r="A1464" s="175"/>
      <c r="B1464" s="175"/>
      <c r="P1464" s="4"/>
      <c r="Q1464" s="214"/>
    </row>
    <row r="1465" spans="1:17">
      <c r="A1465" s="175"/>
      <c r="B1465" s="175"/>
      <c r="P1465" s="4"/>
      <c r="Q1465" s="214"/>
    </row>
    <row r="1466" spans="1:17">
      <c r="A1466" s="175"/>
      <c r="B1466" s="175"/>
      <c r="P1466" s="4"/>
      <c r="Q1466" s="214"/>
    </row>
    <row r="1467" spans="1:17">
      <c r="A1467" s="175"/>
      <c r="B1467" s="175"/>
      <c r="P1467" s="4"/>
      <c r="Q1467" s="214"/>
    </row>
    <row r="1468" spans="1:17">
      <c r="A1468" s="175"/>
      <c r="B1468" s="175"/>
      <c r="P1468" s="4"/>
      <c r="Q1468" s="214"/>
    </row>
    <row r="1469" spans="1:17">
      <c r="A1469" s="175"/>
      <c r="B1469" s="175"/>
      <c r="P1469" s="4"/>
      <c r="Q1469" s="214"/>
    </row>
    <row r="1470" spans="1:17">
      <c r="A1470" s="175"/>
      <c r="B1470" s="175"/>
      <c r="P1470" s="4"/>
      <c r="Q1470" s="214"/>
    </row>
    <row r="1471" spans="1:17">
      <c r="A1471" s="175"/>
      <c r="B1471" s="175"/>
      <c r="P1471" s="4"/>
      <c r="Q1471" s="214"/>
    </row>
    <row r="1472" spans="1:17">
      <c r="A1472" s="175"/>
      <c r="B1472" s="175"/>
      <c r="P1472" s="4"/>
      <c r="Q1472" s="214"/>
    </row>
    <row r="1473" spans="1:17">
      <c r="A1473" s="175"/>
      <c r="B1473" s="175"/>
      <c r="P1473" s="4"/>
      <c r="Q1473" s="214"/>
    </row>
    <row r="1474" spans="1:17">
      <c r="A1474" s="175"/>
      <c r="B1474" s="175"/>
      <c r="P1474" s="4"/>
      <c r="Q1474" s="214"/>
    </row>
    <row r="1475" spans="1:17">
      <c r="A1475" s="175"/>
      <c r="B1475" s="175"/>
      <c r="P1475" s="4"/>
      <c r="Q1475" s="214"/>
    </row>
    <row r="1476" spans="1:17">
      <c r="A1476" s="175"/>
      <c r="B1476" s="175"/>
      <c r="P1476" s="4"/>
      <c r="Q1476" s="214"/>
    </row>
    <row r="1477" spans="1:17">
      <c r="A1477" s="175"/>
      <c r="B1477" s="175"/>
      <c r="P1477" s="4"/>
      <c r="Q1477" s="214"/>
    </row>
    <row r="1478" spans="1:17">
      <c r="A1478" s="175"/>
      <c r="B1478" s="175"/>
      <c r="P1478" s="4"/>
      <c r="Q1478" s="214"/>
    </row>
    <row r="1479" spans="1:17">
      <c r="A1479" s="175"/>
      <c r="B1479" s="175"/>
      <c r="P1479" s="4"/>
      <c r="Q1479" s="214"/>
    </row>
    <row r="1480" spans="1:17">
      <c r="A1480" s="175"/>
      <c r="B1480" s="175"/>
      <c r="P1480" s="4"/>
      <c r="Q1480" s="214"/>
    </row>
    <row r="1481" spans="1:17">
      <c r="A1481" s="175"/>
      <c r="B1481" s="175"/>
      <c r="P1481" s="4"/>
      <c r="Q1481" s="214"/>
    </row>
    <row r="1482" spans="1:17">
      <c r="A1482" s="175"/>
      <c r="B1482" s="175"/>
      <c r="P1482" s="4"/>
      <c r="Q1482" s="214"/>
    </row>
    <row r="1483" spans="1:17">
      <c r="A1483" s="175"/>
      <c r="B1483" s="175"/>
      <c r="P1483" s="4"/>
      <c r="Q1483" s="214"/>
    </row>
    <row r="1484" spans="1:17">
      <c r="A1484" s="175"/>
      <c r="B1484" s="175"/>
      <c r="P1484" s="4"/>
      <c r="Q1484" s="214"/>
    </row>
    <row r="1485" spans="1:17">
      <c r="A1485" s="175"/>
      <c r="B1485" s="175"/>
      <c r="P1485" s="4"/>
      <c r="Q1485" s="214"/>
    </row>
    <row r="1486" spans="1:17">
      <c r="A1486" s="175"/>
      <c r="B1486" s="175"/>
      <c r="P1486" s="4"/>
      <c r="Q1486" s="214"/>
    </row>
    <row r="1487" spans="1:17">
      <c r="A1487" s="175"/>
      <c r="B1487" s="175"/>
      <c r="P1487" s="4"/>
      <c r="Q1487" s="214"/>
    </row>
    <row r="1488" spans="1:17">
      <c r="A1488" s="175"/>
      <c r="B1488" s="175"/>
      <c r="P1488" s="4"/>
      <c r="Q1488" s="214"/>
    </row>
    <row r="1489" spans="1:17">
      <c r="A1489" s="175"/>
      <c r="B1489" s="175"/>
      <c r="P1489" s="4"/>
      <c r="Q1489" s="214"/>
    </row>
    <row r="1490" spans="1:17">
      <c r="A1490" s="175"/>
      <c r="B1490" s="175"/>
      <c r="P1490" s="4"/>
      <c r="Q1490" s="214"/>
    </row>
    <row r="1491" spans="1:17">
      <c r="A1491" s="175"/>
      <c r="B1491" s="175"/>
      <c r="P1491" s="4"/>
      <c r="Q1491" s="214"/>
    </row>
    <row r="1492" spans="1:17">
      <c r="A1492" s="175"/>
      <c r="B1492" s="175"/>
      <c r="P1492" s="4"/>
      <c r="Q1492" s="214"/>
    </row>
    <row r="1493" spans="1:17">
      <c r="A1493" s="175"/>
      <c r="B1493" s="175"/>
      <c r="P1493" s="4"/>
      <c r="Q1493" s="214"/>
    </row>
    <row r="1494" spans="1:17">
      <c r="A1494" s="175"/>
      <c r="B1494" s="175"/>
      <c r="P1494" s="4"/>
      <c r="Q1494" s="214"/>
    </row>
    <row r="1495" spans="1:17">
      <c r="A1495" s="175"/>
      <c r="B1495" s="175"/>
      <c r="P1495" s="4"/>
      <c r="Q1495" s="214"/>
    </row>
    <row r="1496" spans="1:17">
      <c r="A1496" s="175"/>
      <c r="B1496" s="175"/>
      <c r="P1496" s="4"/>
      <c r="Q1496" s="214"/>
    </row>
    <row r="1497" spans="1:17">
      <c r="A1497" s="175"/>
      <c r="B1497" s="175"/>
      <c r="P1497" s="4"/>
      <c r="Q1497" s="214"/>
    </row>
    <row r="1498" spans="1:17">
      <c r="A1498" s="175"/>
      <c r="B1498" s="175"/>
      <c r="P1498" s="4"/>
      <c r="Q1498" s="214"/>
    </row>
    <row r="1499" spans="1:17">
      <c r="A1499" s="175"/>
      <c r="B1499" s="175"/>
      <c r="P1499" s="4"/>
      <c r="Q1499" s="214"/>
    </row>
    <row r="1500" spans="1:17">
      <c r="A1500" s="175"/>
      <c r="B1500" s="175"/>
      <c r="P1500" s="4"/>
      <c r="Q1500" s="214"/>
    </row>
    <row r="1501" spans="1:17">
      <c r="A1501" s="175"/>
      <c r="B1501" s="175"/>
      <c r="P1501" s="4"/>
      <c r="Q1501" s="214"/>
    </row>
    <row r="1502" spans="1:17">
      <c r="A1502" s="175"/>
      <c r="B1502" s="175"/>
      <c r="P1502" s="4"/>
      <c r="Q1502" s="214"/>
    </row>
    <row r="1503" spans="1:17">
      <c r="A1503" s="175"/>
      <c r="B1503" s="175"/>
      <c r="P1503" s="4"/>
      <c r="Q1503" s="214"/>
    </row>
    <row r="1504" spans="1:17">
      <c r="A1504" s="175"/>
      <c r="B1504" s="175"/>
      <c r="P1504" s="4"/>
      <c r="Q1504" s="214"/>
    </row>
    <row r="1505" spans="1:17">
      <c r="A1505" s="175"/>
      <c r="B1505" s="175"/>
      <c r="P1505" s="4"/>
      <c r="Q1505" s="214"/>
    </row>
    <row r="1506" spans="1:17">
      <c r="A1506" s="175"/>
      <c r="B1506" s="175"/>
      <c r="P1506" s="4"/>
      <c r="Q1506" s="214"/>
    </row>
    <row r="1507" spans="1:17">
      <c r="A1507" s="175"/>
      <c r="B1507" s="175"/>
      <c r="P1507" s="4"/>
      <c r="Q1507" s="214"/>
    </row>
    <row r="1508" spans="1:17">
      <c r="A1508" s="175"/>
      <c r="B1508" s="175"/>
      <c r="P1508" s="4"/>
      <c r="Q1508" s="214"/>
    </row>
    <row r="1509" spans="1:17">
      <c r="A1509" s="175"/>
      <c r="B1509" s="175"/>
      <c r="P1509" s="4"/>
      <c r="Q1509" s="214"/>
    </row>
    <row r="1510" spans="1:17">
      <c r="A1510" s="175"/>
      <c r="B1510" s="175"/>
      <c r="P1510" s="4"/>
      <c r="Q1510" s="214"/>
    </row>
    <row r="1511" spans="1:17">
      <c r="A1511" s="175"/>
      <c r="B1511" s="175"/>
      <c r="P1511" s="4"/>
      <c r="Q1511" s="214"/>
    </row>
    <row r="1512" spans="1:17">
      <c r="A1512" s="175"/>
      <c r="B1512" s="175"/>
      <c r="P1512" s="4"/>
      <c r="Q1512" s="214"/>
    </row>
    <row r="1513" spans="1:17">
      <c r="A1513" s="175"/>
      <c r="B1513" s="175"/>
      <c r="P1513" s="4"/>
      <c r="Q1513" s="214"/>
    </row>
    <row r="1514" spans="1:17">
      <c r="A1514" s="175"/>
      <c r="B1514" s="175"/>
      <c r="P1514" s="4"/>
      <c r="Q1514" s="214"/>
    </row>
    <row r="1515" spans="1:17">
      <c r="A1515" s="175"/>
      <c r="B1515" s="175"/>
      <c r="P1515" s="4"/>
      <c r="Q1515" s="214"/>
    </row>
    <row r="1516" spans="1:17">
      <c r="A1516" s="175"/>
      <c r="B1516" s="175"/>
      <c r="P1516" s="4"/>
      <c r="Q1516" s="214"/>
    </row>
    <row r="1517" spans="1:17">
      <c r="A1517" s="175"/>
      <c r="B1517" s="175"/>
      <c r="P1517" s="4"/>
      <c r="Q1517" s="214"/>
    </row>
    <row r="1518" spans="1:17">
      <c r="A1518" s="175"/>
      <c r="B1518" s="175"/>
      <c r="P1518" s="4"/>
      <c r="Q1518" s="214"/>
    </row>
    <row r="1519" spans="1:17">
      <c r="A1519" s="175"/>
      <c r="B1519" s="175"/>
      <c r="P1519" s="4"/>
      <c r="Q1519" s="214"/>
    </row>
    <row r="1520" spans="1:17">
      <c r="A1520" s="175"/>
      <c r="B1520" s="175"/>
      <c r="P1520" s="4"/>
      <c r="Q1520" s="214"/>
    </row>
    <row r="1521" spans="1:17">
      <c r="A1521" s="175"/>
      <c r="B1521" s="175"/>
      <c r="P1521" s="4"/>
      <c r="Q1521" s="214"/>
    </row>
    <row r="1522" spans="1:17">
      <c r="A1522" s="175"/>
      <c r="B1522" s="175"/>
      <c r="P1522" s="4"/>
      <c r="Q1522" s="214"/>
    </row>
    <row r="1523" spans="1:17">
      <c r="A1523" s="175"/>
      <c r="B1523" s="175"/>
      <c r="P1523" s="4"/>
      <c r="Q1523" s="214"/>
    </row>
    <row r="1524" spans="1:17">
      <c r="A1524" s="175"/>
      <c r="B1524" s="175"/>
      <c r="P1524" s="4"/>
      <c r="Q1524" s="214"/>
    </row>
    <row r="1525" spans="1:17">
      <c r="A1525" s="175"/>
      <c r="B1525" s="175"/>
      <c r="P1525" s="4"/>
      <c r="Q1525" s="214"/>
    </row>
    <row r="1526" spans="1:17">
      <c r="A1526" s="175"/>
      <c r="B1526" s="175"/>
      <c r="P1526" s="4"/>
      <c r="Q1526" s="214"/>
    </row>
    <row r="1527" spans="1:17">
      <c r="A1527" s="175"/>
      <c r="B1527" s="175"/>
      <c r="P1527" s="4"/>
      <c r="Q1527" s="214"/>
    </row>
    <row r="1528" spans="1:17">
      <c r="A1528" s="175"/>
      <c r="B1528" s="175"/>
      <c r="P1528" s="4"/>
      <c r="Q1528" s="214"/>
    </row>
    <row r="1529" spans="1:17">
      <c r="A1529" s="175"/>
      <c r="B1529" s="175"/>
      <c r="P1529" s="4"/>
      <c r="Q1529" s="214"/>
    </row>
    <row r="1530" spans="1:17">
      <c r="A1530" s="175"/>
      <c r="B1530" s="175"/>
      <c r="P1530" s="4"/>
      <c r="Q1530" s="214"/>
    </row>
    <row r="1531" spans="1:17">
      <c r="A1531" s="175"/>
      <c r="B1531" s="175"/>
      <c r="P1531" s="4"/>
      <c r="Q1531" s="214"/>
    </row>
    <row r="1532" spans="1:17">
      <c r="A1532" s="175"/>
      <c r="B1532" s="175"/>
      <c r="P1532" s="4"/>
      <c r="Q1532" s="214"/>
    </row>
    <row r="1533" spans="1:17">
      <c r="A1533" s="175"/>
      <c r="B1533" s="175"/>
      <c r="P1533" s="4"/>
      <c r="Q1533" s="214"/>
    </row>
    <row r="1534" spans="1:17">
      <c r="A1534" s="175"/>
      <c r="B1534" s="175"/>
      <c r="P1534" s="4"/>
      <c r="Q1534" s="214"/>
    </row>
    <row r="1535" spans="1:17">
      <c r="A1535" s="175"/>
      <c r="B1535" s="175"/>
      <c r="P1535" s="4"/>
      <c r="Q1535" s="214"/>
    </row>
    <row r="1536" spans="1:17">
      <c r="A1536" s="175"/>
      <c r="B1536" s="175"/>
      <c r="P1536" s="4"/>
      <c r="Q1536" s="214"/>
    </row>
    <row r="1537" spans="1:17">
      <c r="A1537" s="175"/>
      <c r="B1537" s="175"/>
      <c r="P1537" s="4"/>
      <c r="Q1537" s="214"/>
    </row>
    <row r="1538" spans="1:17">
      <c r="A1538" s="175"/>
      <c r="B1538" s="175"/>
      <c r="P1538" s="4"/>
      <c r="Q1538" s="214"/>
    </row>
    <row r="1539" spans="1:17">
      <c r="A1539" s="175"/>
      <c r="B1539" s="175"/>
      <c r="P1539" s="4"/>
      <c r="Q1539" s="214"/>
    </row>
    <row r="1540" spans="1:17">
      <c r="A1540" s="175"/>
      <c r="B1540" s="175"/>
      <c r="P1540" s="4"/>
      <c r="Q1540" s="214"/>
    </row>
    <row r="1541" spans="1:17">
      <c r="A1541" s="175"/>
      <c r="B1541" s="175"/>
      <c r="P1541" s="4"/>
      <c r="Q1541" s="214"/>
    </row>
    <row r="1542" spans="1:17">
      <c r="A1542" s="175"/>
      <c r="B1542" s="175"/>
      <c r="P1542" s="4"/>
      <c r="Q1542" s="214"/>
    </row>
    <row r="1543" spans="1:17">
      <c r="A1543" s="175"/>
      <c r="B1543" s="175"/>
      <c r="P1543" s="4"/>
      <c r="Q1543" s="214"/>
    </row>
    <row r="1544" spans="1:17">
      <c r="A1544" s="175"/>
      <c r="B1544" s="175"/>
      <c r="P1544" s="4"/>
      <c r="Q1544" s="214"/>
    </row>
    <row r="1545" spans="1:17">
      <c r="A1545" s="175"/>
      <c r="B1545" s="175"/>
      <c r="P1545" s="4"/>
      <c r="Q1545" s="214"/>
    </row>
    <row r="1546" spans="1:17">
      <c r="A1546" s="175"/>
      <c r="B1546" s="175"/>
      <c r="P1546" s="4"/>
      <c r="Q1546" s="214"/>
    </row>
    <row r="1547" spans="1:17">
      <c r="A1547" s="175"/>
      <c r="B1547" s="175"/>
      <c r="P1547" s="4"/>
      <c r="Q1547" s="214"/>
    </row>
    <row r="1548" spans="1:17">
      <c r="A1548" s="175"/>
      <c r="B1548" s="175"/>
      <c r="P1548" s="4"/>
      <c r="Q1548" s="214"/>
    </row>
    <row r="1549" spans="1:17">
      <c r="A1549" s="175"/>
      <c r="B1549" s="175"/>
      <c r="P1549" s="4"/>
      <c r="Q1549" s="214"/>
    </row>
    <row r="1550" spans="1:17">
      <c r="A1550" s="175"/>
      <c r="B1550" s="175"/>
      <c r="P1550" s="4"/>
      <c r="Q1550" s="214"/>
    </row>
    <row r="1551" spans="1:17">
      <c r="A1551" s="175"/>
      <c r="B1551" s="175"/>
      <c r="P1551" s="4"/>
      <c r="Q1551" s="214"/>
    </row>
    <row r="1552" spans="1:17">
      <c r="A1552" s="175"/>
      <c r="B1552" s="175"/>
      <c r="P1552" s="4"/>
      <c r="Q1552" s="214"/>
    </row>
    <row r="1553" spans="1:17">
      <c r="A1553" s="175"/>
      <c r="B1553" s="175"/>
      <c r="P1553" s="4"/>
      <c r="Q1553" s="214"/>
    </row>
    <row r="1554" spans="1:17">
      <c r="A1554" s="175"/>
      <c r="B1554" s="175"/>
      <c r="P1554" s="4"/>
      <c r="Q1554" s="214"/>
    </row>
    <row r="1555" spans="1:17">
      <c r="A1555" s="175"/>
      <c r="B1555" s="175"/>
      <c r="P1555" s="4"/>
      <c r="Q1555" s="214"/>
    </row>
    <row r="1556" spans="1:17">
      <c r="A1556" s="175"/>
      <c r="B1556" s="175"/>
      <c r="P1556" s="4"/>
      <c r="Q1556" s="214"/>
    </row>
    <row r="1557" spans="1:17">
      <c r="A1557" s="175"/>
      <c r="B1557" s="175"/>
      <c r="P1557" s="4"/>
      <c r="Q1557" s="214"/>
    </row>
    <row r="1558" spans="1:17">
      <c r="A1558" s="175"/>
      <c r="B1558" s="175"/>
      <c r="P1558" s="4"/>
      <c r="Q1558" s="214"/>
    </row>
    <row r="1559" spans="1:17">
      <c r="A1559" s="175"/>
      <c r="B1559" s="175"/>
      <c r="P1559" s="4"/>
      <c r="Q1559" s="214"/>
    </row>
    <row r="1560" spans="1:17">
      <c r="A1560" s="175"/>
      <c r="B1560" s="175"/>
      <c r="P1560" s="4"/>
      <c r="Q1560" s="214"/>
    </row>
    <row r="1561" spans="1:17">
      <c r="A1561" s="175"/>
      <c r="B1561" s="175"/>
      <c r="P1561" s="4"/>
      <c r="Q1561" s="214"/>
    </row>
    <row r="1562" spans="1:17">
      <c r="A1562" s="175"/>
      <c r="B1562" s="175"/>
      <c r="P1562" s="4"/>
      <c r="Q1562" s="214"/>
    </row>
    <row r="1563" spans="1:17">
      <c r="A1563" s="175"/>
      <c r="B1563" s="175"/>
      <c r="P1563" s="4"/>
      <c r="Q1563" s="214"/>
    </row>
    <row r="1564" spans="1:17">
      <c r="A1564" s="175"/>
      <c r="B1564" s="175"/>
      <c r="P1564" s="4"/>
      <c r="Q1564" s="214"/>
    </row>
    <row r="1565" spans="1:17">
      <c r="A1565" s="175"/>
      <c r="B1565" s="175"/>
      <c r="P1565" s="4"/>
      <c r="Q1565" s="214"/>
    </row>
    <row r="1566" spans="1:17">
      <c r="A1566" s="175"/>
      <c r="B1566" s="175"/>
      <c r="P1566" s="4"/>
      <c r="Q1566" s="214"/>
    </row>
    <row r="1567" spans="1:17">
      <c r="A1567" s="175"/>
      <c r="B1567" s="175"/>
      <c r="P1567" s="4"/>
      <c r="Q1567" s="214"/>
    </row>
    <row r="1568" spans="1:17">
      <c r="A1568" s="175"/>
      <c r="B1568" s="175"/>
      <c r="P1568" s="4"/>
      <c r="Q1568" s="214"/>
    </row>
    <row r="1569" spans="1:17">
      <c r="A1569" s="175"/>
      <c r="B1569" s="175"/>
      <c r="P1569" s="4"/>
      <c r="Q1569" s="214"/>
    </row>
    <row r="1570" spans="1:17">
      <c r="A1570" s="175"/>
      <c r="B1570" s="175"/>
      <c r="P1570" s="4"/>
      <c r="Q1570" s="214"/>
    </row>
    <row r="1571" spans="1:17">
      <c r="A1571" s="175"/>
      <c r="B1571" s="175"/>
      <c r="P1571" s="4"/>
      <c r="Q1571" s="214"/>
    </row>
    <row r="1572" spans="1:17">
      <c r="A1572" s="175"/>
      <c r="B1572" s="175"/>
      <c r="P1572" s="4"/>
      <c r="Q1572" s="214"/>
    </row>
    <row r="1573" spans="1:17">
      <c r="A1573" s="175"/>
      <c r="B1573" s="175"/>
      <c r="P1573" s="4"/>
      <c r="Q1573" s="214"/>
    </row>
    <row r="1574" spans="1:17">
      <c r="A1574" s="175"/>
      <c r="B1574" s="175"/>
      <c r="P1574" s="4"/>
      <c r="Q1574" s="214"/>
    </row>
    <row r="1575" spans="1:17">
      <c r="A1575" s="175"/>
      <c r="B1575" s="175"/>
      <c r="P1575" s="4"/>
      <c r="Q1575" s="214"/>
    </row>
    <row r="1576" spans="1:17">
      <c r="A1576" s="175"/>
      <c r="B1576" s="175"/>
      <c r="P1576" s="4"/>
      <c r="Q1576" s="214"/>
    </row>
    <row r="1577" spans="1:17">
      <c r="A1577" s="175"/>
      <c r="B1577" s="175"/>
      <c r="P1577" s="4"/>
      <c r="Q1577" s="214"/>
    </row>
    <row r="1578" spans="1:17">
      <c r="A1578" s="175"/>
      <c r="B1578" s="175"/>
      <c r="P1578" s="4"/>
      <c r="Q1578" s="214"/>
    </row>
    <row r="1579" spans="1:17">
      <c r="A1579" s="175"/>
      <c r="B1579" s="175"/>
      <c r="P1579" s="4"/>
      <c r="Q1579" s="214"/>
    </row>
    <row r="1580" spans="1:17">
      <c r="A1580" s="175"/>
      <c r="B1580" s="175"/>
      <c r="P1580" s="4"/>
      <c r="Q1580" s="214"/>
    </row>
    <row r="1581" spans="1:17">
      <c r="A1581" s="175"/>
      <c r="B1581" s="175"/>
      <c r="P1581" s="4"/>
      <c r="Q1581" s="214"/>
    </row>
    <row r="1582" spans="1:17">
      <c r="A1582" s="175"/>
      <c r="B1582" s="175"/>
      <c r="P1582" s="4"/>
      <c r="Q1582" s="214"/>
    </row>
    <row r="1583" spans="1:17">
      <c r="A1583" s="175"/>
      <c r="B1583" s="175"/>
      <c r="P1583" s="4"/>
      <c r="Q1583" s="214"/>
    </row>
    <row r="1584" spans="1:17">
      <c r="A1584" s="175"/>
      <c r="B1584" s="175"/>
      <c r="P1584" s="4"/>
      <c r="Q1584" s="214"/>
    </row>
    <row r="1585" spans="1:17">
      <c r="A1585" s="175"/>
      <c r="B1585" s="175"/>
      <c r="P1585" s="4"/>
      <c r="Q1585" s="214"/>
    </row>
    <row r="1586" spans="1:17">
      <c r="A1586" s="175"/>
      <c r="B1586" s="175"/>
      <c r="P1586" s="4"/>
      <c r="Q1586" s="214"/>
    </row>
    <row r="1587" spans="1:17">
      <c r="A1587" s="175"/>
      <c r="B1587" s="175"/>
      <c r="P1587" s="4"/>
      <c r="Q1587" s="214"/>
    </row>
    <row r="1588" spans="1:17">
      <c r="A1588" s="175"/>
      <c r="B1588" s="175"/>
      <c r="P1588" s="4"/>
      <c r="Q1588" s="214"/>
    </row>
    <row r="1589" spans="1:17">
      <c r="A1589" s="175"/>
      <c r="B1589" s="175"/>
      <c r="P1589" s="4"/>
      <c r="Q1589" s="214"/>
    </row>
    <row r="1590" spans="1:17">
      <c r="A1590" s="175"/>
      <c r="B1590" s="175"/>
      <c r="P1590" s="4"/>
      <c r="Q1590" s="214"/>
    </row>
    <row r="1591" spans="1:17">
      <c r="A1591" s="175"/>
      <c r="B1591" s="175"/>
      <c r="P1591" s="4"/>
      <c r="Q1591" s="214"/>
    </row>
    <row r="1592" spans="1:17">
      <c r="A1592" s="175"/>
      <c r="B1592" s="175"/>
      <c r="P1592" s="4"/>
      <c r="Q1592" s="214"/>
    </row>
    <row r="1593" spans="1:17">
      <c r="A1593" s="175"/>
      <c r="B1593" s="175"/>
      <c r="P1593" s="4"/>
      <c r="Q1593" s="214"/>
    </row>
    <row r="1594" spans="1:17">
      <c r="A1594" s="175"/>
      <c r="B1594" s="175"/>
      <c r="P1594" s="4"/>
      <c r="Q1594" s="214"/>
    </row>
    <row r="1595" spans="1:17">
      <c r="A1595" s="175"/>
      <c r="B1595" s="175"/>
      <c r="P1595" s="4"/>
      <c r="Q1595" s="214"/>
    </row>
    <row r="1596" spans="1:17">
      <c r="A1596" s="175"/>
      <c r="B1596" s="175"/>
      <c r="P1596" s="4"/>
      <c r="Q1596" s="214"/>
    </row>
    <row r="1597" spans="1:17">
      <c r="A1597" s="175"/>
      <c r="B1597" s="175"/>
      <c r="P1597" s="4"/>
      <c r="Q1597" s="214"/>
    </row>
    <row r="1598" spans="1:17">
      <c r="A1598" s="175"/>
      <c r="B1598" s="175"/>
      <c r="P1598" s="4"/>
      <c r="Q1598" s="214"/>
    </row>
    <row r="1599" spans="1:17">
      <c r="A1599" s="175"/>
      <c r="B1599" s="175"/>
      <c r="P1599" s="4"/>
      <c r="Q1599" s="214"/>
    </row>
    <row r="1600" spans="1:17">
      <c r="A1600" s="175"/>
      <c r="B1600" s="175"/>
      <c r="P1600" s="4"/>
      <c r="Q1600" s="214"/>
    </row>
    <row r="1601" spans="1:17">
      <c r="A1601" s="175"/>
      <c r="B1601" s="175"/>
      <c r="P1601" s="4"/>
      <c r="Q1601" s="214"/>
    </row>
    <row r="1602" spans="1:17">
      <c r="A1602" s="175"/>
      <c r="B1602" s="175"/>
      <c r="P1602" s="4"/>
      <c r="Q1602" s="214"/>
    </row>
    <row r="1603" spans="1:17">
      <c r="A1603" s="175"/>
      <c r="B1603" s="175"/>
      <c r="P1603" s="4"/>
      <c r="Q1603" s="214"/>
    </row>
    <row r="1604" spans="1:17">
      <c r="A1604" s="175"/>
      <c r="B1604" s="175"/>
      <c r="P1604" s="4"/>
      <c r="Q1604" s="214"/>
    </row>
    <row r="1605" spans="1:17">
      <c r="A1605" s="175"/>
      <c r="B1605" s="175"/>
      <c r="P1605" s="4"/>
      <c r="Q1605" s="214"/>
    </row>
    <row r="1606" spans="1:17">
      <c r="A1606" s="175"/>
      <c r="B1606" s="175"/>
      <c r="P1606" s="4"/>
      <c r="Q1606" s="214"/>
    </row>
    <row r="1607" spans="1:17">
      <c r="A1607" s="175"/>
      <c r="B1607" s="175"/>
      <c r="P1607" s="4"/>
      <c r="Q1607" s="214"/>
    </row>
    <row r="1608" spans="1:17">
      <c r="A1608" s="175"/>
      <c r="B1608" s="175"/>
      <c r="P1608" s="4"/>
      <c r="Q1608" s="214"/>
    </row>
    <row r="1609" spans="1:17">
      <c r="A1609" s="175"/>
      <c r="B1609" s="175"/>
      <c r="P1609" s="4"/>
      <c r="Q1609" s="214"/>
    </row>
    <row r="1610" spans="1:17">
      <c r="A1610" s="175"/>
      <c r="B1610" s="175"/>
      <c r="P1610" s="4"/>
      <c r="Q1610" s="214"/>
    </row>
    <row r="1611" spans="1:17">
      <c r="A1611" s="175"/>
      <c r="B1611" s="175"/>
      <c r="P1611" s="4"/>
      <c r="Q1611" s="214"/>
    </row>
    <row r="1612" spans="1:17">
      <c r="A1612" s="175"/>
      <c r="B1612" s="175"/>
      <c r="P1612" s="4"/>
      <c r="Q1612" s="214"/>
    </row>
    <row r="1613" spans="1:17">
      <c r="A1613" s="175"/>
      <c r="B1613" s="175"/>
      <c r="P1613" s="4"/>
      <c r="Q1613" s="214"/>
    </row>
    <row r="1614" spans="1:17">
      <c r="A1614" s="175"/>
      <c r="B1614" s="175"/>
      <c r="P1614" s="4"/>
      <c r="Q1614" s="214"/>
    </row>
    <row r="1615" spans="1:17">
      <c r="A1615" s="175"/>
      <c r="B1615" s="175"/>
      <c r="P1615" s="4"/>
      <c r="Q1615" s="214"/>
    </row>
    <row r="1616" spans="1:17">
      <c r="A1616" s="175"/>
      <c r="B1616" s="175"/>
      <c r="P1616" s="4"/>
      <c r="Q1616" s="214"/>
    </row>
    <row r="1617" spans="1:17">
      <c r="A1617" s="175"/>
      <c r="B1617" s="175"/>
      <c r="P1617" s="4"/>
      <c r="Q1617" s="214"/>
    </row>
    <row r="1618" spans="1:17">
      <c r="A1618" s="175"/>
      <c r="B1618" s="175"/>
      <c r="P1618" s="4"/>
      <c r="Q1618" s="214"/>
    </row>
    <row r="1619" spans="1:17">
      <c r="A1619" s="175"/>
      <c r="B1619" s="175"/>
      <c r="P1619" s="4"/>
      <c r="Q1619" s="214"/>
    </row>
    <row r="1620" spans="1:17">
      <c r="A1620" s="175"/>
      <c r="B1620" s="175"/>
      <c r="P1620" s="4"/>
      <c r="Q1620" s="214"/>
    </row>
    <row r="1621" spans="1:17">
      <c r="A1621" s="175"/>
      <c r="B1621" s="175"/>
      <c r="P1621" s="4"/>
      <c r="Q1621" s="214"/>
    </row>
    <row r="1622" spans="1:17">
      <c r="A1622" s="175"/>
      <c r="B1622" s="175"/>
      <c r="P1622" s="4"/>
      <c r="Q1622" s="214"/>
    </row>
    <row r="1623" spans="1:17">
      <c r="A1623" s="175"/>
      <c r="B1623" s="175"/>
      <c r="P1623" s="4"/>
      <c r="Q1623" s="214"/>
    </row>
    <row r="1624" spans="1:17">
      <c r="A1624" s="175"/>
      <c r="B1624" s="175"/>
      <c r="P1624" s="4"/>
      <c r="Q1624" s="214"/>
    </row>
    <row r="1625" spans="1:17">
      <c r="A1625" s="175"/>
      <c r="B1625" s="175"/>
      <c r="P1625" s="4"/>
      <c r="Q1625" s="214"/>
    </row>
    <row r="1626" spans="1:17">
      <c r="A1626" s="175"/>
      <c r="B1626" s="175"/>
      <c r="P1626" s="4"/>
      <c r="Q1626" s="214"/>
    </row>
    <row r="1627" spans="1:17">
      <c r="A1627" s="175"/>
      <c r="B1627" s="175"/>
      <c r="P1627" s="4"/>
      <c r="Q1627" s="214"/>
    </row>
    <row r="1628" spans="1:17">
      <c r="A1628" s="175"/>
      <c r="B1628" s="175"/>
      <c r="P1628" s="4"/>
      <c r="Q1628" s="214"/>
    </row>
    <row r="1629" spans="1:17">
      <c r="A1629" s="175"/>
      <c r="B1629" s="175"/>
      <c r="P1629" s="4"/>
      <c r="Q1629" s="214"/>
    </row>
    <row r="1630" spans="1:17">
      <c r="A1630" s="175"/>
      <c r="B1630" s="175"/>
      <c r="P1630" s="4"/>
      <c r="Q1630" s="214"/>
    </row>
    <row r="1631" spans="1:17">
      <c r="A1631" s="175"/>
      <c r="B1631" s="175"/>
      <c r="P1631" s="4"/>
      <c r="Q1631" s="214"/>
    </row>
    <row r="1632" spans="1:17">
      <c r="A1632" s="175"/>
      <c r="B1632" s="175"/>
      <c r="P1632" s="4"/>
      <c r="Q1632" s="214"/>
    </row>
    <row r="1633" spans="1:17">
      <c r="A1633" s="175"/>
      <c r="B1633" s="175"/>
      <c r="P1633" s="4"/>
      <c r="Q1633" s="214"/>
    </row>
    <row r="1634" spans="1:17">
      <c r="A1634" s="175"/>
      <c r="B1634" s="175"/>
      <c r="P1634" s="4"/>
      <c r="Q1634" s="214"/>
    </row>
    <row r="1635" spans="1:17">
      <c r="A1635" s="175"/>
      <c r="B1635" s="175"/>
      <c r="P1635" s="4"/>
      <c r="Q1635" s="214"/>
    </row>
    <row r="1636" spans="1:17">
      <c r="A1636" s="175"/>
      <c r="B1636" s="175"/>
      <c r="P1636" s="4"/>
      <c r="Q1636" s="214"/>
    </row>
    <row r="1637" spans="1:17">
      <c r="A1637" s="175"/>
      <c r="B1637" s="175"/>
      <c r="P1637" s="4"/>
      <c r="Q1637" s="214"/>
    </row>
    <row r="1638" spans="1:17">
      <c r="A1638" s="175"/>
      <c r="B1638" s="175"/>
      <c r="P1638" s="4"/>
      <c r="Q1638" s="214"/>
    </row>
    <row r="1639" spans="1:17">
      <c r="A1639" s="175"/>
      <c r="B1639" s="175"/>
      <c r="P1639" s="4"/>
      <c r="Q1639" s="214"/>
    </row>
    <row r="1640" spans="1:17">
      <c r="A1640" s="175"/>
      <c r="B1640" s="175"/>
      <c r="P1640" s="4"/>
      <c r="Q1640" s="214"/>
    </row>
    <row r="1641" spans="1:17">
      <c r="A1641" s="175"/>
      <c r="B1641" s="175"/>
      <c r="P1641" s="4"/>
      <c r="Q1641" s="214"/>
    </row>
    <row r="1642" spans="1:17">
      <c r="A1642" s="175"/>
      <c r="B1642" s="175"/>
      <c r="P1642" s="4"/>
      <c r="Q1642" s="214"/>
    </row>
    <row r="1643" spans="1:17">
      <c r="A1643" s="175"/>
      <c r="B1643" s="175"/>
      <c r="P1643" s="4"/>
      <c r="Q1643" s="214"/>
    </row>
    <row r="1644" spans="1:17">
      <c r="A1644" s="175"/>
      <c r="B1644" s="175"/>
      <c r="P1644" s="4"/>
      <c r="Q1644" s="214"/>
    </row>
    <row r="1645" spans="1:17">
      <c r="A1645" s="175"/>
      <c r="B1645" s="175"/>
      <c r="P1645" s="4"/>
      <c r="Q1645" s="214"/>
    </row>
    <row r="1646" spans="1:17">
      <c r="A1646" s="175"/>
      <c r="B1646" s="175"/>
      <c r="P1646" s="4"/>
      <c r="Q1646" s="214"/>
    </row>
    <row r="1647" spans="1:17">
      <c r="A1647" s="175"/>
      <c r="B1647" s="175"/>
      <c r="P1647" s="4"/>
      <c r="Q1647" s="214"/>
    </row>
    <row r="1648" spans="1:17">
      <c r="A1648" s="175"/>
      <c r="B1648" s="175"/>
      <c r="P1648" s="4"/>
      <c r="Q1648" s="214"/>
    </row>
    <row r="1649" spans="1:17">
      <c r="A1649" s="175"/>
      <c r="B1649" s="175"/>
      <c r="P1649" s="4"/>
      <c r="Q1649" s="214"/>
    </row>
    <row r="1650" spans="1:17">
      <c r="A1650" s="175"/>
      <c r="B1650" s="175"/>
      <c r="P1650" s="4"/>
      <c r="Q1650" s="214"/>
    </row>
    <row r="1651" spans="1:17">
      <c r="A1651" s="175"/>
      <c r="B1651" s="175"/>
      <c r="P1651" s="4"/>
      <c r="Q1651" s="214"/>
    </row>
    <row r="1652" spans="1:17">
      <c r="A1652" s="175"/>
      <c r="B1652" s="175"/>
      <c r="P1652" s="4"/>
      <c r="Q1652" s="214"/>
    </row>
    <row r="1653" spans="1:17">
      <c r="A1653" s="175"/>
      <c r="B1653" s="175"/>
      <c r="P1653" s="4"/>
      <c r="Q1653" s="214"/>
    </row>
    <row r="1654" spans="1:17">
      <c r="A1654" s="175"/>
      <c r="B1654" s="175"/>
      <c r="P1654" s="4"/>
      <c r="Q1654" s="214"/>
    </row>
    <row r="1655" spans="1:17">
      <c r="A1655" s="175"/>
      <c r="B1655" s="175"/>
      <c r="P1655" s="4"/>
      <c r="Q1655" s="214"/>
    </row>
    <row r="1656" spans="1:17">
      <c r="A1656" s="175"/>
      <c r="B1656" s="175"/>
      <c r="P1656" s="4"/>
      <c r="Q1656" s="214"/>
    </row>
    <row r="1657" spans="1:17">
      <c r="A1657" s="175"/>
      <c r="B1657" s="175"/>
      <c r="P1657" s="4"/>
      <c r="Q1657" s="214"/>
    </row>
    <row r="1658" spans="1:17">
      <c r="A1658" s="175"/>
      <c r="B1658" s="175"/>
      <c r="P1658" s="4"/>
      <c r="Q1658" s="214"/>
    </row>
    <row r="1659" spans="1:17">
      <c r="A1659" s="175"/>
      <c r="B1659" s="175"/>
      <c r="P1659" s="4"/>
      <c r="Q1659" s="214"/>
    </row>
    <row r="1660" spans="1:17">
      <c r="A1660" s="175"/>
      <c r="B1660" s="175"/>
      <c r="P1660" s="4"/>
      <c r="Q1660" s="214"/>
    </row>
    <row r="1661" spans="1:17">
      <c r="A1661" s="175"/>
      <c r="B1661" s="175"/>
      <c r="P1661" s="4"/>
      <c r="Q1661" s="214"/>
    </row>
    <row r="1662" spans="1:17">
      <c r="A1662" s="175"/>
      <c r="B1662" s="175"/>
      <c r="P1662" s="4"/>
      <c r="Q1662" s="214"/>
    </row>
    <row r="1663" spans="1:17">
      <c r="A1663" s="175"/>
      <c r="B1663" s="175"/>
      <c r="P1663" s="4"/>
      <c r="Q1663" s="214"/>
    </row>
    <row r="1664" spans="1:17">
      <c r="A1664" s="175"/>
      <c r="B1664" s="175"/>
      <c r="P1664" s="4"/>
      <c r="Q1664" s="214"/>
    </row>
    <row r="1665" spans="1:17">
      <c r="A1665" s="175"/>
      <c r="B1665" s="175"/>
      <c r="P1665" s="4"/>
      <c r="Q1665" s="214"/>
    </row>
    <row r="1666" spans="1:17">
      <c r="A1666" s="175"/>
      <c r="B1666" s="175"/>
      <c r="P1666" s="4"/>
      <c r="Q1666" s="214"/>
    </row>
    <row r="1667" spans="1:17">
      <c r="A1667" s="175"/>
      <c r="B1667" s="175"/>
      <c r="P1667" s="4"/>
      <c r="Q1667" s="214"/>
    </row>
    <row r="1668" spans="1:17">
      <c r="A1668" s="175"/>
      <c r="B1668" s="175"/>
      <c r="P1668" s="4"/>
      <c r="Q1668" s="214"/>
    </row>
    <row r="1669" spans="1:17">
      <c r="A1669" s="175"/>
      <c r="B1669" s="175"/>
      <c r="P1669" s="4"/>
      <c r="Q1669" s="214"/>
    </row>
    <row r="1670" spans="1:17">
      <c r="A1670" s="175"/>
      <c r="B1670" s="175"/>
      <c r="P1670" s="4"/>
      <c r="Q1670" s="214"/>
    </row>
    <row r="1671" spans="1:17">
      <c r="A1671" s="175"/>
      <c r="B1671" s="175"/>
      <c r="P1671" s="4"/>
      <c r="Q1671" s="214"/>
    </row>
    <row r="1672" spans="1:17">
      <c r="A1672" s="175"/>
      <c r="B1672" s="175"/>
      <c r="P1672" s="4"/>
      <c r="Q1672" s="214"/>
    </row>
    <row r="1673" spans="1:17">
      <c r="A1673" s="175"/>
      <c r="B1673" s="175"/>
      <c r="P1673" s="4"/>
      <c r="Q1673" s="214"/>
    </row>
    <row r="1674" spans="1:17">
      <c r="A1674" s="175"/>
      <c r="B1674" s="175"/>
      <c r="P1674" s="4"/>
      <c r="Q1674" s="214"/>
    </row>
    <row r="1675" spans="1:17">
      <c r="A1675" s="175"/>
      <c r="B1675" s="175"/>
      <c r="P1675" s="4"/>
      <c r="Q1675" s="214"/>
    </row>
    <row r="1676" spans="1:17">
      <c r="A1676" s="175"/>
      <c r="B1676" s="175"/>
      <c r="P1676" s="4"/>
      <c r="Q1676" s="214"/>
    </row>
    <row r="1677" spans="1:17">
      <c r="A1677" s="175"/>
      <c r="B1677" s="175"/>
      <c r="P1677" s="4"/>
      <c r="Q1677" s="214"/>
    </row>
    <row r="1678" spans="1:17">
      <c r="A1678" s="175"/>
      <c r="B1678" s="175"/>
      <c r="P1678" s="4"/>
      <c r="Q1678" s="214"/>
    </row>
    <row r="1679" spans="1:17">
      <c r="A1679" s="175"/>
      <c r="B1679" s="175"/>
      <c r="P1679" s="4"/>
      <c r="Q1679" s="214"/>
    </row>
    <row r="1680" spans="1:17">
      <c r="A1680" s="175"/>
      <c r="B1680" s="175"/>
      <c r="P1680" s="4"/>
      <c r="Q1680" s="214"/>
    </row>
    <row r="1681" spans="1:17">
      <c r="A1681" s="175"/>
      <c r="B1681" s="175"/>
      <c r="P1681" s="4"/>
      <c r="Q1681" s="214"/>
    </row>
    <row r="1682" spans="1:17">
      <c r="A1682" s="175"/>
      <c r="B1682" s="175"/>
      <c r="P1682" s="4"/>
      <c r="Q1682" s="214"/>
    </row>
    <row r="1683" spans="1:17">
      <c r="A1683" s="175"/>
      <c r="B1683" s="175"/>
      <c r="P1683" s="4"/>
      <c r="Q1683" s="214"/>
    </row>
    <row r="1684" spans="1:17">
      <c r="A1684" s="175"/>
      <c r="B1684" s="175"/>
      <c r="P1684" s="4"/>
      <c r="Q1684" s="214"/>
    </row>
    <row r="1685" spans="1:17">
      <c r="A1685" s="175"/>
      <c r="B1685" s="175"/>
      <c r="P1685" s="4"/>
      <c r="Q1685" s="214"/>
    </row>
    <row r="1686" spans="1:17">
      <c r="A1686" s="175"/>
      <c r="B1686" s="175"/>
      <c r="P1686" s="4"/>
      <c r="Q1686" s="214"/>
    </row>
    <row r="1687" spans="1:17">
      <c r="A1687" s="175"/>
      <c r="B1687" s="175"/>
      <c r="P1687" s="4"/>
      <c r="Q1687" s="214"/>
    </row>
    <row r="1688" spans="1:17">
      <c r="A1688" s="175"/>
      <c r="B1688" s="175"/>
      <c r="P1688" s="4"/>
      <c r="Q1688" s="214"/>
    </row>
    <row r="1689" spans="1:17">
      <c r="A1689" s="175"/>
      <c r="B1689" s="175"/>
      <c r="P1689" s="4"/>
      <c r="Q1689" s="214"/>
    </row>
    <row r="1690" spans="1:17">
      <c r="A1690" s="175"/>
      <c r="B1690" s="175"/>
      <c r="P1690" s="4"/>
      <c r="Q1690" s="214"/>
    </row>
    <row r="1691" spans="1:17">
      <c r="A1691" s="175"/>
      <c r="B1691" s="175"/>
      <c r="P1691" s="4"/>
      <c r="Q1691" s="214"/>
    </row>
    <row r="1692" spans="1:17">
      <c r="A1692" s="175"/>
      <c r="B1692" s="175"/>
      <c r="P1692" s="4"/>
      <c r="Q1692" s="214"/>
    </row>
    <row r="1693" spans="1:17">
      <c r="A1693" s="175"/>
      <c r="B1693" s="175"/>
      <c r="P1693" s="4"/>
      <c r="Q1693" s="214"/>
    </row>
    <row r="1694" spans="1:17">
      <c r="A1694" s="175"/>
      <c r="B1694" s="175"/>
      <c r="P1694" s="4"/>
      <c r="Q1694" s="214"/>
    </row>
    <row r="1695" spans="1:17">
      <c r="A1695" s="175"/>
      <c r="B1695" s="175"/>
      <c r="P1695" s="4"/>
      <c r="Q1695" s="214"/>
    </row>
    <row r="1696" spans="1:17">
      <c r="A1696" s="175"/>
      <c r="B1696" s="175"/>
      <c r="P1696" s="4"/>
      <c r="Q1696" s="214"/>
    </row>
    <row r="1697" spans="1:17">
      <c r="A1697" s="175"/>
      <c r="B1697" s="175"/>
      <c r="P1697" s="4"/>
      <c r="Q1697" s="214"/>
    </row>
    <row r="1698" spans="1:17">
      <c r="A1698" s="175"/>
      <c r="B1698" s="175"/>
      <c r="P1698" s="4"/>
      <c r="Q1698" s="214"/>
    </row>
    <row r="1699" spans="1:17">
      <c r="A1699" s="175"/>
      <c r="B1699" s="175"/>
      <c r="P1699" s="4"/>
      <c r="Q1699" s="214"/>
    </row>
    <row r="1700" spans="1:17">
      <c r="A1700" s="175"/>
      <c r="B1700" s="175"/>
      <c r="P1700" s="4"/>
      <c r="Q1700" s="214"/>
    </row>
    <row r="1701" spans="1:17">
      <c r="A1701" s="175"/>
      <c r="B1701" s="175"/>
      <c r="P1701" s="4"/>
      <c r="Q1701" s="214"/>
    </row>
    <row r="1702" spans="1:17">
      <c r="A1702" s="175"/>
      <c r="B1702" s="175"/>
      <c r="P1702" s="4"/>
      <c r="Q1702" s="214"/>
    </row>
    <row r="1703" spans="1:17">
      <c r="A1703" s="175"/>
      <c r="B1703" s="175"/>
      <c r="P1703" s="4"/>
      <c r="Q1703" s="214"/>
    </row>
    <row r="1704" spans="1:17">
      <c r="A1704" s="175"/>
      <c r="B1704" s="175"/>
      <c r="P1704" s="4"/>
      <c r="Q1704" s="214"/>
    </row>
    <row r="1705" spans="1:17">
      <c r="A1705" s="175"/>
      <c r="B1705" s="175"/>
      <c r="P1705" s="4"/>
      <c r="Q1705" s="214"/>
    </row>
    <row r="1706" spans="1:17">
      <c r="A1706" s="175"/>
      <c r="B1706" s="175"/>
      <c r="P1706" s="4"/>
      <c r="Q1706" s="214"/>
    </row>
    <row r="1707" spans="1:17">
      <c r="A1707" s="175"/>
      <c r="B1707" s="175"/>
      <c r="P1707" s="4"/>
      <c r="Q1707" s="214"/>
    </row>
    <row r="1708" spans="1:17">
      <c r="A1708" s="175"/>
      <c r="B1708" s="175"/>
      <c r="P1708" s="4"/>
      <c r="Q1708" s="214"/>
    </row>
    <row r="1709" spans="1:17">
      <c r="A1709" s="175"/>
      <c r="B1709" s="175"/>
      <c r="P1709" s="4"/>
      <c r="Q1709" s="214"/>
    </row>
    <row r="1710" spans="1:17">
      <c r="A1710" s="175"/>
      <c r="B1710" s="175"/>
      <c r="P1710" s="4"/>
      <c r="Q1710" s="214"/>
    </row>
    <row r="1711" spans="1:17">
      <c r="A1711" s="175"/>
      <c r="B1711" s="175"/>
      <c r="P1711" s="4"/>
      <c r="Q1711" s="214"/>
    </row>
    <row r="1712" spans="1:17">
      <c r="A1712" s="175"/>
      <c r="B1712" s="175"/>
      <c r="P1712" s="4"/>
      <c r="Q1712" s="214"/>
    </row>
    <row r="1713" spans="1:17">
      <c r="A1713" s="175"/>
      <c r="B1713" s="175"/>
      <c r="P1713" s="4"/>
      <c r="Q1713" s="214"/>
    </row>
    <row r="1714" spans="1:17">
      <c r="A1714" s="175"/>
      <c r="B1714" s="175"/>
      <c r="P1714" s="4"/>
      <c r="Q1714" s="214"/>
    </row>
    <row r="1715" spans="1:17">
      <c r="A1715" s="175"/>
      <c r="B1715" s="175"/>
      <c r="P1715" s="4"/>
      <c r="Q1715" s="214"/>
    </row>
    <row r="1716" spans="1:17">
      <c r="A1716" s="175"/>
      <c r="B1716" s="175"/>
      <c r="P1716" s="4"/>
      <c r="Q1716" s="214"/>
    </row>
    <row r="1717" spans="1:17">
      <c r="A1717" s="175"/>
      <c r="B1717" s="175"/>
      <c r="P1717" s="4"/>
      <c r="Q1717" s="214"/>
    </row>
    <row r="1718" spans="1:17">
      <c r="A1718" s="175"/>
      <c r="B1718" s="175"/>
      <c r="P1718" s="4"/>
      <c r="Q1718" s="214"/>
    </row>
    <row r="1719" spans="1:17">
      <c r="A1719" s="175"/>
      <c r="B1719" s="175"/>
      <c r="P1719" s="4"/>
      <c r="Q1719" s="214"/>
    </row>
    <row r="1720" spans="1:17">
      <c r="A1720" s="175"/>
      <c r="B1720" s="175"/>
      <c r="P1720" s="4"/>
      <c r="Q1720" s="214"/>
    </row>
    <row r="1721" spans="1:17">
      <c r="A1721" s="175"/>
      <c r="B1721" s="175"/>
      <c r="P1721" s="4"/>
      <c r="Q1721" s="214"/>
    </row>
    <row r="1722" spans="1:17">
      <c r="A1722" s="175"/>
      <c r="B1722" s="175"/>
      <c r="P1722" s="4"/>
      <c r="Q1722" s="214"/>
    </row>
    <row r="1723" spans="1:17">
      <c r="A1723" s="175"/>
      <c r="B1723" s="175"/>
      <c r="P1723" s="4"/>
      <c r="Q1723" s="214"/>
    </row>
    <row r="1724" spans="1:17">
      <c r="A1724" s="175"/>
      <c r="B1724" s="175"/>
      <c r="P1724" s="4"/>
      <c r="Q1724" s="214"/>
    </row>
    <row r="1725" spans="1:17">
      <c r="A1725" s="175"/>
      <c r="B1725" s="175"/>
      <c r="P1725" s="4"/>
      <c r="Q1725" s="214"/>
    </row>
    <row r="1726" spans="1:17">
      <c r="A1726" s="175"/>
      <c r="B1726" s="175"/>
      <c r="P1726" s="4"/>
      <c r="Q1726" s="214"/>
    </row>
    <row r="1727" spans="1:17">
      <c r="A1727" s="175"/>
      <c r="B1727" s="175"/>
      <c r="P1727" s="4"/>
      <c r="Q1727" s="214"/>
    </row>
    <row r="1728" spans="1:17">
      <c r="A1728" s="175"/>
      <c r="B1728" s="175"/>
      <c r="P1728" s="4"/>
      <c r="Q1728" s="214"/>
    </row>
    <row r="1729" spans="1:17">
      <c r="A1729" s="175"/>
      <c r="B1729" s="175"/>
      <c r="P1729" s="4"/>
      <c r="Q1729" s="214"/>
    </row>
    <row r="1730" spans="1:17">
      <c r="A1730" s="175"/>
      <c r="B1730" s="175"/>
      <c r="P1730" s="4"/>
      <c r="Q1730" s="214"/>
    </row>
    <row r="1731" spans="1:17">
      <c r="A1731" s="175"/>
      <c r="B1731" s="175"/>
      <c r="P1731" s="4"/>
      <c r="Q1731" s="214"/>
    </row>
    <row r="1732" spans="1:17">
      <c r="A1732" s="175"/>
      <c r="B1732" s="175"/>
      <c r="P1732" s="4"/>
      <c r="Q1732" s="214"/>
    </row>
    <row r="1733" spans="1:17">
      <c r="A1733" s="175"/>
      <c r="B1733" s="175"/>
      <c r="P1733" s="4"/>
      <c r="Q1733" s="214"/>
    </row>
    <row r="1734" spans="1:17">
      <c r="A1734" s="175"/>
      <c r="B1734" s="175"/>
      <c r="P1734" s="4"/>
      <c r="Q1734" s="214"/>
    </row>
    <row r="1735" spans="1:17">
      <c r="A1735" s="175"/>
      <c r="B1735" s="175"/>
      <c r="P1735" s="4"/>
      <c r="Q1735" s="214"/>
    </row>
    <row r="1736" spans="1:17">
      <c r="A1736" s="175"/>
      <c r="B1736" s="175"/>
      <c r="P1736" s="4"/>
      <c r="Q1736" s="214"/>
    </row>
    <row r="1737" spans="1:17">
      <c r="A1737" s="175"/>
      <c r="B1737" s="175"/>
      <c r="P1737" s="4"/>
      <c r="Q1737" s="214"/>
    </row>
    <row r="1738" spans="1:17">
      <c r="A1738" s="175"/>
      <c r="B1738" s="175"/>
      <c r="P1738" s="4"/>
      <c r="Q1738" s="214"/>
    </row>
    <row r="1739" spans="1:17">
      <c r="A1739" s="175"/>
      <c r="B1739" s="175"/>
      <c r="P1739" s="4"/>
      <c r="Q1739" s="214"/>
    </row>
    <row r="1740" spans="1:17">
      <c r="A1740" s="175"/>
      <c r="B1740" s="175"/>
      <c r="P1740" s="4"/>
      <c r="Q1740" s="214"/>
    </row>
    <row r="1741" spans="1:17">
      <c r="A1741" s="175"/>
      <c r="B1741" s="175"/>
      <c r="P1741" s="4"/>
      <c r="Q1741" s="214"/>
    </row>
    <row r="1742" spans="1:17">
      <c r="A1742" s="175"/>
      <c r="B1742" s="175"/>
      <c r="P1742" s="4"/>
      <c r="Q1742" s="214"/>
    </row>
    <row r="1743" spans="1:17">
      <c r="A1743" s="175"/>
      <c r="B1743" s="175"/>
      <c r="P1743" s="4"/>
      <c r="Q1743" s="214"/>
    </row>
    <row r="1744" spans="1:17">
      <c r="A1744" s="175"/>
      <c r="B1744" s="175"/>
      <c r="P1744" s="4"/>
      <c r="Q1744" s="214"/>
    </row>
    <row r="1745" spans="1:17">
      <c r="A1745" s="175"/>
      <c r="B1745" s="175"/>
      <c r="P1745" s="4"/>
      <c r="Q1745" s="214"/>
    </row>
    <row r="1746" spans="1:17">
      <c r="A1746" s="175"/>
      <c r="B1746" s="175"/>
      <c r="P1746" s="4"/>
      <c r="Q1746" s="214"/>
    </row>
    <row r="1747" spans="1:17">
      <c r="A1747" s="175"/>
      <c r="B1747" s="175"/>
      <c r="P1747" s="4"/>
      <c r="Q1747" s="214"/>
    </row>
    <row r="1748" spans="1:17">
      <c r="A1748" s="175"/>
      <c r="B1748" s="175"/>
      <c r="P1748" s="4"/>
      <c r="Q1748" s="214"/>
    </row>
    <row r="1749" spans="1:17">
      <c r="A1749" s="175"/>
      <c r="B1749" s="175"/>
      <c r="P1749" s="4"/>
      <c r="Q1749" s="214"/>
    </row>
    <row r="1750" spans="1:17">
      <c r="A1750" s="175"/>
      <c r="B1750" s="175"/>
      <c r="P1750" s="4"/>
      <c r="Q1750" s="214"/>
    </row>
    <row r="1751" spans="1:17">
      <c r="A1751" s="175"/>
      <c r="B1751" s="175"/>
      <c r="P1751" s="4"/>
      <c r="Q1751" s="214"/>
    </row>
    <row r="1752" spans="1:17">
      <c r="A1752" s="175"/>
      <c r="B1752" s="175"/>
      <c r="P1752" s="4"/>
      <c r="Q1752" s="214"/>
    </row>
    <row r="1753" spans="1:17">
      <c r="A1753" s="175"/>
      <c r="B1753" s="175"/>
      <c r="P1753" s="4"/>
      <c r="Q1753" s="214"/>
    </row>
    <row r="1754" spans="1:17">
      <c r="A1754" s="175"/>
      <c r="B1754" s="175"/>
      <c r="P1754" s="4"/>
      <c r="Q1754" s="214"/>
    </row>
    <row r="1755" spans="1:17">
      <c r="A1755" s="175"/>
      <c r="B1755" s="175"/>
      <c r="P1755" s="4"/>
      <c r="Q1755" s="214"/>
    </row>
    <row r="1756" spans="1:17">
      <c r="A1756" s="175"/>
      <c r="B1756" s="175"/>
      <c r="P1756" s="4"/>
      <c r="Q1756" s="214"/>
    </row>
    <row r="1757" spans="1:17">
      <c r="A1757" s="175"/>
      <c r="B1757" s="175"/>
      <c r="P1757" s="4"/>
      <c r="Q1757" s="214"/>
    </row>
    <row r="1758" spans="1:17">
      <c r="A1758" s="175"/>
      <c r="B1758" s="175"/>
      <c r="P1758" s="4"/>
      <c r="Q1758" s="214"/>
    </row>
    <row r="1759" spans="1:17">
      <c r="A1759" s="175"/>
      <c r="B1759" s="175"/>
      <c r="P1759" s="4"/>
      <c r="Q1759" s="214"/>
    </row>
    <row r="1760" spans="1:17">
      <c r="A1760" s="175"/>
      <c r="B1760" s="175"/>
      <c r="P1760" s="4"/>
      <c r="Q1760" s="214"/>
    </row>
    <row r="1761" spans="1:17">
      <c r="A1761" s="175"/>
      <c r="B1761" s="175"/>
      <c r="P1761" s="4"/>
      <c r="Q1761" s="214"/>
    </row>
    <row r="1762" spans="1:17">
      <c r="A1762" s="175"/>
      <c r="B1762" s="175"/>
      <c r="P1762" s="4"/>
      <c r="Q1762" s="214"/>
    </row>
    <row r="1763" spans="1:17">
      <c r="A1763" s="175"/>
      <c r="B1763" s="175"/>
      <c r="P1763" s="4"/>
      <c r="Q1763" s="214"/>
    </row>
    <row r="1764" spans="1:17">
      <c r="A1764" s="175"/>
      <c r="B1764" s="175"/>
      <c r="P1764" s="4"/>
      <c r="Q1764" s="214"/>
    </row>
    <row r="1765" spans="1:17">
      <c r="A1765" s="175"/>
      <c r="B1765" s="175"/>
      <c r="P1765" s="4"/>
      <c r="Q1765" s="214"/>
    </row>
    <row r="1766" spans="1:17">
      <c r="A1766" s="175"/>
      <c r="B1766" s="175"/>
      <c r="P1766" s="4"/>
      <c r="Q1766" s="214"/>
    </row>
    <row r="1767" spans="1:17">
      <c r="A1767" s="175"/>
      <c r="B1767" s="175"/>
      <c r="P1767" s="4"/>
      <c r="Q1767" s="214"/>
    </row>
    <row r="1768" spans="1:17">
      <c r="A1768" s="175"/>
      <c r="B1768" s="175"/>
      <c r="P1768" s="4"/>
      <c r="Q1768" s="214"/>
    </row>
    <row r="1769" spans="1:17">
      <c r="A1769" s="175"/>
      <c r="B1769" s="175"/>
      <c r="P1769" s="4"/>
      <c r="Q1769" s="214"/>
    </row>
    <row r="1770" spans="1:17">
      <c r="A1770" s="175"/>
      <c r="B1770" s="175"/>
      <c r="P1770" s="4"/>
      <c r="Q1770" s="214"/>
    </row>
    <row r="1771" spans="1:17">
      <c r="A1771" s="175"/>
      <c r="B1771" s="175"/>
      <c r="P1771" s="4"/>
      <c r="Q1771" s="214"/>
    </row>
    <row r="1772" spans="1:17">
      <c r="A1772" s="175"/>
      <c r="B1772" s="175"/>
      <c r="P1772" s="4"/>
      <c r="Q1772" s="214"/>
    </row>
    <row r="1773" spans="1:17">
      <c r="A1773" s="175"/>
      <c r="B1773" s="175"/>
      <c r="P1773" s="4"/>
      <c r="Q1773" s="214"/>
    </row>
    <row r="1774" spans="1:17">
      <c r="A1774" s="175"/>
      <c r="B1774" s="175"/>
      <c r="P1774" s="4"/>
      <c r="Q1774" s="214"/>
    </row>
    <row r="1775" spans="1:17">
      <c r="A1775" s="175"/>
      <c r="B1775" s="175"/>
      <c r="P1775" s="4"/>
      <c r="Q1775" s="214"/>
    </row>
    <row r="1776" spans="1:17">
      <c r="A1776" s="175"/>
      <c r="B1776" s="175"/>
      <c r="P1776" s="4"/>
      <c r="Q1776" s="214"/>
    </row>
    <row r="1777" spans="1:17">
      <c r="A1777" s="175"/>
      <c r="B1777" s="175"/>
      <c r="P1777" s="4"/>
      <c r="Q1777" s="214"/>
    </row>
    <row r="1778" spans="1:17">
      <c r="A1778" s="175"/>
      <c r="B1778" s="175"/>
      <c r="P1778" s="4"/>
      <c r="Q1778" s="214"/>
    </row>
    <row r="1779" spans="1:17">
      <c r="A1779" s="175"/>
      <c r="B1779" s="175"/>
      <c r="P1779" s="4"/>
      <c r="Q1779" s="214"/>
    </row>
    <row r="1780" spans="1:17">
      <c r="A1780" s="175"/>
      <c r="B1780" s="175"/>
      <c r="P1780" s="4"/>
      <c r="Q1780" s="214"/>
    </row>
    <row r="1781" spans="1:17">
      <c r="A1781" s="175"/>
      <c r="B1781" s="175"/>
      <c r="P1781" s="4"/>
      <c r="Q1781" s="214"/>
    </row>
    <row r="1782" spans="1:17">
      <c r="A1782" s="175"/>
      <c r="B1782" s="175"/>
      <c r="P1782" s="4"/>
      <c r="Q1782" s="214"/>
    </row>
    <row r="1783" spans="1:17">
      <c r="A1783" s="175"/>
      <c r="B1783" s="175"/>
      <c r="P1783" s="4"/>
      <c r="Q1783" s="214"/>
    </row>
    <row r="1784" spans="1:17">
      <c r="A1784" s="175"/>
      <c r="B1784" s="175"/>
      <c r="P1784" s="4"/>
      <c r="Q1784" s="214"/>
    </row>
    <row r="1785" spans="1:17">
      <c r="A1785" s="175"/>
      <c r="B1785" s="175"/>
      <c r="P1785" s="4"/>
      <c r="Q1785" s="214"/>
    </row>
    <row r="1786" spans="1:17">
      <c r="A1786" s="175"/>
      <c r="B1786" s="175"/>
      <c r="P1786" s="4"/>
      <c r="Q1786" s="214"/>
    </row>
    <row r="1787" spans="1:17">
      <c r="A1787" s="175"/>
      <c r="B1787" s="175"/>
      <c r="P1787" s="4"/>
      <c r="Q1787" s="214"/>
    </row>
    <row r="1788" spans="1:17">
      <c r="A1788" s="175"/>
      <c r="B1788" s="175"/>
      <c r="P1788" s="4"/>
      <c r="Q1788" s="214"/>
    </row>
    <row r="1789" spans="1:17">
      <c r="A1789" s="175"/>
      <c r="B1789" s="175"/>
      <c r="P1789" s="4"/>
      <c r="Q1789" s="214"/>
    </row>
    <row r="1790" spans="1:17">
      <c r="A1790" s="175"/>
      <c r="B1790" s="175"/>
      <c r="P1790" s="4"/>
      <c r="Q1790" s="214"/>
    </row>
    <row r="1791" spans="1:17">
      <c r="A1791" s="175"/>
      <c r="B1791" s="175"/>
      <c r="P1791" s="4"/>
      <c r="Q1791" s="214"/>
    </row>
    <row r="1792" spans="1:17">
      <c r="A1792" s="175"/>
      <c r="B1792" s="175"/>
      <c r="P1792" s="4"/>
      <c r="Q1792" s="214"/>
    </row>
    <row r="1793" spans="1:17">
      <c r="A1793" s="175"/>
      <c r="B1793" s="175"/>
      <c r="P1793" s="4"/>
      <c r="Q1793" s="214"/>
    </row>
    <row r="1794" spans="1:17">
      <c r="A1794" s="175"/>
      <c r="B1794" s="175"/>
      <c r="P1794" s="4"/>
      <c r="Q1794" s="214"/>
    </row>
    <row r="1795" spans="1:17">
      <c r="A1795" s="175"/>
      <c r="B1795" s="175"/>
      <c r="P1795" s="4"/>
      <c r="Q1795" s="214"/>
    </row>
    <row r="1796" spans="1:17">
      <c r="A1796" s="175"/>
      <c r="B1796" s="175"/>
      <c r="P1796" s="4"/>
      <c r="Q1796" s="214"/>
    </row>
    <row r="1797" spans="1:17">
      <c r="A1797" s="175"/>
      <c r="B1797" s="175"/>
      <c r="P1797" s="4"/>
      <c r="Q1797" s="214"/>
    </row>
    <row r="1798" spans="1:17">
      <c r="A1798" s="175"/>
      <c r="B1798" s="175"/>
      <c r="P1798" s="4"/>
      <c r="Q1798" s="214"/>
    </row>
    <row r="1799" spans="1:17">
      <c r="A1799" s="175"/>
      <c r="B1799" s="175"/>
      <c r="P1799" s="4"/>
      <c r="Q1799" s="214"/>
    </row>
    <row r="1800" spans="1:17">
      <c r="A1800" s="175"/>
      <c r="B1800" s="175"/>
      <c r="P1800" s="4"/>
      <c r="Q1800" s="214"/>
    </row>
    <row r="1801" spans="1:17">
      <c r="A1801" s="175"/>
      <c r="B1801" s="175"/>
      <c r="P1801" s="4"/>
      <c r="Q1801" s="214"/>
    </row>
    <row r="1802" spans="1:17">
      <c r="A1802" s="175"/>
      <c r="B1802" s="175"/>
      <c r="P1802" s="4"/>
      <c r="Q1802" s="214"/>
    </row>
    <row r="1803" spans="1:17">
      <c r="A1803" s="175"/>
      <c r="B1803" s="175"/>
      <c r="P1803" s="4"/>
      <c r="Q1803" s="214"/>
    </row>
    <row r="1804" spans="1:17">
      <c r="A1804" s="175"/>
      <c r="B1804" s="175"/>
      <c r="P1804" s="4"/>
      <c r="Q1804" s="214"/>
    </row>
    <row r="1805" spans="1:17">
      <c r="A1805" s="175"/>
      <c r="B1805" s="175"/>
      <c r="P1805" s="4"/>
      <c r="Q1805" s="214"/>
    </row>
    <row r="1806" spans="1:17">
      <c r="A1806" s="175"/>
      <c r="B1806" s="175"/>
      <c r="P1806" s="4"/>
      <c r="Q1806" s="214"/>
    </row>
    <row r="1807" spans="1:17">
      <c r="A1807" s="175"/>
      <c r="B1807" s="175"/>
      <c r="P1807" s="4"/>
      <c r="Q1807" s="214"/>
    </row>
    <row r="1808" spans="1:17">
      <c r="A1808" s="175"/>
      <c r="B1808" s="175"/>
      <c r="P1808" s="4"/>
      <c r="Q1808" s="214"/>
    </row>
    <row r="1809" spans="1:17">
      <c r="A1809" s="175"/>
      <c r="B1809" s="175"/>
      <c r="P1809" s="4"/>
      <c r="Q1809" s="214"/>
    </row>
    <row r="1810" spans="1:17">
      <c r="A1810" s="175"/>
      <c r="B1810" s="175"/>
      <c r="P1810" s="4"/>
      <c r="Q1810" s="214"/>
    </row>
    <row r="1811" spans="1:17">
      <c r="A1811" s="175"/>
      <c r="B1811" s="175"/>
      <c r="P1811" s="4"/>
      <c r="Q1811" s="214"/>
    </row>
    <row r="1812" spans="1:17">
      <c r="A1812" s="175"/>
      <c r="B1812" s="175"/>
      <c r="P1812" s="4"/>
      <c r="Q1812" s="214"/>
    </row>
    <row r="1813" spans="1:17">
      <c r="A1813" s="175"/>
      <c r="B1813" s="175"/>
      <c r="P1813" s="4"/>
      <c r="Q1813" s="214"/>
    </row>
    <row r="1814" spans="1:17">
      <c r="A1814" s="175"/>
      <c r="B1814" s="175"/>
      <c r="P1814" s="4"/>
      <c r="Q1814" s="214"/>
    </row>
    <row r="1815" spans="1:17">
      <c r="A1815" s="175"/>
      <c r="B1815" s="175"/>
      <c r="P1815" s="4"/>
      <c r="Q1815" s="214"/>
    </row>
    <row r="1816" spans="1:17">
      <c r="A1816" s="175"/>
      <c r="B1816" s="175"/>
      <c r="P1816" s="4"/>
      <c r="Q1816" s="214"/>
    </row>
    <row r="1817" spans="1:17">
      <c r="A1817" s="175"/>
      <c r="B1817" s="175"/>
      <c r="P1817" s="4"/>
      <c r="Q1817" s="214"/>
    </row>
    <row r="1818" spans="1:17">
      <c r="A1818" s="175"/>
      <c r="B1818" s="175"/>
      <c r="P1818" s="4"/>
      <c r="Q1818" s="214"/>
    </row>
    <row r="1819" spans="1:17">
      <c r="A1819" s="175"/>
      <c r="B1819" s="175"/>
      <c r="P1819" s="4"/>
      <c r="Q1819" s="214"/>
    </row>
    <row r="1820" spans="1:17">
      <c r="A1820" s="175"/>
      <c r="B1820" s="175"/>
      <c r="P1820" s="4"/>
      <c r="Q1820" s="214"/>
    </row>
    <row r="1821" spans="1:17">
      <c r="A1821" s="175"/>
      <c r="B1821" s="175"/>
      <c r="P1821" s="4"/>
      <c r="Q1821" s="214"/>
    </row>
    <row r="1822" spans="1:17">
      <c r="A1822" s="175"/>
      <c r="B1822" s="175"/>
      <c r="P1822" s="4"/>
      <c r="Q1822" s="214"/>
    </row>
    <row r="1823" spans="1:17">
      <c r="A1823" s="175"/>
      <c r="B1823" s="175"/>
      <c r="P1823" s="4"/>
      <c r="Q1823" s="214"/>
    </row>
    <row r="1824" spans="1:17">
      <c r="A1824" s="175"/>
      <c r="B1824" s="175"/>
      <c r="P1824" s="4"/>
      <c r="Q1824" s="214"/>
    </row>
    <row r="1825" spans="1:17">
      <c r="A1825" s="175"/>
      <c r="B1825" s="175"/>
      <c r="P1825" s="4"/>
      <c r="Q1825" s="214"/>
    </row>
    <row r="1826" spans="1:17">
      <c r="A1826" s="175"/>
      <c r="B1826" s="175"/>
      <c r="P1826" s="4"/>
      <c r="Q1826" s="214"/>
    </row>
    <row r="1827" spans="1:17">
      <c r="A1827" s="175"/>
      <c r="B1827" s="175"/>
      <c r="P1827" s="4"/>
      <c r="Q1827" s="214"/>
    </row>
    <row r="1828" spans="1:17">
      <c r="A1828" s="175"/>
      <c r="B1828" s="175"/>
      <c r="P1828" s="4"/>
      <c r="Q1828" s="214"/>
    </row>
    <row r="1829" spans="1:17">
      <c r="A1829" s="175"/>
      <c r="B1829" s="175"/>
      <c r="P1829" s="4"/>
      <c r="Q1829" s="214"/>
    </row>
    <row r="1830" spans="1:17">
      <c r="A1830" s="175"/>
      <c r="B1830" s="175"/>
      <c r="P1830" s="4"/>
      <c r="Q1830" s="214"/>
    </row>
    <row r="1831" spans="1:17">
      <c r="A1831" s="175"/>
      <c r="B1831" s="175"/>
      <c r="P1831" s="4"/>
      <c r="Q1831" s="214"/>
    </row>
    <row r="1832" spans="1:17">
      <c r="A1832" s="175"/>
      <c r="B1832" s="175"/>
      <c r="P1832" s="4"/>
      <c r="Q1832" s="214"/>
    </row>
    <row r="1833" spans="1:17">
      <c r="A1833" s="175"/>
      <c r="B1833" s="175"/>
      <c r="P1833" s="4"/>
      <c r="Q1833" s="214"/>
    </row>
    <row r="1834" spans="1:17">
      <c r="A1834" s="175"/>
      <c r="B1834" s="175"/>
      <c r="P1834" s="4"/>
      <c r="Q1834" s="214"/>
    </row>
    <row r="1835" spans="1:17">
      <c r="A1835" s="175"/>
      <c r="B1835" s="175"/>
      <c r="P1835" s="4"/>
      <c r="Q1835" s="214"/>
    </row>
    <row r="1836" spans="1:17">
      <c r="A1836" s="175"/>
      <c r="B1836" s="175"/>
      <c r="P1836" s="4"/>
      <c r="Q1836" s="214"/>
    </row>
    <row r="1837" spans="1:17">
      <c r="A1837" s="175"/>
      <c r="B1837" s="175"/>
      <c r="P1837" s="4"/>
      <c r="Q1837" s="214"/>
    </row>
    <row r="1838" spans="1:17">
      <c r="A1838" s="175"/>
      <c r="B1838" s="175"/>
      <c r="P1838" s="4"/>
      <c r="Q1838" s="214"/>
    </row>
    <row r="1839" spans="1:17">
      <c r="A1839" s="175"/>
      <c r="B1839" s="175"/>
      <c r="P1839" s="4"/>
      <c r="Q1839" s="214"/>
    </row>
    <row r="1840" spans="1:17">
      <c r="A1840" s="175"/>
      <c r="B1840" s="175"/>
      <c r="P1840" s="4"/>
      <c r="Q1840" s="214"/>
    </row>
    <row r="1841" spans="1:17">
      <c r="A1841" s="175"/>
      <c r="B1841" s="175"/>
      <c r="P1841" s="4"/>
      <c r="Q1841" s="214"/>
    </row>
    <row r="1842" spans="1:17">
      <c r="A1842" s="175"/>
      <c r="B1842" s="175"/>
      <c r="P1842" s="4"/>
      <c r="Q1842" s="214"/>
    </row>
    <row r="1843" spans="1:17">
      <c r="A1843" s="175"/>
      <c r="B1843" s="175"/>
      <c r="P1843" s="4"/>
      <c r="Q1843" s="214"/>
    </row>
    <row r="1844" spans="1:17">
      <c r="A1844" s="175"/>
      <c r="B1844" s="175"/>
      <c r="P1844" s="4"/>
      <c r="Q1844" s="214"/>
    </row>
    <row r="1845" spans="1:17">
      <c r="A1845" s="175"/>
      <c r="B1845" s="175"/>
      <c r="P1845" s="4"/>
      <c r="Q1845" s="214"/>
    </row>
    <row r="1846" spans="1:17">
      <c r="A1846" s="175"/>
      <c r="B1846" s="175"/>
      <c r="P1846" s="4"/>
      <c r="Q1846" s="214"/>
    </row>
    <row r="1847" spans="1:17">
      <c r="A1847" s="175"/>
      <c r="B1847" s="175"/>
      <c r="P1847" s="4"/>
      <c r="Q1847" s="214"/>
    </row>
    <row r="1848" spans="1:17">
      <c r="A1848" s="175"/>
      <c r="B1848" s="175"/>
      <c r="P1848" s="4"/>
      <c r="Q1848" s="214"/>
    </row>
    <row r="1849" spans="1:17">
      <c r="A1849" s="175"/>
      <c r="B1849" s="175"/>
      <c r="P1849" s="4"/>
      <c r="Q1849" s="214"/>
    </row>
    <row r="1850" spans="1:17">
      <c r="A1850" s="175"/>
      <c r="B1850" s="175"/>
      <c r="P1850" s="4"/>
      <c r="Q1850" s="214"/>
    </row>
    <row r="1851" spans="1:17">
      <c r="A1851" s="175"/>
      <c r="B1851" s="175"/>
      <c r="P1851" s="4"/>
      <c r="Q1851" s="214"/>
    </row>
    <row r="1852" spans="1:17">
      <c r="A1852" s="175"/>
      <c r="B1852" s="175"/>
      <c r="P1852" s="4"/>
      <c r="Q1852" s="214"/>
    </row>
    <row r="1853" spans="1:17">
      <c r="A1853" s="175"/>
      <c r="B1853" s="175"/>
      <c r="P1853" s="4"/>
      <c r="Q1853" s="214"/>
    </row>
    <row r="1854" spans="1:17">
      <c r="A1854" s="175"/>
      <c r="B1854" s="175"/>
      <c r="P1854" s="4"/>
      <c r="Q1854" s="214"/>
    </row>
    <row r="1855" spans="1:17">
      <c r="A1855" s="175"/>
      <c r="B1855" s="175"/>
      <c r="P1855" s="4"/>
      <c r="Q1855" s="214"/>
    </row>
    <row r="1856" spans="1:17">
      <c r="A1856" s="175"/>
      <c r="B1856" s="175"/>
      <c r="P1856" s="4"/>
      <c r="Q1856" s="214"/>
    </row>
    <row r="1857" spans="1:17">
      <c r="A1857" s="175"/>
      <c r="B1857" s="175"/>
      <c r="P1857" s="4"/>
      <c r="Q1857" s="214"/>
    </row>
    <row r="1858" spans="1:17">
      <c r="A1858" s="175"/>
      <c r="B1858" s="175"/>
      <c r="P1858" s="4"/>
      <c r="Q1858" s="214"/>
    </row>
    <row r="1859" spans="1:17">
      <c r="A1859" s="175"/>
      <c r="B1859" s="175"/>
      <c r="P1859" s="4"/>
      <c r="Q1859" s="214"/>
    </row>
    <row r="1860" spans="1:17">
      <c r="A1860" s="175"/>
      <c r="B1860" s="175"/>
      <c r="P1860" s="4"/>
      <c r="Q1860" s="214"/>
    </row>
    <row r="1861" spans="1:17">
      <c r="A1861" s="175"/>
      <c r="B1861" s="175"/>
      <c r="P1861" s="4"/>
      <c r="Q1861" s="214"/>
    </row>
    <row r="1862" spans="1:17">
      <c r="A1862" s="175"/>
      <c r="B1862" s="175"/>
      <c r="P1862" s="4"/>
      <c r="Q1862" s="214"/>
    </row>
    <row r="1863" spans="1:17">
      <c r="A1863" s="175"/>
      <c r="B1863" s="175"/>
      <c r="P1863" s="4"/>
      <c r="Q1863" s="214"/>
    </row>
    <row r="1864" spans="1:17">
      <c r="A1864" s="175"/>
      <c r="B1864" s="175"/>
      <c r="P1864" s="4"/>
      <c r="Q1864" s="214"/>
    </row>
    <row r="1865" spans="1:17">
      <c r="A1865" s="175"/>
      <c r="B1865" s="175"/>
      <c r="P1865" s="4"/>
      <c r="Q1865" s="214"/>
    </row>
    <row r="1866" spans="1:17">
      <c r="A1866" s="175"/>
      <c r="B1866" s="175"/>
      <c r="P1866" s="4"/>
      <c r="Q1866" s="214"/>
    </row>
    <row r="1867" spans="1:17">
      <c r="A1867" s="175"/>
      <c r="B1867" s="175"/>
      <c r="P1867" s="4"/>
      <c r="Q1867" s="214"/>
    </row>
    <row r="1868" spans="1:17">
      <c r="A1868" s="175"/>
      <c r="B1868" s="175"/>
      <c r="P1868" s="4"/>
      <c r="Q1868" s="214"/>
    </row>
    <row r="1869" spans="1:17">
      <c r="A1869" s="175"/>
      <c r="B1869" s="175"/>
      <c r="P1869" s="4"/>
      <c r="Q1869" s="214"/>
    </row>
    <row r="1870" spans="1:17">
      <c r="A1870" s="175"/>
      <c r="B1870" s="175"/>
      <c r="P1870" s="4"/>
      <c r="Q1870" s="214"/>
    </row>
    <row r="1871" spans="1:17">
      <c r="A1871" s="175"/>
      <c r="B1871" s="175"/>
      <c r="P1871" s="4"/>
      <c r="Q1871" s="214"/>
    </row>
    <row r="1872" spans="1:17">
      <c r="A1872" s="175"/>
      <c r="B1872" s="175"/>
      <c r="P1872" s="4"/>
      <c r="Q1872" s="214"/>
    </row>
    <row r="1873" spans="1:17">
      <c r="A1873" s="175"/>
      <c r="B1873" s="175"/>
      <c r="P1873" s="4"/>
      <c r="Q1873" s="214"/>
    </row>
    <row r="1874" spans="1:17">
      <c r="A1874" s="175"/>
      <c r="B1874" s="175"/>
      <c r="P1874" s="4"/>
      <c r="Q1874" s="214"/>
    </row>
    <row r="1875" spans="1:17">
      <c r="A1875" s="175"/>
      <c r="B1875" s="175"/>
      <c r="P1875" s="4"/>
      <c r="Q1875" s="214"/>
    </row>
    <row r="1876" spans="1:17">
      <c r="A1876" s="175"/>
      <c r="B1876" s="175"/>
      <c r="P1876" s="4"/>
      <c r="Q1876" s="214"/>
    </row>
    <row r="1877" spans="1:17">
      <c r="A1877" s="175"/>
      <c r="B1877" s="175"/>
      <c r="P1877" s="4"/>
      <c r="Q1877" s="214"/>
    </row>
    <row r="1878" spans="1:17">
      <c r="A1878" s="175"/>
      <c r="B1878" s="175"/>
      <c r="P1878" s="4"/>
      <c r="Q1878" s="214"/>
    </row>
    <row r="1879" spans="1:17">
      <c r="A1879" s="175"/>
      <c r="B1879" s="175"/>
      <c r="P1879" s="4"/>
      <c r="Q1879" s="214"/>
    </row>
    <row r="1880" spans="1:17">
      <c r="A1880" s="175"/>
      <c r="B1880" s="175"/>
      <c r="P1880" s="4"/>
      <c r="Q1880" s="214"/>
    </row>
    <row r="1881" spans="1:17">
      <c r="A1881" s="175"/>
      <c r="B1881" s="175"/>
      <c r="P1881" s="4"/>
      <c r="Q1881" s="214"/>
    </row>
    <row r="1882" spans="1:17">
      <c r="A1882" s="175"/>
      <c r="B1882" s="175"/>
      <c r="P1882" s="4"/>
      <c r="Q1882" s="214"/>
    </row>
    <row r="1883" spans="1:17">
      <c r="A1883" s="175"/>
      <c r="B1883" s="175"/>
      <c r="P1883" s="4"/>
      <c r="Q1883" s="214"/>
    </row>
    <row r="1884" spans="1:17">
      <c r="A1884" s="175"/>
      <c r="B1884" s="175"/>
      <c r="P1884" s="4"/>
      <c r="Q1884" s="214"/>
    </row>
    <row r="1885" spans="1:17">
      <c r="A1885" s="175"/>
      <c r="B1885" s="175"/>
      <c r="P1885" s="4"/>
      <c r="Q1885" s="214"/>
    </row>
    <row r="1886" spans="1:17">
      <c r="A1886" s="175"/>
      <c r="B1886" s="175"/>
      <c r="P1886" s="4"/>
      <c r="Q1886" s="214"/>
    </row>
    <row r="1887" spans="1:17">
      <c r="A1887" s="175"/>
      <c r="B1887" s="175"/>
      <c r="P1887" s="4"/>
      <c r="Q1887" s="214"/>
    </row>
    <row r="1888" spans="1:17">
      <c r="A1888" s="175"/>
      <c r="B1888" s="175"/>
      <c r="P1888" s="4"/>
      <c r="Q1888" s="214"/>
    </row>
    <row r="1889" spans="1:17">
      <c r="A1889" s="175"/>
      <c r="B1889" s="175"/>
      <c r="P1889" s="4"/>
      <c r="Q1889" s="214"/>
    </row>
    <row r="1890" spans="1:17">
      <c r="A1890" s="175"/>
      <c r="B1890" s="175"/>
      <c r="P1890" s="4"/>
      <c r="Q1890" s="214"/>
    </row>
    <row r="1891" spans="1:17">
      <c r="A1891" s="175"/>
      <c r="B1891" s="175"/>
      <c r="P1891" s="4"/>
      <c r="Q1891" s="214"/>
    </row>
    <row r="1892" spans="1:17">
      <c r="A1892" s="175"/>
      <c r="B1892" s="175"/>
      <c r="P1892" s="4"/>
      <c r="Q1892" s="214"/>
    </row>
    <row r="1893" spans="1:17">
      <c r="A1893" s="175"/>
      <c r="B1893" s="175"/>
      <c r="P1893" s="4"/>
      <c r="Q1893" s="214"/>
    </row>
    <row r="1894" spans="1:17">
      <c r="A1894" s="175"/>
      <c r="B1894" s="175"/>
      <c r="P1894" s="4"/>
      <c r="Q1894" s="214"/>
    </row>
    <row r="1895" spans="1:17">
      <c r="A1895" s="175"/>
      <c r="B1895" s="175"/>
      <c r="P1895" s="4"/>
      <c r="Q1895" s="214"/>
    </row>
    <row r="1896" spans="1:17">
      <c r="A1896" s="175"/>
      <c r="B1896" s="175"/>
      <c r="P1896" s="4"/>
      <c r="Q1896" s="214"/>
    </row>
    <row r="1897" spans="1:17">
      <c r="A1897" s="175"/>
      <c r="B1897" s="175"/>
      <c r="P1897" s="4"/>
      <c r="Q1897" s="214"/>
    </row>
    <row r="1898" spans="1:17">
      <c r="A1898" s="175"/>
      <c r="B1898" s="175"/>
      <c r="P1898" s="4"/>
      <c r="Q1898" s="214"/>
    </row>
    <row r="1899" spans="1:17">
      <c r="A1899" s="175"/>
      <c r="B1899" s="175"/>
      <c r="P1899" s="4"/>
      <c r="Q1899" s="214"/>
    </row>
    <row r="1900" spans="1:17">
      <c r="A1900" s="175"/>
      <c r="B1900" s="175"/>
      <c r="P1900" s="4"/>
      <c r="Q1900" s="214"/>
    </row>
    <row r="1901" spans="1:17">
      <c r="A1901" s="175"/>
      <c r="B1901" s="175"/>
      <c r="P1901" s="4"/>
      <c r="Q1901" s="214"/>
    </row>
    <row r="1902" spans="1:17">
      <c r="A1902" s="175"/>
      <c r="B1902" s="175"/>
      <c r="P1902" s="4"/>
      <c r="Q1902" s="214"/>
    </row>
    <row r="1903" spans="1:17">
      <c r="A1903" s="175"/>
      <c r="B1903" s="175"/>
      <c r="P1903" s="4"/>
      <c r="Q1903" s="214"/>
    </row>
    <row r="1904" spans="1:17">
      <c r="A1904" s="175"/>
      <c r="B1904" s="175"/>
      <c r="P1904" s="4"/>
      <c r="Q1904" s="214"/>
    </row>
    <row r="1905" spans="1:17">
      <c r="A1905" s="175"/>
      <c r="B1905" s="175"/>
      <c r="P1905" s="4"/>
      <c r="Q1905" s="214"/>
    </row>
    <row r="1906" spans="1:17">
      <c r="A1906" s="175"/>
      <c r="B1906" s="175"/>
      <c r="P1906" s="4"/>
      <c r="Q1906" s="214"/>
    </row>
    <row r="1907" spans="1:17">
      <c r="A1907" s="175"/>
      <c r="B1907" s="175"/>
      <c r="P1907" s="4"/>
      <c r="Q1907" s="214"/>
    </row>
    <row r="1908" spans="1:17">
      <c r="A1908" s="175"/>
      <c r="B1908" s="175"/>
      <c r="P1908" s="4"/>
      <c r="Q1908" s="214"/>
    </row>
    <row r="1909" spans="1:17">
      <c r="A1909" s="175"/>
      <c r="B1909" s="175"/>
      <c r="P1909" s="4"/>
      <c r="Q1909" s="214"/>
    </row>
    <row r="1910" spans="1:17">
      <c r="A1910" s="175"/>
      <c r="B1910" s="175"/>
      <c r="P1910" s="4"/>
      <c r="Q1910" s="214"/>
    </row>
    <row r="1911" spans="1:17">
      <c r="A1911" s="175"/>
      <c r="B1911" s="175"/>
      <c r="P1911" s="4"/>
      <c r="Q1911" s="214"/>
    </row>
    <row r="1912" spans="1:17">
      <c r="A1912" s="175"/>
      <c r="B1912" s="175"/>
      <c r="P1912" s="4"/>
      <c r="Q1912" s="214"/>
    </row>
    <row r="1913" spans="1:17">
      <c r="A1913" s="175"/>
      <c r="B1913" s="175"/>
      <c r="P1913" s="4"/>
      <c r="Q1913" s="214"/>
    </row>
    <row r="1914" spans="1:17">
      <c r="A1914" s="175"/>
      <c r="B1914" s="175"/>
      <c r="P1914" s="4"/>
      <c r="Q1914" s="214"/>
    </row>
    <row r="1915" spans="1:17">
      <c r="A1915" s="175"/>
      <c r="B1915" s="175"/>
      <c r="P1915" s="4"/>
      <c r="Q1915" s="214"/>
    </row>
    <row r="1916" spans="1:17">
      <c r="A1916" s="175"/>
      <c r="B1916" s="175"/>
      <c r="P1916" s="4"/>
      <c r="Q1916" s="214"/>
    </row>
    <row r="1917" spans="1:17">
      <c r="A1917" s="175"/>
      <c r="B1917" s="175"/>
      <c r="P1917" s="4"/>
      <c r="Q1917" s="214"/>
    </row>
    <row r="1918" spans="1:17">
      <c r="A1918" s="175"/>
      <c r="B1918" s="175"/>
      <c r="P1918" s="4"/>
      <c r="Q1918" s="214"/>
    </row>
    <row r="1919" spans="1:17">
      <c r="A1919" s="175"/>
      <c r="B1919" s="175"/>
      <c r="P1919" s="4"/>
      <c r="Q1919" s="214"/>
    </row>
    <row r="1920" spans="1:17">
      <c r="A1920" s="175"/>
      <c r="B1920" s="175"/>
      <c r="P1920" s="4"/>
      <c r="Q1920" s="214"/>
    </row>
    <row r="1921" spans="1:17">
      <c r="A1921" s="175"/>
      <c r="B1921" s="175"/>
      <c r="P1921" s="4"/>
      <c r="Q1921" s="214"/>
    </row>
    <row r="1922" spans="1:17">
      <c r="A1922" s="175"/>
      <c r="B1922" s="175"/>
      <c r="P1922" s="4"/>
      <c r="Q1922" s="214"/>
    </row>
    <row r="1923" spans="1:17">
      <c r="A1923" s="175"/>
      <c r="B1923" s="175"/>
      <c r="P1923" s="4"/>
      <c r="Q1923" s="214"/>
    </row>
    <row r="1924" spans="1:17">
      <c r="A1924" s="175"/>
      <c r="B1924" s="175"/>
      <c r="P1924" s="4"/>
      <c r="Q1924" s="214"/>
    </row>
    <row r="1925" spans="1:17">
      <c r="A1925" s="175"/>
      <c r="B1925" s="175"/>
      <c r="P1925" s="4"/>
      <c r="Q1925" s="214"/>
    </row>
    <row r="1926" spans="1:17">
      <c r="A1926" s="175"/>
      <c r="B1926" s="175"/>
      <c r="P1926" s="4"/>
      <c r="Q1926" s="214"/>
    </row>
    <row r="1927" spans="1:17">
      <c r="A1927" s="175"/>
      <c r="B1927" s="175"/>
      <c r="P1927" s="4"/>
      <c r="Q1927" s="214"/>
    </row>
    <row r="1928" spans="1:17">
      <c r="A1928" s="175"/>
      <c r="B1928" s="175"/>
      <c r="P1928" s="4"/>
      <c r="Q1928" s="214"/>
    </row>
    <row r="1929" spans="1:17">
      <c r="A1929" s="175"/>
      <c r="B1929" s="175"/>
      <c r="P1929" s="4"/>
      <c r="Q1929" s="214"/>
    </row>
    <row r="1930" spans="1:17">
      <c r="A1930" s="175"/>
      <c r="B1930" s="175"/>
      <c r="P1930" s="4"/>
      <c r="Q1930" s="214"/>
    </row>
    <row r="1931" spans="1:17">
      <c r="A1931" s="175"/>
      <c r="B1931" s="175"/>
      <c r="P1931" s="4"/>
      <c r="Q1931" s="214"/>
    </row>
    <row r="1932" spans="1:17">
      <c r="A1932" s="175"/>
      <c r="B1932" s="175"/>
      <c r="P1932" s="4"/>
      <c r="Q1932" s="214"/>
    </row>
    <row r="1933" spans="1:17">
      <c r="A1933" s="175"/>
      <c r="B1933" s="175"/>
      <c r="P1933" s="4"/>
      <c r="Q1933" s="214"/>
    </row>
    <row r="1934" spans="1:17">
      <c r="A1934" s="175"/>
      <c r="B1934" s="175"/>
      <c r="P1934" s="4"/>
      <c r="Q1934" s="214"/>
    </row>
    <row r="1935" spans="1:17">
      <c r="A1935" s="175"/>
      <c r="B1935" s="175"/>
      <c r="P1935" s="4"/>
      <c r="Q1935" s="214"/>
    </row>
    <row r="1936" spans="1:17">
      <c r="A1936" s="175"/>
      <c r="B1936" s="175"/>
      <c r="P1936" s="4"/>
      <c r="Q1936" s="214"/>
    </row>
    <row r="1937" spans="1:17">
      <c r="A1937" s="175"/>
      <c r="B1937" s="175"/>
      <c r="P1937" s="4"/>
      <c r="Q1937" s="214"/>
    </row>
    <row r="1938" spans="1:17">
      <c r="A1938" s="175"/>
      <c r="B1938" s="175"/>
      <c r="P1938" s="4"/>
      <c r="Q1938" s="214"/>
    </row>
    <row r="1939" spans="1:17">
      <c r="A1939" s="175"/>
      <c r="B1939" s="175"/>
      <c r="P1939" s="4"/>
      <c r="Q1939" s="214"/>
    </row>
    <row r="1940" spans="1:17">
      <c r="A1940" s="175"/>
      <c r="B1940" s="175"/>
      <c r="P1940" s="4"/>
      <c r="Q1940" s="214"/>
    </row>
    <row r="1941" spans="1:17">
      <c r="A1941" s="175"/>
      <c r="B1941" s="175"/>
      <c r="P1941" s="4"/>
      <c r="Q1941" s="214"/>
    </row>
    <row r="1942" spans="1:17">
      <c r="A1942" s="175"/>
      <c r="B1942" s="175"/>
      <c r="P1942" s="4"/>
      <c r="Q1942" s="214"/>
    </row>
    <row r="1943" spans="1:17">
      <c r="A1943" s="175"/>
      <c r="B1943" s="175"/>
      <c r="P1943" s="4"/>
      <c r="Q1943" s="214"/>
    </row>
    <row r="1944" spans="1:17">
      <c r="A1944" s="175"/>
      <c r="B1944" s="175"/>
      <c r="P1944" s="4"/>
      <c r="Q1944" s="214"/>
    </row>
    <row r="1945" spans="1:17">
      <c r="A1945" s="175"/>
      <c r="B1945" s="175"/>
      <c r="P1945" s="4"/>
      <c r="Q1945" s="214"/>
    </row>
    <row r="1946" spans="1:17">
      <c r="A1946" s="175"/>
      <c r="B1946" s="175"/>
      <c r="P1946" s="4"/>
      <c r="Q1946" s="214"/>
    </row>
    <row r="1947" spans="1:17">
      <c r="A1947" s="175"/>
      <c r="B1947" s="175"/>
      <c r="P1947" s="4"/>
      <c r="Q1947" s="214"/>
    </row>
    <row r="1948" spans="1:17">
      <c r="A1948" s="175"/>
      <c r="B1948" s="175"/>
      <c r="P1948" s="4"/>
      <c r="Q1948" s="214"/>
    </row>
    <row r="1949" spans="1:17">
      <c r="A1949" s="175"/>
      <c r="B1949" s="175"/>
      <c r="P1949" s="4"/>
      <c r="Q1949" s="214"/>
    </row>
    <row r="1950" spans="1:17">
      <c r="A1950" s="175"/>
      <c r="B1950" s="175"/>
      <c r="P1950" s="4"/>
      <c r="Q1950" s="214"/>
    </row>
    <row r="1951" spans="1:17">
      <c r="A1951" s="175"/>
      <c r="B1951" s="175"/>
      <c r="P1951" s="4"/>
      <c r="Q1951" s="214"/>
    </row>
    <row r="1952" spans="1:17">
      <c r="A1952" s="175"/>
      <c r="B1952" s="175"/>
      <c r="P1952" s="4"/>
      <c r="Q1952" s="214"/>
    </row>
    <row r="1953" spans="1:17">
      <c r="A1953" s="175"/>
      <c r="B1953" s="175"/>
      <c r="P1953" s="4"/>
      <c r="Q1953" s="214"/>
    </row>
    <row r="1954" spans="1:17">
      <c r="A1954" s="175"/>
      <c r="B1954" s="175"/>
      <c r="P1954" s="4"/>
      <c r="Q1954" s="214"/>
    </row>
    <row r="1955" spans="1:17">
      <c r="A1955" s="175"/>
      <c r="B1955" s="175"/>
      <c r="P1955" s="4"/>
      <c r="Q1955" s="214"/>
    </row>
    <row r="1956" spans="1:17">
      <c r="A1956" s="175"/>
      <c r="B1956" s="175"/>
      <c r="P1956" s="4"/>
      <c r="Q1956" s="214"/>
    </row>
    <row r="1957" spans="1:17">
      <c r="A1957" s="175"/>
      <c r="B1957" s="175"/>
      <c r="P1957" s="4"/>
      <c r="Q1957" s="214"/>
    </row>
    <row r="1958" spans="1:17">
      <c r="A1958" s="175"/>
      <c r="B1958" s="175"/>
      <c r="P1958" s="4"/>
      <c r="Q1958" s="214"/>
    </row>
    <row r="1959" spans="1:17">
      <c r="A1959" s="175"/>
      <c r="B1959" s="175"/>
      <c r="P1959" s="4"/>
      <c r="Q1959" s="214"/>
    </row>
    <row r="1960" spans="1:17">
      <c r="A1960" s="175"/>
      <c r="B1960" s="175"/>
      <c r="P1960" s="4"/>
      <c r="Q1960" s="214"/>
    </row>
    <row r="1961" spans="1:17">
      <c r="A1961" s="175"/>
      <c r="B1961" s="175"/>
      <c r="P1961" s="4"/>
      <c r="Q1961" s="214"/>
    </row>
    <row r="1962" spans="1:17">
      <c r="A1962" s="175"/>
      <c r="B1962" s="175"/>
      <c r="P1962" s="4"/>
      <c r="Q1962" s="214"/>
    </row>
    <row r="1963" spans="1:17">
      <c r="A1963" s="175"/>
      <c r="B1963" s="175"/>
      <c r="P1963" s="4"/>
      <c r="Q1963" s="214"/>
    </row>
    <row r="1964" spans="1:17">
      <c r="A1964" s="175"/>
      <c r="B1964" s="175"/>
      <c r="P1964" s="4"/>
      <c r="Q1964" s="214"/>
    </row>
    <row r="1965" spans="1:17">
      <c r="A1965" s="175"/>
      <c r="B1965" s="175"/>
      <c r="P1965" s="4"/>
      <c r="Q1965" s="214"/>
    </row>
    <row r="1966" spans="1:17">
      <c r="A1966" s="175"/>
      <c r="B1966" s="175"/>
      <c r="P1966" s="4"/>
      <c r="Q1966" s="214"/>
    </row>
    <row r="1967" spans="1:17">
      <c r="A1967" s="175"/>
      <c r="B1967" s="175"/>
      <c r="P1967" s="4"/>
      <c r="Q1967" s="214"/>
    </row>
    <row r="1968" spans="1:17">
      <c r="A1968" s="175"/>
      <c r="B1968" s="175"/>
      <c r="P1968" s="4"/>
      <c r="Q1968" s="214"/>
    </row>
    <row r="1969" spans="1:17">
      <c r="A1969" s="175"/>
      <c r="B1969" s="175"/>
      <c r="P1969" s="4"/>
      <c r="Q1969" s="214"/>
    </row>
    <row r="1970" spans="1:17">
      <c r="A1970" s="175"/>
      <c r="B1970" s="175"/>
      <c r="P1970" s="4"/>
      <c r="Q1970" s="214"/>
    </row>
    <row r="1971" spans="1:17">
      <c r="A1971" s="175"/>
      <c r="B1971" s="175"/>
      <c r="P1971" s="4"/>
      <c r="Q1971" s="214"/>
    </row>
    <row r="1972" spans="1:17">
      <c r="A1972" s="175"/>
      <c r="B1972" s="175"/>
      <c r="P1972" s="4"/>
      <c r="Q1972" s="214"/>
    </row>
    <row r="1973" spans="1:17">
      <c r="A1973" s="175"/>
      <c r="B1973" s="175"/>
      <c r="P1973" s="4"/>
      <c r="Q1973" s="214"/>
    </row>
    <row r="1974" spans="1:17">
      <c r="A1974" s="175"/>
      <c r="B1974" s="175"/>
      <c r="P1974" s="4"/>
      <c r="Q1974" s="214"/>
    </row>
    <row r="1975" spans="1:17">
      <c r="A1975" s="175"/>
      <c r="B1975" s="175"/>
      <c r="P1975" s="4"/>
      <c r="Q1975" s="214"/>
    </row>
    <row r="1976" spans="1:17">
      <c r="A1976" s="175"/>
      <c r="B1976" s="175"/>
      <c r="P1976" s="4"/>
      <c r="Q1976" s="214"/>
    </row>
    <row r="1977" spans="1:17">
      <c r="A1977" s="175"/>
      <c r="B1977" s="175"/>
      <c r="P1977" s="4"/>
      <c r="Q1977" s="214"/>
    </row>
    <row r="1978" spans="1:17">
      <c r="A1978" s="175"/>
      <c r="B1978" s="175"/>
      <c r="P1978" s="4"/>
      <c r="Q1978" s="214"/>
    </row>
    <row r="1979" spans="1:17">
      <c r="A1979" s="175"/>
      <c r="B1979" s="175"/>
      <c r="P1979" s="4"/>
      <c r="Q1979" s="214"/>
    </row>
    <row r="1980" spans="1:17">
      <c r="A1980" s="175"/>
      <c r="B1980" s="175"/>
      <c r="P1980" s="4"/>
      <c r="Q1980" s="214"/>
    </row>
    <row r="1981" spans="1:17">
      <c r="A1981" s="175"/>
      <c r="B1981" s="175"/>
      <c r="P1981" s="4"/>
      <c r="Q1981" s="214"/>
    </row>
    <row r="1982" spans="1:17">
      <c r="A1982" s="175"/>
      <c r="B1982" s="175"/>
      <c r="P1982" s="4"/>
      <c r="Q1982" s="214"/>
    </row>
    <row r="1983" spans="1:17">
      <c r="A1983" s="175"/>
      <c r="B1983" s="175"/>
      <c r="P1983" s="4"/>
      <c r="Q1983" s="214"/>
    </row>
    <row r="1984" spans="1:17">
      <c r="A1984" s="175"/>
      <c r="B1984" s="175"/>
      <c r="P1984" s="4"/>
      <c r="Q1984" s="214"/>
    </row>
    <row r="1985" spans="1:17">
      <c r="A1985" s="175"/>
      <c r="B1985" s="175"/>
      <c r="P1985" s="4"/>
      <c r="Q1985" s="214"/>
    </row>
    <row r="1986" spans="1:17">
      <c r="A1986" s="175"/>
      <c r="B1986" s="175"/>
      <c r="P1986" s="4"/>
      <c r="Q1986" s="214"/>
    </row>
    <row r="1987" spans="1:17">
      <c r="A1987" s="175"/>
      <c r="B1987" s="175"/>
      <c r="P1987" s="4"/>
      <c r="Q1987" s="214"/>
    </row>
    <row r="1988" spans="1:17">
      <c r="A1988" s="175"/>
      <c r="B1988" s="175"/>
      <c r="P1988" s="4"/>
      <c r="Q1988" s="214"/>
    </row>
    <row r="1989" spans="1:17">
      <c r="A1989" s="175"/>
      <c r="B1989" s="175"/>
      <c r="P1989" s="4"/>
      <c r="Q1989" s="214"/>
    </row>
    <row r="1990" spans="1:17">
      <c r="A1990" s="175"/>
      <c r="B1990" s="175"/>
      <c r="P1990" s="4"/>
      <c r="Q1990" s="214"/>
    </row>
    <row r="1991" spans="1:17">
      <c r="A1991" s="175"/>
      <c r="B1991" s="175"/>
      <c r="P1991" s="4"/>
      <c r="Q1991" s="214"/>
    </row>
    <row r="1992" spans="1:17">
      <c r="A1992" s="175"/>
      <c r="B1992" s="175"/>
      <c r="P1992" s="4"/>
      <c r="Q1992" s="214"/>
    </row>
    <row r="1993" spans="1:17">
      <c r="A1993" s="175"/>
      <c r="B1993" s="175"/>
      <c r="P1993" s="4"/>
      <c r="Q1993" s="214"/>
    </row>
    <row r="1994" spans="1:17">
      <c r="A1994" s="175"/>
      <c r="B1994" s="175"/>
      <c r="P1994" s="4"/>
      <c r="Q1994" s="214"/>
    </row>
    <row r="1995" spans="1:17">
      <c r="A1995" s="175"/>
      <c r="B1995" s="175"/>
      <c r="P1995" s="4"/>
      <c r="Q1995" s="214"/>
    </row>
    <row r="1996" spans="1:17">
      <c r="A1996" s="175"/>
      <c r="B1996" s="175"/>
      <c r="P1996" s="4"/>
      <c r="Q1996" s="214"/>
    </row>
    <row r="1997" spans="1:17">
      <c r="A1997" s="175"/>
      <c r="B1997" s="175"/>
      <c r="P1997" s="4"/>
      <c r="Q1997" s="214"/>
    </row>
    <row r="1998" spans="1:17">
      <c r="A1998" s="175"/>
      <c r="B1998" s="175"/>
      <c r="P1998" s="4"/>
      <c r="Q1998" s="214"/>
    </row>
    <row r="1999" spans="1:17">
      <c r="A1999" s="175"/>
      <c r="B1999" s="175"/>
      <c r="P1999" s="4"/>
      <c r="Q1999" s="214"/>
    </row>
    <row r="2000" spans="1:17">
      <c r="A2000" s="175"/>
      <c r="B2000" s="175"/>
      <c r="P2000" s="4"/>
      <c r="Q2000" s="214"/>
    </row>
    <row r="2001" spans="1:17">
      <c r="A2001" s="175"/>
      <c r="B2001" s="175"/>
      <c r="P2001" s="4"/>
      <c r="Q2001" s="214"/>
    </row>
    <row r="2002" spans="1:17">
      <c r="A2002" s="175"/>
      <c r="B2002" s="175"/>
      <c r="P2002" s="4"/>
      <c r="Q2002" s="214"/>
    </row>
    <row r="2003" spans="1:17">
      <c r="A2003" s="175"/>
      <c r="B2003" s="175"/>
      <c r="P2003" s="4"/>
      <c r="Q2003" s="214"/>
    </row>
    <row r="2004" spans="1:17">
      <c r="A2004" s="175"/>
      <c r="B2004" s="175"/>
      <c r="P2004" s="4"/>
      <c r="Q2004" s="214"/>
    </row>
    <row r="2005" spans="1:17">
      <c r="A2005" s="175"/>
      <c r="B2005" s="175"/>
      <c r="P2005" s="4"/>
      <c r="Q2005" s="214"/>
    </row>
    <row r="2006" spans="1:17">
      <c r="A2006" s="175"/>
      <c r="B2006" s="175"/>
      <c r="P2006" s="4"/>
      <c r="Q2006" s="214"/>
    </row>
    <row r="2007" spans="1:17">
      <c r="A2007" s="175"/>
      <c r="B2007" s="175"/>
      <c r="P2007" s="4"/>
      <c r="Q2007" s="214"/>
    </row>
    <row r="2008" spans="1:17">
      <c r="A2008" s="175"/>
      <c r="B2008" s="175"/>
      <c r="P2008" s="4"/>
      <c r="Q2008" s="214"/>
    </row>
    <row r="2009" spans="1:17">
      <c r="A2009" s="175"/>
      <c r="B2009" s="175"/>
      <c r="P2009" s="4"/>
      <c r="Q2009" s="214"/>
    </row>
    <row r="2010" spans="1:17">
      <c r="A2010" s="175"/>
      <c r="B2010" s="175"/>
      <c r="P2010" s="4"/>
      <c r="Q2010" s="214"/>
    </row>
    <row r="2011" spans="1:17">
      <c r="A2011" s="175"/>
      <c r="B2011" s="175"/>
      <c r="P2011" s="4"/>
      <c r="Q2011" s="214"/>
    </row>
    <row r="2012" spans="1:17">
      <c r="A2012" s="175"/>
      <c r="B2012" s="175"/>
      <c r="P2012" s="4"/>
      <c r="Q2012" s="214"/>
    </row>
    <row r="2013" spans="1:17">
      <c r="A2013" s="175"/>
      <c r="B2013" s="175"/>
      <c r="P2013" s="4"/>
      <c r="Q2013" s="214"/>
    </row>
    <row r="2014" spans="1:17">
      <c r="A2014" s="175"/>
      <c r="B2014" s="175"/>
      <c r="P2014" s="4"/>
      <c r="Q2014" s="214"/>
    </row>
    <row r="2015" spans="1:17">
      <c r="A2015" s="175"/>
      <c r="B2015" s="175"/>
      <c r="P2015" s="4"/>
      <c r="Q2015" s="214"/>
    </row>
    <row r="2016" spans="1:17">
      <c r="A2016" s="175"/>
      <c r="B2016" s="175"/>
      <c r="P2016" s="4"/>
      <c r="Q2016" s="214"/>
    </row>
    <row r="2017" spans="1:17">
      <c r="A2017" s="175"/>
      <c r="B2017" s="175"/>
      <c r="P2017" s="4"/>
      <c r="Q2017" s="214"/>
    </row>
    <row r="2018" spans="1:17">
      <c r="A2018" s="175"/>
      <c r="B2018" s="175"/>
      <c r="P2018" s="4"/>
      <c r="Q2018" s="214"/>
    </row>
    <row r="2019" spans="1:17">
      <c r="A2019" s="175"/>
      <c r="B2019" s="175"/>
      <c r="P2019" s="4"/>
      <c r="Q2019" s="214"/>
    </row>
    <row r="2020" spans="1:17">
      <c r="A2020" s="175"/>
      <c r="B2020" s="175"/>
      <c r="P2020" s="4"/>
      <c r="Q2020" s="214"/>
    </row>
    <row r="2021" spans="1:17">
      <c r="A2021" s="175"/>
      <c r="B2021" s="175"/>
      <c r="P2021" s="4"/>
      <c r="Q2021" s="214"/>
    </row>
    <row r="2022" spans="1:17">
      <c r="A2022" s="175"/>
      <c r="B2022" s="175"/>
      <c r="P2022" s="4"/>
      <c r="Q2022" s="214"/>
    </row>
    <row r="2023" spans="1:17">
      <c r="A2023" s="175"/>
      <c r="B2023" s="175"/>
      <c r="P2023" s="4"/>
      <c r="Q2023" s="214"/>
    </row>
    <row r="2024" spans="1:17">
      <c r="A2024" s="175"/>
      <c r="B2024" s="175"/>
      <c r="P2024" s="4"/>
      <c r="Q2024" s="214"/>
    </row>
    <row r="2025" spans="1:17">
      <c r="A2025" s="175"/>
      <c r="B2025" s="175"/>
      <c r="P2025" s="4"/>
      <c r="Q2025" s="214"/>
    </row>
    <row r="2026" spans="1:17">
      <c r="A2026" s="175"/>
      <c r="B2026" s="175"/>
      <c r="P2026" s="4"/>
      <c r="Q2026" s="214"/>
    </row>
    <row r="2027" spans="1:17">
      <c r="A2027" s="175"/>
      <c r="B2027" s="175"/>
      <c r="P2027" s="4"/>
      <c r="Q2027" s="214"/>
    </row>
    <row r="2028" spans="1:17">
      <c r="A2028" s="175"/>
      <c r="B2028" s="175"/>
      <c r="P2028" s="4"/>
      <c r="Q2028" s="214"/>
    </row>
    <row r="2029" spans="1:17">
      <c r="A2029" s="175"/>
      <c r="B2029" s="175"/>
      <c r="P2029" s="4"/>
      <c r="Q2029" s="214"/>
    </row>
    <row r="2030" spans="1:17">
      <c r="A2030" s="175"/>
      <c r="B2030" s="175"/>
      <c r="P2030" s="4"/>
      <c r="Q2030" s="214"/>
    </row>
    <row r="2031" spans="1:17">
      <c r="A2031" s="175"/>
      <c r="B2031" s="175"/>
      <c r="P2031" s="4"/>
      <c r="Q2031" s="214"/>
    </row>
    <row r="2032" spans="1:17">
      <c r="A2032" s="175"/>
      <c r="B2032" s="175"/>
      <c r="P2032" s="4"/>
      <c r="Q2032" s="214"/>
    </row>
    <row r="2033" spans="1:17">
      <c r="A2033" s="175"/>
      <c r="B2033" s="175"/>
      <c r="P2033" s="4"/>
      <c r="Q2033" s="214"/>
    </row>
    <row r="2034" spans="1:17">
      <c r="A2034" s="175"/>
      <c r="B2034" s="175"/>
      <c r="P2034" s="4"/>
      <c r="Q2034" s="214"/>
    </row>
    <row r="2035" spans="1:17">
      <c r="A2035" s="175"/>
      <c r="B2035" s="175"/>
      <c r="P2035" s="4"/>
      <c r="Q2035" s="214"/>
    </row>
    <row r="2036" spans="1:17">
      <c r="A2036" s="175"/>
      <c r="B2036" s="175"/>
      <c r="P2036" s="4"/>
      <c r="Q2036" s="214"/>
    </row>
    <row r="2037" spans="1:17">
      <c r="A2037" s="175"/>
      <c r="B2037" s="175"/>
      <c r="P2037" s="4"/>
      <c r="Q2037" s="214"/>
    </row>
    <row r="2038" spans="1:17">
      <c r="A2038" s="175"/>
      <c r="B2038" s="175"/>
      <c r="P2038" s="4"/>
      <c r="Q2038" s="214"/>
    </row>
    <row r="2039" spans="1:17">
      <c r="A2039" s="175"/>
      <c r="B2039" s="175"/>
      <c r="P2039" s="4"/>
      <c r="Q2039" s="214"/>
    </row>
    <row r="2040" spans="1:17">
      <c r="A2040" s="175"/>
      <c r="B2040" s="175"/>
      <c r="P2040" s="4"/>
      <c r="Q2040" s="214"/>
    </row>
    <row r="2041" spans="1:17">
      <c r="A2041" s="175"/>
      <c r="B2041" s="175"/>
      <c r="P2041" s="4"/>
      <c r="Q2041" s="214"/>
    </row>
    <row r="2042" spans="1:17">
      <c r="A2042" s="175"/>
      <c r="B2042" s="175"/>
      <c r="P2042" s="4"/>
      <c r="Q2042" s="214"/>
    </row>
    <row r="2043" spans="1:17">
      <c r="A2043" s="175"/>
      <c r="B2043" s="175"/>
      <c r="P2043" s="4"/>
      <c r="Q2043" s="214"/>
    </row>
    <row r="2044" spans="1:17">
      <c r="A2044" s="175"/>
      <c r="B2044" s="175"/>
      <c r="P2044" s="4"/>
      <c r="Q2044" s="214"/>
    </row>
    <row r="2045" spans="1:17">
      <c r="A2045" s="175"/>
      <c r="B2045" s="175"/>
      <c r="P2045" s="4"/>
      <c r="Q2045" s="214"/>
    </row>
    <row r="2046" spans="1:17">
      <c r="A2046" s="175"/>
      <c r="B2046" s="175"/>
      <c r="P2046" s="4"/>
      <c r="Q2046" s="214"/>
    </row>
    <row r="2047" spans="1:17">
      <c r="A2047" s="175"/>
      <c r="B2047" s="175"/>
      <c r="P2047" s="4"/>
      <c r="Q2047" s="214"/>
    </row>
    <row r="2048" spans="1:17">
      <c r="A2048" s="175"/>
      <c r="B2048" s="175"/>
      <c r="P2048" s="4"/>
      <c r="Q2048" s="214"/>
    </row>
    <row r="2049" spans="1:17">
      <c r="A2049" s="175"/>
      <c r="B2049" s="175"/>
      <c r="P2049" s="4"/>
      <c r="Q2049" s="214"/>
    </row>
    <row r="2050" spans="1:17">
      <c r="A2050" s="175"/>
      <c r="B2050" s="175"/>
      <c r="P2050" s="4"/>
      <c r="Q2050" s="214"/>
    </row>
    <row r="2051" spans="1:17">
      <c r="A2051" s="175"/>
      <c r="B2051" s="175"/>
      <c r="P2051" s="4"/>
      <c r="Q2051" s="214"/>
    </row>
    <row r="2052" spans="1:17">
      <c r="A2052" s="175"/>
      <c r="B2052" s="175"/>
      <c r="P2052" s="4"/>
      <c r="Q2052" s="214"/>
    </row>
    <row r="2053" spans="1:17">
      <c r="A2053" s="175"/>
      <c r="B2053" s="175"/>
      <c r="P2053" s="4"/>
      <c r="Q2053" s="214"/>
    </row>
    <row r="2054" spans="1:17">
      <c r="A2054" s="175"/>
      <c r="B2054" s="175"/>
      <c r="P2054" s="4"/>
      <c r="Q2054" s="214"/>
    </row>
    <row r="2055" spans="1:17">
      <c r="A2055" s="175"/>
      <c r="B2055" s="175"/>
      <c r="P2055" s="4"/>
      <c r="Q2055" s="214"/>
    </row>
    <row r="2056" spans="1:17">
      <c r="A2056" s="175"/>
      <c r="B2056" s="175"/>
      <c r="P2056" s="4"/>
      <c r="Q2056" s="214"/>
    </row>
    <row r="2057" spans="1:17">
      <c r="A2057" s="175"/>
      <c r="B2057" s="175"/>
      <c r="P2057" s="4"/>
      <c r="Q2057" s="214"/>
    </row>
    <row r="2058" spans="1:17">
      <c r="A2058" s="175"/>
      <c r="B2058" s="175"/>
      <c r="P2058" s="4"/>
      <c r="Q2058" s="214"/>
    </row>
    <row r="2059" spans="1:17">
      <c r="A2059" s="175"/>
      <c r="B2059" s="175"/>
      <c r="P2059" s="4"/>
      <c r="Q2059" s="214"/>
    </row>
    <row r="2060" spans="1:17">
      <c r="A2060" s="175"/>
      <c r="B2060" s="175"/>
      <c r="P2060" s="4"/>
      <c r="Q2060" s="214"/>
    </row>
    <row r="2061" spans="1:17">
      <c r="A2061" s="175"/>
      <c r="B2061" s="175"/>
      <c r="P2061" s="4"/>
      <c r="Q2061" s="214"/>
    </row>
    <row r="2062" spans="1:17">
      <c r="A2062" s="175"/>
      <c r="B2062" s="175"/>
      <c r="P2062" s="4"/>
      <c r="Q2062" s="214"/>
    </row>
    <row r="2063" spans="1:17">
      <c r="A2063" s="175"/>
      <c r="B2063" s="175"/>
      <c r="P2063" s="4"/>
      <c r="Q2063" s="214"/>
    </row>
    <row r="2064" spans="1:17">
      <c r="A2064" s="175"/>
      <c r="B2064" s="175"/>
      <c r="P2064" s="4"/>
      <c r="Q2064" s="214"/>
    </row>
    <row r="2065" spans="1:17">
      <c r="A2065" s="175"/>
      <c r="B2065" s="175"/>
      <c r="P2065" s="4"/>
      <c r="Q2065" s="214"/>
    </row>
    <row r="2066" spans="1:17">
      <c r="A2066" s="175"/>
      <c r="B2066" s="175"/>
      <c r="P2066" s="4"/>
      <c r="Q2066" s="214"/>
    </row>
    <row r="2067" spans="1:17">
      <c r="A2067" s="175"/>
      <c r="B2067" s="175"/>
      <c r="P2067" s="4"/>
      <c r="Q2067" s="214"/>
    </row>
    <row r="2068" spans="1:17">
      <c r="A2068" s="175"/>
      <c r="B2068" s="175"/>
      <c r="P2068" s="4"/>
      <c r="Q2068" s="214"/>
    </row>
    <row r="2069" spans="1:17">
      <c r="A2069" s="175"/>
      <c r="B2069" s="175"/>
      <c r="P2069" s="4"/>
      <c r="Q2069" s="214"/>
    </row>
    <row r="2070" spans="1:17">
      <c r="A2070" s="175"/>
      <c r="B2070" s="175"/>
      <c r="P2070" s="4"/>
      <c r="Q2070" s="214"/>
    </row>
    <row r="2071" spans="1:17">
      <c r="A2071" s="175"/>
      <c r="B2071" s="175"/>
      <c r="P2071" s="4"/>
      <c r="Q2071" s="214"/>
    </row>
    <row r="2072" spans="1:17">
      <c r="A2072" s="175"/>
      <c r="B2072" s="175"/>
      <c r="P2072" s="4"/>
      <c r="Q2072" s="214"/>
    </row>
    <row r="2073" spans="1:17">
      <c r="A2073" s="175"/>
      <c r="B2073" s="175"/>
      <c r="P2073" s="4"/>
      <c r="Q2073" s="214"/>
    </row>
    <row r="2074" spans="1:17">
      <c r="A2074" s="175"/>
      <c r="B2074" s="175"/>
      <c r="P2074" s="4"/>
      <c r="Q2074" s="214"/>
    </row>
    <row r="2075" spans="1:17">
      <c r="A2075" s="175"/>
      <c r="B2075" s="175"/>
      <c r="P2075" s="4"/>
      <c r="Q2075" s="214"/>
    </row>
    <row r="2076" spans="1:17">
      <c r="A2076" s="175"/>
      <c r="B2076" s="175"/>
      <c r="P2076" s="4"/>
      <c r="Q2076" s="214"/>
    </row>
    <row r="2077" spans="1:17">
      <c r="A2077" s="175"/>
      <c r="B2077" s="175"/>
      <c r="P2077" s="4"/>
      <c r="Q2077" s="214"/>
    </row>
    <row r="2078" spans="1:17">
      <c r="A2078" s="175"/>
      <c r="B2078" s="175"/>
      <c r="P2078" s="4"/>
      <c r="Q2078" s="214"/>
    </row>
    <row r="2079" spans="1:17">
      <c r="A2079" s="175"/>
      <c r="B2079" s="175"/>
      <c r="P2079" s="4"/>
      <c r="Q2079" s="214"/>
    </row>
    <row r="2080" spans="1:17">
      <c r="A2080" s="175"/>
      <c r="B2080" s="175"/>
      <c r="P2080" s="4"/>
      <c r="Q2080" s="214"/>
    </row>
    <row r="2081" spans="1:17">
      <c r="A2081" s="175"/>
      <c r="B2081" s="175"/>
      <c r="P2081" s="4"/>
      <c r="Q2081" s="214"/>
    </row>
    <row r="2082" spans="1:17">
      <c r="A2082" s="175"/>
      <c r="B2082" s="175"/>
      <c r="P2082" s="4"/>
      <c r="Q2082" s="214"/>
    </row>
    <row r="2083" spans="1:17">
      <c r="A2083" s="175"/>
      <c r="B2083" s="175"/>
      <c r="P2083" s="4"/>
      <c r="Q2083" s="214"/>
    </row>
    <row r="2084" spans="1:17">
      <c r="A2084" s="175"/>
      <c r="B2084" s="175"/>
      <c r="P2084" s="4"/>
      <c r="Q2084" s="214"/>
    </row>
    <row r="2085" spans="1:17">
      <c r="A2085" s="175"/>
      <c r="B2085" s="175"/>
      <c r="P2085" s="4"/>
      <c r="Q2085" s="214"/>
    </row>
    <row r="2086" spans="1:17">
      <c r="A2086" s="175"/>
      <c r="B2086" s="175"/>
      <c r="P2086" s="4"/>
      <c r="Q2086" s="214"/>
    </row>
    <row r="2087" spans="1:17">
      <c r="A2087" s="175"/>
      <c r="B2087" s="175"/>
      <c r="P2087" s="4"/>
      <c r="Q2087" s="214"/>
    </row>
    <row r="2088" spans="1:17">
      <c r="A2088" s="175"/>
      <c r="B2088" s="175"/>
      <c r="P2088" s="4"/>
      <c r="Q2088" s="214"/>
    </row>
    <row r="2089" spans="1:17">
      <c r="A2089" s="175"/>
      <c r="B2089" s="175"/>
      <c r="P2089" s="4"/>
      <c r="Q2089" s="214"/>
    </row>
    <row r="2090" spans="1:17">
      <c r="A2090" s="175"/>
      <c r="B2090" s="175"/>
      <c r="P2090" s="4"/>
      <c r="Q2090" s="214"/>
    </row>
    <row r="2091" spans="1:17">
      <c r="A2091" s="175"/>
      <c r="B2091" s="175"/>
      <c r="P2091" s="4"/>
      <c r="Q2091" s="214"/>
    </row>
    <row r="2092" spans="1:17">
      <c r="A2092" s="175"/>
      <c r="B2092" s="175"/>
      <c r="P2092" s="4"/>
      <c r="Q2092" s="214"/>
    </row>
    <row r="2093" spans="1:17">
      <c r="A2093" s="175"/>
      <c r="B2093" s="175"/>
      <c r="P2093" s="4"/>
      <c r="Q2093" s="214"/>
    </row>
    <row r="2094" spans="1:17">
      <c r="A2094" s="175"/>
      <c r="B2094" s="175"/>
      <c r="P2094" s="4"/>
      <c r="Q2094" s="214"/>
    </row>
    <row r="2095" spans="1:17">
      <c r="A2095" s="175"/>
      <c r="B2095" s="175"/>
      <c r="P2095" s="4"/>
      <c r="Q2095" s="214"/>
    </row>
    <row r="2096" spans="1:17">
      <c r="A2096" s="175"/>
      <c r="B2096" s="175"/>
      <c r="P2096" s="4"/>
      <c r="Q2096" s="214"/>
    </row>
    <row r="2097" spans="1:17">
      <c r="A2097" s="175"/>
      <c r="B2097" s="175"/>
      <c r="P2097" s="4"/>
      <c r="Q2097" s="214"/>
    </row>
    <row r="2098" spans="1:17">
      <c r="A2098" s="175"/>
      <c r="B2098" s="175"/>
      <c r="P2098" s="4"/>
      <c r="Q2098" s="214"/>
    </row>
    <row r="2099" spans="1:17">
      <c r="A2099" s="175"/>
      <c r="B2099" s="175"/>
      <c r="P2099" s="4"/>
      <c r="Q2099" s="214"/>
    </row>
    <row r="2100" spans="1:17">
      <c r="A2100" s="175"/>
      <c r="B2100" s="175"/>
      <c r="P2100" s="4"/>
      <c r="Q2100" s="214"/>
    </row>
    <row r="2101" spans="1:17">
      <c r="A2101" s="175"/>
      <c r="B2101" s="175"/>
      <c r="P2101" s="4"/>
      <c r="Q2101" s="214"/>
    </row>
    <row r="2102" spans="1:17">
      <c r="A2102" s="175"/>
      <c r="B2102" s="175"/>
      <c r="P2102" s="4"/>
      <c r="Q2102" s="214"/>
    </row>
    <row r="2103" spans="1:17">
      <c r="A2103" s="175"/>
      <c r="B2103" s="175"/>
      <c r="P2103" s="4"/>
      <c r="Q2103" s="214"/>
    </row>
    <row r="2104" spans="1:17">
      <c r="A2104" s="175"/>
      <c r="B2104" s="175"/>
      <c r="P2104" s="4"/>
      <c r="Q2104" s="214"/>
    </row>
    <row r="2105" spans="1:17">
      <c r="A2105" s="175"/>
      <c r="B2105" s="175"/>
      <c r="P2105" s="4"/>
      <c r="Q2105" s="214"/>
    </row>
    <row r="2106" spans="1:17">
      <c r="A2106" s="175"/>
      <c r="B2106" s="175"/>
      <c r="P2106" s="4"/>
      <c r="Q2106" s="214"/>
    </row>
    <row r="2107" spans="1:17">
      <c r="A2107" s="175"/>
      <c r="B2107" s="175"/>
      <c r="P2107" s="4"/>
      <c r="Q2107" s="214"/>
    </row>
    <row r="2108" spans="1:17">
      <c r="A2108" s="175"/>
      <c r="B2108" s="175"/>
      <c r="P2108" s="4"/>
      <c r="Q2108" s="214"/>
    </row>
    <row r="2109" spans="1:17">
      <c r="A2109" s="175"/>
      <c r="B2109" s="175"/>
      <c r="P2109" s="4"/>
      <c r="Q2109" s="214"/>
    </row>
    <row r="2110" spans="1:17">
      <c r="A2110" s="175"/>
      <c r="B2110" s="175"/>
      <c r="P2110" s="4"/>
      <c r="Q2110" s="214"/>
    </row>
    <row r="2111" spans="1:17">
      <c r="A2111" s="175"/>
      <c r="B2111" s="175"/>
      <c r="P2111" s="4"/>
      <c r="Q2111" s="214"/>
    </row>
    <row r="2112" spans="1:17">
      <c r="A2112" s="175"/>
      <c r="B2112" s="175"/>
      <c r="P2112" s="4"/>
      <c r="Q2112" s="214"/>
    </row>
    <row r="2113" spans="1:17">
      <c r="A2113" s="175"/>
      <c r="B2113" s="175"/>
      <c r="P2113" s="4"/>
      <c r="Q2113" s="214"/>
    </row>
    <row r="2114" spans="1:17">
      <c r="A2114" s="175"/>
      <c r="B2114" s="175"/>
      <c r="P2114" s="4"/>
      <c r="Q2114" s="214"/>
    </row>
    <row r="2115" spans="1:17">
      <c r="A2115" s="175"/>
      <c r="B2115" s="175"/>
      <c r="P2115" s="4"/>
      <c r="Q2115" s="214"/>
    </row>
    <row r="2116" spans="1:17">
      <c r="A2116" s="175"/>
      <c r="B2116" s="175"/>
      <c r="P2116" s="4"/>
      <c r="Q2116" s="214"/>
    </row>
    <row r="2117" spans="1:17">
      <c r="A2117" s="175"/>
      <c r="B2117" s="175"/>
      <c r="P2117" s="4"/>
      <c r="Q2117" s="214"/>
    </row>
    <row r="2118" spans="1:17">
      <c r="A2118" s="175"/>
      <c r="B2118" s="175"/>
      <c r="P2118" s="4"/>
      <c r="Q2118" s="214"/>
    </row>
    <row r="2119" spans="1:17">
      <c r="A2119" s="175"/>
      <c r="B2119" s="175"/>
      <c r="P2119" s="4"/>
      <c r="Q2119" s="214"/>
    </row>
    <row r="2120" spans="1:17">
      <c r="A2120" s="175"/>
      <c r="B2120" s="175"/>
      <c r="P2120" s="4"/>
      <c r="Q2120" s="214"/>
    </row>
    <row r="2121" spans="1:17">
      <c r="A2121" s="175"/>
      <c r="B2121" s="175"/>
      <c r="P2121" s="4"/>
      <c r="Q2121" s="214"/>
    </row>
    <row r="2122" spans="1:17">
      <c r="A2122" s="175"/>
      <c r="B2122" s="175"/>
      <c r="P2122" s="4"/>
      <c r="Q2122" s="214"/>
    </row>
    <row r="2123" spans="1:17">
      <c r="A2123" s="175"/>
      <c r="B2123" s="175"/>
      <c r="P2123" s="4"/>
      <c r="Q2123" s="214"/>
    </row>
    <row r="2124" spans="1:17">
      <c r="A2124" s="175"/>
      <c r="B2124" s="175"/>
      <c r="P2124" s="4"/>
      <c r="Q2124" s="214"/>
    </row>
    <row r="2125" spans="1:17">
      <c r="A2125" s="175"/>
      <c r="B2125" s="175"/>
      <c r="P2125" s="4"/>
      <c r="Q2125" s="214"/>
    </row>
    <row r="2126" spans="1:17">
      <c r="A2126" s="175"/>
      <c r="B2126" s="175"/>
      <c r="P2126" s="4"/>
      <c r="Q2126" s="214"/>
    </row>
    <row r="2127" spans="1:17">
      <c r="A2127" s="175"/>
      <c r="B2127" s="175"/>
      <c r="P2127" s="4"/>
      <c r="Q2127" s="214"/>
    </row>
    <row r="2128" spans="1:17">
      <c r="A2128" s="175"/>
      <c r="B2128" s="175"/>
      <c r="P2128" s="4"/>
      <c r="Q2128" s="214"/>
    </row>
    <row r="2129" spans="1:17">
      <c r="A2129" s="175"/>
      <c r="B2129" s="175"/>
      <c r="P2129" s="4"/>
      <c r="Q2129" s="214"/>
    </row>
    <row r="2130" spans="1:17">
      <c r="A2130" s="175"/>
      <c r="B2130" s="175"/>
      <c r="P2130" s="4"/>
      <c r="Q2130" s="214"/>
    </row>
    <row r="2131" spans="1:17">
      <c r="A2131" s="175"/>
      <c r="B2131" s="175"/>
      <c r="P2131" s="4"/>
      <c r="Q2131" s="214"/>
    </row>
    <row r="2132" spans="1:17">
      <c r="A2132" s="175"/>
      <c r="B2132" s="175"/>
      <c r="P2132" s="4"/>
      <c r="Q2132" s="214"/>
    </row>
    <row r="2133" spans="1:17">
      <c r="A2133" s="175"/>
      <c r="B2133" s="175"/>
      <c r="P2133" s="4"/>
      <c r="Q2133" s="214"/>
    </row>
    <row r="2134" spans="1:17">
      <c r="A2134" s="175"/>
      <c r="B2134" s="175"/>
      <c r="P2134" s="4"/>
      <c r="Q2134" s="214"/>
    </row>
    <row r="2135" spans="1:17">
      <c r="A2135" s="175"/>
      <c r="B2135" s="175"/>
      <c r="P2135" s="4"/>
      <c r="Q2135" s="214"/>
    </row>
    <row r="2136" spans="1:17">
      <c r="A2136" s="175"/>
      <c r="B2136" s="175"/>
      <c r="P2136" s="4"/>
      <c r="Q2136" s="214"/>
    </row>
    <row r="2137" spans="1:17">
      <c r="A2137" s="175"/>
      <c r="B2137" s="175"/>
      <c r="P2137" s="4"/>
      <c r="Q2137" s="214"/>
    </row>
    <row r="2138" spans="1:17">
      <c r="A2138" s="175"/>
      <c r="B2138" s="175"/>
      <c r="P2138" s="4"/>
      <c r="Q2138" s="214"/>
    </row>
    <row r="2139" spans="1:17">
      <c r="A2139" s="175"/>
      <c r="B2139" s="175"/>
      <c r="P2139" s="4"/>
      <c r="Q2139" s="214"/>
    </row>
    <row r="2140" spans="1:17">
      <c r="A2140" s="175"/>
      <c r="B2140" s="175"/>
      <c r="P2140" s="4"/>
      <c r="Q2140" s="214"/>
    </row>
    <row r="2141" spans="1:17">
      <c r="A2141" s="175"/>
      <c r="B2141" s="175"/>
      <c r="P2141" s="4"/>
      <c r="Q2141" s="214"/>
    </row>
    <row r="2142" spans="1:17">
      <c r="A2142" s="175"/>
      <c r="B2142" s="175"/>
      <c r="P2142" s="4"/>
      <c r="Q2142" s="214"/>
    </row>
    <row r="2143" spans="1:17">
      <c r="A2143" s="175"/>
      <c r="B2143" s="175"/>
      <c r="P2143" s="4"/>
      <c r="Q2143" s="214"/>
    </row>
    <row r="2144" spans="1:17">
      <c r="A2144" s="175"/>
      <c r="B2144" s="175"/>
      <c r="P2144" s="4"/>
      <c r="Q2144" s="214"/>
    </row>
    <row r="2145" spans="1:17">
      <c r="A2145" s="175"/>
      <c r="B2145" s="175"/>
      <c r="P2145" s="4"/>
      <c r="Q2145" s="214"/>
    </row>
    <row r="2146" spans="1:17">
      <c r="A2146" s="175"/>
      <c r="B2146" s="175"/>
      <c r="P2146" s="4"/>
      <c r="Q2146" s="214"/>
    </row>
    <row r="2147" spans="1:17">
      <c r="A2147" s="175"/>
      <c r="B2147" s="175"/>
      <c r="P2147" s="4"/>
      <c r="Q2147" s="214"/>
    </row>
    <row r="2148" spans="1:17">
      <c r="A2148" s="175"/>
      <c r="B2148" s="175"/>
      <c r="P2148" s="4"/>
      <c r="Q2148" s="214"/>
    </row>
    <row r="2149" spans="1:17">
      <c r="A2149" s="175"/>
      <c r="B2149" s="175"/>
      <c r="P2149" s="4"/>
      <c r="Q2149" s="214"/>
    </row>
    <row r="2150" spans="1:17">
      <c r="A2150" s="175"/>
      <c r="B2150" s="175"/>
      <c r="P2150" s="4"/>
      <c r="Q2150" s="214"/>
    </row>
    <row r="2151" spans="1:17">
      <c r="A2151" s="175"/>
      <c r="B2151" s="175"/>
      <c r="P2151" s="4"/>
      <c r="Q2151" s="214"/>
    </row>
    <row r="2152" spans="1:17">
      <c r="A2152" s="175"/>
      <c r="B2152" s="175"/>
      <c r="P2152" s="4"/>
      <c r="Q2152" s="214"/>
    </row>
    <row r="2153" spans="1:17">
      <c r="A2153" s="175"/>
      <c r="B2153" s="175"/>
      <c r="P2153" s="4"/>
      <c r="Q2153" s="214"/>
    </row>
    <row r="2154" spans="1:17">
      <c r="A2154" s="175"/>
      <c r="B2154" s="175"/>
      <c r="P2154" s="4"/>
      <c r="Q2154" s="214"/>
    </row>
    <row r="2155" spans="1:17">
      <c r="A2155" s="175"/>
      <c r="B2155" s="175"/>
      <c r="P2155" s="4"/>
      <c r="Q2155" s="214"/>
    </row>
    <row r="2156" spans="1:17">
      <c r="A2156" s="175"/>
      <c r="B2156" s="175"/>
      <c r="P2156" s="4"/>
      <c r="Q2156" s="214"/>
    </row>
    <row r="2157" spans="1:17">
      <c r="A2157" s="175"/>
      <c r="B2157" s="175"/>
      <c r="P2157" s="4"/>
      <c r="Q2157" s="214"/>
    </row>
    <row r="2158" spans="1:17">
      <c r="A2158" s="175"/>
      <c r="B2158" s="175"/>
      <c r="P2158" s="4"/>
      <c r="Q2158" s="214"/>
    </row>
    <row r="2159" spans="1:17">
      <c r="A2159" s="175"/>
      <c r="B2159" s="175"/>
      <c r="P2159" s="4"/>
      <c r="Q2159" s="214"/>
    </row>
    <row r="2160" spans="1:17">
      <c r="A2160" s="175"/>
      <c r="B2160" s="175"/>
      <c r="P2160" s="4"/>
      <c r="Q2160" s="214"/>
    </row>
    <row r="2161" spans="1:17">
      <c r="A2161" s="175"/>
      <c r="B2161" s="175"/>
      <c r="P2161" s="4"/>
      <c r="Q2161" s="214"/>
    </row>
    <row r="2162" spans="1:17">
      <c r="A2162" s="175"/>
      <c r="B2162" s="175"/>
      <c r="P2162" s="4"/>
      <c r="Q2162" s="214"/>
    </row>
    <row r="2163" spans="1:17">
      <c r="A2163" s="175"/>
      <c r="B2163" s="175"/>
      <c r="P2163" s="4"/>
      <c r="Q2163" s="214"/>
    </row>
    <row r="2164" spans="1:17">
      <c r="A2164" s="175"/>
      <c r="B2164" s="175"/>
      <c r="P2164" s="4"/>
      <c r="Q2164" s="214"/>
    </row>
    <row r="2165" spans="1:17">
      <c r="A2165" s="175"/>
      <c r="B2165" s="175"/>
      <c r="P2165" s="4"/>
      <c r="Q2165" s="214"/>
    </row>
    <row r="2166" spans="1:17">
      <c r="A2166" s="175"/>
      <c r="B2166" s="175"/>
      <c r="P2166" s="4"/>
      <c r="Q2166" s="214"/>
    </row>
    <row r="2167" spans="1:17">
      <c r="A2167" s="175"/>
      <c r="B2167" s="175"/>
      <c r="P2167" s="4"/>
      <c r="Q2167" s="214"/>
    </row>
    <row r="2168" spans="1:17">
      <c r="A2168" s="175"/>
      <c r="B2168" s="175"/>
      <c r="P2168" s="4"/>
      <c r="Q2168" s="214"/>
    </row>
    <row r="2169" spans="1:17">
      <c r="A2169" s="175"/>
      <c r="B2169" s="175"/>
      <c r="P2169" s="4"/>
      <c r="Q2169" s="214"/>
    </row>
    <row r="2170" spans="1:17">
      <c r="A2170" s="175"/>
      <c r="B2170" s="175"/>
      <c r="P2170" s="4"/>
      <c r="Q2170" s="214"/>
    </row>
    <row r="2171" spans="1:17">
      <c r="A2171" s="175"/>
      <c r="B2171" s="175"/>
      <c r="P2171" s="4"/>
      <c r="Q2171" s="214"/>
    </row>
    <row r="2172" spans="1:17">
      <c r="A2172" s="175"/>
      <c r="B2172" s="175"/>
      <c r="P2172" s="4"/>
      <c r="Q2172" s="214"/>
    </row>
    <row r="2173" spans="1:17">
      <c r="A2173" s="175"/>
      <c r="B2173" s="175"/>
      <c r="P2173" s="4"/>
      <c r="Q2173" s="214"/>
    </row>
    <row r="2174" spans="1:17">
      <c r="A2174" s="175"/>
      <c r="B2174" s="175"/>
      <c r="P2174" s="4"/>
      <c r="Q2174" s="214"/>
    </row>
    <row r="2175" spans="1:17">
      <c r="A2175" s="175"/>
      <c r="B2175" s="175"/>
      <c r="P2175" s="4"/>
      <c r="Q2175" s="214"/>
    </row>
    <row r="2176" spans="1:17">
      <c r="A2176" s="175"/>
      <c r="B2176" s="175"/>
      <c r="P2176" s="4"/>
      <c r="Q2176" s="214"/>
    </row>
    <row r="2177" spans="1:17">
      <c r="A2177" s="175"/>
      <c r="B2177" s="175"/>
      <c r="P2177" s="4"/>
      <c r="Q2177" s="214"/>
    </row>
    <row r="2178" spans="1:17">
      <c r="A2178" s="175"/>
      <c r="B2178" s="175"/>
      <c r="P2178" s="4"/>
      <c r="Q2178" s="214"/>
    </row>
    <row r="2179" spans="1:17">
      <c r="A2179" s="175"/>
      <c r="B2179" s="175"/>
      <c r="P2179" s="4"/>
      <c r="Q2179" s="214"/>
    </row>
    <row r="2180" spans="1:17">
      <c r="A2180" s="175"/>
      <c r="B2180" s="175"/>
      <c r="P2180" s="4"/>
      <c r="Q2180" s="214"/>
    </row>
    <row r="2181" spans="1:17">
      <c r="A2181" s="175"/>
      <c r="B2181" s="175"/>
      <c r="P2181" s="4"/>
      <c r="Q2181" s="214"/>
    </row>
    <row r="2182" spans="1:17">
      <c r="A2182" s="175"/>
      <c r="B2182" s="175"/>
      <c r="P2182" s="4"/>
      <c r="Q2182" s="214"/>
    </row>
    <row r="2183" spans="1:17">
      <c r="A2183" s="175"/>
      <c r="B2183" s="175"/>
      <c r="P2183" s="4"/>
      <c r="Q2183" s="214"/>
    </row>
    <row r="2184" spans="1:17">
      <c r="A2184" s="175"/>
      <c r="B2184" s="175"/>
      <c r="P2184" s="4"/>
      <c r="Q2184" s="214"/>
    </row>
    <row r="2185" spans="1:17">
      <c r="A2185" s="175"/>
      <c r="B2185" s="175"/>
      <c r="P2185" s="4"/>
      <c r="Q2185" s="214"/>
    </row>
    <row r="2186" spans="1:17">
      <c r="A2186" s="175"/>
      <c r="B2186" s="175"/>
      <c r="P2186" s="4"/>
      <c r="Q2186" s="214"/>
    </row>
    <row r="2187" spans="1:17">
      <c r="A2187" s="175"/>
      <c r="B2187" s="175"/>
      <c r="P2187" s="4"/>
      <c r="Q2187" s="214"/>
    </row>
    <row r="2188" spans="1:17">
      <c r="A2188" s="175"/>
      <c r="B2188" s="175"/>
      <c r="P2188" s="4"/>
      <c r="Q2188" s="214"/>
    </row>
    <row r="2189" spans="1:17">
      <c r="A2189" s="175"/>
      <c r="B2189" s="175"/>
      <c r="P2189" s="4"/>
      <c r="Q2189" s="214"/>
    </row>
    <row r="2190" spans="1:17">
      <c r="A2190" s="175"/>
      <c r="B2190" s="175"/>
      <c r="P2190" s="4"/>
      <c r="Q2190" s="214"/>
    </row>
    <row r="2191" spans="1:17">
      <c r="A2191" s="175"/>
      <c r="B2191" s="175"/>
      <c r="P2191" s="4"/>
      <c r="Q2191" s="214"/>
    </row>
    <row r="2192" spans="1:17">
      <c r="A2192" s="175"/>
      <c r="B2192" s="175"/>
      <c r="P2192" s="4"/>
      <c r="Q2192" s="214"/>
    </row>
    <row r="2193" spans="1:17">
      <c r="A2193" s="175"/>
      <c r="B2193" s="175"/>
      <c r="P2193" s="4"/>
      <c r="Q2193" s="214"/>
    </row>
    <row r="2194" spans="1:17">
      <c r="A2194" s="175"/>
      <c r="B2194" s="175"/>
      <c r="P2194" s="4"/>
      <c r="Q2194" s="214"/>
    </row>
    <row r="2195" spans="1:17">
      <c r="A2195" s="175"/>
      <c r="B2195" s="175"/>
      <c r="P2195" s="4"/>
      <c r="Q2195" s="214"/>
    </row>
    <row r="2196" spans="1:17">
      <c r="A2196" s="175"/>
      <c r="B2196" s="175"/>
      <c r="P2196" s="4"/>
      <c r="Q2196" s="214"/>
    </row>
    <row r="2197" spans="1:17">
      <c r="A2197" s="175"/>
      <c r="B2197" s="175"/>
      <c r="P2197" s="4"/>
      <c r="Q2197" s="214"/>
    </row>
    <row r="2198" spans="1:17">
      <c r="A2198" s="175"/>
      <c r="B2198" s="175"/>
      <c r="P2198" s="4"/>
      <c r="Q2198" s="214"/>
    </row>
    <row r="2199" spans="1:17">
      <c r="A2199" s="175"/>
      <c r="B2199" s="175"/>
      <c r="P2199" s="4"/>
      <c r="Q2199" s="214"/>
    </row>
    <row r="2200" spans="1:17">
      <c r="A2200" s="175"/>
      <c r="B2200" s="175"/>
      <c r="P2200" s="4"/>
      <c r="Q2200" s="214"/>
    </row>
    <row r="2201" spans="1:17">
      <c r="A2201" s="175"/>
      <c r="B2201" s="175"/>
      <c r="P2201" s="4"/>
      <c r="Q2201" s="214"/>
    </row>
    <row r="2202" spans="1:17">
      <c r="A2202" s="175"/>
      <c r="B2202" s="175"/>
      <c r="P2202" s="4"/>
      <c r="Q2202" s="214"/>
    </row>
    <row r="2203" spans="1:17">
      <c r="A2203" s="175"/>
      <c r="B2203" s="175"/>
      <c r="P2203" s="4"/>
      <c r="Q2203" s="214"/>
    </row>
    <row r="2204" spans="1:17">
      <c r="A2204" s="175"/>
      <c r="B2204" s="175"/>
      <c r="P2204" s="4"/>
      <c r="Q2204" s="214"/>
    </row>
    <row r="2205" spans="1:17">
      <c r="A2205" s="175"/>
      <c r="B2205" s="175"/>
      <c r="P2205" s="4"/>
      <c r="Q2205" s="214"/>
    </row>
    <row r="2206" spans="1:17">
      <c r="A2206" s="175"/>
      <c r="B2206" s="175"/>
      <c r="P2206" s="4"/>
      <c r="Q2206" s="214"/>
    </row>
    <row r="2207" spans="1:17">
      <c r="A2207" s="175"/>
      <c r="B2207" s="175"/>
      <c r="P2207" s="4"/>
      <c r="Q2207" s="214"/>
    </row>
    <row r="2208" spans="1:17">
      <c r="A2208" s="175"/>
      <c r="B2208" s="175"/>
      <c r="P2208" s="4"/>
      <c r="Q2208" s="214"/>
    </row>
    <row r="2209" spans="1:17">
      <c r="A2209" s="175"/>
      <c r="B2209" s="175"/>
      <c r="P2209" s="4"/>
      <c r="Q2209" s="214"/>
    </row>
    <row r="2210" spans="1:17">
      <c r="A2210" s="175"/>
      <c r="B2210" s="175"/>
      <c r="P2210" s="4"/>
      <c r="Q2210" s="214"/>
    </row>
    <row r="2211" spans="1:17">
      <c r="A2211" s="175"/>
      <c r="B2211" s="175"/>
      <c r="P2211" s="4"/>
      <c r="Q2211" s="214"/>
    </row>
    <row r="2212" spans="1:17">
      <c r="A2212" s="175"/>
      <c r="B2212" s="175"/>
      <c r="P2212" s="4"/>
      <c r="Q2212" s="214"/>
    </row>
    <row r="2213" spans="1:17">
      <c r="A2213" s="175"/>
      <c r="B2213" s="175"/>
      <c r="P2213" s="4"/>
      <c r="Q2213" s="214"/>
    </row>
    <row r="2214" spans="1:17">
      <c r="A2214" s="175"/>
      <c r="B2214" s="175"/>
      <c r="P2214" s="4"/>
      <c r="Q2214" s="214"/>
    </row>
    <row r="2215" spans="1:17">
      <c r="A2215" s="175"/>
      <c r="B2215" s="175"/>
      <c r="P2215" s="4"/>
      <c r="Q2215" s="214"/>
    </row>
    <row r="2216" spans="1:17">
      <c r="A2216" s="175"/>
      <c r="B2216" s="175"/>
      <c r="P2216" s="4"/>
      <c r="Q2216" s="214"/>
    </row>
    <row r="2217" spans="1:17">
      <c r="A2217" s="175"/>
      <c r="B2217" s="175"/>
      <c r="P2217" s="4"/>
      <c r="Q2217" s="214"/>
    </row>
    <row r="2218" spans="1:17">
      <c r="A2218" s="175"/>
      <c r="B2218" s="175"/>
      <c r="P2218" s="4"/>
      <c r="Q2218" s="214"/>
    </row>
    <row r="2219" spans="1:17">
      <c r="A2219" s="175"/>
      <c r="B2219" s="175"/>
      <c r="P2219" s="4"/>
      <c r="Q2219" s="214"/>
    </row>
    <row r="2220" spans="1:17">
      <c r="A2220" s="175"/>
      <c r="B2220" s="175"/>
      <c r="P2220" s="4"/>
      <c r="Q2220" s="214"/>
    </row>
    <row r="2221" spans="1:17">
      <c r="A2221" s="175"/>
      <c r="B2221" s="175"/>
      <c r="P2221" s="4"/>
      <c r="Q2221" s="214"/>
    </row>
    <row r="2222" spans="1:17">
      <c r="A2222" s="175"/>
      <c r="B2222" s="175"/>
      <c r="P2222" s="4"/>
      <c r="Q2222" s="214"/>
    </row>
    <row r="2223" spans="1:17">
      <c r="A2223" s="175"/>
      <c r="B2223" s="175"/>
      <c r="P2223" s="4"/>
      <c r="Q2223" s="214"/>
    </row>
    <row r="2224" spans="1:17">
      <c r="A2224" s="175"/>
      <c r="B2224" s="175"/>
      <c r="P2224" s="4"/>
      <c r="Q2224" s="214"/>
    </row>
    <row r="2225" spans="1:17">
      <c r="A2225" s="175"/>
      <c r="B2225" s="175"/>
      <c r="P2225" s="4"/>
      <c r="Q2225" s="214"/>
    </row>
    <row r="2226" spans="1:17">
      <c r="A2226" s="175"/>
      <c r="B2226" s="175"/>
      <c r="P2226" s="4"/>
      <c r="Q2226" s="214"/>
    </row>
    <row r="2227" spans="1:17">
      <c r="A2227" s="175"/>
      <c r="B2227" s="175"/>
      <c r="P2227" s="4"/>
      <c r="Q2227" s="214"/>
    </row>
    <row r="2228" spans="1:17">
      <c r="A2228" s="175"/>
      <c r="B2228" s="175"/>
      <c r="P2228" s="4"/>
      <c r="Q2228" s="214"/>
    </row>
    <row r="2229" spans="1:17">
      <c r="A2229" s="175"/>
      <c r="B2229" s="175"/>
      <c r="P2229" s="4"/>
      <c r="Q2229" s="214"/>
    </row>
    <row r="2230" spans="1:17">
      <c r="A2230" s="175"/>
      <c r="B2230" s="175"/>
      <c r="P2230" s="4"/>
      <c r="Q2230" s="214"/>
    </row>
    <row r="2231" spans="1:17">
      <c r="A2231" s="175"/>
      <c r="B2231" s="175"/>
      <c r="P2231" s="4"/>
      <c r="Q2231" s="214"/>
    </row>
    <row r="2232" spans="1:17">
      <c r="A2232" s="175"/>
      <c r="B2232" s="175"/>
      <c r="P2232" s="4"/>
      <c r="Q2232" s="214"/>
    </row>
    <row r="2233" spans="1:17">
      <c r="A2233" s="175"/>
      <c r="B2233" s="175"/>
      <c r="P2233" s="4"/>
      <c r="Q2233" s="214"/>
    </row>
    <row r="2234" spans="1:17">
      <c r="A2234" s="175"/>
      <c r="B2234" s="175"/>
      <c r="P2234" s="4"/>
      <c r="Q2234" s="214"/>
    </row>
    <row r="2235" spans="1:17">
      <c r="A2235" s="175"/>
      <c r="B2235" s="175"/>
      <c r="P2235" s="4"/>
      <c r="Q2235" s="214"/>
    </row>
    <row r="2236" spans="1:17">
      <c r="A2236" s="175"/>
      <c r="B2236" s="175"/>
      <c r="P2236" s="4"/>
      <c r="Q2236" s="214"/>
    </row>
    <row r="2237" spans="1:17">
      <c r="A2237" s="175"/>
      <c r="B2237" s="175"/>
      <c r="P2237" s="4"/>
      <c r="Q2237" s="214"/>
    </row>
    <row r="2238" spans="1:17">
      <c r="A2238" s="175"/>
      <c r="B2238" s="175"/>
      <c r="P2238" s="4"/>
      <c r="Q2238" s="214"/>
    </row>
    <row r="2239" spans="1:17">
      <c r="A2239" s="175"/>
      <c r="B2239" s="175"/>
      <c r="P2239" s="4"/>
      <c r="Q2239" s="214"/>
    </row>
    <row r="2240" spans="1:17">
      <c r="A2240" s="175"/>
      <c r="B2240" s="175"/>
      <c r="P2240" s="4"/>
      <c r="Q2240" s="214"/>
    </row>
    <row r="2241" spans="1:17">
      <c r="A2241" s="175"/>
      <c r="B2241" s="175"/>
      <c r="P2241" s="4"/>
      <c r="Q2241" s="214"/>
    </row>
    <row r="2242" spans="1:17">
      <c r="A2242" s="175"/>
      <c r="B2242" s="175"/>
      <c r="P2242" s="4"/>
      <c r="Q2242" s="214"/>
    </row>
    <row r="2243" spans="1:17">
      <c r="A2243" s="175"/>
      <c r="B2243" s="175"/>
      <c r="P2243" s="4"/>
      <c r="Q2243" s="214"/>
    </row>
    <row r="2244" spans="1:17">
      <c r="A2244" s="175"/>
      <c r="B2244" s="175"/>
      <c r="P2244" s="4"/>
      <c r="Q2244" s="214"/>
    </row>
    <row r="2245" spans="1:17">
      <c r="A2245" s="175"/>
      <c r="B2245" s="175"/>
      <c r="P2245" s="4"/>
      <c r="Q2245" s="214"/>
    </row>
    <row r="2246" spans="1:17">
      <c r="A2246" s="175"/>
      <c r="B2246" s="175"/>
      <c r="P2246" s="4"/>
      <c r="Q2246" s="214"/>
    </row>
    <row r="2247" spans="1:17">
      <c r="A2247" s="175"/>
      <c r="B2247" s="175"/>
      <c r="P2247" s="4"/>
      <c r="Q2247" s="214"/>
    </row>
    <row r="2248" spans="1:17">
      <c r="A2248" s="175"/>
      <c r="B2248" s="175"/>
      <c r="P2248" s="4"/>
      <c r="Q2248" s="214"/>
    </row>
    <row r="2249" spans="1:17">
      <c r="A2249" s="175"/>
      <c r="B2249" s="175"/>
      <c r="P2249" s="4"/>
      <c r="Q2249" s="214"/>
    </row>
    <row r="2250" spans="1:17">
      <c r="A2250" s="175"/>
      <c r="B2250" s="175"/>
      <c r="P2250" s="4"/>
      <c r="Q2250" s="214"/>
    </row>
    <row r="2251" spans="1:17">
      <c r="A2251" s="175"/>
      <c r="B2251" s="175"/>
      <c r="P2251" s="4"/>
      <c r="Q2251" s="214"/>
    </row>
    <row r="2252" spans="1:17">
      <c r="A2252" s="175"/>
      <c r="B2252" s="175"/>
      <c r="P2252" s="4"/>
      <c r="Q2252" s="214"/>
    </row>
    <row r="2253" spans="1:17">
      <c r="A2253" s="175"/>
      <c r="B2253" s="175"/>
      <c r="P2253" s="4"/>
      <c r="Q2253" s="214"/>
    </row>
    <row r="2254" spans="1:17">
      <c r="A2254" s="175"/>
      <c r="B2254" s="175"/>
      <c r="P2254" s="4"/>
      <c r="Q2254" s="214"/>
    </row>
    <row r="2255" spans="1:17">
      <c r="A2255" s="175"/>
      <c r="B2255" s="175"/>
      <c r="P2255" s="4"/>
      <c r="Q2255" s="214"/>
    </row>
    <row r="2256" spans="1:17">
      <c r="A2256" s="175"/>
      <c r="B2256" s="175"/>
      <c r="P2256" s="4"/>
      <c r="Q2256" s="214"/>
    </row>
    <row r="2257" spans="1:17">
      <c r="A2257" s="175"/>
      <c r="B2257" s="175"/>
      <c r="P2257" s="4"/>
      <c r="Q2257" s="214"/>
    </row>
    <row r="2258" spans="1:17">
      <c r="A2258" s="175"/>
      <c r="B2258" s="175"/>
      <c r="P2258" s="4"/>
      <c r="Q2258" s="214"/>
    </row>
    <row r="2259" spans="1:17">
      <c r="A2259" s="175"/>
      <c r="B2259" s="175"/>
      <c r="P2259" s="4"/>
      <c r="Q2259" s="214"/>
    </row>
    <row r="2260" spans="1:17">
      <c r="A2260" s="175"/>
      <c r="B2260" s="175"/>
      <c r="P2260" s="4"/>
      <c r="Q2260" s="214"/>
    </row>
    <row r="2261" spans="1:17">
      <c r="A2261" s="175"/>
      <c r="B2261" s="175"/>
      <c r="P2261" s="4"/>
      <c r="Q2261" s="214"/>
    </row>
    <row r="2262" spans="1:17">
      <c r="A2262" s="175"/>
      <c r="B2262" s="175"/>
      <c r="P2262" s="4"/>
      <c r="Q2262" s="214"/>
    </row>
    <row r="2263" spans="1:17">
      <c r="A2263" s="175"/>
      <c r="B2263" s="175"/>
      <c r="P2263" s="4"/>
      <c r="Q2263" s="214"/>
    </row>
    <row r="2264" spans="1:17">
      <c r="A2264" s="175"/>
      <c r="B2264" s="175"/>
      <c r="P2264" s="4"/>
      <c r="Q2264" s="214"/>
    </row>
    <row r="2265" spans="1:17">
      <c r="A2265" s="175"/>
      <c r="B2265" s="175"/>
      <c r="P2265" s="4"/>
      <c r="Q2265" s="214"/>
    </row>
    <row r="2266" spans="1:17">
      <c r="A2266" s="175"/>
      <c r="B2266" s="175"/>
      <c r="P2266" s="4"/>
      <c r="Q2266" s="214"/>
    </row>
    <row r="2267" spans="1:17">
      <c r="A2267" s="175"/>
      <c r="B2267" s="175"/>
      <c r="P2267" s="4"/>
      <c r="Q2267" s="214"/>
    </row>
    <row r="2268" spans="1:17">
      <c r="A2268" s="175"/>
      <c r="B2268" s="175"/>
      <c r="P2268" s="4"/>
      <c r="Q2268" s="214"/>
    </row>
    <row r="2269" spans="1:17">
      <c r="A2269" s="175"/>
      <c r="B2269" s="175"/>
      <c r="P2269" s="4"/>
      <c r="Q2269" s="214"/>
    </row>
    <row r="2270" spans="1:17">
      <c r="A2270" s="175"/>
      <c r="B2270" s="175"/>
      <c r="P2270" s="4"/>
      <c r="Q2270" s="214"/>
    </row>
    <row r="2271" spans="1:17">
      <c r="A2271" s="175"/>
      <c r="B2271" s="175"/>
      <c r="P2271" s="4"/>
      <c r="Q2271" s="214"/>
    </row>
    <row r="2272" spans="1:17">
      <c r="A2272" s="175"/>
      <c r="B2272" s="175"/>
      <c r="P2272" s="4"/>
      <c r="Q2272" s="214"/>
    </row>
    <row r="2273" spans="1:17">
      <c r="A2273" s="175"/>
      <c r="B2273" s="175"/>
      <c r="P2273" s="4"/>
      <c r="Q2273" s="214"/>
    </row>
    <row r="2274" spans="1:17">
      <c r="A2274" s="175"/>
      <c r="B2274" s="175"/>
      <c r="P2274" s="4"/>
      <c r="Q2274" s="214"/>
    </row>
    <row r="2275" spans="1:17">
      <c r="A2275" s="175"/>
      <c r="B2275" s="175"/>
      <c r="P2275" s="4"/>
      <c r="Q2275" s="214"/>
    </row>
    <row r="2276" spans="1:17">
      <c r="A2276" s="175"/>
      <c r="B2276" s="175"/>
      <c r="P2276" s="4"/>
      <c r="Q2276" s="214"/>
    </row>
    <row r="2277" spans="1:17">
      <c r="A2277" s="175"/>
      <c r="B2277" s="175"/>
      <c r="P2277" s="4"/>
      <c r="Q2277" s="214"/>
    </row>
    <row r="2278" spans="1:17">
      <c r="A2278" s="175"/>
      <c r="B2278" s="175"/>
      <c r="P2278" s="4"/>
      <c r="Q2278" s="214"/>
    </row>
    <row r="2279" spans="1:17">
      <c r="A2279" s="175"/>
      <c r="B2279" s="175"/>
      <c r="P2279" s="4"/>
      <c r="Q2279" s="214"/>
    </row>
    <row r="2280" spans="1:17">
      <c r="A2280" s="175"/>
      <c r="B2280" s="175"/>
      <c r="P2280" s="4"/>
      <c r="Q2280" s="214"/>
    </row>
    <row r="2281" spans="1:17">
      <c r="A2281" s="175"/>
      <c r="B2281" s="175"/>
      <c r="P2281" s="4"/>
      <c r="Q2281" s="214"/>
    </row>
    <row r="2282" spans="1:17">
      <c r="A2282" s="175"/>
      <c r="B2282" s="175"/>
      <c r="P2282" s="4"/>
      <c r="Q2282" s="214"/>
    </row>
    <row r="2283" spans="1:17">
      <c r="A2283" s="175"/>
      <c r="B2283" s="175"/>
      <c r="P2283" s="4"/>
      <c r="Q2283" s="214"/>
    </row>
    <row r="2284" spans="1:17">
      <c r="A2284" s="175"/>
      <c r="B2284" s="175"/>
      <c r="P2284" s="4"/>
      <c r="Q2284" s="214"/>
    </row>
    <row r="2285" spans="1:17">
      <c r="A2285" s="175"/>
      <c r="B2285" s="175"/>
      <c r="P2285" s="4"/>
      <c r="Q2285" s="214"/>
    </row>
    <row r="2286" spans="1:17">
      <c r="A2286" s="175"/>
      <c r="B2286" s="175"/>
      <c r="P2286" s="4"/>
      <c r="Q2286" s="214"/>
    </row>
    <row r="2287" spans="1:17">
      <c r="A2287" s="175"/>
      <c r="B2287" s="175"/>
      <c r="P2287" s="4"/>
      <c r="Q2287" s="214"/>
    </row>
    <row r="2288" spans="1:17">
      <c r="A2288" s="175"/>
      <c r="B2288" s="175"/>
      <c r="P2288" s="4"/>
      <c r="Q2288" s="214"/>
    </row>
    <row r="2289" spans="1:17">
      <c r="A2289" s="175"/>
      <c r="B2289" s="175"/>
      <c r="P2289" s="4"/>
      <c r="Q2289" s="214"/>
    </row>
    <row r="2290" spans="1:17">
      <c r="A2290" s="175"/>
      <c r="B2290" s="175"/>
      <c r="P2290" s="4"/>
      <c r="Q2290" s="214"/>
    </row>
    <row r="2291" spans="1:17">
      <c r="A2291" s="175"/>
      <c r="B2291" s="175"/>
      <c r="P2291" s="4"/>
      <c r="Q2291" s="214"/>
    </row>
    <row r="2292" spans="1:17">
      <c r="A2292" s="175"/>
      <c r="B2292" s="175"/>
      <c r="P2292" s="4"/>
      <c r="Q2292" s="214"/>
    </row>
    <row r="2293" spans="1:17">
      <c r="A2293" s="175"/>
      <c r="B2293" s="175"/>
      <c r="P2293" s="4"/>
      <c r="Q2293" s="214"/>
    </row>
    <row r="2294" spans="1:17">
      <c r="A2294" s="175"/>
      <c r="B2294" s="175"/>
      <c r="P2294" s="4"/>
      <c r="Q2294" s="214"/>
    </row>
    <row r="2295" spans="1:17">
      <c r="A2295" s="175"/>
      <c r="B2295" s="175"/>
      <c r="P2295" s="4"/>
      <c r="Q2295" s="214"/>
    </row>
    <row r="2296" spans="1:17">
      <c r="A2296" s="175"/>
      <c r="B2296" s="175"/>
      <c r="P2296" s="4"/>
      <c r="Q2296" s="214"/>
    </row>
    <row r="2297" spans="1:17">
      <c r="A2297" s="175"/>
      <c r="B2297" s="175"/>
      <c r="P2297" s="4"/>
      <c r="Q2297" s="214"/>
    </row>
    <row r="2298" spans="1:17">
      <c r="A2298" s="175"/>
      <c r="B2298" s="175"/>
      <c r="P2298" s="4"/>
      <c r="Q2298" s="214"/>
    </row>
    <row r="2299" spans="1:17">
      <c r="A2299" s="175"/>
      <c r="B2299" s="175"/>
      <c r="P2299" s="4"/>
      <c r="Q2299" s="214"/>
    </row>
    <row r="2300" spans="1:17">
      <c r="A2300" s="175"/>
      <c r="B2300" s="175"/>
      <c r="P2300" s="4"/>
      <c r="Q2300" s="214"/>
    </row>
    <row r="2301" spans="1:17">
      <c r="A2301" s="175"/>
      <c r="B2301" s="175"/>
      <c r="P2301" s="4"/>
      <c r="Q2301" s="214"/>
    </row>
    <row r="2302" spans="1:17">
      <c r="A2302" s="175"/>
      <c r="B2302" s="175"/>
      <c r="P2302" s="4"/>
      <c r="Q2302" s="214"/>
    </row>
    <row r="2303" spans="1:17">
      <c r="A2303" s="175"/>
      <c r="B2303" s="175"/>
      <c r="P2303" s="4"/>
      <c r="Q2303" s="214"/>
    </row>
    <row r="2304" spans="1:17">
      <c r="A2304" s="175"/>
      <c r="B2304" s="175"/>
      <c r="P2304" s="4"/>
      <c r="Q2304" s="214"/>
    </row>
    <row r="2305" spans="1:17">
      <c r="A2305" s="175"/>
      <c r="B2305" s="175"/>
      <c r="P2305" s="4"/>
      <c r="Q2305" s="214"/>
    </row>
    <row r="2306" spans="1:17">
      <c r="A2306" s="175"/>
      <c r="B2306" s="175"/>
      <c r="P2306" s="4"/>
      <c r="Q2306" s="214"/>
    </row>
    <row r="2307" spans="1:17">
      <c r="A2307" s="175"/>
      <c r="B2307" s="175"/>
      <c r="P2307" s="4"/>
      <c r="Q2307" s="214"/>
    </row>
    <row r="2308" spans="1:17">
      <c r="A2308" s="175"/>
      <c r="B2308" s="175"/>
      <c r="P2308" s="4"/>
      <c r="Q2308" s="214"/>
    </row>
    <row r="2309" spans="1:17">
      <c r="A2309" s="175"/>
      <c r="B2309" s="175"/>
      <c r="P2309" s="4"/>
      <c r="Q2309" s="214"/>
    </row>
    <row r="2310" spans="1:17">
      <c r="A2310" s="175"/>
      <c r="B2310" s="175"/>
      <c r="P2310" s="4"/>
      <c r="Q2310" s="214"/>
    </row>
    <row r="2311" spans="1:17">
      <c r="A2311" s="175"/>
      <c r="B2311" s="175"/>
      <c r="P2311" s="4"/>
      <c r="Q2311" s="214"/>
    </row>
    <row r="2312" spans="1:17">
      <c r="A2312" s="175"/>
      <c r="B2312" s="175"/>
      <c r="P2312" s="4"/>
      <c r="Q2312" s="214"/>
    </row>
    <row r="2313" spans="1:17">
      <c r="A2313" s="175"/>
      <c r="B2313" s="175"/>
      <c r="P2313" s="4"/>
      <c r="Q2313" s="214"/>
    </row>
    <row r="2314" spans="1:17">
      <c r="A2314" s="175"/>
      <c r="B2314" s="175"/>
      <c r="P2314" s="4"/>
      <c r="Q2314" s="214"/>
    </row>
    <row r="2315" spans="1:17">
      <c r="A2315" s="175"/>
      <c r="B2315" s="175"/>
      <c r="P2315" s="4"/>
      <c r="Q2315" s="214"/>
    </row>
    <row r="2316" spans="1:17">
      <c r="A2316" s="175"/>
      <c r="B2316" s="175"/>
      <c r="P2316" s="4"/>
      <c r="Q2316" s="214"/>
    </row>
    <row r="2317" spans="1:17">
      <c r="A2317" s="175"/>
      <c r="B2317" s="175"/>
      <c r="P2317" s="4"/>
      <c r="Q2317" s="214"/>
    </row>
    <row r="2318" spans="1:17">
      <c r="A2318" s="175"/>
      <c r="B2318" s="175"/>
      <c r="P2318" s="4"/>
      <c r="Q2318" s="214"/>
    </row>
    <row r="2319" spans="1:17">
      <c r="A2319" s="175"/>
      <c r="B2319" s="175"/>
      <c r="P2319" s="4"/>
      <c r="Q2319" s="214"/>
    </row>
    <row r="2320" spans="1:17">
      <c r="A2320" s="175"/>
      <c r="B2320" s="175"/>
      <c r="P2320" s="4"/>
      <c r="Q2320" s="214"/>
    </row>
    <row r="2321" spans="1:17">
      <c r="A2321" s="175"/>
      <c r="B2321" s="175"/>
      <c r="P2321" s="4"/>
      <c r="Q2321" s="214"/>
    </row>
    <row r="2322" spans="1:17">
      <c r="A2322" s="175"/>
      <c r="B2322" s="175"/>
      <c r="P2322" s="4"/>
      <c r="Q2322" s="214"/>
    </row>
    <row r="2323" spans="1:17">
      <c r="A2323" s="175"/>
      <c r="B2323" s="175"/>
      <c r="P2323" s="4"/>
      <c r="Q2323" s="214"/>
    </row>
    <row r="2324" spans="1:17">
      <c r="A2324" s="175"/>
      <c r="B2324" s="175"/>
      <c r="P2324" s="4"/>
      <c r="Q2324" s="214"/>
    </row>
    <row r="2325" spans="1:17">
      <c r="A2325" s="175"/>
      <c r="B2325" s="175"/>
      <c r="P2325" s="4"/>
      <c r="Q2325" s="214"/>
    </row>
    <row r="2326" spans="1:17">
      <c r="A2326" s="175"/>
      <c r="B2326" s="175"/>
      <c r="P2326" s="4"/>
      <c r="Q2326" s="214"/>
    </row>
    <row r="2327" spans="1:17">
      <c r="A2327" s="175"/>
      <c r="B2327" s="175"/>
      <c r="P2327" s="4"/>
      <c r="Q2327" s="214"/>
    </row>
    <row r="2328" spans="1:17">
      <c r="A2328" s="175"/>
      <c r="B2328" s="175"/>
      <c r="P2328" s="4"/>
      <c r="Q2328" s="214"/>
    </row>
    <row r="2329" spans="1:17">
      <c r="A2329" s="175"/>
      <c r="B2329" s="175"/>
      <c r="P2329" s="4"/>
      <c r="Q2329" s="214"/>
    </row>
    <row r="2330" spans="1:17">
      <c r="A2330" s="175"/>
      <c r="B2330" s="175"/>
      <c r="P2330" s="4"/>
      <c r="Q2330" s="214"/>
    </row>
    <row r="2331" spans="1:17">
      <c r="A2331" s="175"/>
      <c r="B2331" s="175"/>
      <c r="P2331" s="4"/>
      <c r="Q2331" s="214"/>
    </row>
    <row r="2332" spans="1:17">
      <c r="A2332" s="175"/>
      <c r="B2332" s="175"/>
      <c r="P2332" s="4"/>
      <c r="Q2332" s="214"/>
    </row>
    <row r="2333" spans="1:17">
      <c r="A2333" s="175"/>
      <c r="B2333" s="175"/>
      <c r="P2333" s="4"/>
      <c r="Q2333" s="214"/>
    </row>
    <row r="2334" spans="1:17">
      <c r="A2334" s="175"/>
      <c r="B2334" s="175"/>
      <c r="P2334" s="4"/>
      <c r="Q2334" s="214"/>
    </row>
    <row r="2335" spans="1:17">
      <c r="A2335" s="175"/>
      <c r="B2335" s="175"/>
      <c r="P2335" s="4"/>
      <c r="Q2335" s="214"/>
    </row>
    <row r="2336" spans="1:17">
      <c r="A2336" s="175"/>
      <c r="B2336" s="175"/>
      <c r="P2336" s="4"/>
      <c r="Q2336" s="214"/>
    </row>
    <row r="2337" spans="1:17">
      <c r="A2337" s="175"/>
      <c r="B2337" s="175"/>
      <c r="P2337" s="4"/>
      <c r="Q2337" s="214"/>
    </row>
    <row r="2338" spans="1:17">
      <c r="A2338" s="175"/>
      <c r="B2338" s="175"/>
      <c r="P2338" s="4"/>
      <c r="Q2338" s="214"/>
    </row>
    <row r="2339" spans="1:17">
      <c r="A2339" s="175"/>
      <c r="B2339" s="175"/>
      <c r="P2339" s="4"/>
      <c r="Q2339" s="214"/>
    </row>
    <row r="2340" spans="1:17">
      <c r="A2340" s="175"/>
      <c r="B2340" s="175"/>
      <c r="P2340" s="4"/>
      <c r="Q2340" s="214"/>
    </row>
    <row r="2341" spans="1:17">
      <c r="A2341" s="175"/>
      <c r="B2341" s="175"/>
      <c r="P2341" s="4"/>
      <c r="Q2341" s="214"/>
    </row>
    <row r="2342" spans="1:17">
      <c r="A2342" s="175"/>
      <c r="B2342" s="175"/>
      <c r="P2342" s="4"/>
      <c r="Q2342" s="214"/>
    </row>
    <row r="2343" spans="1:17">
      <c r="A2343" s="175"/>
      <c r="B2343" s="175"/>
      <c r="P2343" s="4"/>
      <c r="Q2343" s="214"/>
    </row>
    <row r="2344" spans="1:17">
      <c r="A2344" s="175"/>
      <c r="B2344" s="175"/>
      <c r="P2344" s="4"/>
      <c r="Q2344" s="214"/>
    </row>
    <row r="2345" spans="1:17">
      <c r="A2345" s="175"/>
      <c r="B2345" s="175"/>
      <c r="P2345" s="4"/>
      <c r="Q2345" s="214"/>
    </row>
    <row r="2346" spans="1:17">
      <c r="A2346" s="175"/>
      <c r="B2346" s="175"/>
      <c r="P2346" s="4"/>
      <c r="Q2346" s="214"/>
    </row>
    <row r="2347" spans="1:17">
      <c r="A2347" s="175"/>
      <c r="B2347" s="175"/>
      <c r="P2347" s="4"/>
      <c r="Q2347" s="214"/>
    </row>
    <row r="2348" spans="1:17">
      <c r="A2348" s="175"/>
      <c r="B2348" s="175"/>
      <c r="P2348" s="4"/>
      <c r="Q2348" s="214"/>
    </row>
    <row r="2349" spans="1:17">
      <c r="A2349" s="175"/>
      <c r="B2349" s="175"/>
      <c r="P2349" s="4"/>
      <c r="Q2349" s="214"/>
    </row>
    <row r="2350" spans="1:17">
      <c r="A2350" s="175"/>
      <c r="B2350" s="175"/>
      <c r="P2350" s="4"/>
      <c r="Q2350" s="214"/>
    </row>
    <row r="2351" spans="1:17">
      <c r="A2351" s="175"/>
      <c r="B2351" s="175"/>
      <c r="P2351" s="4"/>
      <c r="Q2351" s="214"/>
    </row>
    <row r="2352" spans="1:17">
      <c r="A2352" s="175"/>
      <c r="B2352" s="175"/>
      <c r="P2352" s="4"/>
      <c r="Q2352" s="214"/>
    </row>
    <row r="2353" spans="1:17">
      <c r="A2353" s="175"/>
      <c r="B2353" s="175"/>
      <c r="P2353" s="4"/>
      <c r="Q2353" s="214"/>
    </row>
    <row r="2354" spans="1:17">
      <c r="A2354" s="175"/>
      <c r="B2354" s="175"/>
      <c r="P2354" s="4"/>
      <c r="Q2354" s="214"/>
    </row>
    <row r="2355" spans="1:17">
      <c r="A2355" s="175"/>
      <c r="B2355" s="175"/>
      <c r="P2355" s="4"/>
      <c r="Q2355" s="214"/>
    </row>
    <row r="2356" spans="1:17">
      <c r="A2356" s="175"/>
      <c r="B2356" s="175"/>
      <c r="P2356" s="4"/>
      <c r="Q2356" s="214"/>
    </row>
    <row r="2357" spans="1:17">
      <c r="A2357" s="175"/>
      <c r="B2357" s="175"/>
      <c r="P2357" s="4"/>
      <c r="Q2357" s="214"/>
    </row>
    <row r="2358" spans="1:17">
      <c r="A2358" s="175"/>
      <c r="B2358" s="175"/>
      <c r="P2358" s="4"/>
      <c r="Q2358" s="214"/>
    </row>
    <row r="2359" spans="1:17">
      <c r="A2359" s="175"/>
      <c r="B2359" s="175"/>
      <c r="P2359" s="4"/>
      <c r="Q2359" s="214"/>
    </row>
    <row r="2360" spans="1:17">
      <c r="A2360" s="175"/>
      <c r="B2360" s="175"/>
      <c r="P2360" s="4"/>
      <c r="Q2360" s="214"/>
    </row>
    <row r="2361" spans="1:17">
      <c r="A2361" s="175"/>
      <c r="B2361" s="175"/>
      <c r="P2361" s="4"/>
      <c r="Q2361" s="214"/>
    </row>
    <row r="2362" spans="1:17">
      <c r="A2362" s="175"/>
      <c r="B2362" s="175"/>
      <c r="P2362" s="4"/>
      <c r="Q2362" s="214"/>
    </row>
    <row r="2363" spans="1:17">
      <c r="A2363" s="175"/>
      <c r="B2363" s="175"/>
      <c r="P2363" s="4"/>
      <c r="Q2363" s="214"/>
    </row>
    <row r="2364" spans="1:17">
      <c r="A2364" s="175"/>
      <c r="B2364" s="175"/>
      <c r="P2364" s="4"/>
      <c r="Q2364" s="214"/>
    </row>
    <row r="2365" spans="1:17">
      <c r="A2365" s="175"/>
      <c r="B2365" s="175"/>
      <c r="P2365" s="4"/>
      <c r="Q2365" s="214"/>
    </row>
    <row r="2366" spans="1:17">
      <c r="A2366" s="175"/>
      <c r="B2366" s="175"/>
      <c r="P2366" s="4"/>
      <c r="Q2366" s="214"/>
    </row>
    <row r="2367" spans="1:17">
      <c r="A2367" s="175"/>
      <c r="B2367" s="175"/>
      <c r="P2367" s="4"/>
      <c r="Q2367" s="214"/>
    </row>
    <row r="2368" spans="1:17">
      <c r="A2368" s="175"/>
      <c r="B2368" s="175"/>
      <c r="P2368" s="4"/>
      <c r="Q2368" s="214"/>
    </row>
    <row r="2369" spans="1:17">
      <c r="A2369" s="175"/>
      <c r="B2369" s="175"/>
      <c r="P2369" s="4"/>
      <c r="Q2369" s="214"/>
    </row>
    <row r="2370" spans="1:17">
      <c r="A2370" s="175"/>
      <c r="B2370" s="175"/>
      <c r="P2370" s="4"/>
      <c r="Q2370" s="214"/>
    </row>
    <row r="2371" spans="1:17">
      <c r="A2371" s="175"/>
      <c r="B2371" s="175"/>
      <c r="P2371" s="4"/>
      <c r="Q2371" s="214"/>
    </row>
    <row r="2372" spans="1:17">
      <c r="A2372" s="175"/>
      <c r="B2372" s="175"/>
      <c r="P2372" s="4"/>
      <c r="Q2372" s="214"/>
    </row>
    <row r="2373" spans="1:17">
      <c r="A2373" s="175"/>
      <c r="B2373" s="175"/>
      <c r="P2373" s="4"/>
      <c r="Q2373" s="214"/>
    </row>
    <row r="2374" spans="1:17">
      <c r="A2374" s="175"/>
      <c r="B2374" s="175"/>
      <c r="P2374" s="4"/>
      <c r="Q2374" s="214"/>
    </row>
    <row r="2375" spans="1:17">
      <c r="A2375" s="175"/>
      <c r="B2375" s="175"/>
      <c r="P2375" s="4"/>
      <c r="Q2375" s="214"/>
    </row>
    <row r="2376" spans="1:17">
      <c r="A2376" s="175"/>
      <c r="B2376" s="175"/>
      <c r="P2376" s="4"/>
      <c r="Q2376" s="214"/>
    </row>
    <row r="2377" spans="1:17">
      <c r="A2377" s="175"/>
      <c r="B2377" s="175"/>
      <c r="P2377" s="4"/>
      <c r="Q2377" s="214"/>
    </row>
    <row r="2378" spans="1:17">
      <c r="A2378" s="175"/>
      <c r="B2378" s="175"/>
      <c r="P2378" s="4"/>
      <c r="Q2378" s="214"/>
    </row>
    <row r="2379" spans="1:17">
      <c r="A2379" s="175"/>
      <c r="B2379" s="175"/>
      <c r="P2379" s="4"/>
      <c r="Q2379" s="214"/>
    </row>
    <row r="2380" spans="1:17">
      <c r="A2380" s="175"/>
      <c r="B2380" s="175"/>
      <c r="P2380" s="4"/>
      <c r="Q2380" s="214"/>
    </row>
    <row r="2381" spans="1:17">
      <c r="A2381" s="175"/>
      <c r="B2381" s="175"/>
      <c r="P2381" s="4"/>
      <c r="Q2381" s="214"/>
    </row>
    <row r="2382" spans="1:17">
      <c r="A2382" s="175"/>
      <c r="B2382" s="175"/>
      <c r="P2382" s="4"/>
      <c r="Q2382" s="214"/>
    </row>
    <row r="2383" spans="1:17">
      <c r="A2383" s="175"/>
      <c r="B2383" s="175"/>
      <c r="P2383" s="4"/>
      <c r="Q2383" s="214"/>
    </row>
    <row r="2384" spans="1:17">
      <c r="A2384" s="175"/>
      <c r="B2384" s="175"/>
      <c r="P2384" s="4"/>
      <c r="Q2384" s="214"/>
    </row>
    <row r="2385" spans="1:17">
      <c r="A2385" s="175"/>
      <c r="B2385" s="175"/>
      <c r="P2385" s="4"/>
      <c r="Q2385" s="214"/>
    </row>
    <row r="2386" spans="1:17">
      <c r="A2386" s="175"/>
      <c r="B2386" s="175"/>
      <c r="P2386" s="4"/>
      <c r="Q2386" s="214"/>
    </row>
    <row r="2387" spans="1:17">
      <c r="A2387" s="175"/>
      <c r="B2387" s="175"/>
      <c r="P2387" s="4"/>
      <c r="Q2387" s="214"/>
    </row>
    <row r="2388" spans="1:17">
      <c r="A2388" s="175"/>
      <c r="B2388" s="175"/>
      <c r="P2388" s="4"/>
      <c r="Q2388" s="214"/>
    </row>
    <row r="2389" spans="1:17">
      <c r="A2389" s="175"/>
      <c r="B2389" s="175"/>
      <c r="P2389" s="4"/>
      <c r="Q2389" s="214"/>
    </row>
    <row r="2390" spans="1:17">
      <c r="A2390" s="175"/>
      <c r="B2390" s="175"/>
      <c r="P2390" s="4"/>
      <c r="Q2390" s="214"/>
    </row>
    <row r="2391" spans="1:17">
      <c r="A2391" s="175"/>
      <c r="B2391" s="175"/>
      <c r="P2391" s="4"/>
      <c r="Q2391" s="214"/>
    </row>
    <row r="2392" spans="1:17">
      <c r="A2392" s="175"/>
      <c r="B2392" s="175"/>
      <c r="P2392" s="4"/>
      <c r="Q2392" s="214"/>
    </row>
    <row r="2393" spans="1:17">
      <c r="A2393" s="175"/>
      <c r="B2393" s="175"/>
      <c r="P2393" s="4"/>
      <c r="Q2393" s="214"/>
    </row>
    <row r="2394" spans="1:17">
      <c r="A2394" s="175"/>
      <c r="B2394" s="175"/>
      <c r="P2394" s="4"/>
      <c r="Q2394" s="214"/>
    </row>
    <row r="2395" spans="1:17">
      <c r="A2395" s="175"/>
      <c r="B2395" s="175"/>
      <c r="P2395" s="4"/>
      <c r="Q2395" s="214"/>
    </row>
    <row r="2396" spans="1:17">
      <c r="A2396" s="175"/>
      <c r="B2396" s="175"/>
      <c r="P2396" s="4"/>
      <c r="Q2396" s="214"/>
    </row>
    <row r="2397" spans="1:17">
      <c r="A2397" s="175"/>
      <c r="B2397" s="175"/>
      <c r="P2397" s="4"/>
      <c r="Q2397" s="214"/>
    </row>
    <row r="2398" spans="1:17">
      <c r="A2398" s="175"/>
      <c r="B2398" s="175"/>
      <c r="P2398" s="4"/>
      <c r="Q2398" s="214"/>
    </row>
    <row r="2399" spans="1:17">
      <c r="A2399" s="175"/>
      <c r="B2399" s="175"/>
      <c r="P2399" s="4"/>
      <c r="Q2399" s="214"/>
    </row>
    <row r="2400" spans="1:17">
      <c r="A2400" s="175"/>
      <c r="B2400" s="175"/>
      <c r="P2400" s="4"/>
      <c r="Q2400" s="214"/>
    </row>
    <row r="2401" spans="1:17">
      <c r="A2401" s="175"/>
      <c r="B2401" s="175"/>
      <c r="P2401" s="4"/>
      <c r="Q2401" s="214"/>
    </row>
    <row r="2402" spans="1:17">
      <c r="A2402" s="175"/>
      <c r="B2402" s="175"/>
      <c r="P2402" s="4"/>
      <c r="Q2402" s="214"/>
    </row>
    <row r="2403" spans="1:17">
      <c r="A2403" s="175"/>
      <c r="B2403" s="175"/>
      <c r="P2403" s="4"/>
      <c r="Q2403" s="214"/>
    </row>
    <row r="2404" spans="1:17">
      <c r="A2404" s="175"/>
      <c r="B2404" s="175"/>
      <c r="P2404" s="4"/>
      <c r="Q2404" s="214"/>
    </row>
    <row r="2405" spans="1:17">
      <c r="A2405" s="175"/>
      <c r="B2405" s="175"/>
      <c r="P2405" s="4"/>
      <c r="Q2405" s="214"/>
    </row>
    <row r="2406" spans="1:17">
      <c r="A2406" s="175"/>
      <c r="B2406" s="175"/>
      <c r="P2406" s="4"/>
      <c r="Q2406" s="214"/>
    </row>
    <row r="2407" spans="1:17">
      <c r="A2407" s="175"/>
      <c r="B2407" s="175"/>
      <c r="P2407" s="4"/>
      <c r="Q2407" s="214"/>
    </row>
    <row r="2408" spans="1:17">
      <c r="A2408" s="175"/>
      <c r="B2408" s="175"/>
      <c r="P2408" s="4"/>
      <c r="Q2408" s="214"/>
    </row>
    <row r="2409" spans="1:17">
      <c r="A2409" s="175"/>
      <c r="B2409" s="175"/>
      <c r="P2409" s="4"/>
      <c r="Q2409" s="214"/>
    </row>
    <row r="2410" spans="1:17">
      <c r="A2410" s="175"/>
      <c r="B2410" s="175"/>
      <c r="P2410" s="4"/>
      <c r="Q2410" s="214"/>
    </row>
    <row r="2411" spans="1:17">
      <c r="A2411" s="175"/>
      <c r="B2411" s="175"/>
      <c r="P2411" s="4"/>
      <c r="Q2411" s="214"/>
    </row>
    <row r="2412" spans="1:17">
      <c r="A2412" s="175"/>
      <c r="B2412" s="175"/>
      <c r="P2412" s="4"/>
      <c r="Q2412" s="214"/>
    </row>
    <row r="2413" spans="1:17">
      <c r="A2413" s="175"/>
      <c r="B2413" s="175"/>
      <c r="P2413" s="4"/>
      <c r="Q2413" s="214"/>
    </row>
    <row r="2414" spans="1:17">
      <c r="A2414" s="175"/>
      <c r="B2414" s="175"/>
      <c r="P2414" s="4"/>
      <c r="Q2414" s="214"/>
    </row>
    <row r="2415" spans="1:17">
      <c r="A2415" s="175"/>
      <c r="B2415" s="175"/>
      <c r="P2415" s="4"/>
      <c r="Q2415" s="214"/>
    </row>
    <row r="2416" spans="1:17">
      <c r="A2416" s="175"/>
      <c r="B2416" s="175"/>
      <c r="P2416" s="4"/>
      <c r="Q2416" s="214"/>
    </row>
    <row r="2417" spans="1:17">
      <c r="A2417" s="175"/>
      <c r="B2417" s="175"/>
      <c r="P2417" s="4"/>
      <c r="Q2417" s="214"/>
    </row>
    <row r="2418" spans="1:17">
      <c r="A2418" s="175"/>
      <c r="B2418" s="175"/>
      <c r="P2418" s="4"/>
      <c r="Q2418" s="214"/>
    </row>
    <row r="2419" spans="1:17">
      <c r="A2419" s="175"/>
      <c r="B2419" s="175"/>
      <c r="P2419" s="4"/>
      <c r="Q2419" s="214"/>
    </row>
    <row r="2420" spans="1:17">
      <c r="A2420" s="175"/>
      <c r="B2420" s="175"/>
      <c r="P2420" s="4"/>
      <c r="Q2420" s="214"/>
    </row>
    <row r="2421" spans="1:17">
      <c r="A2421" s="175"/>
      <c r="B2421" s="175"/>
      <c r="P2421" s="4"/>
      <c r="Q2421" s="214"/>
    </row>
    <row r="2422" spans="1:17">
      <c r="A2422" s="175"/>
      <c r="B2422" s="175"/>
      <c r="P2422" s="4"/>
      <c r="Q2422" s="214"/>
    </row>
    <row r="2423" spans="1:17">
      <c r="A2423" s="175"/>
      <c r="B2423" s="175"/>
      <c r="P2423" s="4"/>
      <c r="Q2423" s="214"/>
    </row>
    <row r="2424" spans="1:17">
      <c r="A2424" s="175"/>
      <c r="B2424" s="175"/>
      <c r="P2424" s="4"/>
      <c r="Q2424" s="214"/>
    </row>
    <row r="2425" spans="1:17">
      <c r="A2425" s="175"/>
      <c r="B2425" s="175"/>
      <c r="P2425" s="4"/>
      <c r="Q2425" s="214"/>
    </row>
    <row r="2426" spans="1:17">
      <c r="A2426" s="175"/>
      <c r="B2426" s="175"/>
      <c r="P2426" s="4"/>
      <c r="Q2426" s="214"/>
    </row>
    <row r="2427" spans="1:17">
      <c r="A2427" s="175"/>
      <c r="B2427" s="175"/>
      <c r="P2427" s="4"/>
      <c r="Q2427" s="214"/>
    </row>
    <row r="2428" spans="1:17">
      <c r="A2428" s="175"/>
      <c r="B2428" s="175"/>
      <c r="P2428" s="4"/>
      <c r="Q2428" s="214"/>
    </row>
    <row r="2429" spans="1:17">
      <c r="A2429" s="175"/>
      <c r="B2429" s="175"/>
      <c r="P2429" s="4"/>
      <c r="Q2429" s="214"/>
    </row>
    <row r="2430" spans="1:17">
      <c r="A2430" s="175"/>
      <c r="B2430" s="175"/>
      <c r="P2430" s="4"/>
      <c r="Q2430" s="214"/>
    </row>
    <row r="2431" spans="1:17">
      <c r="A2431" s="175"/>
      <c r="B2431" s="175"/>
      <c r="P2431" s="4"/>
      <c r="Q2431" s="214"/>
    </row>
    <row r="2432" spans="1:17">
      <c r="A2432" s="175"/>
      <c r="B2432" s="175"/>
      <c r="P2432" s="4"/>
      <c r="Q2432" s="214"/>
    </row>
    <row r="2433" spans="1:17">
      <c r="A2433" s="175"/>
      <c r="B2433" s="175"/>
      <c r="P2433" s="4"/>
      <c r="Q2433" s="214"/>
    </row>
    <row r="2434" spans="1:17">
      <c r="A2434" s="175"/>
      <c r="B2434" s="175"/>
      <c r="P2434" s="4"/>
      <c r="Q2434" s="214"/>
    </row>
    <row r="2435" spans="1:17">
      <c r="A2435" s="175"/>
      <c r="B2435" s="175"/>
      <c r="P2435" s="4"/>
      <c r="Q2435" s="214"/>
    </row>
    <row r="2436" spans="1:17">
      <c r="A2436" s="175"/>
      <c r="B2436" s="175"/>
      <c r="P2436" s="4"/>
      <c r="Q2436" s="214"/>
    </row>
    <row r="2437" spans="1:17">
      <c r="A2437" s="175"/>
      <c r="B2437" s="175"/>
      <c r="P2437" s="4"/>
      <c r="Q2437" s="214"/>
    </row>
    <row r="2438" spans="1:17">
      <c r="A2438" s="175"/>
      <c r="B2438" s="175"/>
      <c r="P2438" s="4"/>
      <c r="Q2438" s="214"/>
    </row>
    <row r="2439" spans="1:17">
      <c r="A2439" s="175"/>
      <c r="B2439" s="175"/>
      <c r="P2439" s="4"/>
      <c r="Q2439" s="214"/>
    </row>
    <row r="2440" spans="1:17">
      <c r="A2440" s="175"/>
      <c r="B2440" s="175"/>
      <c r="P2440" s="4"/>
      <c r="Q2440" s="214"/>
    </row>
    <row r="2441" spans="1:17">
      <c r="A2441" s="175"/>
      <c r="B2441" s="175"/>
      <c r="P2441" s="4"/>
      <c r="Q2441" s="214"/>
    </row>
    <row r="2442" spans="1:17">
      <c r="A2442" s="175"/>
      <c r="B2442" s="175"/>
      <c r="P2442" s="4"/>
      <c r="Q2442" s="214"/>
    </row>
    <row r="2443" spans="1:17">
      <c r="A2443" s="175"/>
      <c r="B2443" s="175"/>
      <c r="P2443" s="4"/>
      <c r="Q2443" s="214"/>
    </row>
    <row r="2444" spans="1:17">
      <c r="A2444" s="175"/>
      <c r="B2444" s="175"/>
      <c r="P2444" s="4"/>
      <c r="Q2444" s="214"/>
    </row>
    <row r="2445" spans="1:17">
      <c r="A2445" s="175"/>
      <c r="B2445" s="175"/>
      <c r="P2445" s="4"/>
      <c r="Q2445" s="214"/>
    </row>
    <row r="2446" spans="1:17">
      <c r="A2446" s="175"/>
      <c r="B2446" s="175"/>
      <c r="P2446" s="4"/>
      <c r="Q2446" s="214"/>
    </row>
    <row r="2447" spans="1:17">
      <c r="A2447" s="175"/>
      <c r="B2447" s="175"/>
      <c r="P2447" s="4"/>
      <c r="Q2447" s="214"/>
    </row>
    <row r="2448" spans="1:17">
      <c r="A2448" s="175"/>
      <c r="B2448" s="175"/>
      <c r="P2448" s="4"/>
      <c r="Q2448" s="214"/>
    </row>
    <row r="2449" spans="1:17">
      <c r="A2449" s="175"/>
      <c r="B2449" s="175"/>
      <c r="P2449" s="4"/>
      <c r="Q2449" s="214"/>
    </row>
    <row r="2450" spans="1:17">
      <c r="A2450" s="175"/>
      <c r="B2450" s="175"/>
      <c r="P2450" s="4"/>
      <c r="Q2450" s="214"/>
    </row>
    <row r="2451" spans="1:17">
      <c r="A2451" s="175"/>
      <c r="B2451" s="175"/>
      <c r="P2451" s="4"/>
      <c r="Q2451" s="214"/>
    </row>
    <row r="2452" spans="1:17">
      <c r="A2452" s="175"/>
      <c r="B2452" s="175"/>
      <c r="P2452" s="4"/>
      <c r="Q2452" s="214"/>
    </row>
    <row r="2453" spans="1:17">
      <c r="A2453" s="175"/>
      <c r="B2453" s="175"/>
      <c r="P2453" s="4"/>
      <c r="Q2453" s="214"/>
    </row>
    <row r="2454" spans="1:17">
      <c r="A2454" s="175"/>
      <c r="B2454" s="175"/>
      <c r="P2454" s="4"/>
      <c r="Q2454" s="214"/>
    </row>
    <row r="2455" spans="1:17">
      <c r="A2455" s="175"/>
      <c r="B2455" s="175"/>
      <c r="P2455" s="4"/>
      <c r="Q2455" s="214"/>
    </row>
    <row r="2456" spans="1:17">
      <c r="A2456" s="175"/>
      <c r="B2456" s="175"/>
      <c r="P2456" s="4"/>
      <c r="Q2456" s="214"/>
    </row>
    <row r="2457" spans="1:17">
      <c r="A2457" s="175"/>
      <c r="B2457" s="175"/>
      <c r="P2457" s="4"/>
      <c r="Q2457" s="214"/>
    </row>
    <row r="2458" spans="1:17">
      <c r="A2458" s="175"/>
      <c r="B2458" s="175"/>
      <c r="P2458" s="4"/>
      <c r="Q2458" s="214"/>
    </row>
    <row r="2459" spans="1:17">
      <c r="A2459" s="175"/>
      <c r="B2459" s="175"/>
      <c r="P2459" s="4"/>
      <c r="Q2459" s="214"/>
    </row>
    <row r="2460" spans="1:17">
      <c r="A2460" s="175"/>
      <c r="B2460" s="175"/>
      <c r="P2460" s="4"/>
      <c r="Q2460" s="214"/>
    </row>
    <row r="2461" spans="1:17">
      <c r="A2461" s="175"/>
      <c r="B2461" s="175"/>
      <c r="P2461" s="4"/>
      <c r="Q2461" s="214"/>
    </row>
    <row r="2462" spans="1:17">
      <c r="A2462" s="175"/>
      <c r="B2462" s="175"/>
      <c r="P2462" s="4"/>
      <c r="Q2462" s="214"/>
    </row>
    <row r="2463" spans="1:17">
      <c r="A2463" s="175"/>
      <c r="B2463" s="175"/>
      <c r="P2463" s="4"/>
      <c r="Q2463" s="214"/>
    </row>
    <row r="2464" spans="1:17">
      <c r="A2464" s="175"/>
      <c r="B2464" s="175"/>
      <c r="P2464" s="4"/>
      <c r="Q2464" s="214"/>
    </row>
    <row r="2465" spans="1:17">
      <c r="A2465" s="175"/>
      <c r="B2465" s="175"/>
      <c r="P2465" s="4"/>
      <c r="Q2465" s="214"/>
    </row>
    <row r="2466" spans="1:17">
      <c r="A2466" s="175"/>
      <c r="B2466" s="175"/>
      <c r="P2466" s="4"/>
      <c r="Q2466" s="214"/>
    </row>
    <row r="2467" spans="1:17">
      <c r="A2467" s="175"/>
      <c r="B2467" s="175"/>
      <c r="P2467" s="4"/>
      <c r="Q2467" s="214"/>
    </row>
    <row r="2468" spans="1:17">
      <c r="A2468" s="175"/>
      <c r="B2468" s="175"/>
      <c r="P2468" s="4"/>
      <c r="Q2468" s="214"/>
    </row>
    <row r="2469" spans="1:17">
      <c r="A2469" s="175"/>
      <c r="B2469" s="175"/>
      <c r="P2469" s="4"/>
      <c r="Q2469" s="214"/>
    </row>
    <row r="2470" spans="1:17">
      <c r="A2470" s="175"/>
      <c r="B2470" s="175"/>
      <c r="P2470" s="4"/>
      <c r="Q2470" s="214"/>
    </row>
    <row r="2471" spans="1:17">
      <c r="A2471" s="175"/>
      <c r="B2471" s="175"/>
      <c r="P2471" s="4"/>
      <c r="Q2471" s="214"/>
    </row>
    <row r="2472" spans="1:17">
      <c r="A2472" s="175"/>
      <c r="B2472" s="175"/>
      <c r="P2472" s="4"/>
      <c r="Q2472" s="214"/>
    </row>
    <row r="2473" spans="1:17">
      <c r="A2473" s="175"/>
      <c r="B2473" s="175"/>
      <c r="P2473" s="4"/>
      <c r="Q2473" s="214"/>
    </row>
    <row r="2474" spans="1:17">
      <c r="A2474" s="175"/>
      <c r="B2474" s="175"/>
      <c r="P2474" s="4"/>
      <c r="Q2474" s="214"/>
    </row>
    <row r="2475" spans="1:17">
      <c r="A2475" s="175"/>
      <c r="B2475" s="175"/>
      <c r="P2475" s="4"/>
      <c r="Q2475" s="214"/>
    </row>
    <row r="2476" spans="1:17">
      <c r="A2476" s="175"/>
      <c r="B2476" s="175"/>
      <c r="P2476" s="4"/>
      <c r="Q2476" s="214"/>
    </row>
    <row r="2477" spans="1:17">
      <c r="A2477" s="175"/>
      <c r="B2477" s="175"/>
      <c r="P2477" s="4"/>
      <c r="Q2477" s="214"/>
    </row>
    <row r="2478" spans="1:17">
      <c r="A2478" s="175"/>
      <c r="B2478" s="175"/>
      <c r="P2478" s="4"/>
      <c r="Q2478" s="214"/>
    </row>
    <row r="2479" spans="1:17">
      <c r="A2479" s="175"/>
      <c r="B2479" s="175"/>
      <c r="P2479" s="4"/>
      <c r="Q2479" s="214"/>
    </row>
    <row r="2480" spans="1:17">
      <c r="A2480" s="175"/>
      <c r="B2480" s="175"/>
      <c r="P2480" s="4"/>
      <c r="Q2480" s="214"/>
    </row>
    <row r="2481" spans="1:17">
      <c r="A2481" s="175"/>
      <c r="B2481" s="175"/>
      <c r="P2481" s="4"/>
      <c r="Q2481" s="214"/>
    </row>
    <row r="2482" spans="1:17">
      <c r="A2482" s="175"/>
      <c r="B2482" s="175"/>
      <c r="P2482" s="4"/>
      <c r="Q2482" s="214"/>
    </row>
    <row r="2483" spans="1:17">
      <c r="A2483" s="175"/>
      <c r="B2483" s="175"/>
      <c r="P2483" s="4"/>
      <c r="Q2483" s="214"/>
    </row>
    <row r="2484" spans="1:17">
      <c r="A2484" s="175"/>
      <c r="B2484" s="175"/>
      <c r="P2484" s="4"/>
      <c r="Q2484" s="214"/>
    </row>
    <row r="2485" spans="1:17">
      <c r="A2485" s="175"/>
      <c r="B2485" s="175"/>
      <c r="P2485" s="4"/>
      <c r="Q2485" s="214"/>
    </row>
    <row r="2486" spans="1:17">
      <c r="A2486" s="175"/>
      <c r="B2486" s="175"/>
      <c r="P2486" s="4"/>
      <c r="Q2486" s="214"/>
    </row>
    <row r="2487" spans="1:17">
      <c r="A2487" s="175"/>
      <c r="B2487" s="175"/>
      <c r="P2487" s="4"/>
      <c r="Q2487" s="214"/>
    </row>
    <row r="2488" spans="1:17">
      <c r="A2488" s="175"/>
      <c r="B2488" s="175"/>
      <c r="P2488" s="4"/>
      <c r="Q2488" s="214"/>
    </row>
    <row r="2489" spans="1:17">
      <c r="A2489" s="175"/>
      <c r="B2489" s="175"/>
      <c r="P2489" s="4"/>
      <c r="Q2489" s="214"/>
    </row>
    <row r="2490" spans="1:17">
      <c r="A2490" s="175"/>
      <c r="B2490" s="175"/>
      <c r="P2490" s="4"/>
      <c r="Q2490" s="214"/>
    </row>
    <row r="2491" spans="1:17">
      <c r="A2491" s="175"/>
      <c r="B2491" s="175"/>
      <c r="P2491" s="4"/>
      <c r="Q2491" s="214"/>
    </row>
    <row r="2492" spans="1:17">
      <c r="A2492" s="175"/>
      <c r="B2492" s="175"/>
      <c r="P2492" s="4"/>
      <c r="Q2492" s="214"/>
    </row>
    <row r="2493" spans="1:17">
      <c r="A2493" s="175"/>
      <c r="B2493" s="175"/>
      <c r="P2493" s="4"/>
      <c r="Q2493" s="214"/>
    </row>
    <row r="2494" spans="1:17">
      <c r="A2494" s="175"/>
      <c r="B2494" s="175"/>
      <c r="P2494" s="4"/>
      <c r="Q2494" s="214"/>
    </row>
    <row r="2495" spans="1:17">
      <c r="A2495" s="175"/>
      <c r="B2495" s="175"/>
      <c r="P2495" s="4"/>
      <c r="Q2495" s="214"/>
    </row>
    <row r="2496" spans="1:17">
      <c r="A2496" s="175"/>
      <c r="B2496" s="175"/>
      <c r="P2496" s="4"/>
      <c r="Q2496" s="214"/>
    </row>
    <row r="2497" spans="1:17">
      <c r="A2497" s="175"/>
      <c r="B2497" s="175"/>
      <c r="P2497" s="4"/>
      <c r="Q2497" s="214"/>
    </row>
    <row r="2498" spans="1:17">
      <c r="A2498" s="175"/>
      <c r="B2498" s="175"/>
      <c r="P2498" s="4"/>
      <c r="Q2498" s="214"/>
    </row>
    <row r="2499" spans="1:17">
      <c r="A2499" s="175"/>
      <c r="B2499" s="175"/>
      <c r="P2499" s="4"/>
      <c r="Q2499" s="214"/>
    </row>
    <row r="2500" spans="1:17">
      <c r="A2500" s="175"/>
      <c r="B2500" s="175"/>
      <c r="P2500" s="4"/>
      <c r="Q2500" s="214"/>
    </row>
    <row r="2501" spans="1:17">
      <c r="A2501" s="175"/>
      <c r="B2501" s="175"/>
      <c r="P2501" s="4"/>
      <c r="Q2501" s="214"/>
    </row>
    <row r="2502" spans="1:17">
      <c r="A2502" s="175"/>
      <c r="B2502" s="175"/>
      <c r="P2502" s="4"/>
      <c r="Q2502" s="214"/>
    </row>
    <row r="2503" spans="1:17">
      <c r="A2503" s="175"/>
      <c r="B2503" s="175"/>
      <c r="P2503" s="4"/>
      <c r="Q2503" s="214"/>
    </row>
    <row r="2504" spans="1:17">
      <c r="A2504" s="175"/>
      <c r="B2504" s="175"/>
      <c r="P2504" s="4"/>
      <c r="Q2504" s="214"/>
    </row>
    <row r="2505" spans="1:17">
      <c r="A2505" s="175"/>
      <c r="B2505" s="175"/>
      <c r="P2505" s="4"/>
      <c r="Q2505" s="214"/>
    </row>
    <row r="2506" spans="1:17">
      <c r="A2506" s="175"/>
      <c r="B2506" s="175"/>
      <c r="P2506" s="4"/>
      <c r="Q2506" s="214"/>
    </row>
    <row r="2507" spans="1:17">
      <c r="A2507" s="175"/>
      <c r="B2507" s="175"/>
      <c r="P2507" s="4"/>
      <c r="Q2507" s="214"/>
    </row>
    <row r="2508" spans="1:17">
      <c r="A2508" s="175"/>
      <c r="B2508" s="175"/>
      <c r="P2508" s="4"/>
      <c r="Q2508" s="214"/>
    </row>
    <row r="2509" spans="1:17">
      <c r="A2509" s="175"/>
      <c r="B2509" s="175"/>
      <c r="P2509" s="4"/>
      <c r="Q2509" s="214"/>
    </row>
    <row r="2510" spans="1:17">
      <c r="A2510" s="175"/>
      <c r="B2510" s="175"/>
      <c r="P2510" s="4"/>
      <c r="Q2510" s="214"/>
    </row>
    <row r="2511" spans="1:17">
      <c r="A2511" s="175"/>
      <c r="B2511" s="175"/>
      <c r="P2511" s="4"/>
      <c r="Q2511" s="214"/>
    </row>
    <row r="2512" spans="1:17">
      <c r="A2512" s="175"/>
      <c r="B2512" s="175"/>
      <c r="P2512" s="4"/>
      <c r="Q2512" s="214"/>
    </row>
    <row r="2513" spans="1:17">
      <c r="A2513" s="175"/>
      <c r="B2513" s="175"/>
      <c r="P2513" s="4"/>
      <c r="Q2513" s="214"/>
    </row>
    <row r="2514" spans="1:17">
      <c r="A2514" s="175"/>
      <c r="B2514" s="175"/>
      <c r="P2514" s="4"/>
      <c r="Q2514" s="214"/>
    </row>
    <row r="2515" spans="1:17">
      <c r="A2515" s="175"/>
      <c r="B2515" s="175"/>
      <c r="P2515" s="4"/>
      <c r="Q2515" s="214"/>
    </row>
    <row r="2516" spans="1:17">
      <c r="A2516" s="175"/>
      <c r="B2516" s="175"/>
      <c r="P2516" s="4"/>
      <c r="Q2516" s="214"/>
    </row>
    <row r="2517" spans="1:17">
      <c r="A2517" s="175"/>
      <c r="B2517" s="175"/>
      <c r="P2517" s="4"/>
      <c r="Q2517" s="214"/>
    </row>
    <row r="2518" spans="1:17">
      <c r="A2518" s="175"/>
      <c r="B2518" s="175"/>
      <c r="P2518" s="4"/>
      <c r="Q2518" s="214"/>
    </row>
    <row r="2519" spans="1:17">
      <c r="A2519" s="175"/>
      <c r="B2519" s="175"/>
      <c r="P2519" s="4"/>
      <c r="Q2519" s="214"/>
    </row>
    <row r="2520" spans="1:17">
      <c r="A2520" s="175"/>
      <c r="B2520" s="175"/>
      <c r="P2520" s="4"/>
      <c r="Q2520" s="214"/>
    </row>
    <row r="2521" spans="1:17">
      <c r="A2521" s="175"/>
      <c r="B2521" s="175"/>
      <c r="P2521" s="4"/>
      <c r="Q2521" s="214"/>
    </row>
    <row r="2522" spans="1:17">
      <c r="A2522" s="175"/>
      <c r="B2522" s="175"/>
      <c r="P2522" s="4"/>
      <c r="Q2522" s="214"/>
    </row>
    <row r="2523" spans="1:17">
      <c r="A2523" s="175"/>
      <c r="B2523" s="175"/>
      <c r="P2523" s="4"/>
      <c r="Q2523" s="214"/>
    </row>
    <row r="2524" spans="1:17">
      <c r="A2524" s="175"/>
      <c r="B2524" s="175"/>
      <c r="P2524" s="4"/>
      <c r="Q2524" s="214"/>
    </row>
    <row r="2525" spans="1:17">
      <c r="A2525" s="175"/>
      <c r="B2525" s="175"/>
      <c r="P2525" s="4"/>
      <c r="Q2525" s="214"/>
    </row>
    <row r="2526" spans="1:17">
      <c r="A2526" s="175"/>
      <c r="B2526" s="175"/>
      <c r="P2526" s="4"/>
      <c r="Q2526" s="214"/>
    </row>
    <row r="2527" spans="1:17">
      <c r="A2527" s="175"/>
      <c r="B2527" s="175"/>
      <c r="P2527" s="4"/>
      <c r="Q2527" s="214"/>
    </row>
    <row r="2528" spans="1:17">
      <c r="A2528" s="175"/>
      <c r="B2528" s="175"/>
      <c r="P2528" s="4"/>
      <c r="Q2528" s="214"/>
    </row>
    <row r="2529" spans="1:17">
      <c r="A2529" s="175"/>
      <c r="B2529" s="175"/>
      <c r="P2529" s="4"/>
      <c r="Q2529" s="214"/>
    </row>
    <row r="2530" spans="1:17">
      <c r="A2530" s="175"/>
      <c r="B2530" s="175"/>
      <c r="P2530" s="4"/>
      <c r="Q2530" s="214"/>
    </row>
    <row r="2531" spans="1:17">
      <c r="A2531" s="175"/>
      <c r="B2531" s="175"/>
      <c r="P2531" s="4"/>
      <c r="Q2531" s="214"/>
    </row>
    <row r="2532" spans="1:17">
      <c r="A2532" s="175"/>
      <c r="B2532" s="175"/>
      <c r="P2532" s="4"/>
      <c r="Q2532" s="214"/>
    </row>
    <row r="2533" spans="1:17">
      <c r="A2533" s="175"/>
      <c r="B2533" s="175"/>
      <c r="P2533" s="4"/>
      <c r="Q2533" s="214"/>
    </row>
    <row r="2534" spans="1:17">
      <c r="A2534" s="175"/>
      <c r="B2534" s="175"/>
      <c r="P2534" s="4"/>
      <c r="Q2534" s="214"/>
    </row>
    <row r="2535" spans="1:17">
      <c r="A2535" s="175"/>
      <c r="B2535" s="175"/>
      <c r="P2535" s="4"/>
      <c r="Q2535" s="214"/>
    </row>
    <row r="2536" spans="1:17">
      <c r="A2536" s="175"/>
      <c r="B2536" s="175"/>
      <c r="P2536" s="4"/>
      <c r="Q2536" s="214"/>
    </row>
    <row r="2537" spans="1:17">
      <c r="A2537" s="175"/>
      <c r="B2537" s="175"/>
      <c r="P2537" s="4"/>
      <c r="Q2537" s="214"/>
    </row>
    <row r="2538" spans="1:17">
      <c r="A2538" s="175"/>
      <c r="B2538" s="175"/>
      <c r="P2538" s="4"/>
      <c r="Q2538" s="214"/>
    </row>
    <row r="2539" spans="1:17">
      <c r="A2539" s="175"/>
      <c r="B2539" s="175"/>
      <c r="P2539" s="4"/>
      <c r="Q2539" s="214"/>
    </row>
    <row r="2540" spans="1:17">
      <c r="A2540" s="175"/>
      <c r="B2540" s="175"/>
      <c r="P2540" s="4"/>
      <c r="Q2540" s="214"/>
    </row>
    <row r="2541" spans="1:17">
      <c r="A2541" s="175"/>
      <c r="B2541" s="175"/>
      <c r="P2541" s="4"/>
      <c r="Q2541" s="214"/>
    </row>
    <row r="2542" spans="1:17">
      <c r="A2542" s="175"/>
      <c r="B2542" s="175"/>
      <c r="P2542" s="4"/>
      <c r="Q2542" s="214"/>
    </row>
    <row r="2543" spans="1:17">
      <c r="A2543" s="175"/>
      <c r="B2543" s="175"/>
      <c r="P2543" s="4"/>
      <c r="Q2543" s="214"/>
    </row>
    <row r="2544" spans="1:17">
      <c r="A2544" s="175"/>
      <c r="B2544" s="175"/>
      <c r="P2544" s="4"/>
      <c r="Q2544" s="214"/>
    </row>
    <row r="2545" spans="1:17">
      <c r="A2545" s="175"/>
      <c r="B2545" s="175"/>
      <c r="P2545" s="4"/>
      <c r="Q2545" s="214"/>
    </row>
    <row r="2546" spans="1:17">
      <c r="A2546" s="175"/>
      <c r="B2546" s="175"/>
      <c r="P2546" s="4"/>
      <c r="Q2546" s="214"/>
    </row>
    <row r="2547" spans="1:17">
      <c r="A2547" s="175"/>
      <c r="B2547" s="175"/>
      <c r="P2547" s="4"/>
      <c r="Q2547" s="214"/>
    </row>
    <row r="2548" spans="1:17">
      <c r="A2548" s="175"/>
      <c r="B2548" s="175"/>
      <c r="P2548" s="4"/>
      <c r="Q2548" s="214"/>
    </row>
    <row r="2549" spans="1:17">
      <c r="A2549" s="175"/>
      <c r="B2549" s="175"/>
      <c r="P2549" s="4"/>
      <c r="Q2549" s="214"/>
    </row>
    <row r="2550" spans="1:17">
      <c r="A2550" s="175"/>
      <c r="B2550" s="175"/>
      <c r="P2550" s="4"/>
      <c r="Q2550" s="214"/>
    </row>
    <row r="2551" spans="1:17">
      <c r="A2551" s="175"/>
      <c r="B2551" s="175"/>
      <c r="P2551" s="4"/>
      <c r="Q2551" s="214"/>
    </row>
    <row r="2552" spans="1:17">
      <c r="A2552" s="175"/>
      <c r="B2552" s="175"/>
      <c r="P2552" s="4"/>
      <c r="Q2552" s="214"/>
    </row>
    <row r="2553" spans="1:17">
      <c r="A2553" s="175"/>
      <c r="B2553" s="175"/>
      <c r="P2553" s="4"/>
      <c r="Q2553" s="214"/>
    </row>
    <row r="2554" spans="1:17">
      <c r="A2554" s="175"/>
      <c r="B2554" s="175"/>
      <c r="P2554" s="4"/>
      <c r="Q2554" s="214"/>
    </row>
    <row r="2555" spans="1:17">
      <c r="A2555" s="175"/>
      <c r="B2555" s="175"/>
      <c r="P2555" s="4"/>
      <c r="Q2555" s="214"/>
    </row>
    <row r="2556" spans="1:17">
      <c r="A2556" s="175"/>
      <c r="B2556" s="175"/>
      <c r="P2556" s="4"/>
      <c r="Q2556" s="214"/>
    </row>
    <row r="2557" spans="1:17">
      <c r="A2557" s="175"/>
      <c r="B2557" s="175"/>
      <c r="P2557" s="4"/>
      <c r="Q2557" s="214"/>
    </row>
    <row r="2558" spans="1:17">
      <c r="A2558" s="175"/>
      <c r="B2558" s="175"/>
      <c r="P2558" s="4"/>
      <c r="Q2558" s="214"/>
    </row>
    <row r="2559" spans="1:17">
      <c r="A2559" s="175"/>
      <c r="B2559" s="175"/>
      <c r="P2559" s="4"/>
      <c r="Q2559" s="214"/>
    </row>
    <row r="2560" spans="1:17">
      <c r="A2560" s="175"/>
      <c r="B2560" s="175"/>
      <c r="P2560" s="4"/>
      <c r="Q2560" s="214"/>
    </row>
    <row r="2561" spans="1:17">
      <c r="A2561" s="175"/>
      <c r="B2561" s="175"/>
      <c r="P2561" s="4"/>
      <c r="Q2561" s="214"/>
    </row>
    <row r="2562" spans="1:17">
      <c r="A2562" s="175"/>
      <c r="B2562" s="175"/>
      <c r="P2562" s="4"/>
      <c r="Q2562" s="214"/>
    </row>
    <row r="2563" spans="1:17">
      <c r="A2563" s="175"/>
      <c r="B2563" s="175"/>
      <c r="P2563" s="4"/>
      <c r="Q2563" s="214"/>
    </row>
    <row r="2564" spans="1:17">
      <c r="A2564" s="175"/>
      <c r="B2564" s="175"/>
      <c r="P2564" s="4"/>
      <c r="Q2564" s="214"/>
    </row>
    <row r="2565" spans="1:17">
      <c r="A2565" s="175"/>
      <c r="B2565" s="175"/>
      <c r="P2565" s="4"/>
      <c r="Q2565" s="214"/>
    </row>
    <row r="2566" spans="1:17">
      <c r="A2566" s="175"/>
      <c r="B2566" s="175"/>
      <c r="P2566" s="4"/>
      <c r="Q2566" s="214"/>
    </row>
    <row r="2567" spans="1:17">
      <c r="A2567" s="175"/>
      <c r="B2567" s="175"/>
      <c r="P2567" s="4"/>
      <c r="Q2567" s="214"/>
    </row>
    <row r="2568" spans="1:17">
      <c r="A2568" s="175"/>
      <c r="B2568" s="175"/>
      <c r="P2568" s="4"/>
      <c r="Q2568" s="214"/>
    </row>
    <row r="2569" spans="1:17">
      <c r="A2569" s="175"/>
      <c r="B2569" s="175"/>
      <c r="P2569" s="4"/>
      <c r="Q2569" s="214"/>
    </row>
    <row r="2570" spans="1:17">
      <c r="A2570" s="175"/>
      <c r="B2570" s="175"/>
      <c r="P2570" s="4"/>
      <c r="Q2570" s="214"/>
    </row>
    <row r="2571" spans="1:17">
      <c r="A2571" s="175"/>
      <c r="B2571" s="175"/>
      <c r="P2571" s="4"/>
      <c r="Q2571" s="214"/>
    </row>
    <row r="2572" spans="1:17">
      <c r="A2572" s="175"/>
      <c r="B2572" s="175"/>
      <c r="P2572" s="4"/>
      <c r="Q2572" s="214"/>
    </row>
    <row r="2573" spans="1:17">
      <c r="A2573" s="175"/>
      <c r="B2573" s="175"/>
      <c r="P2573" s="4"/>
      <c r="Q2573" s="214"/>
    </row>
    <row r="2574" spans="1:17">
      <c r="A2574" s="175"/>
      <c r="B2574" s="175"/>
      <c r="P2574" s="4"/>
      <c r="Q2574" s="214"/>
    </row>
    <row r="2575" spans="1:17">
      <c r="A2575" s="175"/>
      <c r="B2575" s="175"/>
      <c r="P2575" s="4"/>
      <c r="Q2575" s="214"/>
    </row>
    <row r="2576" spans="1:17">
      <c r="A2576" s="175"/>
      <c r="B2576" s="175"/>
      <c r="P2576" s="4"/>
      <c r="Q2576" s="214"/>
    </row>
    <row r="2577" spans="1:17">
      <c r="A2577" s="175"/>
      <c r="B2577" s="175"/>
      <c r="P2577" s="4"/>
      <c r="Q2577" s="214"/>
    </row>
    <row r="2578" spans="1:17">
      <c r="A2578" s="175"/>
      <c r="B2578" s="175"/>
      <c r="P2578" s="4"/>
      <c r="Q2578" s="214"/>
    </row>
    <row r="2579" spans="1:17">
      <c r="A2579" s="175"/>
      <c r="B2579" s="175"/>
      <c r="P2579" s="4"/>
      <c r="Q2579" s="214"/>
    </row>
    <row r="2580" spans="1:17">
      <c r="A2580" s="175"/>
      <c r="B2580" s="175"/>
      <c r="P2580" s="4"/>
      <c r="Q2580" s="214"/>
    </row>
    <row r="2581" spans="1:17">
      <c r="A2581" s="175"/>
      <c r="B2581" s="175"/>
      <c r="P2581" s="4"/>
      <c r="Q2581" s="214"/>
    </row>
    <row r="2582" spans="1:17">
      <c r="A2582" s="175"/>
      <c r="B2582" s="175"/>
      <c r="P2582" s="4"/>
      <c r="Q2582" s="214"/>
    </row>
    <row r="2583" spans="1:17">
      <c r="A2583" s="175"/>
      <c r="B2583" s="175"/>
      <c r="P2583" s="4"/>
      <c r="Q2583" s="214"/>
    </row>
    <row r="2584" spans="1:17">
      <c r="A2584" s="175"/>
      <c r="B2584" s="175"/>
      <c r="P2584" s="4"/>
      <c r="Q2584" s="214"/>
    </row>
    <row r="2585" spans="1:17">
      <c r="A2585" s="175"/>
      <c r="B2585" s="175"/>
      <c r="P2585" s="4"/>
      <c r="Q2585" s="214"/>
    </row>
    <row r="2586" spans="1:17">
      <c r="A2586" s="175"/>
      <c r="B2586" s="175"/>
      <c r="P2586" s="4"/>
      <c r="Q2586" s="214"/>
    </row>
    <row r="2587" spans="1:17">
      <c r="A2587" s="175"/>
      <c r="B2587" s="175"/>
      <c r="P2587" s="4"/>
      <c r="Q2587" s="214"/>
    </row>
    <row r="2588" spans="1:17">
      <c r="A2588" s="175"/>
      <c r="B2588" s="175"/>
      <c r="P2588" s="4"/>
      <c r="Q2588" s="214"/>
    </row>
    <row r="2589" spans="1:17">
      <c r="A2589" s="175"/>
      <c r="B2589" s="175"/>
      <c r="P2589" s="4"/>
      <c r="Q2589" s="214"/>
    </row>
    <row r="2590" spans="1:17">
      <c r="A2590" s="175"/>
      <c r="B2590" s="175"/>
      <c r="P2590" s="4"/>
      <c r="Q2590" s="214"/>
    </row>
    <row r="2591" spans="1:17">
      <c r="A2591" s="175"/>
      <c r="B2591" s="175"/>
      <c r="P2591" s="4"/>
      <c r="Q2591" s="214"/>
    </row>
    <row r="2592" spans="1:17">
      <c r="A2592" s="175"/>
      <c r="B2592" s="175"/>
      <c r="P2592" s="4"/>
      <c r="Q2592" s="214"/>
    </row>
    <row r="2593" spans="1:17">
      <c r="A2593" s="175"/>
      <c r="B2593" s="175"/>
      <c r="P2593" s="4"/>
      <c r="Q2593" s="214"/>
    </row>
    <row r="2594" spans="1:17">
      <c r="A2594" s="175"/>
      <c r="B2594" s="175"/>
      <c r="P2594" s="4"/>
      <c r="Q2594" s="214"/>
    </row>
    <row r="2595" spans="1:17">
      <c r="A2595" s="175"/>
      <c r="B2595" s="175"/>
      <c r="P2595" s="4"/>
      <c r="Q2595" s="214"/>
    </row>
    <row r="2596" spans="1:17">
      <c r="A2596" s="175"/>
      <c r="B2596" s="175"/>
      <c r="P2596" s="4"/>
      <c r="Q2596" s="214"/>
    </row>
    <row r="2597" spans="1:17">
      <c r="A2597" s="175"/>
      <c r="B2597" s="175"/>
      <c r="P2597" s="4"/>
      <c r="Q2597" s="214"/>
    </row>
    <row r="2598" spans="1:17">
      <c r="A2598" s="175"/>
      <c r="B2598" s="175"/>
      <c r="P2598" s="4"/>
      <c r="Q2598" s="214"/>
    </row>
    <row r="2599" spans="1:17">
      <c r="A2599" s="175"/>
      <c r="B2599" s="175"/>
      <c r="P2599" s="4"/>
      <c r="Q2599" s="214"/>
    </row>
    <row r="2600" spans="1:17">
      <c r="A2600" s="175"/>
      <c r="B2600" s="175"/>
      <c r="P2600" s="4"/>
      <c r="Q2600" s="214"/>
    </row>
    <row r="2601" spans="1:17">
      <c r="A2601" s="175"/>
      <c r="B2601" s="175"/>
      <c r="P2601" s="4"/>
      <c r="Q2601" s="214"/>
    </row>
    <row r="2602" spans="1:17">
      <c r="A2602" s="175"/>
      <c r="B2602" s="175"/>
      <c r="P2602" s="4"/>
      <c r="Q2602" s="214"/>
    </row>
    <row r="2603" spans="1:17">
      <c r="A2603" s="175"/>
      <c r="B2603" s="175"/>
      <c r="P2603" s="4"/>
      <c r="Q2603" s="214"/>
    </row>
    <row r="2604" spans="1:17">
      <c r="A2604" s="175"/>
      <c r="B2604" s="175"/>
      <c r="P2604" s="4"/>
      <c r="Q2604" s="214"/>
    </row>
    <row r="2605" spans="1:17">
      <c r="A2605" s="175"/>
      <c r="B2605" s="175"/>
      <c r="P2605" s="4"/>
      <c r="Q2605" s="214"/>
    </row>
    <row r="2606" spans="1:17">
      <c r="A2606" s="175"/>
      <c r="B2606" s="175"/>
      <c r="P2606" s="4"/>
      <c r="Q2606" s="214"/>
    </row>
    <row r="2607" spans="1:17">
      <c r="A2607" s="175"/>
      <c r="B2607" s="175"/>
      <c r="P2607" s="4"/>
      <c r="Q2607" s="214"/>
    </row>
    <row r="2608" spans="1:17">
      <c r="A2608" s="175"/>
      <c r="B2608" s="175"/>
      <c r="P2608" s="4"/>
      <c r="Q2608" s="214"/>
    </row>
    <row r="2609" spans="1:17">
      <c r="A2609" s="175"/>
      <c r="B2609" s="175"/>
      <c r="P2609" s="4"/>
      <c r="Q2609" s="214"/>
    </row>
    <row r="2610" spans="1:17">
      <c r="A2610" s="175"/>
      <c r="B2610" s="175"/>
      <c r="P2610" s="4"/>
      <c r="Q2610" s="214"/>
    </row>
    <row r="2611" spans="1:17">
      <c r="A2611" s="175"/>
      <c r="B2611" s="175"/>
      <c r="P2611" s="4"/>
      <c r="Q2611" s="214"/>
    </row>
    <row r="2612" spans="1:17">
      <c r="A2612" s="175"/>
      <c r="B2612" s="175"/>
      <c r="P2612" s="4"/>
      <c r="Q2612" s="214"/>
    </row>
    <row r="2613" spans="1:17">
      <c r="A2613" s="175"/>
      <c r="B2613" s="175"/>
      <c r="P2613" s="4"/>
      <c r="Q2613" s="214"/>
    </row>
    <row r="2614" spans="1:17">
      <c r="A2614" s="175"/>
      <c r="B2614" s="175"/>
      <c r="P2614" s="4"/>
      <c r="Q2614" s="214"/>
    </row>
    <row r="2615" spans="1:17">
      <c r="A2615" s="175"/>
      <c r="B2615" s="175"/>
      <c r="P2615" s="4"/>
      <c r="Q2615" s="214"/>
    </row>
    <row r="2616" spans="1:17">
      <c r="A2616" s="175"/>
      <c r="B2616" s="175"/>
      <c r="P2616" s="4"/>
      <c r="Q2616" s="214"/>
    </row>
    <row r="2617" spans="1:17">
      <c r="A2617" s="175"/>
      <c r="B2617" s="175"/>
      <c r="P2617" s="4"/>
      <c r="Q2617" s="214"/>
    </row>
    <row r="2618" spans="1:17">
      <c r="A2618" s="175"/>
      <c r="B2618" s="175"/>
      <c r="P2618" s="4"/>
      <c r="Q2618" s="214"/>
    </row>
    <row r="2619" spans="1:17">
      <c r="A2619" s="175"/>
      <c r="B2619" s="175"/>
      <c r="P2619" s="4"/>
      <c r="Q2619" s="214"/>
    </row>
    <row r="2620" spans="1:17">
      <c r="A2620" s="175"/>
      <c r="B2620" s="175"/>
      <c r="P2620" s="4"/>
      <c r="Q2620" s="214"/>
    </row>
    <row r="2621" spans="1:17">
      <c r="A2621" s="175"/>
      <c r="B2621" s="175"/>
      <c r="P2621" s="4"/>
      <c r="Q2621" s="214"/>
    </row>
    <row r="2622" spans="1:17">
      <c r="A2622" s="175"/>
      <c r="B2622" s="175"/>
      <c r="P2622" s="4"/>
      <c r="Q2622" s="214"/>
    </row>
    <row r="2623" spans="1:17">
      <c r="A2623" s="175"/>
      <c r="B2623" s="175"/>
      <c r="P2623" s="4"/>
      <c r="Q2623" s="214"/>
    </row>
    <row r="2624" spans="1:17">
      <c r="A2624" s="175"/>
      <c r="B2624" s="175"/>
      <c r="P2624" s="4"/>
      <c r="Q2624" s="214"/>
    </row>
    <row r="2625" spans="1:17">
      <c r="A2625" s="175"/>
      <c r="B2625" s="175"/>
      <c r="P2625" s="4"/>
      <c r="Q2625" s="214"/>
    </row>
    <row r="2626" spans="1:17">
      <c r="A2626" s="175"/>
      <c r="B2626" s="175"/>
      <c r="P2626" s="4"/>
      <c r="Q2626" s="214"/>
    </row>
    <row r="2627" spans="1:17">
      <c r="A2627" s="175"/>
      <c r="B2627" s="175"/>
      <c r="P2627" s="4"/>
      <c r="Q2627" s="214"/>
    </row>
    <row r="2628" spans="1:17">
      <c r="A2628" s="175"/>
      <c r="B2628" s="175"/>
      <c r="P2628" s="4"/>
      <c r="Q2628" s="214"/>
    </row>
    <row r="2629" spans="1:17">
      <c r="A2629" s="175"/>
      <c r="B2629" s="175"/>
      <c r="P2629" s="4"/>
      <c r="Q2629" s="214"/>
    </row>
    <row r="2630" spans="1:17">
      <c r="A2630" s="175"/>
      <c r="B2630" s="175"/>
      <c r="P2630" s="4"/>
      <c r="Q2630" s="214"/>
    </row>
    <row r="2631" spans="1:17">
      <c r="A2631" s="175"/>
      <c r="B2631" s="175"/>
      <c r="P2631" s="4"/>
      <c r="Q2631" s="214"/>
    </row>
    <row r="2632" spans="1:17">
      <c r="A2632" s="175"/>
      <c r="B2632" s="175"/>
      <c r="P2632" s="4"/>
      <c r="Q2632" s="214"/>
    </row>
    <row r="2633" spans="1:17">
      <c r="A2633" s="175"/>
      <c r="B2633" s="175"/>
      <c r="P2633" s="4"/>
      <c r="Q2633" s="214"/>
    </row>
    <row r="2634" spans="1:17">
      <c r="A2634" s="175"/>
      <c r="B2634" s="175"/>
      <c r="P2634" s="4"/>
      <c r="Q2634" s="214"/>
    </row>
    <row r="2635" spans="1:17">
      <c r="A2635" s="175"/>
      <c r="B2635" s="175"/>
      <c r="P2635" s="4"/>
      <c r="Q2635" s="214"/>
    </row>
    <row r="2636" spans="1:17">
      <c r="A2636" s="175"/>
      <c r="B2636" s="175"/>
      <c r="P2636" s="4"/>
      <c r="Q2636" s="214"/>
    </row>
    <row r="2637" spans="1:17">
      <c r="A2637" s="175"/>
      <c r="B2637" s="175"/>
      <c r="P2637" s="4"/>
      <c r="Q2637" s="214"/>
    </row>
    <row r="2638" spans="1:17">
      <c r="A2638" s="175"/>
      <c r="B2638" s="175"/>
      <c r="P2638" s="4"/>
      <c r="Q2638" s="214"/>
    </row>
    <row r="2639" spans="1:17">
      <c r="A2639" s="175"/>
      <c r="B2639" s="175"/>
      <c r="P2639" s="4"/>
      <c r="Q2639" s="214"/>
    </row>
    <row r="2640" spans="1:17">
      <c r="A2640" s="175"/>
      <c r="B2640" s="175"/>
      <c r="P2640" s="4"/>
      <c r="Q2640" s="214"/>
    </row>
    <row r="2641" spans="1:17">
      <c r="A2641" s="175"/>
      <c r="B2641" s="175"/>
      <c r="P2641" s="4"/>
      <c r="Q2641" s="214"/>
    </row>
    <row r="2642" spans="1:17">
      <c r="A2642" s="175"/>
      <c r="B2642" s="175"/>
      <c r="P2642" s="4"/>
      <c r="Q2642" s="214"/>
    </row>
    <row r="2643" spans="1:17">
      <c r="A2643" s="175"/>
      <c r="B2643" s="175"/>
      <c r="P2643" s="4"/>
      <c r="Q2643" s="214"/>
    </row>
    <row r="2644" spans="1:17">
      <c r="A2644" s="175"/>
      <c r="B2644" s="175"/>
      <c r="P2644" s="4"/>
      <c r="Q2644" s="214"/>
    </row>
    <row r="2645" spans="1:17">
      <c r="A2645" s="175"/>
      <c r="B2645" s="175"/>
      <c r="P2645" s="4"/>
      <c r="Q2645" s="214"/>
    </row>
    <row r="2646" spans="1:17">
      <c r="A2646" s="175"/>
      <c r="B2646" s="175"/>
      <c r="P2646" s="4"/>
      <c r="Q2646" s="214"/>
    </row>
    <row r="2647" spans="1:17">
      <c r="A2647" s="175"/>
      <c r="B2647" s="175"/>
      <c r="P2647" s="4"/>
      <c r="Q2647" s="214"/>
    </row>
    <row r="2648" spans="1:17">
      <c r="A2648" s="175"/>
      <c r="B2648" s="175"/>
      <c r="P2648" s="4"/>
      <c r="Q2648" s="214"/>
    </row>
    <row r="2649" spans="1:17">
      <c r="A2649" s="175"/>
      <c r="B2649" s="175"/>
      <c r="P2649" s="4"/>
      <c r="Q2649" s="214"/>
    </row>
    <row r="2650" spans="1:17">
      <c r="A2650" s="175"/>
      <c r="B2650" s="175"/>
      <c r="P2650" s="4"/>
      <c r="Q2650" s="214"/>
    </row>
    <row r="2651" spans="1:17">
      <c r="A2651" s="175"/>
      <c r="B2651" s="175"/>
      <c r="P2651" s="4"/>
      <c r="Q2651" s="214"/>
    </row>
    <row r="2652" spans="1:17">
      <c r="A2652" s="175"/>
      <c r="B2652" s="175"/>
      <c r="P2652" s="4"/>
      <c r="Q2652" s="214"/>
    </row>
    <row r="2653" spans="1:17">
      <c r="A2653" s="175"/>
      <c r="B2653" s="175"/>
      <c r="P2653" s="4"/>
      <c r="Q2653" s="214"/>
    </row>
    <row r="2654" spans="1:17">
      <c r="A2654" s="175"/>
      <c r="B2654" s="175"/>
      <c r="P2654" s="4"/>
      <c r="Q2654" s="214"/>
    </row>
    <row r="2655" spans="1:17">
      <c r="A2655" s="175"/>
      <c r="B2655" s="175"/>
      <c r="P2655" s="4"/>
      <c r="Q2655" s="214"/>
    </row>
    <row r="2656" spans="1:17">
      <c r="A2656" s="175"/>
      <c r="B2656" s="175"/>
      <c r="P2656" s="4"/>
      <c r="Q2656" s="214"/>
    </row>
    <row r="2657" spans="1:17">
      <c r="A2657" s="175"/>
      <c r="B2657" s="175"/>
      <c r="P2657" s="4"/>
      <c r="Q2657" s="214"/>
    </row>
    <row r="2658" spans="1:17">
      <c r="A2658" s="175"/>
      <c r="B2658" s="175"/>
      <c r="P2658" s="4"/>
      <c r="Q2658" s="214"/>
    </row>
    <row r="2659" spans="1:17">
      <c r="A2659" s="175"/>
      <c r="B2659" s="175"/>
      <c r="P2659" s="4"/>
      <c r="Q2659" s="214"/>
    </row>
    <row r="2660" spans="1:17">
      <c r="A2660" s="175"/>
      <c r="B2660" s="175"/>
      <c r="P2660" s="4"/>
      <c r="Q2660" s="214"/>
    </row>
    <row r="2661" spans="1:17">
      <c r="A2661" s="175"/>
      <c r="B2661" s="175"/>
      <c r="P2661" s="4"/>
      <c r="Q2661" s="214"/>
    </row>
    <row r="2662" spans="1:17">
      <c r="A2662" s="175"/>
      <c r="B2662" s="175"/>
      <c r="P2662" s="4"/>
      <c r="Q2662" s="214"/>
    </row>
    <row r="2663" spans="1:17">
      <c r="A2663" s="175"/>
      <c r="B2663" s="175"/>
      <c r="P2663" s="4"/>
      <c r="Q2663" s="214"/>
    </row>
    <row r="2664" spans="1:17">
      <c r="A2664" s="175"/>
      <c r="B2664" s="175"/>
      <c r="P2664" s="4"/>
      <c r="Q2664" s="214"/>
    </row>
    <row r="2665" spans="1:17">
      <c r="A2665" s="175"/>
      <c r="B2665" s="175"/>
      <c r="P2665" s="4"/>
      <c r="Q2665" s="214"/>
    </row>
    <row r="2666" spans="1:17">
      <c r="A2666" s="175"/>
      <c r="B2666" s="175"/>
      <c r="P2666" s="4"/>
      <c r="Q2666" s="214"/>
    </row>
    <row r="2667" spans="1:17">
      <c r="A2667" s="175"/>
      <c r="B2667" s="175"/>
      <c r="P2667" s="4"/>
      <c r="Q2667" s="214"/>
    </row>
    <row r="2668" spans="1:17">
      <c r="A2668" s="175"/>
      <c r="B2668" s="175"/>
      <c r="P2668" s="4"/>
      <c r="Q2668" s="214"/>
    </row>
    <row r="2669" spans="1:17">
      <c r="A2669" s="175"/>
      <c r="B2669" s="175"/>
      <c r="P2669" s="4"/>
      <c r="Q2669" s="214"/>
    </row>
    <row r="2670" spans="1:17">
      <c r="A2670" s="175"/>
      <c r="B2670" s="175"/>
      <c r="P2670" s="4"/>
      <c r="Q2670" s="214"/>
    </row>
    <row r="2671" spans="1:17">
      <c r="A2671" s="175"/>
      <c r="B2671" s="175"/>
      <c r="P2671" s="4"/>
      <c r="Q2671" s="214"/>
    </row>
    <row r="2672" spans="1:17">
      <c r="A2672" s="175"/>
      <c r="B2672" s="175"/>
      <c r="P2672" s="4"/>
      <c r="Q2672" s="214"/>
    </row>
    <row r="2673" spans="1:17">
      <c r="A2673" s="175"/>
      <c r="B2673" s="175"/>
      <c r="P2673" s="4"/>
      <c r="Q2673" s="214"/>
    </row>
    <row r="2674" spans="1:17">
      <c r="A2674" s="175"/>
      <c r="B2674" s="175"/>
      <c r="P2674" s="4"/>
      <c r="Q2674" s="214"/>
    </row>
    <row r="2675" spans="1:17">
      <c r="A2675" s="175"/>
      <c r="B2675" s="175"/>
      <c r="P2675" s="4"/>
      <c r="Q2675" s="214"/>
    </row>
    <row r="2676" spans="1:17">
      <c r="A2676" s="175"/>
      <c r="B2676" s="175"/>
      <c r="P2676" s="4"/>
      <c r="Q2676" s="214"/>
    </row>
    <row r="2677" spans="1:17">
      <c r="A2677" s="175"/>
      <c r="B2677" s="175"/>
      <c r="P2677" s="4"/>
      <c r="Q2677" s="214"/>
    </row>
    <row r="2678" spans="1:17">
      <c r="A2678" s="175"/>
      <c r="B2678" s="175"/>
      <c r="P2678" s="4"/>
      <c r="Q2678" s="214"/>
    </row>
    <row r="2679" spans="1:17">
      <c r="A2679" s="175"/>
      <c r="B2679" s="175"/>
      <c r="P2679" s="4"/>
      <c r="Q2679" s="214"/>
    </row>
    <row r="2680" spans="1:17">
      <c r="A2680" s="175"/>
      <c r="B2680" s="175"/>
      <c r="P2680" s="4"/>
      <c r="Q2680" s="214"/>
    </row>
    <row r="2681" spans="1:17">
      <c r="A2681" s="175"/>
      <c r="B2681" s="175"/>
      <c r="P2681" s="4"/>
      <c r="Q2681" s="214"/>
    </row>
    <row r="2682" spans="1:17">
      <c r="A2682" s="175"/>
      <c r="B2682" s="175"/>
      <c r="P2682" s="4"/>
      <c r="Q2682" s="214"/>
    </row>
    <row r="2683" spans="1:17">
      <c r="A2683" s="175"/>
      <c r="B2683" s="175"/>
      <c r="P2683" s="4"/>
      <c r="Q2683" s="214"/>
    </row>
    <row r="2684" spans="1:17">
      <c r="A2684" s="175"/>
      <c r="B2684" s="175"/>
      <c r="P2684" s="4"/>
      <c r="Q2684" s="214"/>
    </row>
    <row r="2685" spans="1:17">
      <c r="A2685" s="175"/>
      <c r="B2685" s="175"/>
      <c r="P2685" s="4"/>
      <c r="Q2685" s="214"/>
    </row>
    <row r="2686" spans="1:17">
      <c r="A2686" s="175"/>
      <c r="B2686" s="175"/>
      <c r="P2686" s="4"/>
      <c r="Q2686" s="214"/>
    </row>
    <row r="2687" spans="1:17">
      <c r="A2687" s="175"/>
      <c r="B2687" s="175"/>
      <c r="P2687" s="4"/>
      <c r="Q2687" s="214"/>
    </row>
    <row r="2688" spans="1:17">
      <c r="A2688" s="175"/>
      <c r="B2688" s="175"/>
      <c r="P2688" s="4"/>
      <c r="Q2688" s="214"/>
    </row>
    <row r="2689" spans="1:17">
      <c r="A2689" s="175"/>
      <c r="B2689" s="175"/>
      <c r="P2689" s="4"/>
      <c r="Q2689" s="214"/>
    </row>
    <row r="2690" spans="1:17">
      <c r="A2690" s="175"/>
      <c r="B2690" s="175"/>
      <c r="P2690" s="4"/>
      <c r="Q2690" s="214"/>
    </row>
    <row r="2691" spans="1:17">
      <c r="A2691" s="175"/>
      <c r="B2691" s="175"/>
      <c r="P2691" s="4"/>
      <c r="Q2691" s="214"/>
    </row>
    <row r="2692" spans="1:17">
      <c r="A2692" s="175"/>
      <c r="B2692" s="175"/>
      <c r="P2692" s="4"/>
      <c r="Q2692" s="214"/>
    </row>
    <row r="2693" spans="1:17">
      <c r="A2693" s="175"/>
      <c r="B2693" s="175"/>
      <c r="P2693" s="4"/>
      <c r="Q2693" s="214"/>
    </row>
    <row r="2694" spans="1:17">
      <c r="A2694" s="175"/>
      <c r="B2694" s="175"/>
      <c r="P2694" s="4"/>
      <c r="Q2694" s="214"/>
    </row>
    <row r="2695" spans="1:17">
      <c r="A2695" s="175"/>
      <c r="B2695" s="175"/>
      <c r="P2695" s="4"/>
      <c r="Q2695" s="214"/>
    </row>
    <row r="2696" spans="1:17">
      <c r="A2696" s="175"/>
      <c r="B2696" s="175"/>
      <c r="P2696" s="4"/>
      <c r="Q2696" s="214"/>
    </row>
    <row r="2697" spans="1:17">
      <c r="A2697" s="175"/>
      <c r="B2697" s="175"/>
      <c r="P2697" s="4"/>
      <c r="Q2697" s="214"/>
    </row>
    <row r="2698" spans="1:17">
      <c r="A2698" s="175"/>
      <c r="B2698" s="175"/>
      <c r="P2698" s="4"/>
      <c r="Q2698" s="214"/>
    </row>
    <row r="2699" spans="1:17">
      <c r="A2699" s="175"/>
      <c r="B2699" s="175"/>
      <c r="P2699" s="4"/>
      <c r="Q2699" s="214"/>
    </row>
    <row r="2700" spans="1:17">
      <c r="A2700" s="175"/>
      <c r="B2700" s="175"/>
      <c r="P2700" s="4"/>
      <c r="Q2700" s="214"/>
    </row>
    <row r="2701" spans="1:17">
      <c r="A2701" s="175"/>
      <c r="B2701" s="175"/>
      <c r="P2701" s="4"/>
      <c r="Q2701" s="214"/>
    </row>
    <row r="2702" spans="1:17">
      <c r="A2702" s="175"/>
      <c r="B2702" s="175"/>
      <c r="P2702" s="4"/>
      <c r="Q2702" s="214"/>
    </row>
    <row r="2703" spans="1:17">
      <c r="A2703" s="175"/>
      <c r="B2703" s="175"/>
      <c r="P2703" s="4"/>
      <c r="Q2703" s="214"/>
    </row>
    <row r="2704" spans="1:17">
      <c r="A2704" s="175"/>
      <c r="B2704" s="175"/>
      <c r="P2704" s="4"/>
      <c r="Q2704" s="214"/>
    </row>
    <row r="2705" spans="1:17">
      <c r="A2705" s="175"/>
      <c r="B2705" s="175"/>
      <c r="P2705" s="4"/>
      <c r="Q2705" s="214"/>
    </row>
    <row r="2706" spans="1:17">
      <c r="A2706" s="175"/>
      <c r="B2706" s="175"/>
      <c r="P2706" s="4"/>
      <c r="Q2706" s="214"/>
    </row>
    <row r="2707" spans="1:17">
      <c r="A2707" s="175"/>
      <c r="B2707" s="175"/>
      <c r="P2707" s="4"/>
      <c r="Q2707" s="214"/>
    </row>
    <row r="2708" spans="1:17">
      <c r="A2708" s="175"/>
      <c r="B2708" s="175"/>
      <c r="P2708" s="4"/>
      <c r="Q2708" s="214"/>
    </row>
    <row r="2709" spans="1:17">
      <c r="A2709" s="175"/>
      <c r="B2709" s="175"/>
      <c r="P2709" s="4"/>
      <c r="Q2709" s="214"/>
    </row>
    <row r="2710" spans="1:17">
      <c r="A2710" s="175"/>
      <c r="B2710" s="175"/>
      <c r="P2710" s="4"/>
      <c r="Q2710" s="214"/>
    </row>
    <row r="2711" spans="1:17">
      <c r="A2711" s="175"/>
      <c r="B2711" s="175"/>
      <c r="P2711" s="4"/>
      <c r="Q2711" s="214"/>
    </row>
    <row r="2712" spans="1:17">
      <c r="A2712" s="175"/>
      <c r="B2712" s="175"/>
      <c r="P2712" s="4"/>
      <c r="Q2712" s="214"/>
    </row>
    <row r="2713" spans="1:17">
      <c r="A2713" s="175"/>
      <c r="B2713" s="175"/>
      <c r="P2713" s="4"/>
      <c r="Q2713" s="214"/>
    </row>
    <row r="2714" spans="1:17">
      <c r="A2714" s="175"/>
      <c r="B2714" s="175"/>
      <c r="P2714" s="4"/>
      <c r="Q2714" s="214"/>
    </row>
    <row r="2715" spans="1:17">
      <c r="A2715" s="175"/>
      <c r="B2715" s="175"/>
      <c r="P2715" s="4"/>
      <c r="Q2715" s="214"/>
    </row>
    <row r="2716" spans="1:17">
      <c r="A2716" s="175"/>
      <c r="B2716" s="175"/>
      <c r="P2716" s="4"/>
      <c r="Q2716" s="214"/>
    </row>
    <row r="2717" spans="1:17">
      <c r="A2717" s="175"/>
      <c r="B2717" s="175"/>
      <c r="P2717" s="4"/>
      <c r="Q2717" s="214"/>
    </row>
    <row r="2718" spans="1:17">
      <c r="A2718" s="175"/>
      <c r="B2718" s="175"/>
      <c r="P2718" s="4"/>
      <c r="Q2718" s="214"/>
    </row>
    <row r="2719" spans="1:17">
      <c r="A2719" s="175"/>
      <c r="B2719" s="175"/>
      <c r="P2719" s="4"/>
      <c r="Q2719" s="214"/>
    </row>
    <row r="2720" spans="1:17">
      <c r="A2720" s="175"/>
      <c r="B2720" s="175"/>
      <c r="P2720" s="4"/>
      <c r="Q2720" s="214"/>
    </row>
    <row r="2721" spans="1:17">
      <c r="A2721" s="175"/>
      <c r="B2721" s="175"/>
      <c r="P2721" s="4"/>
      <c r="Q2721" s="214"/>
    </row>
    <row r="2722" spans="1:17">
      <c r="A2722" s="175"/>
      <c r="B2722" s="175"/>
      <c r="P2722" s="4"/>
      <c r="Q2722" s="214"/>
    </row>
    <row r="2723" spans="1:17">
      <c r="A2723" s="175"/>
      <c r="B2723" s="175"/>
      <c r="P2723" s="4"/>
      <c r="Q2723" s="214"/>
    </row>
    <row r="2724" spans="1:17">
      <c r="A2724" s="175"/>
      <c r="B2724" s="175"/>
      <c r="P2724" s="4"/>
      <c r="Q2724" s="214"/>
    </row>
    <row r="2725" spans="1:17">
      <c r="A2725" s="175"/>
      <c r="B2725" s="175"/>
      <c r="P2725" s="4"/>
      <c r="Q2725" s="214"/>
    </row>
    <row r="2726" spans="1:17">
      <c r="A2726" s="175"/>
      <c r="B2726" s="175"/>
      <c r="P2726" s="4"/>
      <c r="Q2726" s="214"/>
    </row>
    <row r="2727" spans="1:17">
      <c r="A2727" s="175"/>
      <c r="B2727" s="175"/>
      <c r="P2727" s="4"/>
      <c r="Q2727" s="214"/>
    </row>
    <row r="2728" spans="1:17">
      <c r="A2728" s="175"/>
      <c r="B2728" s="175"/>
      <c r="P2728" s="4"/>
      <c r="Q2728" s="214"/>
    </row>
    <row r="2729" spans="1:17">
      <c r="A2729" s="175"/>
      <c r="B2729" s="175"/>
      <c r="P2729" s="4"/>
      <c r="Q2729" s="214"/>
    </row>
    <row r="2730" spans="1:17">
      <c r="A2730" s="175"/>
      <c r="B2730" s="175"/>
      <c r="P2730" s="4"/>
      <c r="Q2730" s="214"/>
    </row>
    <row r="2731" spans="1:17">
      <c r="A2731" s="175"/>
      <c r="B2731" s="175"/>
      <c r="P2731" s="4"/>
      <c r="Q2731" s="214"/>
    </row>
    <row r="2732" spans="1:17">
      <c r="A2732" s="175"/>
      <c r="B2732" s="175"/>
      <c r="P2732" s="4"/>
      <c r="Q2732" s="214"/>
    </row>
    <row r="2733" spans="1:17">
      <c r="A2733" s="175"/>
      <c r="B2733" s="175"/>
      <c r="P2733" s="4"/>
      <c r="Q2733" s="214"/>
    </row>
    <row r="2734" spans="1:17">
      <c r="A2734" s="175"/>
      <c r="B2734" s="175"/>
      <c r="P2734" s="4"/>
      <c r="Q2734" s="214"/>
    </row>
    <row r="2735" spans="1:17">
      <c r="A2735" s="175"/>
      <c r="B2735" s="175"/>
      <c r="P2735" s="4"/>
      <c r="Q2735" s="214"/>
    </row>
    <row r="2736" spans="1:17">
      <c r="A2736" s="175"/>
      <c r="B2736" s="175"/>
      <c r="P2736" s="4"/>
      <c r="Q2736" s="214"/>
    </row>
    <row r="2737" spans="1:17">
      <c r="A2737" s="175"/>
      <c r="B2737" s="175"/>
      <c r="P2737" s="4"/>
      <c r="Q2737" s="214"/>
    </row>
    <row r="2738" spans="1:17">
      <c r="A2738" s="175"/>
      <c r="B2738" s="175"/>
      <c r="P2738" s="4"/>
      <c r="Q2738" s="214"/>
    </row>
    <row r="2739" spans="1:17">
      <c r="A2739" s="175"/>
      <c r="B2739" s="175"/>
      <c r="P2739" s="4"/>
      <c r="Q2739" s="214"/>
    </row>
    <row r="2740" spans="1:17">
      <c r="A2740" s="175"/>
      <c r="B2740" s="175"/>
      <c r="P2740" s="4"/>
      <c r="Q2740" s="214"/>
    </row>
    <row r="2741" spans="1:17">
      <c r="A2741" s="175"/>
      <c r="B2741" s="175"/>
      <c r="P2741" s="4"/>
      <c r="Q2741" s="214"/>
    </row>
    <row r="2742" spans="1:17">
      <c r="A2742" s="175"/>
      <c r="B2742" s="175"/>
      <c r="P2742" s="4"/>
      <c r="Q2742" s="214"/>
    </row>
    <row r="2743" spans="1:17">
      <c r="A2743" s="175"/>
      <c r="B2743" s="175"/>
      <c r="P2743" s="4"/>
      <c r="Q2743" s="214"/>
    </row>
    <row r="2744" spans="1:17">
      <c r="A2744" s="175"/>
      <c r="B2744" s="175"/>
      <c r="P2744" s="4"/>
      <c r="Q2744" s="214"/>
    </row>
    <row r="2745" spans="1:17">
      <c r="A2745" s="175"/>
      <c r="B2745" s="175"/>
      <c r="P2745" s="4"/>
      <c r="Q2745" s="214"/>
    </row>
    <row r="2746" spans="1:17">
      <c r="A2746" s="175"/>
      <c r="B2746" s="175"/>
      <c r="P2746" s="4"/>
      <c r="Q2746" s="214"/>
    </row>
    <row r="2747" spans="1:17">
      <c r="A2747" s="175"/>
      <c r="B2747" s="175"/>
      <c r="P2747" s="4"/>
      <c r="Q2747" s="214"/>
    </row>
    <row r="2748" spans="1:17">
      <c r="A2748" s="175"/>
      <c r="B2748" s="175"/>
      <c r="P2748" s="4"/>
      <c r="Q2748" s="214"/>
    </row>
    <row r="2749" spans="1:17">
      <c r="A2749" s="175"/>
      <c r="B2749" s="175"/>
      <c r="P2749" s="4"/>
      <c r="Q2749" s="214"/>
    </row>
    <row r="2750" spans="1:17">
      <c r="A2750" s="175"/>
      <c r="B2750" s="175"/>
      <c r="P2750" s="4"/>
      <c r="Q2750" s="214"/>
    </row>
    <row r="2751" spans="1:17">
      <c r="A2751" s="175"/>
      <c r="B2751" s="175"/>
      <c r="P2751" s="4"/>
      <c r="Q2751" s="214"/>
    </row>
    <row r="2752" spans="1:17">
      <c r="A2752" s="175"/>
      <c r="B2752" s="175"/>
      <c r="P2752" s="4"/>
      <c r="Q2752" s="214"/>
    </row>
    <row r="2753" spans="1:17">
      <c r="A2753" s="175"/>
      <c r="B2753" s="175"/>
      <c r="P2753" s="4"/>
      <c r="Q2753" s="214"/>
    </row>
    <row r="2754" spans="1:17">
      <c r="A2754" s="175"/>
      <c r="B2754" s="175"/>
      <c r="P2754" s="4"/>
      <c r="Q2754" s="214"/>
    </row>
    <row r="2755" spans="1:17">
      <c r="A2755" s="175"/>
      <c r="B2755" s="175"/>
      <c r="P2755" s="4"/>
      <c r="Q2755" s="214"/>
    </row>
    <row r="2756" spans="1:17">
      <c r="A2756" s="175"/>
      <c r="B2756" s="175"/>
      <c r="P2756" s="4"/>
      <c r="Q2756" s="214"/>
    </row>
    <row r="2757" spans="1:17">
      <c r="A2757" s="175"/>
      <c r="B2757" s="175"/>
      <c r="P2757" s="4"/>
      <c r="Q2757" s="214"/>
    </row>
    <row r="2758" spans="1:17">
      <c r="A2758" s="175"/>
      <c r="B2758" s="175"/>
      <c r="P2758" s="4"/>
      <c r="Q2758" s="214"/>
    </row>
    <row r="2759" spans="1:17">
      <c r="A2759" s="175"/>
      <c r="B2759" s="175"/>
      <c r="P2759" s="4"/>
      <c r="Q2759" s="214"/>
    </row>
    <row r="2760" spans="1:17">
      <c r="A2760" s="175"/>
      <c r="B2760" s="175"/>
      <c r="P2760" s="4"/>
      <c r="Q2760" s="214"/>
    </row>
    <row r="2761" spans="1:17">
      <c r="A2761" s="175"/>
      <c r="B2761" s="175"/>
      <c r="P2761" s="4"/>
      <c r="Q2761" s="214"/>
    </row>
    <row r="2762" spans="1:17">
      <c r="A2762" s="175"/>
      <c r="B2762" s="175"/>
      <c r="P2762" s="4"/>
      <c r="Q2762" s="214"/>
    </row>
    <row r="2763" spans="1:17">
      <c r="A2763" s="175"/>
      <c r="B2763" s="175"/>
      <c r="P2763" s="4"/>
      <c r="Q2763" s="214"/>
    </row>
    <row r="2764" spans="1:17">
      <c r="A2764" s="175"/>
      <c r="B2764" s="175"/>
      <c r="P2764" s="4"/>
      <c r="Q2764" s="214"/>
    </row>
    <row r="2765" spans="1:17">
      <c r="A2765" s="175"/>
      <c r="B2765" s="175"/>
      <c r="P2765" s="4"/>
      <c r="Q2765" s="214"/>
    </row>
    <row r="2766" spans="1:17">
      <c r="A2766" s="175"/>
      <c r="B2766" s="175"/>
      <c r="P2766" s="4"/>
      <c r="Q2766" s="214"/>
    </row>
    <row r="2767" spans="1:17">
      <c r="A2767" s="175"/>
      <c r="B2767" s="175"/>
      <c r="P2767" s="4"/>
      <c r="Q2767" s="214"/>
    </row>
    <row r="2768" spans="1:17">
      <c r="A2768" s="175"/>
      <c r="B2768" s="175"/>
      <c r="P2768" s="4"/>
      <c r="Q2768" s="214"/>
    </row>
    <row r="2769" spans="1:17">
      <c r="A2769" s="175"/>
      <c r="B2769" s="175"/>
      <c r="P2769" s="4"/>
      <c r="Q2769" s="214"/>
    </row>
    <row r="2770" spans="1:17">
      <c r="A2770" s="175"/>
      <c r="B2770" s="175"/>
      <c r="P2770" s="4"/>
      <c r="Q2770" s="214"/>
    </row>
    <row r="2771" spans="1:17">
      <c r="A2771" s="175"/>
      <c r="B2771" s="175"/>
      <c r="P2771" s="4"/>
      <c r="Q2771" s="214"/>
    </row>
    <row r="2772" spans="1:17">
      <c r="A2772" s="175"/>
      <c r="B2772" s="175"/>
      <c r="P2772" s="4"/>
      <c r="Q2772" s="214"/>
    </row>
    <row r="2773" spans="1:17">
      <c r="A2773" s="175"/>
      <c r="B2773" s="175"/>
      <c r="P2773" s="4"/>
      <c r="Q2773" s="214"/>
    </row>
    <row r="2774" spans="1:17">
      <c r="A2774" s="175"/>
      <c r="B2774" s="175"/>
      <c r="P2774" s="4"/>
      <c r="Q2774" s="214"/>
    </row>
    <row r="2775" spans="1:17">
      <c r="A2775" s="175"/>
      <c r="B2775" s="175"/>
      <c r="P2775" s="4"/>
      <c r="Q2775" s="214"/>
    </row>
    <row r="2776" spans="1:17">
      <c r="A2776" s="175"/>
      <c r="B2776" s="175"/>
      <c r="P2776" s="4"/>
      <c r="Q2776" s="214"/>
    </row>
    <row r="2777" spans="1:17">
      <c r="A2777" s="175"/>
      <c r="B2777" s="175"/>
      <c r="P2777" s="4"/>
      <c r="Q2777" s="214"/>
    </row>
    <row r="2778" spans="1:17">
      <c r="A2778" s="175"/>
      <c r="B2778" s="175"/>
      <c r="P2778" s="4"/>
      <c r="Q2778" s="214"/>
    </row>
    <row r="2779" spans="1:17">
      <c r="A2779" s="175"/>
      <c r="B2779" s="175"/>
      <c r="P2779" s="4"/>
      <c r="Q2779" s="214"/>
    </row>
    <row r="2780" spans="1:17">
      <c r="A2780" s="175"/>
      <c r="B2780" s="175"/>
      <c r="P2780" s="4"/>
      <c r="Q2780" s="214"/>
    </row>
    <row r="2781" spans="1:17">
      <c r="A2781" s="175"/>
      <c r="B2781" s="175"/>
      <c r="P2781" s="4"/>
      <c r="Q2781" s="214"/>
    </row>
    <row r="2782" spans="1:17">
      <c r="A2782" s="175"/>
      <c r="B2782" s="175"/>
      <c r="P2782" s="4"/>
      <c r="Q2782" s="214"/>
    </row>
    <row r="2783" spans="1:17">
      <c r="A2783" s="175"/>
      <c r="B2783" s="175"/>
      <c r="P2783" s="4"/>
      <c r="Q2783" s="214"/>
    </row>
    <row r="2784" spans="1:17">
      <c r="A2784" s="175"/>
      <c r="B2784" s="175"/>
      <c r="P2784" s="4"/>
      <c r="Q2784" s="214"/>
    </row>
    <row r="2785" spans="1:17">
      <c r="A2785" s="175"/>
      <c r="B2785" s="175"/>
      <c r="P2785" s="4"/>
      <c r="Q2785" s="214"/>
    </row>
    <row r="2786" spans="1:17">
      <c r="A2786" s="175"/>
      <c r="B2786" s="175"/>
      <c r="P2786" s="4"/>
      <c r="Q2786" s="214"/>
    </row>
    <row r="2787" spans="1:17">
      <c r="A2787" s="175"/>
      <c r="B2787" s="175"/>
      <c r="P2787" s="4"/>
      <c r="Q2787" s="214"/>
    </row>
    <row r="2788" spans="1:17">
      <c r="A2788" s="175"/>
      <c r="B2788" s="175"/>
      <c r="P2788" s="4"/>
      <c r="Q2788" s="214"/>
    </row>
    <row r="2789" spans="1:17">
      <c r="A2789" s="175"/>
      <c r="B2789" s="175"/>
      <c r="P2789" s="4"/>
      <c r="Q2789" s="214"/>
    </row>
    <row r="2790" spans="1:17">
      <c r="A2790" s="175"/>
      <c r="B2790" s="175"/>
      <c r="P2790" s="4"/>
      <c r="Q2790" s="214"/>
    </row>
    <row r="2791" spans="1:17">
      <c r="A2791" s="175"/>
      <c r="B2791" s="175"/>
      <c r="P2791" s="4"/>
      <c r="Q2791" s="214"/>
    </row>
    <row r="2792" spans="1:17">
      <c r="A2792" s="175"/>
      <c r="B2792" s="175"/>
      <c r="P2792" s="4"/>
      <c r="Q2792" s="214"/>
    </row>
    <row r="2793" spans="1:17">
      <c r="A2793" s="175"/>
      <c r="B2793" s="175"/>
      <c r="P2793" s="4"/>
      <c r="Q2793" s="214"/>
    </row>
    <row r="2794" spans="1:17">
      <c r="A2794" s="175"/>
      <c r="B2794" s="175"/>
      <c r="P2794" s="4"/>
      <c r="Q2794" s="214"/>
    </row>
    <row r="2795" spans="1:17">
      <c r="A2795" s="175"/>
      <c r="B2795" s="175"/>
      <c r="P2795" s="4"/>
      <c r="Q2795" s="214"/>
    </row>
    <row r="2796" spans="1:17">
      <c r="A2796" s="175"/>
      <c r="B2796" s="175"/>
      <c r="P2796" s="4"/>
      <c r="Q2796" s="214"/>
    </row>
    <row r="2797" spans="1:17">
      <c r="A2797" s="175"/>
      <c r="B2797" s="175"/>
      <c r="P2797" s="4"/>
      <c r="Q2797" s="214"/>
    </row>
    <row r="2798" spans="1:17">
      <c r="A2798" s="175"/>
      <c r="B2798" s="175"/>
      <c r="P2798" s="4"/>
      <c r="Q2798" s="214"/>
    </row>
    <row r="2799" spans="1:17">
      <c r="A2799" s="175"/>
      <c r="B2799" s="175"/>
      <c r="P2799" s="4"/>
      <c r="Q2799" s="214"/>
    </row>
    <row r="2800" spans="1:17">
      <c r="A2800" s="175"/>
      <c r="B2800" s="175"/>
      <c r="P2800" s="4"/>
      <c r="Q2800" s="214"/>
    </row>
    <row r="2801" spans="1:17">
      <c r="A2801" s="175"/>
      <c r="B2801" s="175"/>
      <c r="P2801" s="4"/>
      <c r="Q2801" s="214"/>
    </row>
    <row r="2802" spans="1:17">
      <c r="A2802" s="175"/>
      <c r="B2802" s="175"/>
      <c r="P2802" s="4"/>
      <c r="Q2802" s="214"/>
    </row>
    <row r="2803" spans="1:17">
      <c r="A2803" s="175"/>
      <c r="B2803" s="175"/>
      <c r="P2803" s="4"/>
      <c r="Q2803" s="214"/>
    </row>
    <row r="2804" spans="1:17">
      <c r="A2804" s="175"/>
      <c r="B2804" s="175"/>
      <c r="P2804" s="4"/>
      <c r="Q2804" s="214"/>
    </row>
    <row r="2805" spans="1:17">
      <c r="A2805" s="175"/>
      <c r="B2805" s="175"/>
      <c r="P2805" s="4"/>
      <c r="Q2805" s="214"/>
    </row>
    <row r="2806" spans="1:17">
      <c r="A2806" s="175"/>
      <c r="B2806" s="175"/>
      <c r="P2806" s="4"/>
      <c r="Q2806" s="214"/>
    </row>
    <row r="2807" spans="1:17">
      <c r="A2807" s="175"/>
      <c r="B2807" s="175"/>
      <c r="P2807" s="4"/>
      <c r="Q2807" s="214"/>
    </row>
    <row r="2808" spans="1:17">
      <c r="A2808" s="175"/>
      <c r="B2808" s="175"/>
      <c r="P2808" s="4"/>
      <c r="Q2808" s="214"/>
    </row>
    <row r="2809" spans="1:17">
      <c r="A2809" s="175"/>
      <c r="B2809" s="175"/>
      <c r="P2809" s="4"/>
      <c r="Q2809" s="214"/>
    </row>
    <row r="2810" spans="1:17">
      <c r="A2810" s="175"/>
      <c r="B2810" s="175"/>
      <c r="P2810" s="4"/>
      <c r="Q2810" s="214"/>
    </row>
    <row r="2811" spans="1:17">
      <c r="A2811" s="175"/>
      <c r="B2811" s="175"/>
      <c r="P2811" s="4"/>
      <c r="Q2811" s="214"/>
    </row>
    <row r="2812" spans="1:17">
      <c r="A2812" s="175"/>
      <c r="B2812" s="175"/>
      <c r="P2812" s="4"/>
      <c r="Q2812" s="214"/>
    </row>
    <row r="2813" spans="1:17">
      <c r="A2813" s="175"/>
      <c r="B2813" s="175"/>
      <c r="P2813" s="4"/>
      <c r="Q2813" s="214"/>
    </row>
    <row r="2814" spans="1:17">
      <c r="A2814" s="175"/>
      <c r="B2814" s="175"/>
      <c r="P2814" s="4"/>
      <c r="Q2814" s="214"/>
    </row>
    <row r="2815" spans="1:17">
      <c r="A2815" s="175"/>
      <c r="B2815" s="175"/>
      <c r="P2815" s="4"/>
      <c r="Q2815" s="214"/>
    </row>
    <row r="2816" spans="1:17">
      <c r="A2816" s="175"/>
      <c r="B2816" s="175"/>
      <c r="P2816" s="4"/>
      <c r="Q2816" s="214"/>
    </row>
    <row r="2817" spans="1:17">
      <c r="A2817" s="175"/>
      <c r="B2817" s="175"/>
      <c r="P2817" s="4"/>
      <c r="Q2817" s="214"/>
    </row>
    <row r="2818" spans="1:17">
      <c r="A2818" s="175"/>
      <c r="B2818" s="175"/>
      <c r="P2818" s="4"/>
      <c r="Q2818" s="214"/>
    </row>
    <row r="2819" spans="1:17">
      <c r="A2819" s="175"/>
      <c r="B2819" s="175"/>
      <c r="P2819" s="4"/>
      <c r="Q2819" s="214"/>
    </row>
    <row r="2820" spans="1:17">
      <c r="A2820" s="175"/>
      <c r="B2820" s="175"/>
      <c r="P2820" s="4"/>
      <c r="Q2820" s="214"/>
    </row>
    <row r="2821" spans="1:17">
      <c r="A2821" s="175"/>
      <c r="B2821" s="175"/>
      <c r="P2821" s="4"/>
      <c r="Q2821" s="214"/>
    </row>
    <row r="2822" spans="1:17">
      <c r="A2822" s="175"/>
      <c r="B2822" s="175"/>
      <c r="P2822" s="4"/>
      <c r="Q2822" s="214"/>
    </row>
    <row r="2823" spans="1:17">
      <c r="A2823" s="175"/>
      <c r="B2823" s="175"/>
      <c r="P2823" s="4"/>
      <c r="Q2823" s="214"/>
    </row>
    <row r="2824" spans="1:17">
      <c r="A2824" s="175"/>
      <c r="B2824" s="175"/>
      <c r="P2824" s="4"/>
      <c r="Q2824" s="214"/>
    </row>
    <row r="2825" spans="1:17">
      <c r="A2825" s="175"/>
      <c r="B2825" s="175"/>
      <c r="P2825" s="4"/>
      <c r="Q2825" s="214"/>
    </row>
    <row r="2826" spans="1:17">
      <c r="A2826" s="175"/>
      <c r="B2826" s="175"/>
      <c r="P2826" s="4"/>
      <c r="Q2826" s="214"/>
    </row>
    <row r="2827" spans="1:17">
      <c r="A2827" s="175"/>
      <c r="B2827" s="175"/>
      <c r="P2827" s="4"/>
      <c r="Q2827" s="214"/>
    </row>
    <row r="2828" spans="1:17">
      <c r="A2828" s="175"/>
      <c r="B2828" s="175"/>
      <c r="P2828" s="4"/>
      <c r="Q2828" s="214"/>
    </row>
    <row r="2829" spans="1:17">
      <c r="A2829" s="175"/>
      <c r="B2829" s="175"/>
      <c r="P2829" s="4"/>
      <c r="Q2829" s="214"/>
    </row>
    <row r="2830" spans="1:17">
      <c r="A2830" s="175"/>
      <c r="B2830" s="175"/>
      <c r="P2830" s="4"/>
      <c r="Q2830" s="214"/>
    </row>
    <row r="2831" spans="1:17">
      <c r="A2831" s="175"/>
      <c r="B2831" s="175"/>
      <c r="P2831" s="4"/>
      <c r="Q2831" s="214"/>
    </row>
    <row r="2832" spans="1:17">
      <c r="A2832" s="175"/>
      <c r="B2832" s="175"/>
      <c r="P2832" s="4"/>
      <c r="Q2832" s="214"/>
    </row>
    <row r="2833" spans="1:17">
      <c r="A2833" s="175"/>
      <c r="B2833" s="175"/>
      <c r="P2833" s="4"/>
      <c r="Q2833" s="214"/>
    </row>
    <row r="2834" spans="1:17">
      <c r="A2834" s="175"/>
      <c r="B2834" s="175"/>
      <c r="P2834" s="4"/>
      <c r="Q2834" s="214"/>
    </row>
    <row r="2835" spans="1:17">
      <c r="A2835" s="175"/>
      <c r="B2835" s="175"/>
      <c r="P2835" s="4"/>
      <c r="Q2835" s="214"/>
    </row>
    <row r="2836" spans="1:17">
      <c r="A2836" s="175"/>
      <c r="B2836" s="175"/>
      <c r="P2836" s="4"/>
      <c r="Q2836" s="214"/>
    </row>
    <row r="2837" spans="1:17">
      <c r="A2837" s="175"/>
      <c r="B2837" s="175"/>
      <c r="P2837" s="4"/>
      <c r="Q2837" s="214"/>
    </row>
    <row r="2838" spans="1:17">
      <c r="A2838" s="175"/>
      <c r="B2838" s="175"/>
      <c r="P2838" s="4"/>
      <c r="Q2838" s="214"/>
    </row>
    <row r="2839" spans="1:17">
      <c r="A2839" s="175"/>
      <c r="B2839" s="175"/>
      <c r="P2839" s="4"/>
      <c r="Q2839" s="214"/>
    </row>
    <row r="2840" spans="1:17">
      <c r="A2840" s="175"/>
      <c r="B2840" s="175"/>
      <c r="P2840" s="4"/>
      <c r="Q2840" s="214"/>
    </row>
    <row r="2841" spans="1:17">
      <c r="A2841" s="175"/>
      <c r="B2841" s="175"/>
      <c r="P2841" s="4"/>
      <c r="Q2841" s="214"/>
    </row>
    <row r="2842" spans="1:17">
      <c r="A2842" s="175"/>
      <c r="B2842" s="175"/>
      <c r="P2842" s="4"/>
      <c r="Q2842" s="214"/>
    </row>
    <row r="2843" spans="1:17">
      <c r="A2843" s="175"/>
      <c r="B2843" s="175"/>
      <c r="P2843" s="4"/>
      <c r="Q2843" s="214"/>
    </row>
    <row r="2844" spans="1:17">
      <c r="A2844" s="175"/>
      <c r="B2844" s="175"/>
      <c r="P2844" s="4"/>
      <c r="Q2844" s="214"/>
    </row>
    <row r="2845" spans="1:17">
      <c r="A2845" s="175"/>
      <c r="B2845" s="175"/>
      <c r="P2845" s="4"/>
      <c r="Q2845" s="214"/>
    </row>
    <row r="2846" spans="1:17">
      <c r="A2846" s="175"/>
      <c r="B2846" s="175"/>
      <c r="P2846" s="4"/>
      <c r="Q2846" s="214"/>
    </row>
    <row r="2847" spans="1:17">
      <c r="A2847" s="175"/>
      <c r="B2847" s="175"/>
      <c r="P2847" s="4"/>
      <c r="Q2847" s="214"/>
    </row>
    <row r="2848" spans="1:17">
      <c r="A2848" s="175"/>
      <c r="B2848" s="175"/>
      <c r="P2848" s="4"/>
      <c r="Q2848" s="214"/>
    </row>
    <row r="2849" spans="1:17">
      <c r="A2849" s="175"/>
      <c r="B2849" s="175"/>
      <c r="P2849" s="4"/>
      <c r="Q2849" s="214"/>
    </row>
    <row r="2850" spans="1:17">
      <c r="A2850" s="175"/>
      <c r="B2850" s="175"/>
      <c r="P2850" s="4"/>
      <c r="Q2850" s="214"/>
    </row>
    <row r="2851" spans="1:17">
      <c r="A2851" s="175"/>
      <c r="B2851" s="175"/>
      <c r="P2851" s="4"/>
      <c r="Q2851" s="214"/>
    </row>
    <row r="2852" spans="1:17">
      <c r="A2852" s="175"/>
      <c r="B2852" s="175"/>
      <c r="P2852" s="4"/>
      <c r="Q2852" s="214"/>
    </row>
    <row r="2853" spans="1:17">
      <c r="A2853" s="175"/>
      <c r="B2853" s="175"/>
      <c r="P2853" s="4"/>
      <c r="Q2853" s="214"/>
    </row>
    <row r="2854" spans="1:17">
      <c r="A2854" s="175"/>
      <c r="B2854" s="175"/>
      <c r="P2854" s="4"/>
      <c r="Q2854" s="214"/>
    </row>
    <row r="2855" spans="1:17">
      <c r="A2855" s="175"/>
      <c r="B2855" s="175"/>
      <c r="P2855" s="4"/>
      <c r="Q2855" s="214"/>
    </row>
    <row r="2856" spans="1:17">
      <c r="A2856" s="175"/>
      <c r="B2856" s="175"/>
      <c r="P2856" s="4"/>
      <c r="Q2856" s="214"/>
    </row>
    <row r="2857" spans="1:17">
      <c r="A2857" s="175"/>
      <c r="B2857" s="175"/>
      <c r="P2857" s="4"/>
      <c r="Q2857" s="214"/>
    </row>
    <row r="2858" spans="1:17">
      <c r="A2858" s="175"/>
      <c r="B2858" s="175"/>
      <c r="P2858" s="4"/>
      <c r="Q2858" s="214"/>
    </row>
    <row r="2859" spans="1:17">
      <c r="A2859" s="175"/>
      <c r="B2859" s="175"/>
      <c r="P2859" s="4"/>
      <c r="Q2859" s="214"/>
    </row>
    <row r="2860" spans="1:17">
      <c r="A2860" s="175"/>
      <c r="B2860" s="175"/>
      <c r="P2860" s="4"/>
      <c r="Q2860" s="214"/>
    </row>
    <row r="2861" spans="1:17">
      <c r="A2861" s="175"/>
      <c r="B2861" s="175"/>
      <c r="P2861" s="4"/>
      <c r="Q2861" s="214"/>
    </row>
    <row r="2862" spans="1:17">
      <c r="A2862" s="175"/>
      <c r="B2862" s="175"/>
      <c r="P2862" s="4"/>
      <c r="Q2862" s="214"/>
    </row>
    <row r="2863" spans="1:17">
      <c r="A2863" s="175"/>
      <c r="B2863" s="175"/>
      <c r="P2863" s="4"/>
      <c r="Q2863" s="214"/>
    </row>
    <row r="2864" spans="1:17">
      <c r="A2864" s="175"/>
      <c r="B2864" s="175"/>
      <c r="P2864" s="4"/>
      <c r="Q2864" s="214"/>
    </row>
    <row r="2865" spans="1:17">
      <c r="A2865" s="175"/>
      <c r="B2865" s="175"/>
      <c r="P2865" s="4"/>
      <c r="Q2865" s="214"/>
    </row>
    <row r="2866" spans="1:17">
      <c r="A2866" s="175"/>
      <c r="B2866" s="175"/>
      <c r="P2866" s="4"/>
      <c r="Q2866" s="214"/>
    </row>
    <row r="2867" spans="1:17">
      <c r="A2867" s="175"/>
      <c r="B2867" s="175"/>
      <c r="P2867" s="4"/>
      <c r="Q2867" s="214"/>
    </row>
    <row r="2868" spans="1:17">
      <c r="A2868" s="175"/>
      <c r="B2868" s="175"/>
      <c r="P2868" s="4"/>
      <c r="Q2868" s="214"/>
    </row>
    <row r="2869" spans="1:17">
      <c r="A2869" s="175"/>
      <c r="B2869" s="175"/>
      <c r="P2869" s="4"/>
      <c r="Q2869" s="214"/>
    </row>
    <row r="2870" spans="1:17">
      <c r="A2870" s="175"/>
      <c r="B2870" s="175"/>
      <c r="P2870" s="4"/>
      <c r="Q2870" s="214"/>
    </row>
    <row r="2871" spans="1:17">
      <c r="A2871" s="175"/>
      <c r="B2871" s="175"/>
      <c r="P2871" s="4"/>
      <c r="Q2871" s="214"/>
    </row>
    <row r="2872" spans="1:17">
      <c r="A2872" s="175"/>
      <c r="B2872" s="175"/>
      <c r="P2872" s="4"/>
      <c r="Q2872" s="214"/>
    </row>
    <row r="2873" spans="1:17">
      <c r="A2873" s="175"/>
      <c r="B2873" s="175"/>
      <c r="P2873" s="4"/>
      <c r="Q2873" s="214"/>
    </row>
    <row r="2874" spans="1:17">
      <c r="A2874" s="175"/>
      <c r="B2874" s="175"/>
      <c r="P2874" s="4"/>
      <c r="Q2874" s="214"/>
    </row>
    <row r="2875" spans="1:17">
      <c r="A2875" s="175"/>
      <c r="B2875" s="175"/>
      <c r="P2875" s="4"/>
      <c r="Q2875" s="214"/>
    </row>
    <row r="2876" spans="1:17">
      <c r="A2876" s="175"/>
      <c r="B2876" s="175"/>
      <c r="P2876" s="4"/>
      <c r="Q2876" s="214"/>
    </row>
    <row r="2877" spans="1:17">
      <c r="A2877" s="175"/>
      <c r="B2877" s="175"/>
      <c r="P2877" s="4"/>
      <c r="Q2877" s="214"/>
    </row>
    <row r="2878" spans="1:17">
      <c r="A2878" s="175"/>
      <c r="B2878" s="175"/>
      <c r="P2878" s="4"/>
      <c r="Q2878" s="214"/>
    </row>
    <row r="2879" spans="1:17">
      <c r="A2879" s="175"/>
      <c r="B2879" s="175"/>
      <c r="P2879" s="4"/>
      <c r="Q2879" s="214"/>
    </row>
    <row r="2880" spans="1:17">
      <c r="A2880" s="175"/>
      <c r="B2880" s="175"/>
      <c r="P2880" s="4"/>
      <c r="Q2880" s="214"/>
    </row>
    <row r="2881" spans="1:17">
      <c r="A2881" s="175"/>
      <c r="B2881" s="175"/>
      <c r="P2881" s="4"/>
      <c r="Q2881" s="214"/>
    </row>
    <row r="2882" spans="1:17">
      <c r="A2882" s="175"/>
      <c r="B2882" s="175"/>
      <c r="P2882" s="4"/>
      <c r="Q2882" s="214"/>
    </row>
    <row r="2883" spans="1:17">
      <c r="A2883" s="175"/>
      <c r="B2883" s="175"/>
      <c r="P2883" s="4"/>
      <c r="Q2883" s="214"/>
    </row>
    <row r="2884" spans="1:17">
      <c r="A2884" s="175"/>
      <c r="B2884" s="175"/>
      <c r="P2884" s="4"/>
      <c r="Q2884" s="214"/>
    </row>
    <row r="2885" spans="1:17">
      <c r="A2885" s="175"/>
      <c r="B2885" s="175"/>
      <c r="P2885" s="4"/>
      <c r="Q2885" s="214"/>
    </row>
    <row r="2886" spans="1:17">
      <c r="A2886" s="175"/>
      <c r="B2886" s="175"/>
      <c r="P2886" s="4"/>
      <c r="Q2886" s="214"/>
    </row>
    <row r="2887" spans="1:17">
      <c r="A2887" s="175"/>
      <c r="B2887" s="175"/>
      <c r="P2887" s="4"/>
      <c r="Q2887" s="214"/>
    </row>
    <row r="2888" spans="1:17">
      <c r="A2888" s="175"/>
      <c r="B2888" s="175"/>
      <c r="P2888" s="4"/>
      <c r="Q2888" s="214"/>
    </row>
    <row r="2889" spans="1:17">
      <c r="A2889" s="175"/>
      <c r="B2889" s="175"/>
      <c r="P2889" s="4"/>
      <c r="Q2889" s="214"/>
    </row>
    <row r="2890" spans="1:17">
      <c r="A2890" s="175"/>
      <c r="B2890" s="175"/>
      <c r="P2890" s="4"/>
      <c r="Q2890" s="214"/>
    </row>
    <row r="2891" spans="1:17">
      <c r="A2891" s="175"/>
      <c r="B2891" s="175"/>
      <c r="P2891" s="4"/>
      <c r="Q2891" s="214"/>
    </row>
    <row r="2892" spans="1:17">
      <c r="A2892" s="175"/>
      <c r="B2892" s="175"/>
      <c r="P2892" s="4"/>
      <c r="Q2892" s="214"/>
    </row>
    <row r="2893" spans="1:17">
      <c r="A2893" s="175"/>
      <c r="B2893" s="175"/>
      <c r="P2893" s="4"/>
      <c r="Q2893" s="214"/>
    </row>
    <row r="2894" spans="1:17">
      <c r="A2894" s="175"/>
      <c r="B2894" s="175"/>
      <c r="P2894" s="4"/>
      <c r="Q2894" s="214"/>
    </row>
    <row r="2895" spans="1:17">
      <c r="A2895" s="175"/>
      <c r="B2895" s="175"/>
      <c r="P2895" s="4"/>
      <c r="Q2895" s="214"/>
    </row>
    <row r="2896" spans="1:17">
      <c r="A2896" s="175"/>
      <c r="B2896" s="175"/>
      <c r="P2896" s="4"/>
      <c r="Q2896" s="214"/>
    </row>
    <row r="2897" spans="1:17">
      <c r="A2897" s="175"/>
      <c r="B2897" s="175"/>
      <c r="P2897" s="4"/>
      <c r="Q2897" s="214"/>
    </row>
    <row r="2898" spans="1:17">
      <c r="A2898" s="175"/>
      <c r="B2898" s="175"/>
      <c r="P2898" s="4"/>
      <c r="Q2898" s="214"/>
    </row>
    <row r="2899" spans="1:17">
      <c r="A2899" s="175"/>
      <c r="B2899" s="175"/>
      <c r="P2899" s="4"/>
      <c r="Q2899" s="214"/>
    </row>
    <row r="2900" spans="1:17">
      <c r="A2900" s="175"/>
      <c r="B2900" s="175"/>
      <c r="P2900" s="4"/>
      <c r="Q2900" s="214"/>
    </row>
    <row r="2901" spans="1:17">
      <c r="A2901" s="175"/>
      <c r="B2901" s="175"/>
      <c r="P2901" s="4"/>
      <c r="Q2901" s="214"/>
    </row>
    <row r="2902" spans="1:17">
      <c r="A2902" s="175"/>
      <c r="B2902" s="175"/>
      <c r="P2902" s="4"/>
      <c r="Q2902" s="214"/>
    </row>
    <row r="2903" spans="1:17">
      <c r="A2903" s="175"/>
      <c r="B2903" s="175"/>
      <c r="P2903" s="4"/>
      <c r="Q2903" s="214"/>
    </row>
    <row r="2904" spans="1:17">
      <c r="A2904" s="175"/>
      <c r="B2904" s="175"/>
      <c r="P2904" s="4"/>
      <c r="Q2904" s="214"/>
    </row>
    <row r="2905" spans="1:17">
      <c r="A2905" s="175"/>
      <c r="B2905" s="175"/>
      <c r="P2905" s="4"/>
      <c r="Q2905" s="214"/>
    </row>
    <row r="2906" spans="1:17">
      <c r="A2906" s="175"/>
      <c r="B2906" s="175"/>
      <c r="P2906" s="4"/>
      <c r="Q2906" s="214"/>
    </row>
    <row r="2907" spans="1:17">
      <c r="A2907" s="175"/>
      <c r="B2907" s="175"/>
      <c r="P2907" s="4"/>
      <c r="Q2907" s="214"/>
    </row>
    <row r="2908" spans="1:17">
      <c r="A2908" s="175"/>
      <c r="B2908" s="175"/>
      <c r="P2908" s="4"/>
      <c r="Q2908" s="214"/>
    </row>
    <row r="2909" spans="1:17">
      <c r="A2909" s="175"/>
      <c r="B2909" s="175"/>
      <c r="P2909" s="4"/>
      <c r="Q2909" s="214"/>
    </row>
    <row r="2910" spans="1:17">
      <c r="A2910" s="175"/>
      <c r="B2910" s="175"/>
      <c r="P2910" s="4"/>
      <c r="Q2910" s="214"/>
    </row>
    <row r="2911" spans="1:17">
      <c r="A2911" s="175"/>
      <c r="B2911" s="175"/>
      <c r="P2911" s="4"/>
      <c r="Q2911" s="214"/>
    </row>
    <row r="2912" spans="1:17">
      <c r="A2912" s="175"/>
      <c r="B2912" s="175"/>
      <c r="P2912" s="4"/>
      <c r="Q2912" s="214"/>
    </row>
    <row r="2913" spans="1:17">
      <c r="A2913" s="175"/>
      <c r="B2913" s="175"/>
      <c r="P2913" s="4"/>
      <c r="Q2913" s="214"/>
    </row>
    <row r="2914" spans="1:17">
      <c r="A2914" s="175"/>
      <c r="B2914" s="175"/>
      <c r="P2914" s="4"/>
      <c r="Q2914" s="214"/>
    </row>
    <row r="2915" spans="1:17">
      <c r="A2915" s="175"/>
      <c r="B2915" s="175"/>
      <c r="P2915" s="4"/>
      <c r="Q2915" s="214"/>
    </row>
    <row r="2916" spans="1:17">
      <c r="A2916" s="175"/>
      <c r="B2916" s="175"/>
      <c r="P2916" s="4"/>
      <c r="Q2916" s="214"/>
    </row>
    <row r="2917" spans="1:17">
      <c r="A2917" s="175"/>
      <c r="B2917" s="175"/>
      <c r="P2917" s="4"/>
      <c r="Q2917" s="214"/>
    </row>
    <row r="2918" spans="1:17">
      <c r="A2918" s="175"/>
      <c r="B2918" s="175"/>
      <c r="P2918" s="4"/>
      <c r="Q2918" s="214"/>
    </row>
    <row r="2919" spans="1:17">
      <c r="A2919" s="175"/>
      <c r="B2919" s="175"/>
      <c r="P2919" s="4"/>
      <c r="Q2919" s="214"/>
    </row>
    <row r="2920" spans="1:17">
      <c r="A2920" s="175"/>
      <c r="B2920" s="175"/>
      <c r="P2920" s="4"/>
      <c r="Q2920" s="214"/>
    </row>
    <row r="2921" spans="1:17">
      <c r="A2921" s="175"/>
      <c r="B2921" s="175"/>
      <c r="P2921" s="4"/>
      <c r="Q2921" s="214"/>
    </row>
    <row r="2922" spans="1:17">
      <c r="A2922" s="175"/>
      <c r="B2922" s="175"/>
      <c r="P2922" s="4"/>
      <c r="Q2922" s="214"/>
    </row>
    <row r="2923" spans="1:17">
      <c r="A2923" s="175"/>
      <c r="B2923" s="175"/>
      <c r="P2923" s="4"/>
      <c r="Q2923" s="214"/>
    </row>
    <row r="2924" spans="1:17">
      <c r="A2924" s="175"/>
      <c r="B2924" s="175"/>
      <c r="P2924" s="4"/>
      <c r="Q2924" s="214"/>
    </row>
    <row r="2925" spans="1:17">
      <c r="A2925" s="175"/>
      <c r="B2925" s="175"/>
      <c r="P2925" s="4"/>
      <c r="Q2925" s="214"/>
    </row>
    <row r="2926" spans="1:17">
      <c r="A2926" s="175"/>
      <c r="B2926" s="175"/>
      <c r="P2926" s="4"/>
      <c r="Q2926" s="214"/>
    </row>
    <row r="2927" spans="1:17">
      <c r="A2927" s="175"/>
      <c r="B2927" s="175"/>
      <c r="P2927" s="4"/>
      <c r="Q2927" s="214"/>
    </row>
    <row r="2928" spans="1:17">
      <c r="A2928" s="175"/>
      <c r="B2928" s="175"/>
      <c r="P2928" s="4"/>
      <c r="Q2928" s="214"/>
    </row>
    <row r="2929" spans="1:17">
      <c r="A2929" s="175"/>
      <c r="B2929" s="175"/>
      <c r="P2929" s="4"/>
      <c r="Q2929" s="214"/>
    </row>
    <row r="2930" spans="1:17">
      <c r="A2930" s="175"/>
      <c r="B2930" s="175"/>
      <c r="P2930" s="4"/>
      <c r="Q2930" s="214"/>
    </row>
    <row r="2931" spans="1:17">
      <c r="A2931" s="175"/>
      <c r="B2931" s="175"/>
      <c r="P2931" s="4"/>
      <c r="Q2931" s="214"/>
    </row>
    <row r="2932" spans="1:17">
      <c r="A2932" s="175"/>
      <c r="B2932" s="175"/>
      <c r="P2932" s="4"/>
      <c r="Q2932" s="214"/>
    </row>
    <row r="2933" spans="1:17">
      <c r="A2933" s="175"/>
      <c r="B2933" s="175"/>
      <c r="P2933" s="4"/>
      <c r="Q2933" s="214"/>
    </row>
    <row r="2934" spans="1:17">
      <c r="A2934" s="175"/>
      <c r="B2934" s="175"/>
      <c r="P2934" s="4"/>
      <c r="Q2934" s="214"/>
    </row>
    <row r="2935" spans="1:17">
      <c r="A2935" s="175"/>
      <c r="B2935" s="175"/>
      <c r="P2935" s="4"/>
      <c r="Q2935" s="214"/>
    </row>
    <row r="2936" spans="1:17">
      <c r="A2936" s="175"/>
      <c r="B2936" s="175"/>
      <c r="P2936" s="4"/>
      <c r="Q2936" s="214"/>
    </row>
    <row r="2937" spans="1:17">
      <c r="A2937" s="175"/>
      <c r="B2937" s="175"/>
      <c r="P2937" s="4"/>
      <c r="Q2937" s="214"/>
    </row>
    <row r="2938" spans="1:17">
      <c r="A2938" s="175"/>
      <c r="B2938" s="175"/>
      <c r="P2938" s="4"/>
      <c r="Q2938" s="214"/>
    </row>
    <row r="2939" spans="1:17">
      <c r="A2939" s="175"/>
      <c r="B2939" s="175"/>
      <c r="P2939" s="4"/>
      <c r="Q2939" s="214"/>
    </row>
    <row r="2940" spans="1:17">
      <c r="A2940" s="175"/>
      <c r="B2940" s="175"/>
      <c r="P2940" s="4"/>
      <c r="Q2940" s="214"/>
    </row>
    <row r="2941" spans="1:17">
      <c r="A2941" s="175"/>
      <c r="B2941" s="175"/>
      <c r="P2941" s="4"/>
      <c r="Q2941" s="214"/>
    </row>
    <row r="2942" spans="1:17">
      <c r="A2942" s="175"/>
      <c r="B2942" s="175"/>
      <c r="P2942" s="4"/>
      <c r="Q2942" s="214"/>
    </row>
    <row r="2943" spans="1:17">
      <c r="A2943" s="175"/>
      <c r="B2943" s="175"/>
      <c r="P2943" s="4"/>
      <c r="Q2943" s="214"/>
    </row>
    <row r="2944" spans="1:17">
      <c r="A2944" s="175"/>
      <c r="B2944" s="175"/>
      <c r="P2944" s="4"/>
      <c r="Q2944" s="214"/>
    </row>
    <row r="2945" spans="1:17">
      <c r="A2945" s="175"/>
      <c r="B2945" s="175"/>
      <c r="P2945" s="4"/>
      <c r="Q2945" s="214"/>
    </row>
    <row r="2946" spans="1:17">
      <c r="A2946" s="175"/>
      <c r="B2946" s="175"/>
      <c r="P2946" s="4"/>
      <c r="Q2946" s="214"/>
    </row>
    <row r="2947" spans="1:17">
      <c r="A2947" s="175"/>
      <c r="B2947" s="175"/>
      <c r="P2947" s="4"/>
      <c r="Q2947" s="214"/>
    </row>
    <row r="2948" spans="1:17">
      <c r="A2948" s="175"/>
      <c r="B2948" s="175"/>
      <c r="P2948" s="4"/>
      <c r="Q2948" s="214"/>
    </row>
    <row r="2949" spans="1:17">
      <c r="A2949" s="175"/>
      <c r="B2949" s="175"/>
      <c r="P2949" s="4"/>
      <c r="Q2949" s="214"/>
    </row>
    <row r="2950" spans="1:17">
      <c r="A2950" s="175"/>
      <c r="B2950" s="175"/>
      <c r="P2950" s="4"/>
      <c r="Q2950" s="214"/>
    </row>
    <row r="2951" spans="1:17">
      <c r="A2951" s="175"/>
      <c r="B2951" s="175"/>
      <c r="P2951" s="4"/>
      <c r="Q2951" s="214"/>
    </row>
    <row r="2952" spans="1:17">
      <c r="A2952" s="175"/>
      <c r="B2952" s="175"/>
      <c r="P2952" s="4"/>
      <c r="Q2952" s="214"/>
    </row>
    <row r="2953" spans="1:17">
      <c r="A2953" s="175"/>
      <c r="B2953" s="175"/>
      <c r="P2953" s="4"/>
      <c r="Q2953" s="214"/>
    </row>
    <row r="2954" spans="1:17">
      <c r="A2954" s="175"/>
      <c r="B2954" s="175"/>
      <c r="P2954" s="4"/>
      <c r="Q2954" s="214"/>
    </row>
    <row r="2955" spans="1:17">
      <c r="A2955" s="175"/>
      <c r="B2955" s="175"/>
      <c r="P2955" s="4"/>
      <c r="Q2955" s="214"/>
    </row>
    <row r="2956" spans="1:17">
      <c r="A2956" s="175"/>
      <c r="B2956" s="175"/>
      <c r="P2956" s="4"/>
      <c r="Q2956" s="214"/>
    </row>
    <row r="2957" spans="1:17">
      <c r="A2957" s="175"/>
      <c r="B2957" s="175"/>
      <c r="P2957" s="4"/>
      <c r="Q2957" s="214"/>
    </row>
    <row r="2958" spans="1:17">
      <c r="A2958" s="175"/>
      <c r="B2958" s="175"/>
      <c r="P2958" s="4"/>
      <c r="Q2958" s="214"/>
    </row>
    <row r="2959" spans="1:17">
      <c r="A2959" s="175"/>
      <c r="B2959" s="175"/>
      <c r="P2959" s="4"/>
      <c r="Q2959" s="214"/>
    </row>
    <row r="2960" spans="1:17">
      <c r="A2960" s="175"/>
      <c r="B2960" s="175"/>
      <c r="P2960" s="4"/>
      <c r="Q2960" s="214"/>
    </row>
    <row r="2961" spans="1:17">
      <c r="A2961" s="175"/>
      <c r="B2961" s="175"/>
      <c r="P2961" s="4"/>
      <c r="Q2961" s="214"/>
    </row>
    <row r="2962" spans="1:17">
      <c r="A2962" s="175"/>
      <c r="B2962" s="175"/>
      <c r="P2962" s="4"/>
      <c r="Q2962" s="214"/>
    </row>
    <row r="2963" spans="1:17">
      <c r="A2963" s="175"/>
      <c r="B2963" s="175"/>
      <c r="P2963" s="4"/>
      <c r="Q2963" s="214"/>
    </row>
    <row r="2964" spans="1:17">
      <c r="A2964" s="175"/>
      <c r="B2964" s="175"/>
      <c r="P2964" s="4"/>
      <c r="Q2964" s="214"/>
    </row>
    <row r="2965" spans="1:17">
      <c r="A2965" s="175"/>
      <c r="B2965" s="175"/>
      <c r="P2965" s="4"/>
      <c r="Q2965" s="214"/>
    </row>
    <row r="2966" spans="1:17">
      <c r="A2966" s="175"/>
      <c r="B2966" s="175"/>
      <c r="P2966" s="4"/>
      <c r="Q2966" s="214"/>
    </row>
    <row r="2967" spans="1:17">
      <c r="A2967" s="175"/>
      <c r="B2967" s="175"/>
      <c r="P2967" s="4"/>
      <c r="Q2967" s="214"/>
    </row>
    <row r="2968" spans="1:17">
      <c r="A2968" s="175"/>
      <c r="B2968" s="175"/>
      <c r="P2968" s="4"/>
      <c r="Q2968" s="214"/>
    </row>
    <row r="2969" spans="1:17">
      <c r="A2969" s="175"/>
      <c r="B2969" s="175"/>
      <c r="P2969" s="4"/>
      <c r="Q2969" s="214"/>
    </row>
    <row r="2970" spans="1:17">
      <c r="A2970" s="175"/>
      <c r="B2970" s="175"/>
      <c r="P2970" s="4"/>
      <c r="Q2970" s="214"/>
    </row>
    <row r="2971" spans="1:17">
      <c r="A2971" s="175"/>
      <c r="B2971" s="175"/>
      <c r="P2971" s="4"/>
      <c r="Q2971" s="214"/>
    </row>
    <row r="2972" spans="1:17">
      <c r="A2972" s="175"/>
      <c r="B2972" s="175"/>
      <c r="P2972" s="4"/>
      <c r="Q2972" s="214"/>
    </row>
    <row r="2973" spans="1:17">
      <c r="A2973" s="175"/>
      <c r="B2973" s="175"/>
      <c r="P2973" s="4"/>
      <c r="Q2973" s="214"/>
    </row>
    <row r="2974" spans="1:17">
      <c r="A2974" s="175"/>
      <c r="B2974" s="175"/>
      <c r="P2974" s="4"/>
      <c r="Q2974" s="214"/>
    </row>
    <row r="2975" spans="1:17">
      <c r="A2975" s="175"/>
      <c r="B2975" s="175"/>
      <c r="P2975" s="4"/>
      <c r="Q2975" s="214"/>
    </row>
    <row r="2976" spans="1:17">
      <c r="A2976" s="175"/>
      <c r="B2976" s="175"/>
      <c r="P2976" s="4"/>
      <c r="Q2976" s="214"/>
    </row>
    <row r="2977" spans="1:17">
      <c r="A2977" s="175"/>
      <c r="B2977" s="175"/>
      <c r="P2977" s="4"/>
      <c r="Q2977" s="214"/>
    </row>
    <row r="2978" spans="1:17">
      <c r="A2978" s="175"/>
      <c r="B2978" s="175"/>
      <c r="P2978" s="4"/>
      <c r="Q2978" s="214"/>
    </row>
    <row r="2979" spans="1:17">
      <c r="A2979" s="175"/>
      <c r="B2979" s="175"/>
      <c r="P2979" s="4"/>
      <c r="Q2979" s="214"/>
    </row>
    <row r="2980" spans="1:17">
      <c r="A2980" s="175"/>
      <c r="B2980" s="175"/>
      <c r="P2980" s="4"/>
      <c r="Q2980" s="214"/>
    </row>
    <row r="2981" spans="1:17">
      <c r="A2981" s="175"/>
      <c r="B2981" s="175"/>
      <c r="P2981" s="4"/>
      <c r="Q2981" s="214"/>
    </row>
    <row r="2982" spans="1:17">
      <c r="A2982" s="175"/>
      <c r="B2982" s="175"/>
      <c r="P2982" s="4"/>
      <c r="Q2982" s="214"/>
    </row>
    <row r="2983" spans="1:17">
      <c r="A2983" s="175"/>
      <c r="B2983" s="175"/>
      <c r="P2983" s="4"/>
      <c r="Q2983" s="214"/>
    </row>
    <row r="2984" spans="1:17">
      <c r="A2984" s="175"/>
      <c r="B2984" s="175"/>
      <c r="P2984" s="4"/>
      <c r="Q2984" s="214"/>
    </row>
    <row r="2985" spans="1:17">
      <c r="A2985" s="175"/>
      <c r="B2985" s="175"/>
      <c r="P2985" s="4"/>
      <c r="Q2985" s="214"/>
    </row>
    <row r="2986" spans="1:17">
      <c r="A2986" s="175"/>
      <c r="B2986" s="175"/>
      <c r="P2986" s="4"/>
      <c r="Q2986" s="214"/>
    </row>
    <row r="2987" spans="1:17">
      <c r="A2987" s="175"/>
      <c r="B2987" s="175"/>
      <c r="P2987" s="4"/>
      <c r="Q2987" s="214"/>
    </row>
    <row r="2988" spans="1:17">
      <c r="A2988" s="175"/>
      <c r="B2988" s="175"/>
      <c r="P2988" s="4"/>
      <c r="Q2988" s="214"/>
    </row>
    <row r="2989" spans="1:17">
      <c r="A2989" s="175"/>
      <c r="B2989" s="175"/>
      <c r="P2989" s="4"/>
      <c r="Q2989" s="214"/>
    </row>
    <row r="2990" spans="1:17">
      <c r="A2990" s="175"/>
      <c r="B2990" s="175"/>
      <c r="P2990" s="4"/>
      <c r="Q2990" s="214"/>
    </row>
    <row r="2991" spans="1:17">
      <c r="A2991" s="175"/>
      <c r="B2991" s="175"/>
      <c r="P2991" s="4"/>
      <c r="Q2991" s="214"/>
    </row>
    <row r="2992" spans="1:17">
      <c r="A2992" s="175"/>
      <c r="B2992" s="175"/>
      <c r="P2992" s="4"/>
      <c r="Q2992" s="214"/>
    </row>
    <row r="2993" spans="1:17">
      <c r="A2993" s="175"/>
      <c r="B2993" s="175"/>
      <c r="P2993" s="4"/>
      <c r="Q2993" s="214"/>
    </row>
    <row r="2994" spans="1:17">
      <c r="A2994" s="175"/>
      <c r="B2994" s="175"/>
      <c r="P2994" s="4"/>
      <c r="Q2994" s="214"/>
    </row>
    <row r="2995" spans="1:17">
      <c r="A2995" s="175"/>
      <c r="B2995" s="175"/>
      <c r="P2995" s="4"/>
      <c r="Q2995" s="214"/>
    </row>
    <row r="2996" spans="1:17">
      <c r="A2996" s="175"/>
      <c r="B2996" s="175"/>
      <c r="P2996" s="4"/>
      <c r="Q2996" s="214"/>
    </row>
    <row r="2997" spans="1:17">
      <c r="A2997" s="175"/>
      <c r="B2997" s="175"/>
      <c r="P2997" s="4"/>
      <c r="Q2997" s="214"/>
    </row>
    <row r="2998" spans="1:17">
      <c r="A2998" s="175"/>
      <c r="B2998" s="175"/>
      <c r="P2998" s="4"/>
      <c r="Q2998" s="214"/>
    </row>
    <row r="2999" spans="1:17">
      <c r="A2999" s="175"/>
      <c r="B2999" s="175"/>
      <c r="P2999" s="4"/>
      <c r="Q2999" s="214"/>
    </row>
    <row r="3000" spans="1:17">
      <c r="A3000" s="175"/>
      <c r="B3000" s="175"/>
      <c r="P3000" s="4"/>
      <c r="Q3000" s="214"/>
    </row>
    <row r="3001" spans="1:17">
      <c r="A3001" s="175"/>
      <c r="B3001" s="175"/>
      <c r="P3001" s="4"/>
      <c r="Q3001" s="214"/>
    </row>
    <row r="3002" spans="1:17">
      <c r="A3002" s="175"/>
      <c r="B3002" s="175"/>
      <c r="P3002" s="4"/>
      <c r="Q3002" s="214"/>
    </row>
    <row r="3003" spans="1:17">
      <c r="A3003" s="175"/>
      <c r="B3003" s="175"/>
      <c r="P3003" s="4"/>
      <c r="Q3003" s="214"/>
    </row>
    <row r="3004" spans="1:17">
      <c r="A3004" s="175"/>
      <c r="B3004" s="175"/>
      <c r="P3004" s="4"/>
      <c r="Q3004" s="214"/>
    </row>
    <row r="3005" spans="1:17">
      <c r="A3005" s="175"/>
      <c r="B3005" s="175"/>
      <c r="P3005" s="4"/>
      <c r="Q3005" s="214"/>
    </row>
    <row r="3006" spans="1:17">
      <c r="A3006" s="175"/>
      <c r="B3006" s="175"/>
      <c r="P3006" s="4"/>
      <c r="Q3006" s="214"/>
    </row>
    <row r="3007" spans="1:17">
      <c r="A3007" s="175"/>
      <c r="B3007" s="175"/>
      <c r="P3007" s="4"/>
      <c r="Q3007" s="214"/>
    </row>
    <row r="3008" spans="1:17">
      <c r="A3008" s="175"/>
      <c r="B3008" s="175"/>
      <c r="P3008" s="4"/>
      <c r="Q3008" s="214"/>
    </row>
    <row r="3009" spans="1:17">
      <c r="A3009" s="175"/>
      <c r="B3009" s="175"/>
      <c r="P3009" s="4"/>
      <c r="Q3009" s="214"/>
    </row>
    <row r="3010" spans="1:17">
      <c r="A3010" s="175"/>
      <c r="B3010" s="175"/>
      <c r="P3010" s="4"/>
      <c r="Q3010" s="214"/>
    </row>
    <row r="3011" spans="1:17">
      <c r="A3011" s="175"/>
      <c r="B3011" s="175"/>
      <c r="P3011" s="4"/>
      <c r="Q3011" s="214"/>
    </row>
    <row r="3012" spans="1:17">
      <c r="A3012" s="175"/>
      <c r="B3012" s="175"/>
      <c r="P3012" s="4"/>
      <c r="Q3012" s="214"/>
    </row>
    <row r="3013" spans="1:17">
      <c r="A3013" s="175"/>
      <c r="B3013" s="175"/>
      <c r="P3013" s="4"/>
      <c r="Q3013" s="214"/>
    </row>
    <row r="3014" spans="1:17">
      <c r="A3014" s="175"/>
      <c r="B3014" s="175"/>
      <c r="P3014" s="4"/>
      <c r="Q3014" s="214"/>
    </row>
    <row r="3015" spans="1:17">
      <c r="A3015" s="175"/>
      <c r="B3015" s="175"/>
      <c r="P3015" s="4"/>
      <c r="Q3015" s="214"/>
    </row>
    <row r="3016" spans="1:17">
      <c r="A3016" s="175"/>
      <c r="B3016" s="175"/>
      <c r="P3016" s="4"/>
      <c r="Q3016" s="214"/>
    </row>
    <row r="3017" spans="1:17">
      <c r="A3017" s="175"/>
      <c r="B3017" s="175"/>
      <c r="P3017" s="4"/>
      <c r="Q3017" s="214"/>
    </row>
    <row r="3018" spans="1:17">
      <c r="A3018" s="175"/>
      <c r="B3018" s="175"/>
      <c r="P3018" s="4"/>
      <c r="Q3018" s="214"/>
    </row>
    <row r="3019" spans="1:17">
      <c r="A3019" s="175"/>
      <c r="B3019" s="175"/>
      <c r="P3019" s="4"/>
      <c r="Q3019" s="214"/>
    </row>
    <row r="3020" spans="1:17">
      <c r="A3020" s="175"/>
      <c r="B3020" s="175"/>
      <c r="P3020" s="4"/>
      <c r="Q3020" s="214"/>
    </row>
    <row r="3021" spans="1:17">
      <c r="A3021" s="175"/>
      <c r="B3021" s="175"/>
      <c r="P3021" s="4"/>
      <c r="Q3021" s="214"/>
    </row>
    <row r="3022" spans="1:17">
      <c r="A3022" s="175"/>
      <c r="B3022" s="175"/>
      <c r="P3022" s="4"/>
      <c r="Q3022" s="214"/>
    </row>
    <row r="3023" spans="1:17">
      <c r="A3023" s="175"/>
      <c r="B3023" s="175"/>
      <c r="P3023" s="4"/>
      <c r="Q3023" s="214"/>
    </row>
    <row r="3024" spans="1:17">
      <c r="A3024" s="175"/>
      <c r="B3024" s="175"/>
      <c r="P3024" s="4"/>
      <c r="Q3024" s="214"/>
    </row>
    <row r="3025" spans="1:17">
      <c r="A3025" s="175"/>
      <c r="B3025" s="175"/>
      <c r="P3025" s="4"/>
      <c r="Q3025" s="214"/>
    </row>
    <row r="3026" spans="1:17">
      <c r="A3026" s="175"/>
      <c r="B3026" s="175"/>
      <c r="P3026" s="4"/>
      <c r="Q3026" s="214"/>
    </row>
    <row r="3027" spans="1:17">
      <c r="A3027" s="175"/>
      <c r="B3027" s="175"/>
      <c r="P3027" s="4"/>
      <c r="Q3027" s="214"/>
    </row>
    <row r="3028" spans="1:17">
      <c r="A3028" s="175"/>
      <c r="B3028" s="175"/>
      <c r="P3028" s="4"/>
      <c r="Q3028" s="214"/>
    </row>
    <row r="3029" spans="1:17">
      <c r="A3029" s="175"/>
      <c r="B3029" s="175"/>
      <c r="P3029" s="4"/>
      <c r="Q3029" s="214"/>
    </row>
    <row r="3030" spans="1:17">
      <c r="A3030" s="175"/>
      <c r="B3030" s="175"/>
      <c r="P3030" s="4"/>
      <c r="Q3030" s="214"/>
    </row>
    <row r="3031" spans="1:17">
      <c r="A3031" s="175"/>
      <c r="B3031" s="175"/>
      <c r="P3031" s="4"/>
      <c r="Q3031" s="214"/>
    </row>
    <row r="3032" spans="1:17">
      <c r="A3032" s="175"/>
      <c r="B3032" s="175"/>
      <c r="P3032" s="4"/>
      <c r="Q3032" s="214"/>
    </row>
    <row r="3033" spans="1:17">
      <c r="A3033" s="175"/>
      <c r="B3033" s="175"/>
      <c r="P3033" s="4"/>
      <c r="Q3033" s="214"/>
    </row>
    <row r="3034" spans="1:17">
      <c r="A3034" s="175"/>
      <c r="B3034" s="175"/>
      <c r="P3034" s="4"/>
      <c r="Q3034" s="214"/>
    </row>
    <row r="3035" spans="1:17">
      <c r="A3035" s="175"/>
      <c r="B3035" s="175"/>
      <c r="P3035" s="4"/>
      <c r="Q3035" s="214"/>
    </row>
    <row r="3036" spans="1:17">
      <c r="A3036" s="175"/>
      <c r="B3036" s="175"/>
      <c r="P3036" s="4"/>
      <c r="Q3036" s="214"/>
    </row>
    <row r="3037" spans="1:17">
      <c r="A3037" s="175"/>
      <c r="B3037" s="175"/>
      <c r="P3037" s="4"/>
      <c r="Q3037" s="214"/>
    </row>
    <row r="3038" spans="1:17">
      <c r="A3038" s="175"/>
      <c r="B3038" s="175"/>
      <c r="P3038" s="4"/>
      <c r="Q3038" s="214"/>
    </row>
    <row r="3039" spans="1:17">
      <c r="A3039" s="175"/>
      <c r="B3039" s="175"/>
      <c r="P3039" s="4"/>
      <c r="Q3039" s="214"/>
    </row>
    <row r="3040" spans="1:17">
      <c r="A3040" s="175"/>
      <c r="B3040" s="175"/>
      <c r="P3040" s="4"/>
      <c r="Q3040" s="214"/>
    </row>
    <row r="3041" spans="1:17">
      <c r="A3041" s="175"/>
      <c r="B3041" s="175"/>
      <c r="P3041" s="4"/>
      <c r="Q3041" s="214"/>
    </row>
    <row r="3042" spans="1:17">
      <c r="A3042" s="175"/>
      <c r="B3042" s="175"/>
      <c r="P3042" s="4"/>
      <c r="Q3042" s="214"/>
    </row>
    <row r="3043" spans="1:17">
      <c r="A3043" s="175"/>
      <c r="B3043" s="175"/>
      <c r="P3043" s="4"/>
      <c r="Q3043" s="214"/>
    </row>
    <row r="3044" spans="1:17">
      <c r="A3044" s="175"/>
      <c r="B3044" s="175"/>
      <c r="P3044" s="4"/>
      <c r="Q3044" s="214"/>
    </row>
    <row r="3045" spans="1:17">
      <c r="A3045" s="175"/>
      <c r="B3045" s="175"/>
      <c r="P3045" s="4"/>
      <c r="Q3045" s="214"/>
    </row>
    <row r="3046" spans="1:17">
      <c r="A3046" s="175"/>
      <c r="B3046" s="175"/>
      <c r="P3046" s="4"/>
      <c r="Q3046" s="214"/>
    </row>
    <row r="3047" spans="1:17">
      <c r="A3047" s="175"/>
      <c r="B3047" s="175"/>
      <c r="P3047" s="4"/>
      <c r="Q3047" s="214"/>
    </row>
    <row r="3048" spans="1:17">
      <c r="A3048" s="175"/>
      <c r="B3048" s="175"/>
      <c r="P3048" s="4"/>
      <c r="Q3048" s="214"/>
    </row>
    <row r="3049" spans="1:17">
      <c r="A3049" s="175"/>
      <c r="B3049" s="175"/>
      <c r="P3049" s="4"/>
      <c r="Q3049" s="214"/>
    </row>
    <row r="3050" spans="1:17">
      <c r="A3050" s="175"/>
      <c r="B3050" s="175"/>
      <c r="P3050" s="4"/>
      <c r="Q3050" s="214"/>
    </row>
    <row r="3051" spans="1:17">
      <c r="A3051" s="175"/>
      <c r="B3051" s="175"/>
      <c r="P3051" s="4"/>
      <c r="Q3051" s="214"/>
    </row>
    <row r="3052" spans="1:17">
      <c r="A3052" s="175"/>
      <c r="B3052" s="175"/>
      <c r="P3052" s="4"/>
      <c r="Q3052" s="214"/>
    </row>
    <row r="3053" spans="1:17">
      <c r="A3053" s="175"/>
      <c r="B3053" s="175"/>
      <c r="P3053" s="4"/>
      <c r="Q3053" s="214"/>
    </row>
    <row r="3054" spans="1:17">
      <c r="A3054" s="175"/>
      <c r="B3054" s="175"/>
      <c r="P3054" s="4"/>
      <c r="Q3054" s="214"/>
    </row>
    <row r="3055" spans="1:17">
      <c r="A3055" s="175"/>
      <c r="B3055" s="175"/>
      <c r="P3055" s="4"/>
      <c r="Q3055" s="214"/>
    </row>
    <row r="3056" spans="1:17">
      <c r="A3056" s="175"/>
      <c r="B3056" s="175"/>
      <c r="P3056" s="4"/>
      <c r="Q3056" s="214"/>
    </row>
    <row r="3057" spans="1:17">
      <c r="A3057" s="175"/>
      <c r="B3057" s="175"/>
      <c r="P3057" s="4"/>
      <c r="Q3057" s="214"/>
    </row>
    <row r="3058" spans="1:17">
      <c r="A3058" s="175"/>
      <c r="B3058" s="175"/>
      <c r="P3058" s="4"/>
      <c r="Q3058" s="214"/>
    </row>
    <row r="3059" spans="1:17">
      <c r="A3059" s="175"/>
      <c r="B3059" s="175"/>
      <c r="P3059" s="4"/>
      <c r="Q3059" s="214"/>
    </row>
    <row r="3060" spans="1:17">
      <c r="A3060" s="175"/>
      <c r="B3060" s="175"/>
      <c r="P3060" s="4"/>
      <c r="Q3060" s="214"/>
    </row>
    <row r="3061" spans="1:17">
      <c r="A3061" s="175"/>
      <c r="B3061" s="175"/>
      <c r="P3061" s="4"/>
      <c r="Q3061" s="214"/>
    </row>
    <row r="3062" spans="1:17">
      <c r="A3062" s="175"/>
      <c r="B3062" s="175"/>
      <c r="P3062" s="4"/>
      <c r="Q3062" s="214"/>
    </row>
    <row r="3063" spans="1:17">
      <c r="A3063" s="175"/>
      <c r="B3063" s="175"/>
      <c r="P3063" s="4"/>
      <c r="Q3063" s="214"/>
    </row>
    <row r="3064" spans="1:17">
      <c r="A3064" s="175"/>
      <c r="B3064" s="175"/>
      <c r="P3064" s="4"/>
      <c r="Q3064" s="214"/>
    </row>
    <row r="3065" spans="1:17">
      <c r="A3065" s="175"/>
      <c r="B3065" s="175"/>
      <c r="P3065" s="4"/>
      <c r="Q3065" s="214"/>
    </row>
    <row r="3066" spans="1:17">
      <c r="A3066" s="175"/>
      <c r="B3066" s="175"/>
      <c r="P3066" s="4"/>
      <c r="Q3066" s="214"/>
    </row>
    <row r="3067" spans="1:17">
      <c r="A3067" s="175"/>
      <c r="B3067" s="175"/>
      <c r="P3067" s="4"/>
      <c r="Q3067" s="214"/>
    </row>
    <row r="3068" spans="1:17">
      <c r="A3068" s="175"/>
      <c r="B3068" s="175"/>
      <c r="P3068" s="4"/>
      <c r="Q3068" s="214"/>
    </row>
    <row r="3069" spans="1:17">
      <c r="A3069" s="175"/>
      <c r="B3069" s="175"/>
      <c r="P3069" s="4"/>
      <c r="Q3069" s="214"/>
    </row>
    <row r="3070" spans="1:17">
      <c r="A3070" s="175"/>
      <c r="B3070" s="175"/>
      <c r="P3070" s="4"/>
      <c r="Q3070" s="214"/>
    </row>
    <row r="3071" spans="1:17">
      <c r="A3071" s="175"/>
      <c r="B3071" s="175"/>
      <c r="P3071" s="4"/>
      <c r="Q3071" s="214"/>
    </row>
    <row r="3072" spans="1:17">
      <c r="A3072" s="175"/>
      <c r="B3072" s="175"/>
      <c r="P3072" s="4"/>
      <c r="Q3072" s="214"/>
    </row>
    <row r="3073" spans="1:17">
      <c r="A3073" s="175"/>
      <c r="B3073" s="175"/>
      <c r="P3073" s="4"/>
      <c r="Q3073" s="214"/>
    </row>
    <row r="3074" spans="1:17">
      <c r="A3074" s="175"/>
      <c r="B3074" s="175"/>
      <c r="P3074" s="4"/>
      <c r="Q3074" s="214"/>
    </row>
    <row r="3075" spans="1:17">
      <c r="A3075" s="175"/>
      <c r="B3075" s="175"/>
      <c r="P3075" s="4"/>
      <c r="Q3075" s="214"/>
    </row>
    <row r="3076" spans="1:17">
      <c r="A3076" s="175"/>
      <c r="B3076" s="175"/>
      <c r="P3076" s="4"/>
      <c r="Q3076" s="214"/>
    </row>
    <row r="3077" spans="1:17">
      <c r="A3077" s="175"/>
      <c r="B3077" s="175"/>
      <c r="P3077" s="4"/>
      <c r="Q3077" s="214"/>
    </row>
    <row r="3078" spans="1:17">
      <c r="A3078" s="175"/>
      <c r="B3078" s="175"/>
      <c r="P3078" s="4"/>
      <c r="Q3078" s="214"/>
    </row>
    <row r="3079" spans="1:17">
      <c r="A3079" s="175"/>
      <c r="B3079" s="175"/>
      <c r="P3079" s="4"/>
      <c r="Q3079" s="214"/>
    </row>
    <row r="3080" spans="1:17">
      <c r="A3080" s="175"/>
      <c r="B3080" s="175"/>
      <c r="P3080" s="4"/>
      <c r="Q3080" s="214"/>
    </row>
    <row r="3081" spans="1:17">
      <c r="A3081" s="175"/>
      <c r="B3081" s="175"/>
      <c r="P3081" s="4"/>
      <c r="Q3081" s="214"/>
    </row>
    <row r="3082" spans="1:17">
      <c r="A3082" s="175"/>
      <c r="B3082" s="175"/>
      <c r="P3082" s="4"/>
      <c r="Q3082" s="214"/>
    </row>
    <row r="3083" spans="1:17">
      <c r="A3083" s="175"/>
      <c r="B3083" s="175"/>
      <c r="P3083" s="4"/>
      <c r="Q3083" s="214"/>
    </row>
    <row r="3084" spans="1:17">
      <c r="A3084" s="175"/>
      <c r="B3084" s="175"/>
      <c r="P3084" s="4"/>
      <c r="Q3084" s="214"/>
    </row>
    <row r="3085" spans="1:17">
      <c r="A3085" s="175"/>
      <c r="B3085" s="175"/>
      <c r="P3085" s="4"/>
      <c r="Q3085" s="214"/>
    </row>
    <row r="3086" spans="1:17">
      <c r="A3086" s="175"/>
      <c r="B3086" s="175"/>
      <c r="P3086" s="4"/>
      <c r="Q3086" s="214"/>
    </row>
    <row r="3087" spans="1:17">
      <c r="A3087" s="175"/>
      <c r="B3087" s="175"/>
      <c r="P3087" s="4"/>
      <c r="Q3087" s="214"/>
    </row>
    <row r="3088" spans="1:17">
      <c r="A3088" s="175"/>
      <c r="B3088" s="175"/>
      <c r="P3088" s="4"/>
      <c r="Q3088" s="214"/>
    </row>
    <row r="3089" spans="1:17">
      <c r="A3089" s="175"/>
      <c r="B3089" s="175"/>
      <c r="P3089" s="4"/>
      <c r="Q3089" s="214"/>
    </row>
    <row r="3090" spans="1:17">
      <c r="A3090" s="175"/>
      <c r="B3090" s="175"/>
      <c r="P3090" s="4"/>
      <c r="Q3090" s="214"/>
    </row>
    <row r="3091" spans="1:17">
      <c r="A3091" s="175"/>
      <c r="B3091" s="175"/>
      <c r="P3091" s="4"/>
      <c r="Q3091" s="214"/>
    </row>
    <row r="3092" spans="1:17">
      <c r="A3092" s="175"/>
      <c r="B3092" s="175"/>
      <c r="P3092" s="4"/>
      <c r="Q3092" s="214"/>
    </row>
    <row r="3093" spans="1:17">
      <c r="A3093" s="175"/>
      <c r="B3093" s="175"/>
      <c r="P3093" s="4"/>
      <c r="Q3093" s="214"/>
    </row>
    <row r="3094" spans="1:17">
      <c r="A3094" s="175"/>
      <c r="B3094" s="175"/>
      <c r="P3094" s="4"/>
      <c r="Q3094" s="214"/>
    </row>
    <row r="3095" spans="1:17">
      <c r="A3095" s="175"/>
      <c r="B3095" s="175"/>
      <c r="P3095" s="4"/>
      <c r="Q3095" s="214"/>
    </row>
    <row r="3096" spans="1:17">
      <c r="A3096" s="175"/>
      <c r="B3096" s="175"/>
      <c r="P3096" s="4"/>
      <c r="Q3096" s="214"/>
    </row>
    <row r="3097" spans="1:17">
      <c r="A3097" s="175"/>
      <c r="B3097" s="175"/>
      <c r="P3097" s="4"/>
      <c r="Q3097" s="214"/>
    </row>
    <row r="3098" spans="1:17">
      <c r="A3098" s="175"/>
      <c r="B3098" s="175"/>
      <c r="P3098" s="4"/>
      <c r="Q3098" s="214"/>
    </row>
    <row r="3099" spans="1:17">
      <c r="A3099" s="175"/>
      <c r="B3099" s="175"/>
      <c r="P3099" s="4"/>
      <c r="Q3099" s="214"/>
    </row>
    <row r="3100" spans="1:17">
      <c r="A3100" s="175"/>
      <c r="B3100" s="175"/>
      <c r="P3100" s="4"/>
      <c r="Q3100" s="214"/>
    </row>
    <row r="3101" spans="1:17">
      <c r="A3101" s="175"/>
      <c r="B3101" s="175"/>
      <c r="P3101" s="4"/>
      <c r="Q3101" s="214"/>
    </row>
    <row r="3102" spans="1:17">
      <c r="A3102" s="175"/>
      <c r="B3102" s="175"/>
      <c r="P3102" s="4"/>
      <c r="Q3102" s="214"/>
    </row>
    <row r="3103" spans="1:17">
      <c r="A3103" s="175"/>
      <c r="B3103" s="175"/>
      <c r="P3103" s="4"/>
      <c r="Q3103" s="214"/>
    </row>
    <row r="3104" spans="1:17">
      <c r="A3104" s="175"/>
      <c r="B3104" s="175"/>
      <c r="P3104" s="4"/>
      <c r="Q3104" s="214"/>
    </row>
    <row r="3105" spans="1:17">
      <c r="A3105" s="175"/>
      <c r="B3105" s="175"/>
      <c r="P3105" s="4"/>
      <c r="Q3105" s="214"/>
    </row>
    <row r="3106" spans="1:17">
      <c r="A3106" s="175"/>
      <c r="B3106" s="175"/>
      <c r="P3106" s="4"/>
      <c r="Q3106" s="214"/>
    </row>
    <row r="3107" spans="1:17">
      <c r="A3107" s="175"/>
      <c r="B3107" s="175"/>
      <c r="P3107" s="4"/>
      <c r="Q3107" s="214"/>
    </row>
    <row r="3108" spans="1:17">
      <c r="A3108" s="175"/>
      <c r="B3108" s="175"/>
      <c r="P3108" s="4"/>
      <c r="Q3108" s="214"/>
    </row>
    <row r="3109" spans="1:17">
      <c r="A3109" s="175"/>
      <c r="B3109" s="175"/>
      <c r="P3109" s="4"/>
      <c r="Q3109" s="214"/>
    </row>
    <row r="3110" spans="1:17">
      <c r="A3110" s="175"/>
      <c r="B3110" s="175"/>
      <c r="P3110" s="4"/>
      <c r="Q3110" s="214"/>
    </row>
    <row r="3111" spans="1:17">
      <c r="A3111" s="175"/>
      <c r="B3111" s="175"/>
      <c r="P3111" s="4"/>
      <c r="Q3111" s="214"/>
    </row>
    <row r="3112" spans="1:17">
      <c r="A3112" s="175"/>
      <c r="B3112" s="175"/>
      <c r="P3112" s="4"/>
      <c r="Q3112" s="214"/>
    </row>
    <row r="3113" spans="1:17">
      <c r="A3113" s="175"/>
      <c r="B3113" s="175"/>
      <c r="P3113" s="4"/>
      <c r="Q3113" s="214"/>
    </row>
    <row r="3114" spans="1:17">
      <c r="A3114" s="175"/>
      <c r="B3114" s="175"/>
      <c r="P3114" s="4"/>
      <c r="Q3114" s="214"/>
    </row>
    <row r="3115" spans="1:17">
      <c r="A3115" s="175"/>
      <c r="B3115" s="175"/>
      <c r="P3115" s="4"/>
      <c r="Q3115" s="214"/>
    </row>
    <row r="3116" spans="1:17">
      <c r="A3116" s="175"/>
      <c r="B3116" s="175"/>
      <c r="P3116" s="4"/>
      <c r="Q3116" s="214"/>
    </row>
    <row r="3117" spans="1:17">
      <c r="A3117" s="175"/>
      <c r="B3117" s="175"/>
      <c r="P3117" s="4"/>
      <c r="Q3117" s="214"/>
    </row>
    <row r="3118" spans="1:17">
      <c r="A3118" s="175"/>
      <c r="B3118" s="175"/>
      <c r="P3118" s="4"/>
      <c r="Q3118" s="214"/>
    </row>
    <row r="3119" spans="1:17">
      <c r="A3119" s="175"/>
      <c r="B3119" s="175"/>
      <c r="P3119" s="4"/>
      <c r="Q3119" s="214"/>
    </row>
    <row r="3120" spans="1:17">
      <c r="A3120" s="175"/>
      <c r="B3120" s="175"/>
      <c r="P3120" s="4"/>
      <c r="Q3120" s="214"/>
    </row>
    <row r="3121" spans="1:17">
      <c r="A3121" s="175"/>
      <c r="B3121" s="175"/>
      <c r="P3121" s="4"/>
      <c r="Q3121" s="214"/>
    </row>
    <row r="3122" spans="1:17">
      <c r="A3122" s="175"/>
      <c r="B3122" s="175"/>
      <c r="P3122" s="4"/>
      <c r="Q3122" s="214"/>
    </row>
    <row r="3123" spans="1:17">
      <c r="A3123" s="175"/>
      <c r="B3123" s="175"/>
      <c r="P3123" s="4"/>
      <c r="Q3123" s="214"/>
    </row>
    <row r="3124" spans="1:17">
      <c r="A3124" s="175"/>
      <c r="B3124" s="175"/>
      <c r="P3124" s="4"/>
      <c r="Q3124" s="214"/>
    </row>
    <row r="3125" spans="1:17">
      <c r="A3125" s="175"/>
      <c r="B3125" s="175"/>
      <c r="P3125" s="4"/>
      <c r="Q3125" s="214"/>
    </row>
    <row r="3126" spans="1:17">
      <c r="A3126" s="175"/>
      <c r="B3126" s="175"/>
      <c r="P3126" s="4"/>
      <c r="Q3126" s="214"/>
    </row>
    <row r="3127" spans="1:17">
      <c r="A3127" s="175"/>
      <c r="B3127" s="175"/>
      <c r="P3127" s="4"/>
      <c r="Q3127" s="214"/>
    </row>
    <row r="3128" spans="1:17">
      <c r="A3128" s="175"/>
      <c r="B3128" s="175"/>
      <c r="P3128" s="4"/>
      <c r="Q3128" s="214"/>
    </row>
    <row r="3129" spans="1:17">
      <c r="A3129" s="175"/>
      <c r="B3129" s="175"/>
      <c r="P3129" s="4"/>
      <c r="Q3129" s="214"/>
    </row>
    <row r="3130" spans="1:17">
      <c r="A3130" s="175"/>
      <c r="B3130" s="175"/>
      <c r="P3130" s="4"/>
      <c r="Q3130" s="214"/>
    </row>
    <row r="3131" spans="1:17">
      <c r="A3131" s="175"/>
      <c r="B3131" s="175"/>
      <c r="P3131" s="4"/>
      <c r="Q3131" s="214"/>
    </row>
    <row r="3132" spans="1:17">
      <c r="A3132" s="175"/>
      <c r="B3132" s="175"/>
      <c r="P3132" s="4"/>
      <c r="Q3132" s="214"/>
    </row>
    <row r="3133" spans="1:17">
      <c r="A3133" s="175"/>
      <c r="B3133" s="175"/>
      <c r="P3133" s="4"/>
      <c r="Q3133" s="214"/>
    </row>
    <row r="3134" spans="1:17">
      <c r="A3134" s="175"/>
      <c r="B3134" s="175"/>
      <c r="P3134" s="4"/>
      <c r="Q3134" s="214"/>
    </row>
    <row r="3135" spans="1:17">
      <c r="A3135" s="175"/>
      <c r="B3135" s="175"/>
      <c r="P3135" s="4"/>
      <c r="Q3135" s="214"/>
    </row>
    <row r="3136" spans="1:17">
      <c r="A3136" s="175"/>
      <c r="B3136" s="175"/>
      <c r="P3136" s="4"/>
      <c r="Q3136" s="214"/>
    </row>
    <row r="3137" spans="1:17">
      <c r="A3137" s="175"/>
      <c r="B3137" s="175"/>
      <c r="P3137" s="4"/>
      <c r="Q3137" s="214"/>
    </row>
    <row r="3138" spans="1:17">
      <c r="A3138" s="175"/>
      <c r="B3138" s="175"/>
      <c r="P3138" s="4"/>
      <c r="Q3138" s="214"/>
    </row>
    <row r="3139" spans="1:17">
      <c r="A3139" s="175"/>
      <c r="B3139" s="175"/>
      <c r="P3139" s="4"/>
      <c r="Q3139" s="214"/>
    </row>
    <row r="3140" spans="1:17">
      <c r="A3140" s="175"/>
      <c r="B3140" s="175"/>
      <c r="P3140" s="4"/>
      <c r="Q3140" s="214"/>
    </row>
    <row r="3141" spans="1:17">
      <c r="A3141" s="175"/>
      <c r="B3141" s="175"/>
      <c r="P3141" s="4"/>
      <c r="Q3141" s="214"/>
    </row>
    <row r="3142" spans="1:17">
      <c r="A3142" s="175"/>
      <c r="B3142" s="175"/>
      <c r="P3142" s="4"/>
      <c r="Q3142" s="214"/>
    </row>
    <row r="3143" spans="1:17">
      <c r="A3143" s="175"/>
      <c r="B3143" s="175"/>
      <c r="P3143" s="4"/>
      <c r="Q3143" s="214"/>
    </row>
    <row r="3144" spans="1:17">
      <c r="A3144" s="175"/>
      <c r="B3144" s="175"/>
      <c r="P3144" s="4"/>
      <c r="Q3144" s="214"/>
    </row>
    <row r="3145" spans="1:17">
      <c r="A3145" s="175"/>
      <c r="B3145" s="175"/>
      <c r="P3145" s="4"/>
      <c r="Q3145" s="214"/>
    </row>
    <row r="3146" spans="1:17">
      <c r="A3146" s="175"/>
      <c r="B3146" s="175"/>
      <c r="P3146" s="4"/>
      <c r="Q3146" s="214"/>
    </row>
    <row r="3147" spans="1:17">
      <c r="A3147" s="175"/>
      <c r="B3147" s="175"/>
      <c r="P3147" s="4"/>
      <c r="Q3147" s="214"/>
    </row>
    <row r="3148" spans="1:17">
      <c r="A3148" s="175"/>
      <c r="B3148" s="175"/>
      <c r="P3148" s="4"/>
      <c r="Q3148" s="214"/>
    </row>
    <row r="3149" spans="1:17">
      <c r="A3149" s="175"/>
      <c r="B3149" s="175"/>
      <c r="P3149" s="4"/>
      <c r="Q3149" s="214"/>
    </row>
    <row r="3150" spans="1:17">
      <c r="A3150" s="175"/>
      <c r="B3150" s="175"/>
      <c r="P3150" s="4"/>
      <c r="Q3150" s="214"/>
    </row>
    <row r="3151" spans="1:17">
      <c r="A3151" s="175"/>
      <c r="B3151" s="175"/>
      <c r="P3151" s="4"/>
      <c r="Q3151" s="214"/>
    </row>
    <row r="3152" spans="1:17">
      <c r="A3152" s="175"/>
      <c r="B3152" s="175"/>
      <c r="P3152" s="4"/>
      <c r="Q3152" s="214"/>
    </row>
    <row r="3153" spans="1:17">
      <c r="A3153" s="175"/>
      <c r="B3153" s="175"/>
      <c r="P3153" s="4"/>
      <c r="Q3153" s="214"/>
    </row>
    <row r="3154" spans="1:17">
      <c r="A3154" s="175"/>
      <c r="B3154" s="175"/>
      <c r="P3154" s="4"/>
      <c r="Q3154" s="214"/>
    </row>
    <row r="3155" spans="1:17">
      <c r="A3155" s="175"/>
      <c r="B3155" s="175"/>
      <c r="P3155" s="4"/>
      <c r="Q3155" s="214"/>
    </row>
    <row r="3156" spans="1:17">
      <c r="A3156" s="175"/>
      <c r="B3156" s="175"/>
      <c r="P3156" s="4"/>
      <c r="Q3156" s="214"/>
    </row>
    <row r="3157" spans="1:17">
      <c r="A3157" s="175"/>
      <c r="B3157" s="175"/>
      <c r="P3157" s="4"/>
      <c r="Q3157" s="214"/>
    </row>
    <row r="3158" spans="1:17">
      <c r="A3158" s="175"/>
      <c r="B3158" s="175"/>
      <c r="P3158" s="4"/>
      <c r="Q3158" s="214"/>
    </row>
    <row r="3159" spans="1:17">
      <c r="A3159" s="175"/>
      <c r="B3159" s="175"/>
      <c r="P3159" s="4"/>
      <c r="Q3159" s="214"/>
    </row>
    <row r="3160" spans="1:17">
      <c r="A3160" s="175"/>
      <c r="B3160" s="175"/>
      <c r="P3160" s="4"/>
      <c r="Q3160" s="214"/>
    </row>
    <row r="3161" spans="1:17">
      <c r="A3161" s="175"/>
      <c r="B3161" s="175"/>
      <c r="P3161" s="4"/>
      <c r="Q3161" s="214"/>
    </row>
    <row r="3162" spans="1:17">
      <c r="A3162" s="175"/>
      <c r="B3162" s="175"/>
      <c r="P3162" s="4"/>
      <c r="Q3162" s="214"/>
    </row>
    <row r="3163" spans="1:17">
      <c r="A3163" s="175"/>
      <c r="B3163" s="175"/>
      <c r="P3163" s="4"/>
      <c r="Q3163" s="214"/>
    </row>
    <row r="3164" spans="1:17">
      <c r="A3164" s="175"/>
      <c r="B3164" s="175"/>
      <c r="P3164" s="4"/>
      <c r="Q3164" s="214"/>
    </row>
    <row r="3165" spans="1:17">
      <c r="A3165" s="175"/>
      <c r="B3165" s="175"/>
      <c r="P3165" s="4"/>
      <c r="Q3165" s="214"/>
    </row>
    <row r="3166" spans="1:17">
      <c r="A3166" s="175"/>
      <c r="B3166" s="175"/>
      <c r="P3166" s="4"/>
      <c r="Q3166" s="214"/>
    </row>
    <row r="3167" spans="1:17">
      <c r="A3167" s="175"/>
      <c r="B3167" s="175"/>
      <c r="P3167" s="4"/>
      <c r="Q3167" s="214"/>
    </row>
    <row r="3168" spans="1:17">
      <c r="A3168" s="175"/>
      <c r="B3168" s="175"/>
      <c r="P3168" s="4"/>
      <c r="Q3168" s="214"/>
    </row>
    <row r="3169" spans="1:17">
      <c r="A3169" s="175"/>
      <c r="B3169" s="175"/>
      <c r="P3169" s="4"/>
      <c r="Q3169" s="214"/>
    </row>
    <row r="3170" spans="1:17">
      <c r="A3170" s="175"/>
      <c r="B3170" s="175"/>
      <c r="P3170" s="4"/>
      <c r="Q3170" s="214"/>
    </row>
    <row r="3171" spans="1:17">
      <c r="A3171" s="175"/>
      <c r="B3171" s="175"/>
      <c r="P3171" s="4"/>
      <c r="Q3171" s="214"/>
    </row>
    <row r="3172" spans="1:17">
      <c r="A3172" s="175"/>
      <c r="B3172" s="175"/>
      <c r="P3172" s="4"/>
      <c r="Q3172" s="214"/>
    </row>
    <row r="3173" spans="1:17">
      <c r="A3173" s="175"/>
      <c r="B3173" s="175"/>
      <c r="P3173" s="4"/>
      <c r="Q3173" s="214"/>
    </row>
    <row r="3174" spans="1:17">
      <c r="A3174" s="175"/>
      <c r="B3174" s="175"/>
      <c r="P3174" s="4"/>
      <c r="Q3174" s="214"/>
    </row>
    <row r="3175" spans="1:17">
      <c r="A3175" s="175"/>
      <c r="B3175" s="175"/>
      <c r="P3175" s="4"/>
      <c r="Q3175" s="214"/>
    </row>
    <row r="3176" spans="1:17">
      <c r="A3176" s="175"/>
      <c r="B3176" s="175"/>
      <c r="P3176" s="4"/>
      <c r="Q3176" s="214"/>
    </row>
    <row r="3177" spans="1:17">
      <c r="A3177" s="175"/>
      <c r="B3177" s="175"/>
      <c r="P3177" s="4"/>
      <c r="Q3177" s="214"/>
    </row>
    <row r="3178" spans="1:17">
      <c r="A3178" s="175"/>
      <c r="B3178" s="175"/>
      <c r="P3178" s="4"/>
      <c r="Q3178" s="214"/>
    </row>
    <row r="3179" spans="1:17">
      <c r="A3179" s="175"/>
      <c r="B3179" s="175"/>
      <c r="P3179" s="4"/>
      <c r="Q3179" s="214"/>
    </row>
    <row r="3180" spans="1:17">
      <c r="A3180" s="175"/>
      <c r="B3180" s="175"/>
      <c r="P3180" s="4"/>
      <c r="Q3180" s="214"/>
    </row>
    <row r="3181" spans="1:17">
      <c r="A3181" s="175"/>
      <c r="B3181" s="175"/>
      <c r="P3181" s="4"/>
      <c r="Q3181" s="214"/>
    </row>
    <row r="3182" spans="1:17">
      <c r="A3182" s="175"/>
      <c r="B3182" s="175"/>
      <c r="P3182" s="4"/>
      <c r="Q3182" s="214"/>
    </row>
    <row r="3183" spans="1:17">
      <c r="A3183" s="175"/>
      <c r="B3183" s="175"/>
      <c r="P3183" s="4"/>
      <c r="Q3183" s="214"/>
    </row>
    <row r="3184" spans="1:17">
      <c r="A3184" s="175"/>
      <c r="B3184" s="175"/>
      <c r="P3184" s="4"/>
      <c r="Q3184" s="214"/>
    </row>
    <row r="3185" spans="1:17">
      <c r="A3185" s="175"/>
      <c r="B3185" s="175"/>
      <c r="P3185" s="4"/>
      <c r="Q3185" s="214"/>
    </row>
    <row r="3186" spans="1:17">
      <c r="A3186" s="175"/>
      <c r="B3186" s="175"/>
      <c r="P3186" s="4"/>
      <c r="Q3186" s="214"/>
    </row>
    <row r="3187" spans="1:17">
      <c r="A3187" s="175"/>
      <c r="B3187" s="175"/>
      <c r="P3187" s="4"/>
      <c r="Q3187" s="214"/>
    </row>
    <row r="3188" spans="1:17">
      <c r="A3188" s="175"/>
      <c r="B3188" s="175"/>
      <c r="P3188" s="4"/>
      <c r="Q3188" s="214"/>
    </row>
    <row r="3189" spans="1:17">
      <c r="A3189" s="175"/>
      <c r="B3189" s="175"/>
      <c r="P3189" s="4"/>
      <c r="Q3189" s="214"/>
    </row>
    <row r="3190" spans="1:17">
      <c r="A3190" s="175"/>
      <c r="B3190" s="175"/>
      <c r="P3190" s="4"/>
      <c r="Q3190" s="214"/>
    </row>
    <row r="3191" spans="1:17">
      <c r="A3191" s="175"/>
      <c r="B3191" s="175"/>
      <c r="P3191" s="4"/>
      <c r="Q3191" s="214"/>
    </row>
    <row r="3192" spans="1:17">
      <c r="A3192" s="175"/>
      <c r="B3192" s="175"/>
      <c r="P3192" s="4"/>
      <c r="Q3192" s="214"/>
    </row>
    <row r="3193" spans="1:17">
      <c r="A3193" s="175"/>
      <c r="B3193" s="175"/>
      <c r="P3193" s="4"/>
      <c r="Q3193" s="214"/>
    </row>
    <row r="3194" spans="1:17">
      <c r="A3194" s="175"/>
      <c r="B3194" s="175"/>
      <c r="P3194" s="4"/>
      <c r="Q3194" s="214"/>
    </row>
    <row r="3195" spans="1:17">
      <c r="A3195" s="175"/>
      <c r="B3195" s="175"/>
      <c r="P3195" s="4"/>
      <c r="Q3195" s="214"/>
    </row>
    <row r="3196" spans="1:17">
      <c r="A3196" s="175"/>
      <c r="B3196" s="175"/>
      <c r="P3196" s="4"/>
      <c r="Q3196" s="214"/>
    </row>
    <row r="3197" spans="1:17">
      <c r="A3197" s="175"/>
      <c r="B3197" s="175"/>
      <c r="P3197" s="4"/>
      <c r="Q3197" s="214"/>
    </row>
    <row r="3198" spans="1:17">
      <c r="A3198" s="175"/>
      <c r="B3198" s="175"/>
      <c r="P3198" s="4"/>
      <c r="Q3198" s="214"/>
    </row>
    <row r="3199" spans="1:17">
      <c r="A3199" s="175"/>
      <c r="B3199" s="175"/>
      <c r="P3199" s="4"/>
      <c r="Q3199" s="214"/>
    </row>
    <row r="3200" spans="1:17">
      <c r="A3200" s="175"/>
      <c r="B3200" s="175"/>
      <c r="P3200" s="4"/>
      <c r="Q3200" s="214"/>
    </row>
    <row r="3201" spans="1:17">
      <c r="A3201" s="175"/>
      <c r="B3201" s="175"/>
      <c r="P3201" s="4"/>
      <c r="Q3201" s="214"/>
    </row>
    <row r="3202" spans="1:17">
      <c r="A3202" s="175"/>
      <c r="B3202" s="175"/>
      <c r="P3202" s="4"/>
      <c r="Q3202" s="214"/>
    </row>
    <row r="3203" spans="1:17">
      <c r="A3203" s="175"/>
      <c r="B3203" s="175"/>
      <c r="P3203" s="4"/>
      <c r="Q3203" s="214"/>
    </row>
    <row r="3204" spans="1:17">
      <c r="A3204" s="175"/>
      <c r="B3204" s="175"/>
      <c r="P3204" s="4"/>
      <c r="Q3204" s="214"/>
    </row>
    <row r="3205" spans="1:17">
      <c r="A3205" s="175"/>
      <c r="B3205" s="175"/>
      <c r="P3205" s="4"/>
      <c r="Q3205" s="214"/>
    </row>
    <row r="3206" spans="1:17">
      <c r="A3206" s="175"/>
      <c r="B3206" s="175"/>
      <c r="P3206" s="4"/>
      <c r="Q3206" s="214"/>
    </row>
    <row r="3207" spans="1:17">
      <c r="A3207" s="175"/>
      <c r="B3207" s="175"/>
      <c r="P3207" s="4"/>
      <c r="Q3207" s="214"/>
    </row>
    <row r="3208" spans="1:17">
      <c r="A3208" s="175"/>
      <c r="B3208" s="175"/>
      <c r="P3208" s="4"/>
      <c r="Q3208" s="214"/>
    </row>
    <row r="3209" spans="1:17">
      <c r="A3209" s="175"/>
      <c r="B3209" s="175"/>
      <c r="P3209" s="4"/>
      <c r="Q3209" s="214"/>
    </row>
    <row r="3210" spans="1:17">
      <c r="A3210" s="175"/>
      <c r="B3210" s="175"/>
      <c r="P3210" s="4"/>
      <c r="Q3210" s="214"/>
    </row>
    <row r="3211" spans="1:17">
      <c r="A3211" s="175"/>
      <c r="B3211" s="175"/>
      <c r="P3211" s="4"/>
      <c r="Q3211" s="214"/>
    </row>
    <row r="3212" spans="1:17">
      <c r="A3212" s="175"/>
      <c r="B3212" s="175"/>
      <c r="P3212" s="4"/>
      <c r="Q3212" s="214"/>
    </row>
    <row r="3213" spans="1:17">
      <c r="A3213" s="175"/>
      <c r="B3213" s="175"/>
      <c r="P3213" s="4"/>
      <c r="Q3213" s="214"/>
    </row>
    <row r="3214" spans="1:17">
      <c r="A3214" s="175"/>
      <c r="B3214" s="175"/>
      <c r="P3214" s="4"/>
      <c r="Q3214" s="214"/>
    </row>
    <row r="3215" spans="1:17">
      <c r="A3215" s="175"/>
      <c r="B3215" s="175"/>
      <c r="P3215" s="4"/>
      <c r="Q3215" s="214"/>
    </row>
    <row r="3216" spans="1:17">
      <c r="A3216" s="175"/>
      <c r="B3216" s="175"/>
      <c r="P3216" s="4"/>
      <c r="Q3216" s="214"/>
    </row>
    <row r="3217" spans="1:17">
      <c r="A3217" s="175"/>
      <c r="B3217" s="175"/>
      <c r="P3217" s="4"/>
      <c r="Q3217" s="214"/>
    </row>
    <row r="3218" spans="1:17">
      <c r="A3218" s="175"/>
      <c r="B3218" s="175"/>
      <c r="P3218" s="4"/>
      <c r="Q3218" s="214"/>
    </row>
    <row r="3219" spans="1:17">
      <c r="A3219" s="175"/>
      <c r="B3219" s="175"/>
      <c r="P3219" s="4"/>
      <c r="Q3219" s="214"/>
    </row>
    <row r="3220" spans="1:17">
      <c r="A3220" s="175"/>
      <c r="B3220" s="175"/>
      <c r="P3220" s="4"/>
      <c r="Q3220" s="214"/>
    </row>
    <row r="3221" spans="1:17">
      <c r="A3221" s="175"/>
      <c r="B3221" s="175"/>
      <c r="P3221" s="4"/>
      <c r="Q3221" s="214"/>
    </row>
    <row r="3222" spans="1:17">
      <c r="A3222" s="175"/>
      <c r="B3222" s="175"/>
      <c r="P3222" s="4"/>
      <c r="Q3222" s="214"/>
    </row>
    <row r="3223" spans="1:17">
      <c r="A3223" s="175"/>
      <c r="B3223" s="175"/>
      <c r="P3223" s="4"/>
      <c r="Q3223" s="214"/>
    </row>
    <row r="3224" spans="1:17">
      <c r="A3224" s="175"/>
      <c r="B3224" s="175"/>
      <c r="P3224" s="4"/>
      <c r="Q3224" s="214"/>
    </row>
    <row r="3225" spans="1:17">
      <c r="A3225" s="175"/>
      <c r="B3225" s="175"/>
      <c r="P3225" s="4"/>
      <c r="Q3225" s="214"/>
    </row>
    <row r="3226" spans="1:17">
      <c r="A3226" s="175"/>
      <c r="B3226" s="175"/>
      <c r="P3226" s="4"/>
      <c r="Q3226" s="214"/>
    </row>
    <row r="3227" spans="1:17">
      <c r="A3227" s="175"/>
      <c r="B3227" s="175"/>
      <c r="P3227" s="4"/>
      <c r="Q3227" s="214"/>
    </row>
    <row r="3228" spans="1:17">
      <c r="A3228" s="175"/>
      <c r="B3228" s="175"/>
      <c r="P3228" s="4"/>
      <c r="Q3228" s="214"/>
    </row>
    <row r="3229" spans="1:17">
      <c r="A3229" s="175"/>
      <c r="B3229" s="175"/>
      <c r="P3229" s="4"/>
      <c r="Q3229" s="214"/>
    </row>
    <row r="3230" spans="1:17">
      <c r="A3230" s="175"/>
      <c r="B3230" s="175"/>
      <c r="P3230" s="4"/>
      <c r="Q3230" s="214"/>
    </row>
    <row r="3231" spans="1:17">
      <c r="A3231" s="175"/>
      <c r="B3231" s="175"/>
      <c r="P3231" s="4"/>
      <c r="Q3231" s="214"/>
    </row>
    <row r="3232" spans="1:17">
      <c r="A3232" s="175"/>
      <c r="B3232" s="175"/>
      <c r="P3232" s="4"/>
      <c r="Q3232" s="214"/>
    </row>
    <row r="3233" spans="1:17">
      <c r="A3233" s="175"/>
      <c r="B3233" s="175"/>
      <c r="P3233" s="4"/>
      <c r="Q3233" s="214"/>
    </row>
    <row r="3234" spans="1:17">
      <c r="A3234" s="175"/>
      <c r="B3234" s="175"/>
      <c r="P3234" s="4"/>
      <c r="Q3234" s="214"/>
    </row>
    <row r="3235" spans="1:17">
      <c r="A3235" s="175"/>
      <c r="B3235" s="175"/>
      <c r="P3235" s="4"/>
      <c r="Q3235" s="214"/>
    </row>
    <row r="3236" spans="1:17">
      <c r="A3236" s="175"/>
      <c r="B3236" s="175"/>
      <c r="P3236" s="4"/>
      <c r="Q3236" s="214"/>
    </row>
    <row r="3237" spans="1:17">
      <c r="A3237" s="175"/>
      <c r="B3237" s="175"/>
      <c r="P3237" s="4"/>
      <c r="Q3237" s="214"/>
    </row>
    <row r="3238" spans="1:17">
      <c r="A3238" s="175"/>
      <c r="B3238" s="175"/>
      <c r="P3238" s="4"/>
      <c r="Q3238" s="214"/>
    </row>
    <row r="3239" spans="1:17">
      <c r="A3239" s="175"/>
      <c r="B3239" s="175"/>
      <c r="P3239" s="4"/>
      <c r="Q3239" s="214"/>
    </row>
    <row r="3240" spans="1:17">
      <c r="A3240" s="175"/>
      <c r="B3240" s="175"/>
      <c r="P3240" s="4"/>
      <c r="Q3240" s="214"/>
    </row>
    <row r="3241" spans="1:17">
      <c r="A3241" s="175"/>
      <c r="B3241" s="175"/>
      <c r="P3241" s="4"/>
      <c r="Q3241" s="214"/>
    </row>
    <row r="3242" spans="1:17">
      <c r="A3242" s="175"/>
      <c r="B3242" s="175"/>
      <c r="P3242" s="4"/>
      <c r="Q3242" s="214"/>
    </row>
    <row r="3243" spans="1:17">
      <c r="A3243" s="175"/>
      <c r="B3243" s="175"/>
      <c r="P3243" s="4"/>
      <c r="Q3243" s="214"/>
    </row>
    <row r="3244" spans="1:17">
      <c r="A3244" s="175"/>
      <c r="B3244" s="175"/>
      <c r="P3244" s="4"/>
      <c r="Q3244" s="214"/>
    </row>
    <row r="3245" spans="1:17">
      <c r="A3245" s="175"/>
      <c r="B3245" s="175"/>
      <c r="P3245" s="4"/>
      <c r="Q3245" s="214"/>
    </row>
    <row r="3246" spans="1:17">
      <c r="A3246" s="175"/>
      <c r="B3246" s="175"/>
      <c r="P3246" s="4"/>
      <c r="Q3246" s="214"/>
    </row>
    <row r="3247" spans="1:17">
      <c r="A3247" s="175"/>
      <c r="B3247" s="175"/>
      <c r="P3247" s="4"/>
      <c r="Q3247" s="214"/>
    </row>
    <row r="3248" spans="1:17">
      <c r="A3248" s="175"/>
      <c r="B3248" s="175"/>
      <c r="P3248" s="4"/>
      <c r="Q3248" s="214"/>
    </row>
    <row r="3249" spans="1:17">
      <c r="A3249" s="175"/>
      <c r="B3249" s="175"/>
      <c r="P3249" s="4"/>
      <c r="Q3249" s="214"/>
    </row>
    <row r="3250" spans="1:17">
      <c r="A3250" s="175"/>
      <c r="B3250" s="175"/>
      <c r="P3250" s="4"/>
      <c r="Q3250" s="214"/>
    </row>
    <row r="3251" spans="1:17">
      <c r="A3251" s="175"/>
      <c r="B3251" s="175"/>
      <c r="P3251" s="4"/>
      <c r="Q3251" s="214"/>
    </row>
    <row r="3252" spans="1:17">
      <c r="A3252" s="175"/>
      <c r="B3252" s="175"/>
      <c r="P3252" s="4"/>
      <c r="Q3252" s="214"/>
    </row>
    <row r="3253" spans="1:17">
      <c r="A3253" s="175"/>
      <c r="B3253" s="175"/>
      <c r="P3253" s="4"/>
      <c r="Q3253" s="214"/>
    </row>
    <row r="3254" spans="1:17">
      <c r="A3254" s="175"/>
      <c r="B3254" s="175"/>
      <c r="P3254" s="4"/>
      <c r="Q3254" s="214"/>
    </row>
    <row r="3255" spans="1:17">
      <c r="A3255" s="175"/>
      <c r="B3255" s="175"/>
      <c r="P3255" s="4"/>
      <c r="Q3255" s="214"/>
    </row>
    <row r="3256" spans="1:17">
      <c r="A3256" s="175"/>
      <c r="B3256" s="175"/>
      <c r="P3256" s="4"/>
      <c r="Q3256" s="214"/>
    </row>
    <row r="3257" spans="1:17">
      <c r="A3257" s="175"/>
      <c r="B3257" s="175"/>
      <c r="P3257" s="4"/>
      <c r="Q3257" s="214"/>
    </row>
    <row r="3258" spans="1:17">
      <c r="A3258" s="175"/>
      <c r="B3258" s="175"/>
      <c r="P3258" s="4"/>
      <c r="Q3258" s="214"/>
    </row>
    <row r="3259" spans="1:17">
      <c r="A3259" s="175"/>
      <c r="B3259" s="175"/>
      <c r="P3259" s="4"/>
      <c r="Q3259" s="214"/>
    </row>
    <row r="3260" spans="1:17">
      <c r="A3260" s="175"/>
      <c r="B3260" s="175"/>
      <c r="P3260" s="4"/>
      <c r="Q3260" s="214"/>
    </row>
    <row r="3261" spans="1:17">
      <c r="A3261" s="175"/>
      <c r="B3261" s="175"/>
      <c r="P3261" s="4"/>
      <c r="Q3261" s="214"/>
    </row>
    <row r="3262" spans="1:17">
      <c r="A3262" s="175"/>
      <c r="B3262" s="175"/>
      <c r="P3262" s="4"/>
      <c r="Q3262" s="214"/>
    </row>
    <row r="3263" spans="1:17">
      <c r="A3263" s="175"/>
      <c r="B3263" s="175"/>
      <c r="P3263" s="4"/>
      <c r="Q3263" s="214"/>
    </row>
    <row r="3264" spans="1:17">
      <c r="A3264" s="175"/>
      <c r="B3264" s="175"/>
      <c r="P3264" s="4"/>
      <c r="Q3264" s="214"/>
    </row>
    <row r="3265" spans="1:17">
      <c r="A3265" s="175"/>
      <c r="B3265" s="175"/>
      <c r="P3265" s="4"/>
      <c r="Q3265" s="214"/>
    </row>
    <row r="3266" spans="1:17">
      <c r="A3266" s="175"/>
      <c r="B3266" s="175"/>
      <c r="P3266" s="4"/>
      <c r="Q3266" s="214"/>
    </row>
    <row r="3267" spans="1:17">
      <c r="A3267" s="175"/>
      <c r="B3267" s="175"/>
      <c r="P3267" s="4"/>
      <c r="Q3267" s="214"/>
    </row>
    <row r="3268" spans="1:17">
      <c r="A3268" s="175"/>
      <c r="B3268" s="175"/>
      <c r="P3268" s="4"/>
      <c r="Q3268" s="214"/>
    </row>
    <row r="3269" spans="1:17">
      <c r="A3269" s="175"/>
      <c r="B3269" s="175"/>
      <c r="P3269" s="4"/>
      <c r="Q3269" s="214"/>
    </row>
    <row r="3270" spans="1:17">
      <c r="A3270" s="175"/>
      <c r="B3270" s="175"/>
      <c r="P3270" s="4"/>
      <c r="Q3270" s="214"/>
    </row>
    <row r="3271" spans="1:17">
      <c r="A3271" s="175"/>
      <c r="B3271" s="175"/>
      <c r="P3271" s="4"/>
      <c r="Q3271" s="214"/>
    </row>
    <row r="3272" spans="1:17">
      <c r="A3272" s="175"/>
      <c r="B3272" s="175"/>
      <c r="P3272" s="4"/>
      <c r="Q3272" s="214"/>
    </row>
    <row r="3273" spans="1:17">
      <c r="A3273" s="175"/>
      <c r="B3273" s="175"/>
      <c r="P3273" s="4"/>
      <c r="Q3273" s="214"/>
    </row>
    <row r="3274" spans="1:17">
      <c r="A3274" s="175"/>
      <c r="B3274" s="175"/>
      <c r="P3274" s="4"/>
      <c r="Q3274" s="214"/>
    </row>
    <row r="3275" spans="1:17">
      <c r="A3275" s="175"/>
      <c r="B3275" s="175"/>
      <c r="P3275" s="4"/>
      <c r="Q3275" s="214"/>
    </row>
    <row r="3276" spans="1:17">
      <c r="A3276" s="175"/>
      <c r="B3276" s="175"/>
      <c r="P3276" s="4"/>
      <c r="Q3276" s="214"/>
    </row>
    <row r="3277" spans="1:17">
      <c r="A3277" s="175"/>
      <c r="B3277" s="175"/>
      <c r="P3277" s="4"/>
      <c r="Q3277" s="214"/>
    </row>
    <row r="3278" spans="1:17">
      <c r="A3278" s="175"/>
      <c r="B3278" s="175"/>
      <c r="P3278" s="4"/>
      <c r="Q3278" s="214"/>
    </row>
    <row r="3279" spans="1:17">
      <c r="A3279" s="175"/>
      <c r="B3279" s="175"/>
      <c r="P3279" s="4"/>
      <c r="Q3279" s="214"/>
    </row>
    <row r="3280" spans="1:17">
      <c r="A3280" s="175"/>
      <c r="B3280" s="175"/>
      <c r="P3280" s="4"/>
      <c r="Q3280" s="214"/>
    </row>
    <row r="3281" spans="1:17">
      <c r="A3281" s="175"/>
      <c r="B3281" s="175"/>
      <c r="P3281" s="4"/>
      <c r="Q3281" s="214"/>
    </row>
    <row r="3282" spans="1:17">
      <c r="A3282" s="175"/>
      <c r="B3282" s="175"/>
      <c r="P3282" s="4"/>
      <c r="Q3282" s="214"/>
    </row>
    <row r="3283" spans="1:17">
      <c r="A3283" s="175"/>
      <c r="B3283" s="175"/>
      <c r="P3283" s="4"/>
      <c r="Q3283" s="214"/>
    </row>
    <row r="3284" spans="1:17">
      <c r="A3284" s="175"/>
      <c r="B3284" s="175"/>
      <c r="P3284" s="4"/>
      <c r="Q3284" s="214"/>
    </row>
    <row r="3285" spans="1:17">
      <c r="A3285" s="175"/>
      <c r="B3285" s="175"/>
      <c r="P3285" s="4"/>
      <c r="Q3285" s="214"/>
    </row>
    <row r="3286" spans="1:17">
      <c r="A3286" s="175"/>
      <c r="B3286" s="175"/>
      <c r="P3286" s="4"/>
      <c r="Q3286" s="214"/>
    </row>
    <row r="3287" spans="1:17">
      <c r="A3287" s="175"/>
      <c r="B3287" s="175"/>
      <c r="P3287" s="4"/>
      <c r="Q3287" s="214"/>
    </row>
    <row r="3288" spans="1:17">
      <c r="A3288" s="175"/>
      <c r="B3288" s="175"/>
      <c r="P3288" s="4"/>
      <c r="Q3288" s="214"/>
    </row>
    <row r="3289" spans="1:17">
      <c r="A3289" s="175"/>
      <c r="B3289" s="175"/>
      <c r="P3289" s="4"/>
      <c r="Q3289" s="214"/>
    </row>
    <row r="3290" spans="1:17">
      <c r="A3290" s="175"/>
      <c r="B3290" s="175"/>
      <c r="P3290" s="4"/>
      <c r="Q3290" s="214"/>
    </row>
    <row r="3291" spans="1:17">
      <c r="A3291" s="175"/>
      <c r="B3291" s="175"/>
      <c r="P3291" s="4"/>
      <c r="Q3291" s="214"/>
    </row>
    <row r="3292" spans="1:17">
      <c r="A3292" s="175"/>
      <c r="B3292" s="175"/>
      <c r="P3292" s="4"/>
      <c r="Q3292" s="214"/>
    </row>
    <row r="3293" spans="1:17">
      <c r="A3293" s="175"/>
      <c r="B3293" s="175"/>
      <c r="P3293" s="4"/>
      <c r="Q3293" s="214"/>
    </row>
    <row r="3294" spans="1:17">
      <c r="A3294" s="175"/>
      <c r="B3294" s="175"/>
      <c r="P3294" s="4"/>
      <c r="Q3294" s="214"/>
    </row>
    <row r="3295" spans="1:17">
      <c r="A3295" s="175"/>
      <c r="B3295" s="175"/>
      <c r="P3295" s="4"/>
      <c r="Q3295" s="214"/>
    </row>
    <row r="3296" spans="1:17">
      <c r="A3296" s="175"/>
      <c r="B3296" s="175"/>
      <c r="P3296" s="4"/>
      <c r="Q3296" s="214"/>
    </row>
    <row r="3297" spans="1:17">
      <c r="A3297" s="175"/>
      <c r="B3297" s="175"/>
      <c r="P3297" s="4"/>
      <c r="Q3297" s="214"/>
    </row>
    <row r="3298" spans="1:17">
      <c r="A3298" s="175"/>
      <c r="B3298" s="175"/>
      <c r="P3298" s="4"/>
      <c r="Q3298" s="214"/>
    </row>
    <row r="3299" spans="1:17">
      <c r="A3299" s="175"/>
      <c r="B3299" s="175"/>
      <c r="P3299" s="4"/>
      <c r="Q3299" s="214"/>
    </row>
    <row r="3300" spans="1:17">
      <c r="A3300" s="175"/>
      <c r="B3300" s="175"/>
      <c r="P3300" s="4"/>
      <c r="Q3300" s="214"/>
    </row>
    <row r="3301" spans="1:17">
      <c r="A3301" s="175"/>
      <c r="B3301" s="175"/>
      <c r="P3301" s="4"/>
      <c r="Q3301" s="214"/>
    </row>
    <row r="3302" spans="1:17">
      <c r="A3302" s="175"/>
      <c r="B3302" s="175"/>
      <c r="P3302" s="4"/>
      <c r="Q3302" s="214"/>
    </row>
    <row r="3303" spans="1:17">
      <c r="A3303" s="175"/>
      <c r="B3303" s="175"/>
      <c r="P3303" s="4"/>
      <c r="Q3303" s="214"/>
    </row>
    <row r="3304" spans="1:17">
      <c r="A3304" s="175"/>
      <c r="B3304" s="175"/>
      <c r="P3304" s="4"/>
      <c r="Q3304" s="214"/>
    </row>
    <row r="3305" spans="1:17">
      <c r="A3305" s="175"/>
      <c r="B3305" s="175"/>
      <c r="P3305" s="4"/>
      <c r="Q3305" s="214"/>
    </row>
    <row r="3306" spans="1:17">
      <c r="A3306" s="175"/>
      <c r="B3306" s="175"/>
      <c r="P3306" s="4"/>
      <c r="Q3306" s="214"/>
    </row>
    <row r="3307" spans="1:17">
      <c r="A3307" s="175"/>
      <c r="B3307" s="175"/>
      <c r="P3307" s="4"/>
      <c r="Q3307" s="214"/>
    </row>
    <row r="3308" spans="1:17">
      <c r="A3308" s="175"/>
      <c r="B3308" s="175"/>
      <c r="P3308" s="4"/>
      <c r="Q3308" s="214"/>
    </row>
    <row r="3309" spans="1:17">
      <c r="A3309" s="175"/>
      <c r="B3309" s="175"/>
      <c r="P3309" s="4"/>
      <c r="Q3309" s="214"/>
    </row>
    <row r="3310" spans="1:17">
      <c r="A3310" s="175"/>
      <c r="B3310" s="175"/>
      <c r="P3310" s="4"/>
      <c r="Q3310" s="214"/>
    </row>
    <row r="3311" spans="1:17">
      <c r="A3311" s="175"/>
      <c r="B3311" s="175"/>
      <c r="P3311" s="4"/>
      <c r="Q3311" s="214"/>
    </row>
    <row r="3312" spans="1:17">
      <c r="A3312" s="175"/>
      <c r="B3312" s="175"/>
      <c r="P3312" s="4"/>
      <c r="Q3312" s="214"/>
    </row>
    <row r="3313" spans="1:17">
      <c r="A3313" s="175"/>
      <c r="B3313" s="175"/>
      <c r="P3313" s="4"/>
      <c r="Q3313" s="214"/>
    </row>
    <row r="3314" spans="1:17">
      <c r="A3314" s="175"/>
      <c r="B3314" s="175"/>
      <c r="P3314" s="4"/>
      <c r="Q3314" s="214"/>
    </row>
    <row r="3315" spans="1:17">
      <c r="A3315" s="175"/>
      <c r="B3315" s="175"/>
      <c r="P3315" s="4"/>
      <c r="Q3315" s="214"/>
    </row>
    <row r="3316" spans="1:17">
      <c r="A3316" s="175"/>
      <c r="B3316" s="175"/>
      <c r="P3316" s="4"/>
      <c r="Q3316" s="214"/>
    </row>
    <row r="3317" spans="1:17">
      <c r="A3317" s="175"/>
      <c r="B3317" s="175"/>
      <c r="P3317" s="4"/>
      <c r="Q3317" s="214"/>
    </row>
    <row r="3318" spans="1:17">
      <c r="A3318" s="175"/>
      <c r="B3318" s="175"/>
      <c r="P3318" s="4"/>
      <c r="Q3318" s="214"/>
    </row>
    <row r="3319" spans="1:17">
      <c r="A3319" s="175"/>
      <c r="B3319" s="175"/>
      <c r="P3319" s="4"/>
      <c r="Q3319" s="214"/>
    </row>
    <row r="3320" spans="1:17">
      <c r="A3320" s="175"/>
      <c r="B3320" s="175"/>
      <c r="P3320" s="4"/>
      <c r="Q3320" s="214"/>
    </row>
    <row r="3321" spans="1:17">
      <c r="A3321" s="175"/>
      <c r="B3321" s="175"/>
      <c r="P3321" s="4"/>
      <c r="Q3321" s="214"/>
    </row>
    <row r="3322" spans="1:17">
      <c r="A3322" s="175"/>
      <c r="B3322" s="175"/>
      <c r="P3322" s="4"/>
      <c r="Q3322" s="214"/>
    </row>
    <row r="3323" spans="1:17">
      <c r="A3323" s="175"/>
      <c r="B3323" s="175"/>
      <c r="P3323" s="4"/>
      <c r="Q3323" s="214"/>
    </row>
    <row r="3324" spans="1:17">
      <c r="A3324" s="175"/>
      <c r="B3324" s="175"/>
      <c r="P3324" s="4"/>
      <c r="Q3324" s="214"/>
    </row>
    <row r="3325" spans="1:17">
      <c r="A3325" s="175"/>
      <c r="B3325" s="175"/>
      <c r="P3325" s="4"/>
      <c r="Q3325" s="214"/>
    </row>
    <row r="3326" spans="1:17">
      <c r="A3326" s="175"/>
      <c r="B3326" s="175"/>
      <c r="P3326" s="4"/>
      <c r="Q3326" s="214"/>
    </row>
    <row r="3327" spans="1:17">
      <c r="A3327" s="175"/>
      <c r="B3327" s="175"/>
      <c r="P3327" s="4"/>
      <c r="Q3327" s="214"/>
    </row>
    <row r="3328" spans="1:17">
      <c r="A3328" s="175"/>
      <c r="B3328" s="175"/>
      <c r="P3328" s="4"/>
      <c r="Q3328" s="214"/>
    </row>
    <row r="3329" spans="1:17">
      <c r="A3329" s="175"/>
      <c r="B3329" s="175"/>
      <c r="P3329" s="4"/>
      <c r="Q3329" s="214"/>
    </row>
    <row r="3330" spans="1:17">
      <c r="A3330" s="175"/>
      <c r="B3330" s="175"/>
      <c r="P3330" s="4"/>
      <c r="Q3330" s="214"/>
    </row>
    <row r="3331" spans="1:17">
      <c r="A3331" s="175"/>
      <c r="B3331" s="175"/>
      <c r="P3331" s="4"/>
      <c r="Q3331" s="214"/>
    </row>
    <row r="3332" spans="1:17">
      <c r="A3332" s="175"/>
      <c r="B3332" s="175"/>
      <c r="P3332" s="4"/>
      <c r="Q3332" s="214"/>
    </row>
    <row r="3333" spans="1:17">
      <c r="A3333" s="175"/>
      <c r="B3333" s="175"/>
      <c r="P3333" s="4"/>
      <c r="Q3333" s="214"/>
    </row>
    <row r="3334" spans="1:17">
      <c r="A3334" s="175"/>
      <c r="B3334" s="175"/>
      <c r="P3334" s="4"/>
      <c r="Q3334" s="214"/>
    </row>
    <row r="3335" spans="1:17">
      <c r="A3335" s="175"/>
      <c r="B3335" s="175"/>
      <c r="P3335" s="4"/>
      <c r="Q3335" s="214"/>
    </row>
    <row r="3336" spans="1:17">
      <c r="A3336" s="175"/>
      <c r="B3336" s="175"/>
      <c r="P3336" s="4"/>
      <c r="Q3336" s="214"/>
    </row>
    <row r="3337" spans="1:17">
      <c r="A3337" s="175"/>
      <c r="B3337" s="175"/>
      <c r="P3337" s="4"/>
      <c r="Q3337" s="214"/>
    </row>
    <row r="3338" spans="1:17">
      <c r="A3338" s="175"/>
      <c r="B3338" s="175"/>
      <c r="P3338" s="4"/>
      <c r="Q3338" s="214"/>
    </row>
    <row r="3339" spans="1:17">
      <c r="A3339" s="175"/>
      <c r="B3339" s="175"/>
      <c r="P3339" s="4"/>
      <c r="Q3339" s="214"/>
    </row>
    <row r="3340" spans="1:17">
      <c r="A3340" s="175"/>
      <c r="B3340" s="175"/>
      <c r="P3340" s="4"/>
      <c r="Q3340" s="214"/>
    </row>
    <row r="3341" spans="1:17">
      <c r="A3341" s="175"/>
      <c r="B3341" s="175"/>
      <c r="P3341" s="4"/>
      <c r="Q3341" s="214"/>
    </row>
    <row r="3342" spans="1:17">
      <c r="A3342" s="175"/>
      <c r="B3342" s="175"/>
      <c r="P3342" s="4"/>
      <c r="Q3342" s="214"/>
    </row>
    <row r="3343" spans="1:17">
      <c r="A3343" s="175"/>
      <c r="B3343" s="175"/>
      <c r="P3343" s="4"/>
      <c r="Q3343" s="214"/>
    </row>
    <row r="3344" spans="1:17">
      <c r="A3344" s="175"/>
      <c r="B3344" s="175"/>
      <c r="P3344" s="4"/>
      <c r="Q3344" s="214"/>
    </row>
    <row r="3345" spans="1:17">
      <c r="A3345" s="175"/>
      <c r="B3345" s="175"/>
      <c r="P3345" s="4"/>
      <c r="Q3345" s="214"/>
    </row>
    <row r="3346" spans="1:17">
      <c r="A3346" s="175"/>
      <c r="B3346" s="175"/>
      <c r="P3346" s="4"/>
      <c r="Q3346" s="214"/>
    </row>
    <row r="3347" spans="1:17">
      <c r="A3347" s="175"/>
      <c r="B3347" s="175"/>
      <c r="P3347" s="4"/>
      <c r="Q3347" s="214"/>
    </row>
    <row r="3348" spans="1:17">
      <c r="A3348" s="175"/>
      <c r="B3348" s="175"/>
      <c r="P3348" s="4"/>
      <c r="Q3348" s="214"/>
    </row>
    <row r="3349" spans="1:17">
      <c r="A3349" s="175"/>
      <c r="B3349" s="175"/>
      <c r="P3349" s="4"/>
      <c r="Q3349" s="214"/>
    </row>
    <row r="3350" spans="1:17">
      <c r="A3350" s="175"/>
      <c r="B3350" s="175"/>
      <c r="P3350" s="4"/>
      <c r="Q3350" s="214"/>
    </row>
    <row r="3351" spans="1:17">
      <c r="A3351" s="175"/>
      <c r="B3351" s="175"/>
      <c r="P3351" s="4"/>
      <c r="Q3351" s="214"/>
    </row>
    <row r="3352" spans="1:17">
      <c r="A3352" s="175"/>
      <c r="B3352" s="175"/>
      <c r="P3352" s="4"/>
      <c r="Q3352" s="214"/>
    </row>
    <row r="3353" spans="1:17">
      <c r="A3353" s="175"/>
      <c r="B3353" s="175"/>
      <c r="P3353" s="4"/>
      <c r="Q3353" s="214"/>
    </row>
    <row r="3354" spans="1:17">
      <c r="A3354" s="175"/>
      <c r="B3354" s="175"/>
      <c r="P3354" s="4"/>
      <c r="Q3354" s="214"/>
    </row>
    <row r="3355" spans="1:17">
      <c r="A3355" s="175"/>
      <c r="B3355" s="175"/>
      <c r="P3355" s="4"/>
      <c r="Q3355" s="214"/>
    </row>
    <row r="3356" spans="1:17">
      <c r="A3356" s="175"/>
      <c r="B3356" s="175"/>
      <c r="P3356" s="4"/>
      <c r="Q3356" s="214"/>
    </row>
    <row r="3357" spans="1:17">
      <c r="A3357" s="175"/>
      <c r="B3357" s="175"/>
      <c r="P3357" s="4"/>
      <c r="Q3357" s="214"/>
    </row>
    <row r="3358" spans="1:17">
      <c r="A3358" s="175"/>
      <c r="B3358" s="175"/>
      <c r="P3358" s="4"/>
      <c r="Q3358" s="214"/>
    </row>
    <row r="3359" spans="1:17">
      <c r="A3359" s="175"/>
      <c r="B3359" s="175"/>
      <c r="P3359" s="4"/>
      <c r="Q3359" s="214"/>
    </row>
    <row r="3360" spans="1:17">
      <c r="A3360" s="175"/>
      <c r="B3360" s="175"/>
      <c r="P3360" s="4"/>
      <c r="Q3360" s="214"/>
    </row>
    <row r="3361" spans="1:17">
      <c r="A3361" s="175"/>
      <c r="B3361" s="175"/>
      <c r="P3361" s="4"/>
      <c r="Q3361" s="214"/>
    </row>
    <row r="3362" spans="1:17">
      <c r="A3362" s="175"/>
      <c r="B3362" s="175"/>
      <c r="P3362" s="4"/>
      <c r="Q3362" s="214"/>
    </row>
    <row r="3363" spans="1:17">
      <c r="A3363" s="175"/>
      <c r="B3363" s="175"/>
      <c r="P3363" s="4"/>
      <c r="Q3363" s="214"/>
    </row>
    <row r="3364" spans="1:17">
      <c r="A3364" s="175"/>
      <c r="B3364" s="175"/>
      <c r="P3364" s="4"/>
      <c r="Q3364" s="214"/>
    </row>
    <row r="3365" spans="1:17">
      <c r="A3365" s="175"/>
      <c r="B3365" s="175"/>
      <c r="P3365" s="4"/>
      <c r="Q3365" s="214"/>
    </row>
    <row r="3366" spans="1:17">
      <c r="A3366" s="175"/>
      <c r="B3366" s="175"/>
      <c r="P3366" s="4"/>
      <c r="Q3366" s="214"/>
    </row>
    <row r="3367" spans="1:17">
      <c r="A3367" s="175"/>
      <c r="B3367" s="175"/>
      <c r="P3367" s="4"/>
      <c r="Q3367" s="214"/>
    </row>
    <row r="3368" spans="1:17">
      <c r="A3368" s="175"/>
      <c r="B3368" s="175"/>
      <c r="P3368" s="4"/>
      <c r="Q3368" s="214"/>
    </row>
    <row r="3369" spans="1:17">
      <c r="A3369" s="175"/>
      <c r="B3369" s="175"/>
      <c r="P3369" s="4"/>
      <c r="Q3369" s="214"/>
    </row>
    <row r="3370" spans="1:17">
      <c r="A3370" s="175"/>
      <c r="B3370" s="175"/>
      <c r="P3370" s="4"/>
      <c r="Q3370" s="214"/>
    </row>
    <row r="3371" spans="1:17">
      <c r="A3371" s="175"/>
      <c r="B3371" s="175"/>
      <c r="P3371" s="4"/>
      <c r="Q3371" s="214"/>
    </row>
    <row r="3372" spans="1:17">
      <c r="A3372" s="175"/>
      <c r="B3372" s="175"/>
      <c r="P3372" s="4"/>
      <c r="Q3372" s="214"/>
    </row>
    <row r="3373" spans="1:17">
      <c r="A3373" s="175"/>
      <c r="B3373" s="175"/>
      <c r="P3373" s="4"/>
      <c r="Q3373" s="214"/>
    </row>
    <row r="3374" spans="1:17">
      <c r="A3374" s="175"/>
      <c r="B3374" s="175"/>
      <c r="P3374" s="4"/>
      <c r="Q3374" s="214"/>
    </row>
    <row r="3375" spans="1:17">
      <c r="A3375" s="175"/>
      <c r="B3375" s="175"/>
      <c r="P3375" s="4"/>
      <c r="Q3375" s="214"/>
    </row>
    <row r="3376" spans="1:17">
      <c r="A3376" s="175"/>
      <c r="B3376" s="175"/>
      <c r="P3376" s="4"/>
      <c r="Q3376" s="214"/>
    </row>
    <row r="3377" spans="1:17">
      <c r="A3377" s="175"/>
      <c r="B3377" s="175"/>
      <c r="P3377" s="4"/>
      <c r="Q3377" s="214"/>
    </row>
    <row r="3378" spans="1:17">
      <c r="A3378" s="175"/>
      <c r="B3378" s="175"/>
      <c r="P3378" s="4"/>
      <c r="Q3378" s="214"/>
    </row>
    <row r="3379" spans="1:17">
      <c r="A3379" s="175"/>
      <c r="B3379" s="175"/>
      <c r="P3379" s="4"/>
      <c r="Q3379" s="214"/>
    </row>
    <row r="3380" spans="1:17">
      <c r="A3380" s="175"/>
      <c r="B3380" s="175"/>
      <c r="P3380" s="4"/>
      <c r="Q3380" s="214"/>
    </row>
    <row r="3381" spans="1:17">
      <c r="A3381" s="175"/>
      <c r="B3381" s="175"/>
      <c r="P3381" s="4"/>
      <c r="Q3381" s="214"/>
    </row>
    <row r="3382" spans="1:17">
      <c r="A3382" s="175"/>
      <c r="B3382" s="175"/>
      <c r="P3382" s="4"/>
      <c r="Q3382" s="214"/>
    </row>
    <row r="3383" spans="1:17">
      <c r="A3383" s="175"/>
      <c r="B3383" s="175"/>
      <c r="P3383" s="4"/>
      <c r="Q3383" s="214"/>
    </row>
    <row r="3384" spans="1:17">
      <c r="A3384" s="175"/>
      <c r="B3384" s="175"/>
      <c r="P3384" s="4"/>
      <c r="Q3384" s="214"/>
    </row>
    <row r="3385" spans="1:17">
      <c r="A3385" s="175"/>
      <c r="B3385" s="175"/>
      <c r="P3385" s="4"/>
      <c r="Q3385" s="214"/>
    </row>
    <row r="3386" spans="1:17">
      <c r="A3386" s="175"/>
      <c r="B3386" s="175"/>
      <c r="P3386" s="4"/>
      <c r="Q3386" s="214"/>
    </row>
    <row r="3387" spans="1:17">
      <c r="A3387" s="175"/>
      <c r="B3387" s="175"/>
      <c r="P3387" s="4"/>
      <c r="Q3387" s="214"/>
    </row>
    <row r="3388" spans="1:17">
      <c r="A3388" s="175"/>
      <c r="B3388" s="175"/>
      <c r="P3388" s="4"/>
      <c r="Q3388" s="214"/>
    </row>
    <row r="3389" spans="1:17">
      <c r="A3389" s="175"/>
      <c r="B3389" s="175"/>
      <c r="P3389" s="4"/>
      <c r="Q3389" s="214"/>
    </row>
    <row r="3390" spans="1:17">
      <c r="A3390" s="175"/>
      <c r="B3390" s="175"/>
      <c r="P3390" s="4"/>
      <c r="Q3390" s="214"/>
    </row>
    <row r="3391" spans="1:17">
      <c r="A3391" s="175"/>
      <c r="B3391" s="175"/>
      <c r="P3391" s="4"/>
      <c r="Q3391" s="214"/>
    </row>
    <row r="3392" spans="1:17">
      <c r="A3392" s="175"/>
      <c r="B3392" s="175"/>
      <c r="P3392" s="4"/>
      <c r="Q3392" s="214"/>
    </row>
    <row r="3393" spans="1:17">
      <c r="A3393" s="175"/>
      <c r="B3393" s="175"/>
      <c r="P3393" s="4"/>
      <c r="Q3393" s="214"/>
    </row>
    <row r="3394" spans="1:17">
      <c r="A3394" s="175"/>
      <c r="B3394" s="175"/>
      <c r="P3394" s="4"/>
      <c r="Q3394" s="214"/>
    </row>
    <row r="3395" spans="1:17">
      <c r="A3395" s="175"/>
      <c r="B3395" s="175"/>
      <c r="P3395" s="4"/>
      <c r="Q3395" s="214"/>
    </row>
    <row r="3396" spans="1:17">
      <c r="A3396" s="175"/>
      <c r="B3396" s="175"/>
      <c r="P3396" s="4"/>
      <c r="Q3396" s="214"/>
    </row>
    <row r="3397" spans="1:17">
      <c r="A3397" s="175"/>
      <c r="B3397" s="175"/>
      <c r="P3397" s="4"/>
      <c r="Q3397" s="214"/>
    </row>
    <row r="3398" spans="1:17">
      <c r="A3398" s="175"/>
      <c r="B3398" s="175"/>
      <c r="P3398" s="4"/>
      <c r="Q3398" s="214"/>
    </row>
    <row r="3399" spans="1:17">
      <c r="A3399" s="175"/>
      <c r="B3399" s="175"/>
      <c r="P3399" s="4"/>
      <c r="Q3399" s="214"/>
    </row>
    <row r="3400" spans="1:17">
      <c r="A3400" s="175"/>
      <c r="B3400" s="175"/>
      <c r="P3400" s="4"/>
      <c r="Q3400" s="214"/>
    </row>
    <row r="3401" spans="1:17">
      <c r="A3401" s="175"/>
      <c r="B3401" s="175"/>
      <c r="P3401" s="4"/>
      <c r="Q3401" s="214"/>
    </row>
    <row r="3402" spans="1:17">
      <c r="A3402" s="175"/>
      <c r="B3402" s="175"/>
      <c r="P3402" s="4"/>
      <c r="Q3402" s="214"/>
    </row>
    <row r="3403" spans="1:17">
      <c r="A3403" s="175"/>
      <c r="B3403" s="175"/>
      <c r="P3403" s="4"/>
      <c r="Q3403" s="214"/>
    </row>
    <row r="3404" spans="1:17">
      <c r="A3404" s="175"/>
      <c r="B3404" s="175"/>
      <c r="P3404" s="4"/>
      <c r="Q3404" s="214"/>
    </row>
    <row r="3405" spans="1:17">
      <c r="A3405" s="175"/>
      <c r="B3405" s="175"/>
      <c r="P3405" s="4"/>
      <c r="Q3405" s="214"/>
    </row>
    <row r="3406" spans="1:17">
      <c r="A3406" s="175"/>
      <c r="B3406" s="175"/>
      <c r="P3406" s="4"/>
      <c r="Q3406" s="214"/>
    </row>
    <row r="3407" spans="1:17">
      <c r="A3407" s="175"/>
      <c r="B3407" s="175"/>
      <c r="P3407" s="4"/>
      <c r="Q3407" s="214"/>
    </row>
    <row r="3408" spans="1:17">
      <c r="A3408" s="175"/>
      <c r="B3408" s="175"/>
      <c r="P3408" s="4"/>
      <c r="Q3408" s="214"/>
    </row>
    <row r="3409" spans="1:17">
      <c r="A3409" s="175"/>
      <c r="B3409" s="175"/>
      <c r="P3409" s="4"/>
      <c r="Q3409" s="214"/>
    </row>
    <row r="3410" spans="1:17">
      <c r="A3410" s="175"/>
      <c r="B3410" s="175"/>
      <c r="P3410" s="4"/>
      <c r="Q3410" s="214"/>
    </row>
    <row r="3411" spans="1:17">
      <c r="A3411" s="175"/>
      <c r="B3411" s="175"/>
      <c r="P3411" s="4"/>
      <c r="Q3411" s="214"/>
    </row>
    <row r="3412" spans="1:17">
      <c r="A3412" s="175"/>
      <c r="B3412" s="175"/>
      <c r="P3412" s="4"/>
      <c r="Q3412" s="214"/>
    </row>
    <row r="3413" spans="1:17">
      <c r="A3413" s="175"/>
      <c r="B3413" s="175"/>
      <c r="P3413" s="4"/>
      <c r="Q3413" s="214"/>
    </row>
    <row r="3414" spans="1:17">
      <c r="A3414" s="175"/>
      <c r="B3414" s="175"/>
      <c r="P3414" s="4"/>
      <c r="Q3414" s="214"/>
    </row>
    <row r="3415" spans="1:17">
      <c r="A3415" s="175"/>
      <c r="B3415" s="175"/>
      <c r="P3415" s="4"/>
      <c r="Q3415" s="214"/>
    </row>
    <row r="3416" spans="1:17">
      <c r="A3416" s="175"/>
      <c r="B3416" s="175"/>
      <c r="P3416" s="4"/>
      <c r="Q3416" s="214"/>
    </row>
    <row r="3417" spans="1:17">
      <c r="A3417" s="175"/>
      <c r="B3417" s="175"/>
      <c r="P3417" s="4"/>
      <c r="Q3417" s="214"/>
    </row>
    <row r="3418" spans="1:17">
      <c r="A3418" s="175"/>
      <c r="B3418" s="175"/>
      <c r="P3418" s="4"/>
      <c r="Q3418" s="214"/>
    </row>
    <row r="3419" spans="1:17">
      <c r="A3419" s="175"/>
      <c r="B3419" s="175"/>
      <c r="P3419" s="4"/>
      <c r="Q3419" s="214"/>
    </row>
    <row r="3420" spans="1:17">
      <c r="A3420" s="175"/>
      <c r="B3420" s="175"/>
      <c r="P3420" s="4"/>
      <c r="Q3420" s="214"/>
    </row>
    <row r="3421" spans="1:17">
      <c r="A3421" s="175"/>
      <c r="B3421" s="175"/>
      <c r="P3421" s="4"/>
      <c r="Q3421" s="214"/>
    </row>
    <row r="3422" spans="1:17">
      <c r="A3422" s="175"/>
      <c r="B3422" s="175"/>
      <c r="P3422" s="4"/>
      <c r="Q3422" s="214"/>
    </row>
    <row r="3423" spans="1:17">
      <c r="A3423" s="175"/>
      <c r="B3423" s="175"/>
      <c r="P3423" s="4"/>
      <c r="Q3423" s="214"/>
    </row>
    <row r="3424" spans="1:17">
      <c r="A3424" s="175"/>
      <c r="B3424" s="175"/>
      <c r="P3424" s="4"/>
      <c r="Q3424" s="214"/>
    </row>
    <row r="3425" spans="1:17">
      <c r="A3425" s="175"/>
      <c r="B3425" s="175"/>
      <c r="P3425" s="4"/>
      <c r="Q3425" s="214"/>
    </row>
    <row r="3426" spans="1:17">
      <c r="A3426" s="175"/>
      <c r="B3426" s="175"/>
      <c r="P3426" s="4"/>
      <c r="Q3426" s="214"/>
    </row>
    <row r="3427" spans="1:17">
      <c r="A3427" s="175"/>
      <c r="B3427" s="175"/>
      <c r="P3427" s="4"/>
      <c r="Q3427" s="214"/>
    </row>
    <row r="3428" spans="1:17">
      <c r="A3428" s="175"/>
      <c r="B3428" s="175"/>
      <c r="P3428" s="4"/>
      <c r="Q3428" s="214"/>
    </row>
    <row r="3429" spans="1:17">
      <c r="A3429" s="175"/>
      <c r="B3429" s="175"/>
      <c r="P3429" s="4"/>
      <c r="Q3429" s="214"/>
    </row>
    <row r="3430" spans="1:17">
      <c r="A3430" s="175"/>
      <c r="B3430" s="175"/>
      <c r="P3430" s="4"/>
      <c r="Q3430" s="214"/>
    </row>
    <row r="3431" spans="1:17">
      <c r="A3431" s="175"/>
      <c r="B3431" s="175"/>
      <c r="P3431" s="4"/>
      <c r="Q3431" s="214"/>
    </row>
    <row r="3432" spans="1:17">
      <c r="A3432" s="175"/>
      <c r="B3432" s="175"/>
      <c r="P3432" s="4"/>
      <c r="Q3432" s="214"/>
    </row>
    <row r="3433" spans="1:17">
      <c r="A3433" s="175"/>
      <c r="B3433" s="175"/>
      <c r="P3433" s="4"/>
      <c r="Q3433" s="214"/>
    </row>
    <row r="3434" spans="1:17">
      <c r="A3434" s="175"/>
      <c r="B3434" s="175"/>
      <c r="P3434" s="4"/>
      <c r="Q3434" s="214"/>
    </row>
    <row r="3435" spans="1:17">
      <c r="A3435" s="175"/>
      <c r="B3435" s="175"/>
      <c r="P3435" s="4"/>
      <c r="Q3435" s="214"/>
    </row>
    <row r="3436" spans="1:17">
      <c r="A3436" s="175"/>
      <c r="B3436" s="175"/>
      <c r="P3436" s="4"/>
      <c r="Q3436" s="214"/>
    </row>
    <row r="3437" spans="1:17">
      <c r="A3437" s="175"/>
      <c r="B3437" s="175"/>
      <c r="P3437" s="4"/>
      <c r="Q3437" s="214"/>
    </row>
    <row r="3438" spans="1:17">
      <c r="A3438" s="175"/>
      <c r="B3438" s="175"/>
      <c r="P3438" s="4"/>
      <c r="Q3438" s="214"/>
    </row>
    <row r="3439" spans="1:17">
      <c r="A3439" s="175"/>
      <c r="B3439" s="175"/>
      <c r="P3439" s="4"/>
      <c r="Q3439" s="214"/>
    </row>
    <row r="3440" spans="1:17">
      <c r="A3440" s="175"/>
      <c r="B3440" s="175"/>
      <c r="P3440" s="4"/>
      <c r="Q3440" s="214"/>
    </row>
    <row r="3441" spans="1:17">
      <c r="A3441" s="175"/>
      <c r="B3441" s="175"/>
      <c r="P3441" s="4"/>
      <c r="Q3441" s="214"/>
    </row>
    <row r="3442" spans="1:17">
      <c r="A3442" s="175"/>
      <c r="B3442" s="175"/>
      <c r="P3442" s="4"/>
      <c r="Q3442" s="214"/>
    </row>
    <row r="3443" spans="1:17">
      <c r="A3443" s="175"/>
      <c r="B3443" s="175"/>
      <c r="P3443" s="4"/>
      <c r="Q3443" s="214"/>
    </row>
    <row r="3444" spans="1:17">
      <c r="A3444" s="175"/>
      <c r="B3444" s="175"/>
      <c r="P3444" s="4"/>
      <c r="Q3444" s="214"/>
    </row>
    <row r="3445" spans="1:17">
      <c r="A3445" s="175"/>
      <c r="B3445" s="175"/>
      <c r="P3445" s="4"/>
      <c r="Q3445" s="214"/>
    </row>
    <row r="3446" spans="1:17">
      <c r="A3446" s="175"/>
      <c r="B3446" s="175"/>
      <c r="P3446" s="4"/>
      <c r="Q3446" s="214"/>
    </row>
    <row r="3447" spans="1:17">
      <c r="A3447" s="175"/>
      <c r="B3447" s="175"/>
      <c r="P3447" s="4"/>
      <c r="Q3447" s="214"/>
    </row>
    <row r="3448" spans="1:17">
      <c r="A3448" s="175"/>
      <c r="B3448" s="175"/>
      <c r="P3448" s="4"/>
      <c r="Q3448" s="214"/>
    </row>
    <row r="3449" spans="1:17">
      <c r="A3449" s="175"/>
      <c r="B3449" s="175"/>
      <c r="P3449" s="4"/>
      <c r="Q3449" s="214"/>
    </row>
    <row r="3450" spans="1:17">
      <c r="A3450" s="175"/>
      <c r="B3450" s="175"/>
      <c r="P3450" s="4"/>
      <c r="Q3450" s="214"/>
    </row>
    <row r="3451" spans="1:17">
      <c r="A3451" s="175"/>
      <c r="B3451" s="175"/>
      <c r="P3451" s="4"/>
      <c r="Q3451" s="214"/>
    </row>
    <row r="3452" spans="1:17">
      <c r="A3452" s="175"/>
      <c r="B3452" s="175"/>
      <c r="P3452" s="4"/>
      <c r="Q3452" s="214"/>
    </row>
    <row r="3453" spans="1:17">
      <c r="A3453" s="175"/>
      <c r="B3453" s="175"/>
      <c r="P3453" s="4"/>
      <c r="Q3453" s="214"/>
    </row>
    <row r="3454" spans="1:17">
      <c r="A3454" s="175"/>
      <c r="B3454" s="175"/>
      <c r="P3454" s="4"/>
      <c r="Q3454" s="214"/>
    </row>
    <row r="3455" spans="1:17">
      <c r="A3455" s="175"/>
      <c r="B3455" s="175"/>
      <c r="P3455" s="4"/>
      <c r="Q3455" s="214"/>
    </row>
    <row r="3456" spans="1:17">
      <c r="A3456" s="175"/>
      <c r="B3456" s="175"/>
      <c r="P3456" s="4"/>
      <c r="Q3456" s="214"/>
    </row>
    <row r="3457" spans="1:17">
      <c r="A3457" s="175"/>
      <c r="B3457" s="175"/>
      <c r="P3457" s="4"/>
      <c r="Q3457" s="214"/>
    </row>
    <row r="3458" spans="1:17">
      <c r="A3458" s="175"/>
      <c r="B3458" s="175"/>
      <c r="P3458" s="4"/>
      <c r="Q3458" s="214"/>
    </row>
    <row r="3459" spans="1:17">
      <c r="A3459" s="175"/>
      <c r="B3459" s="175"/>
      <c r="P3459" s="4"/>
      <c r="Q3459" s="214"/>
    </row>
    <row r="3460" spans="1:17">
      <c r="A3460" s="175"/>
      <c r="B3460" s="175"/>
      <c r="P3460" s="4"/>
      <c r="Q3460" s="214"/>
    </row>
    <row r="3461" spans="1:17">
      <c r="A3461" s="175"/>
      <c r="B3461" s="175"/>
      <c r="P3461" s="4"/>
      <c r="Q3461" s="214"/>
    </row>
    <row r="3462" spans="1:17">
      <c r="A3462" s="175"/>
      <c r="B3462" s="175"/>
      <c r="P3462" s="4"/>
      <c r="Q3462" s="214"/>
    </row>
    <row r="3463" spans="1:17">
      <c r="A3463" s="175"/>
      <c r="B3463" s="175"/>
      <c r="P3463" s="4"/>
      <c r="Q3463" s="214"/>
    </row>
    <row r="3464" spans="1:17">
      <c r="A3464" s="175"/>
      <c r="B3464" s="175"/>
      <c r="P3464" s="4"/>
      <c r="Q3464" s="214"/>
    </row>
    <row r="3465" spans="1:17">
      <c r="A3465" s="175"/>
      <c r="B3465" s="175"/>
      <c r="P3465" s="4"/>
      <c r="Q3465" s="214"/>
    </row>
    <row r="3466" spans="1:17">
      <c r="A3466" s="175"/>
      <c r="B3466" s="175"/>
      <c r="P3466" s="4"/>
      <c r="Q3466" s="214"/>
    </row>
    <row r="3467" spans="1:17">
      <c r="A3467" s="175"/>
      <c r="B3467" s="175"/>
      <c r="P3467" s="4"/>
      <c r="Q3467" s="214"/>
    </row>
    <row r="3468" spans="1:17">
      <c r="A3468" s="175"/>
      <c r="B3468" s="175"/>
      <c r="P3468" s="4"/>
      <c r="Q3468" s="214"/>
    </row>
    <row r="3469" spans="1:17">
      <c r="A3469" s="175"/>
      <c r="B3469" s="175"/>
      <c r="P3469" s="4"/>
      <c r="Q3469" s="214"/>
    </row>
    <row r="3470" spans="1:17">
      <c r="A3470" s="175"/>
      <c r="B3470" s="175"/>
      <c r="P3470" s="4"/>
      <c r="Q3470" s="214"/>
    </row>
    <row r="3471" spans="1:17">
      <c r="A3471" s="175"/>
      <c r="B3471" s="175"/>
      <c r="P3471" s="4"/>
      <c r="Q3471" s="214"/>
    </row>
    <row r="3472" spans="1:17">
      <c r="A3472" s="175"/>
      <c r="B3472" s="175"/>
      <c r="P3472" s="4"/>
      <c r="Q3472" s="214"/>
    </row>
    <row r="3473" spans="1:17">
      <c r="A3473" s="175"/>
      <c r="B3473" s="175"/>
      <c r="P3473" s="4"/>
      <c r="Q3473" s="214"/>
    </row>
    <row r="3474" spans="1:17">
      <c r="A3474" s="175"/>
      <c r="B3474" s="175"/>
      <c r="P3474" s="4"/>
      <c r="Q3474" s="214"/>
    </row>
    <row r="3475" spans="1:17">
      <c r="A3475" s="175"/>
      <c r="B3475" s="175"/>
      <c r="P3475" s="4"/>
      <c r="Q3475" s="214"/>
    </row>
    <row r="3476" spans="1:17">
      <c r="A3476" s="175"/>
      <c r="B3476" s="175"/>
      <c r="P3476" s="4"/>
      <c r="Q3476" s="214"/>
    </row>
    <row r="3477" spans="1:17">
      <c r="A3477" s="175"/>
      <c r="B3477" s="175"/>
      <c r="P3477" s="4"/>
      <c r="Q3477" s="214"/>
    </row>
    <row r="3478" spans="1:17">
      <c r="A3478" s="175"/>
      <c r="B3478" s="175"/>
      <c r="P3478" s="4"/>
      <c r="Q3478" s="214"/>
    </row>
    <row r="3479" spans="1:17">
      <c r="A3479" s="175"/>
      <c r="B3479" s="175"/>
      <c r="P3479" s="4"/>
      <c r="Q3479" s="214"/>
    </row>
    <row r="3480" spans="1:17">
      <c r="A3480" s="175"/>
      <c r="B3480" s="175"/>
      <c r="P3480" s="4"/>
      <c r="Q3480" s="214"/>
    </row>
    <row r="3481" spans="1:17">
      <c r="A3481" s="175"/>
      <c r="B3481" s="175"/>
      <c r="P3481" s="4"/>
      <c r="Q3481" s="214"/>
    </row>
    <row r="3482" spans="1:17">
      <c r="A3482" s="175"/>
      <c r="B3482" s="175"/>
      <c r="P3482" s="4"/>
      <c r="Q3482" s="214"/>
    </row>
    <row r="3483" spans="1:17">
      <c r="A3483" s="175"/>
      <c r="B3483" s="175"/>
      <c r="P3483" s="4"/>
      <c r="Q3483" s="214"/>
    </row>
    <row r="3484" spans="1:17">
      <c r="A3484" s="175"/>
      <c r="B3484" s="175"/>
      <c r="P3484" s="4"/>
      <c r="Q3484" s="214"/>
    </row>
    <row r="3485" spans="1:17">
      <c r="A3485" s="175"/>
      <c r="B3485" s="175"/>
      <c r="P3485" s="4"/>
      <c r="Q3485" s="214"/>
    </row>
    <row r="3486" spans="1:17">
      <c r="A3486" s="175"/>
      <c r="B3486" s="175"/>
      <c r="P3486" s="4"/>
      <c r="Q3486" s="214"/>
    </row>
    <row r="3487" spans="1:17">
      <c r="A3487" s="175"/>
      <c r="B3487" s="175"/>
      <c r="P3487" s="4"/>
      <c r="Q3487" s="214"/>
    </row>
    <row r="3488" spans="1:17">
      <c r="A3488" s="175"/>
      <c r="B3488" s="175"/>
      <c r="P3488" s="4"/>
      <c r="Q3488" s="214"/>
    </row>
    <row r="3489" spans="1:17">
      <c r="A3489" s="175"/>
      <c r="B3489" s="175"/>
      <c r="P3489" s="4"/>
      <c r="Q3489" s="214"/>
    </row>
    <row r="3490" spans="1:17">
      <c r="A3490" s="175"/>
      <c r="B3490" s="175"/>
      <c r="P3490" s="4"/>
      <c r="Q3490" s="214"/>
    </row>
    <row r="3491" spans="1:17">
      <c r="A3491" s="175"/>
      <c r="B3491" s="175"/>
      <c r="P3491" s="4"/>
      <c r="Q3491" s="214"/>
    </row>
    <row r="3492" spans="1:17">
      <c r="A3492" s="175"/>
      <c r="B3492" s="175"/>
      <c r="P3492" s="4"/>
      <c r="Q3492" s="214"/>
    </row>
    <row r="3493" spans="1:17">
      <c r="A3493" s="175"/>
      <c r="B3493" s="175"/>
      <c r="P3493" s="4"/>
      <c r="Q3493" s="214"/>
    </row>
    <row r="3494" spans="1:17">
      <c r="A3494" s="175"/>
      <c r="B3494" s="175"/>
      <c r="P3494" s="4"/>
      <c r="Q3494" s="214"/>
    </row>
    <row r="3495" spans="1:17">
      <c r="A3495" s="175"/>
      <c r="B3495" s="175"/>
      <c r="P3495" s="4"/>
      <c r="Q3495" s="214"/>
    </row>
    <row r="3496" spans="1:17">
      <c r="A3496" s="175"/>
      <c r="B3496" s="175"/>
      <c r="P3496" s="4"/>
      <c r="Q3496" s="214"/>
    </row>
    <row r="3497" spans="1:17">
      <c r="A3497" s="175"/>
      <c r="B3497" s="175"/>
      <c r="P3497" s="4"/>
      <c r="Q3497" s="214"/>
    </row>
    <row r="3498" spans="1:17">
      <c r="A3498" s="175"/>
      <c r="B3498" s="175"/>
      <c r="P3498" s="4"/>
      <c r="Q3498" s="214"/>
    </row>
    <row r="3499" spans="1:17">
      <c r="A3499" s="175"/>
      <c r="B3499" s="175"/>
      <c r="P3499" s="4"/>
      <c r="Q3499" s="214"/>
    </row>
    <row r="3500" spans="1:17">
      <c r="A3500" s="175"/>
      <c r="B3500" s="175"/>
      <c r="P3500" s="4"/>
      <c r="Q3500" s="214"/>
    </row>
    <row r="3501" spans="1:17">
      <c r="A3501" s="175"/>
      <c r="B3501" s="175"/>
      <c r="P3501" s="4"/>
      <c r="Q3501" s="214"/>
    </row>
    <row r="3502" spans="1:17">
      <c r="A3502" s="175"/>
      <c r="B3502" s="175"/>
      <c r="P3502" s="4"/>
      <c r="Q3502" s="214"/>
    </row>
    <row r="3503" spans="1:17">
      <c r="A3503" s="175"/>
      <c r="B3503" s="175"/>
      <c r="P3503" s="4"/>
      <c r="Q3503" s="214"/>
    </row>
    <row r="3504" spans="1:17">
      <c r="A3504" s="175"/>
      <c r="B3504" s="175"/>
      <c r="P3504" s="4"/>
      <c r="Q3504" s="214"/>
    </row>
    <row r="3505" spans="1:17">
      <c r="A3505" s="175"/>
      <c r="B3505" s="175"/>
      <c r="P3505" s="4"/>
      <c r="Q3505" s="214"/>
    </row>
    <row r="3506" spans="1:17">
      <c r="A3506" s="175"/>
      <c r="B3506" s="175"/>
      <c r="P3506" s="4"/>
      <c r="Q3506" s="214"/>
    </row>
    <row r="3507" spans="1:17">
      <c r="A3507" s="175"/>
      <c r="B3507" s="175"/>
      <c r="P3507" s="4"/>
      <c r="Q3507" s="214"/>
    </row>
    <row r="3508" spans="1:17">
      <c r="A3508" s="175"/>
      <c r="B3508" s="175"/>
      <c r="P3508" s="4"/>
      <c r="Q3508" s="214"/>
    </row>
    <row r="3509" spans="1:17">
      <c r="A3509" s="175"/>
      <c r="B3509" s="175"/>
      <c r="P3509" s="4"/>
      <c r="Q3509" s="214"/>
    </row>
    <row r="3510" spans="1:17">
      <c r="A3510" s="175"/>
      <c r="B3510" s="175"/>
      <c r="P3510" s="4"/>
      <c r="Q3510" s="214"/>
    </row>
    <row r="3511" spans="1:17">
      <c r="A3511" s="175"/>
      <c r="B3511" s="175"/>
      <c r="P3511" s="4"/>
      <c r="Q3511" s="214"/>
    </row>
    <row r="3512" spans="1:17">
      <c r="A3512" s="175"/>
      <c r="B3512" s="175"/>
      <c r="P3512" s="4"/>
      <c r="Q3512" s="214"/>
    </row>
    <row r="3513" spans="1:17">
      <c r="A3513" s="175"/>
      <c r="B3513" s="175"/>
      <c r="P3513" s="4"/>
      <c r="Q3513" s="214"/>
    </row>
    <row r="3514" spans="1:17">
      <c r="A3514" s="175"/>
      <c r="B3514" s="175"/>
      <c r="P3514" s="4"/>
      <c r="Q3514" s="214"/>
    </row>
    <row r="3515" spans="1:17">
      <c r="A3515" s="175"/>
      <c r="B3515" s="175"/>
      <c r="P3515" s="4"/>
      <c r="Q3515" s="214"/>
    </row>
    <row r="3516" spans="1:17">
      <c r="A3516" s="175"/>
      <c r="B3516" s="175"/>
      <c r="P3516" s="4"/>
      <c r="Q3516" s="214"/>
    </row>
    <row r="3517" spans="1:17">
      <c r="A3517" s="175"/>
      <c r="B3517" s="175"/>
      <c r="P3517" s="4"/>
      <c r="Q3517" s="214"/>
    </row>
    <row r="3518" spans="1:17">
      <c r="A3518" s="175"/>
      <c r="B3518" s="175"/>
      <c r="P3518" s="4"/>
      <c r="Q3518" s="214"/>
    </row>
    <row r="3519" spans="1:17">
      <c r="A3519" s="175"/>
      <c r="B3519" s="175"/>
      <c r="P3519" s="4"/>
      <c r="Q3519" s="214"/>
    </row>
    <row r="3520" spans="1:17">
      <c r="A3520" s="175"/>
      <c r="B3520" s="175"/>
      <c r="P3520" s="4"/>
      <c r="Q3520" s="214"/>
    </row>
    <row r="3521" spans="1:17">
      <c r="A3521" s="175"/>
      <c r="B3521" s="175"/>
      <c r="P3521" s="4"/>
      <c r="Q3521" s="214"/>
    </row>
    <row r="3522" spans="1:17">
      <c r="A3522" s="175"/>
      <c r="B3522" s="175"/>
      <c r="P3522" s="4"/>
      <c r="Q3522" s="214"/>
    </row>
    <row r="3523" spans="1:17">
      <c r="A3523" s="175"/>
      <c r="B3523" s="175"/>
      <c r="P3523" s="4"/>
      <c r="Q3523" s="214"/>
    </row>
    <row r="3524" spans="1:17">
      <c r="A3524" s="175"/>
      <c r="B3524" s="175"/>
      <c r="P3524" s="4"/>
      <c r="Q3524" s="214"/>
    </row>
    <row r="3525" spans="1:17">
      <c r="A3525" s="175"/>
      <c r="B3525" s="175"/>
      <c r="P3525" s="4"/>
      <c r="Q3525" s="214"/>
    </row>
    <row r="3526" spans="1:17">
      <c r="A3526" s="175"/>
      <c r="B3526" s="175"/>
      <c r="P3526" s="4"/>
      <c r="Q3526" s="214"/>
    </row>
    <row r="3527" spans="1:17">
      <c r="A3527" s="175"/>
      <c r="B3527" s="175"/>
      <c r="P3527" s="4"/>
      <c r="Q3527" s="214"/>
    </row>
    <row r="3528" spans="1:17">
      <c r="A3528" s="175"/>
      <c r="B3528" s="175"/>
      <c r="P3528" s="4"/>
      <c r="Q3528" s="214"/>
    </row>
    <row r="3529" spans="1:17">
      <c r="A3529" s="175"/>
      <c r="B3529" s="175"/>
      <c r="P3529" s="4"/>
      <c r="Q3529" s="214"/>
    </row>
    <row r="3530" spans="1:17">
      <c r="A3530" s="175"/>
      <c r="B3530" s="175"/>
      <c r="P3530" s="4"/>
      <c r="Q3530" s="214"/>
    </row>
    <row r="3531" spans="1:17">
      <c r="A3531" s="175"/>
      <c r="B3531" s="175"/>
      <c r="P3531" s="4"/>
      <c r="Q3531" s="214"/>
    </row>
    <row r="3532" spans="1:17">
      <c r="A3532" s="175"/>
      <c r="B3532" s="175"/>
      <c r="P3532" s="4"/>
      <c r="Q3532" s="214"/>
    </row>
    <row r="3533" spans="1:17">
      <c r="A3533" s="175"/>
      <c r="B3533" s="175"/>
      <c r="P3533" s="4"/>
      <c r="Q3533" s="214"/>
    </row>
    <row r="3534" spans="1:17">
      <c r="A3534" s="175"/>
      <c r="B3534" s="175"/>
      <c r="P3534" s="4"/>
      <c r="Q3534" s="214"/>
    </row>
    <row r="3535" spans="1:17">
      <c r="A3535" s="175"/>
      <c r="B3535" s="175"/>
      <c r="P3535" s="4"/>
      <c r="Q3535" s="214"/>
    </row>
    <row r="3536" spans="1:17">
      <c r="A3536" s="175"/>
      <c r="B3536" s="175"/>
      <c r="P3536" s="4"/>
      <c r="Q3536" s="214"/>
    </row>
    <row r="3537" spans="1:17">
      <c r="A3537" s="175"/>
      <c r="B3537" s="175"/>
      <c r="P3537" s="4"/>
      <c r="Q3537" s="214"/>
    </row>
    <row r="3538" spans="1:17">
      <c r="A3538" s="175"/>
      <c r="B3538" s="175"/>
      <c r="P3538" s="4"/>
      <c r="Q3538" s="214"/>
    </row>
    <row r="3539" spans="1:17">
      <c r="A3539" s="175"/>
      <c r="B3539" s="175"/>
      <c r="P3539" s="4"/>
      <c r="Q3539" s="214"/>
    </row>
    <row r="3540" spans="1:17">
      <c r="A3540" s="175"/>
      <c r="B3540" s="175"/>
      <c r="P3540" s="4"/>
      <c r="Q3540" s="214"/>
    </row>
    <row r="3541" spans="1:17">
      <c r="A3541" s="175"/>
      <c r="B3541" s="175"/>
      <c r="P3541" s="4"/>
      <c r="Q3541" s="214"/>
    </row>
    <row r="3542" spans="1:17">
      <c r="A3542" s="175"/>
      <c r="B3542" s="175"/>
      <c r="P3542" s="4"/>
      <c r="Q3542" s="214"/>
    </row>
    <row r="3543" spans="1:17">
      <c r="A3543" s="175"/>
      <c r="B3543" s="175"/>
      <c r="P3543" s="4"/>
      <c r="Q3543" s="214"/>
    </row>
    <row r="3544" spans="1:17">
      <c r="A3544" s="175"/>
      <c r="B3544" s="175"/>
      <c r="P3544" s="4"/>
      <c r="Q3544" s="214"/>
    </row>
    <row r="3545" spans="1:17">
      <c r="A3545" s="175"/>
      <c r="B3545" s="175"/>
      <c r="P3545" s="4"/>
      <c r="Q3545" s="214"/>
    </row>
    <row r="3546" spans="1:17">
      <c r="A3546" s="175"/>
      <c r="B3546" s="175"/>
      <c r="P3546" s="4"/>
      <c r="Q3546" s="214"/>
    </row>
    <row r="3547" spans="1:17">
      <c r="A3547" s="175"/>
      <c r="B3547" s="175"/>
      <c r="P3547" s="4"/>
      <c r="Q3547" s="214"/>
    </row>
    <row r="3548" spans="1:17">
      <c r="A3548" s="175"/>
      <c r="B3548" s="175"/>
      <c r="P3548" s="4"/>
      <c r="Q3548" s="214"/>
    </row>
    <row r="3549" spans="1:17">
      <c r="A3549" s="175"/>
      <c r="B3549" s="175"/>
      <c r="P3549" s="4"/>
      <c r="Q3549" s="214"/>
    </row>
    <row r="3550" spans="1:17">
      <c r="A3550" s="175"/>
      <c r="B3550" s="175"/>
      <c r="P3550" s="4"/>
      <c r="Q3550" s="214"/>
    </row>
    <row r="3551" spans="1:17">
      <c r="A3551" s="175"/>
      <c r="B3551" s="175"/>
      <c r="P3551" s="4"/>
      <c r="Q3551" s="214"/>
    </row>
    <row r="3552" spans="1:17">
      <c r="A3552" s="175"/>
      <c r="B3552" s="175"/>
      <c r="P3552" s="4"/>
      <c r="Q3552" s="214"/>
    </row>
    <row r="3553" spans="1:17">
      <c r="A3553" s="175"/>
      <c r="B3553" s="175"/>
      <c r="P3553" s="4"/>
      <c r="Q3553" s="214"/>
    </row>
    <row r="3554" spans="1:17">
      <c r="A3554" s="175"/>
      <c r="B3554" s="175"/>
      <c r="P3554" s="4"/>
      <c r="Q3554" s="214"/>
    </row>
    <row r="3555" spans="1:17">
      <c r="A3555" s="175"/>
      <c r="B3555" s="175"/>
      <c r="P3555" s="4"/>
      <c r="Q3555" s="214"/>
    </row>
    <row r="3556" spans="1:17">
      <c r="A3556" s="175"/>
      <c r="B3556" s="175"/>
      <c r="P3556" s="4"/>
      <c r="Q3556" s="214"/>
    </row>
    <row r="3557" spans="1:17">
      <c r="A3557" s="175"/>
      <c r="B3557" s="175"/>
      <c r="P3557" s="4"/>
      <c r="Q3557" s="214"/>
    </row>
    <row r="3558" spans="1:17">
      <c r="A3558" s="175"/>
      <c r="B3558" s="175"/>
      <c r="P3558" s="4"/>
      <c r="Q3558" s="214"/>
    </row>
    <row r="3559" spans="1:17">
      <c r="A3559" s="175"/>
      <c r="B3559" s="175"/>
      <c r="P3559" s="4"/>
      <c r="Q3559" s="214"/>
    </row>
    <row r="3560" spans="1:17">
      <c r="A3560" s="175"/>
      <c r="B3560" s="175"/>
      <c r="P3560" s="4"/>
      <c r="Q3560" s="214"/>
    </row>
    <row r="3561" spans="1:17">
      <c r="A3561" s="175"/>
      <c r="B3561" s="175"/>
      <c r="P3561" s="4"/>
      <c r="Q3561" s="214"/>
    </row>
    <row r="3562" spans="1:17">
      <c r="A3562" s="175"/>
      <c r="B3562" s="175"/>
      <c r="P3562" s="4"/>
      <c r="Q3562" s="214"/>
    </row>
    <row r="3563" spans="1:17">
      <c r="A3563" s="175"/>
      <c r="B3563" s="175"/>
      <c r="P3563" s="4"/>
      <c r="Q3563" s="214"/>
    </row>
    <row r="3564" spans="1:17">
      <c r="A3564" s="175"/>
      <c r="B3564" s="175"/>
      <c r="P3564" s="4"/>
      <c r="Q3564" s="214"/>
    </row>
    <row r="3565" spans="1:17">
      <c r="A3565" s="175"/>
      <c r="B3565" s="175"/>
      <c r="P3565" s="4"/>
      <c r="Q3565" s="214"/>
    </row>
    <row r="3566" spans="1:17">
      <c r="A3566" s="175"/>
      <c r="B3566" s="175"/>
      <c r="P3566" s="4"/>
      <c r="Q3566" s="214"/>
    </row>
    <row r="3567" spans="1:17">
      <c r="A3567" s="175"/>
      <c r="B3567" s="175"/>
      <c r="P3567" s="4"/>
      <c r="Q3567" s="214"/>
    </row>
    <row r="3568" spans="1:17">
      <c r="A3568" s="175"/>
      <c r="B3568" s="175"/>
      <c r="P3568" s="4"/>
      <c r="Q3568" s="214"/>
    </row>
    <row r="3569" spans="1:17">
      <c r="A3569" s="175"/>
      <c r="B3569" s="175"/>
      <c r="P3569" s="4"/>
      <c r="Q3569" s="214"/>
    </row>
    <row r="3570" spans="1:17">
      <c r="A3570" s="175"/>
      <c r="B3570" s="175"/>
      <c r="P3570" s="4"/>
      <c r="Q3570" s="214"/>
    </row>
    <row r="3571" spans="1:17">
      <c r="A3571" s="175"/>
      <c r="B3571" s="175"/>
      <c r="P3571" s="4"/>
      <c r="Q3571" s="214"/>
    </row>
    <row r="3572" spans="1:17">
      <c r="A3572" s="175"/>
      <c r="B3572" s="175"/>
      <c r="P3572" s="4"/>
      <c r="Q3572" s="214"/>
    </row>
    <row r="3573" spans="1:17">
      <c r="A3573" s="175"/>
      <c r="B3573" s="175"/>
      <c r="P3573" s="4"/>
      <c r="Q3573" s="214"/>
    </row>
    <row r="3574" spans="1:17">
      <c r="A3574" s="175"/>
      <c r="B3574" s="175"/>
      <c r="P3574" s="4"/>
      <c r="Q3574" s="214"/>
    </row>
    <row r="3575" spans="1:17">
      <c r="A3575" s="175"/>
      <c r="B3575" s="175"/>
      <c r="P3575" s="4"/>
      <c r="Q3575" s="214"/>
    </row>
    <row r="3576" spans="1:17">
      <c r="A3576" s="175"/>
      <c r="B3576" s="175"/>
      <c r="P3576" s="4"/>
      <c r="Q3576" s="214"/>
    </row>
    <row r="3577" spans="1:17">
      <c r="A3577" s="175"/>
      <c r="B3577" s="175"/>
      <c r="P3577" s="4"/>
      <c r="Q3577" s="214"/>
    </row>
    <row r="3578" spans="1:17">
      <c r="A3578" s="175"/>
      <c r="B3578" s="175"/>
      <c r="P3578" s="4"/>
      <c r="Q3578" s="214"/>
    </row>
    <row r="3579" spans="1:17">
      <c r="A3579" s="175"/>
      <c r="B3579" s="175"/>
      <c r="P3579" s="4"/>
      <c r="Q3579" s="214"/>
    </row>
    <row r="3580" spans="1:17">
      <c r="A3580" s="175"/>
      <c r="B3580" s="175"/>
      <c r="P3580" s="4"/>
      <c r="Q3580" s="214"/>
    </row>
    <row r="3581" spans="1:17">
      <c r="A3581" s="175"/>
      <c r="B3581" s="175"/>
      <c r="P3581" s="4"/>
      <c r="Q3581" s="214"/>
    </row>
    <row r="3582" spans="1:17">
      <c r="A3582" s="175"/>
      <c r="B3582" s="175"/>
      <c r="P3582" s="4"/>
      <c r="Q3582" s="214"/>
    </row>
    <row r="3583" spans="1:17">
      <c r="A3583" s="175"/>
      <c r="B3583" s="175"/>
      <c r="P3583" s="4"/>
      <c r="Q3583" s="214"/>
    </row>
    <row r="3584" spans="1:17">
      <c r="A3584" s="175"/>
      <c r="B3584" s="175"/>
      <c r="P3584" s="4"/>
      <c r="Q3584" s="214"/>
    </row>
    <row r="3585" spans="1:17">
      <c r="A3585" s="175"/>
      <c r="B3585" s="175"/>
      <c r="P3585" s="4"/>
      <c r="Q3585" s="214"/>
    </row>
    <row r="3586" spans="1:17">
      <c r="A3586" s="175"/>
      <c r="B3586" s="175"/>
      <c r="P3586" s="4"/>
      <c r="Q3586" s="214"/>
    </row>
    <row r="3587" spans="1:17">
      <c r="A3587" s="175"/>
      <c r="B3587" s="175"/>
      <c r="P3587" s="4"/>
      <c r="Q3587" s="214"/>
    </row>
    <row r="3588" spans="1:17">
      <c r="A3588" s="175"/>
      <c r="B3588" s="175"/>
      <c r="P3588" s="4"/>
      <c r="Q3588" s="214"/>
    </row>
    <row r="3589" spans="1:17">
      <c r="A3589" s="175"/>
      <c r="B3589" s="175"/>
      <c r="P3589" s="4"/>
      <c r="Q3589" s="214"/>
    </row>
    <row r="3590" spans="1:17">
      <c r="A3590" s="175"/>
      <c r="B3590" s="175"/>
      <c r="P3590" s="4"/>
      <c r="Q3590" s="214"/>
    </row>
    <row r="3591" spans="1:17">
      <c r="A3591" s="175"/>
      <c r="B3591" s="175"/>
      <c r="P3591" s="4"/>
      <c r="Q3591" s="214"/>
    </row>
    <row r="3592" spans="1:17">
      <c r="A3592" s="175"/>
      <c r="B3592" s="175"/>
      <c r="P3592" s="4"/>
      <c r="Q3592" s="214"/>
    </row>
    <row r="3593" spans="1:17">
      <c r="A3593" s="175"/>
      <c r="B3593" s="175"/>
      <c r="P3593" s="4"/>
      <c r="Q3593" s="214"/>
    </row>
    <row r="3594" spans="1:17">
      <c r="A3594" s="175"/>
      <c r="B3594" s="175"/>
      <c r="P3594" s="4"/>
      <c r="Q3594" s="214"/>
    </row>
    <row r="3595" spans="1:17">
      <c r="A3595" s="175"/>
      <c r="B3595" s="175"/>
      <c r="P3595" s="4"/>
      <c r="Q3595" s="214"/>
    </row>
    <row r="3596" spans="1:17">
      <c r="A3596" s="175"/>
      <c r="B3596" s="175"/>
      <c r="P3596" s="4"/>
      <c r="Q3596" s="214"/>
    </row>
    <row r="3597" spans="1:17">
      <c r="A3597" s="175"/>
      <c r="B3597" s="175"/>
      <c r="P3597" s="4"/>
      <c r="Q3597" s="214"/>
    </row>
    <row r="3598" spans="1:17">
      <c r="A3598" s="175"/>
      <c r="B3598" s="175"/>
      <c r="P3598" s="4"/>
      <c r="Q3598" s="214"/>
    </row>
    <row r="3599" spans="1:17">
      <c r="A3599" s="175"/>
      <c r="B3599" s="175"/>
      <c r="P3599" s="4"/>
      <c r="Q3599" s="214"/>
    </row>
    <row r="3600" spans="1:17">
      <c r="A3600" s="175"/>
      <c r="B3600" s="175"/>
      <c r="P3600" s="4"/>
      <c r="Q3600" s="214"/>
    </row>
    <row r="3601" spans="1:17">
      <c r="A3601" s="175"/>
      <c r="B3601" s="175"/>
      <c r="P3601" s="4"/>
      <c r="Q3601" s="214"/>
    </row>
    <row r="3602" spans="1:17">
      <c r="A3602" s="175"/>
      <c r="B3602" s="175"/>
      <c r="P3602" s="4"/>
      <c r="Q3602" s="214"/>
    </row>
    <row r="3603" spans="1:17">
      <c r="A3603" s="175"/>
      <c r="B3603" s="175"/>
      <c r="P3603" s="4"/>
      <c r="Q3603" s="214"/>
    </row>
    <row r="3604" spans="1:17">
      <c r="A3604" s="175"/>
      <c r="B3604" s="175"/>
      <c r="P3604" s="4"/>
      <c r="Q3604" s="214"/>
    </row>
    <row r="3605" spans="1:17">
      <c r="A3605" s="175"/>
      <c r="B3605" s="175"/>
      <c r="P3605" s="4"/>
      <c r="Q3605" s="214"/>
    </row>
    <row r="3606" spans="1:17">
      <c r="A3606" s="175"/>
      <c r="B3606" s="175"/>
      <c r="P3606" s="4"/>
      <c r="Q3606" s="214"/>
    </row>
    <row r="3607" spans="1:17">
      <c r="A3607" s="175"/>
      <c r="B3607" s="175"/>
      <c r="P3607" s="4"/>
      <c r="Q3607" s="214"/>
    </row>
    <row r="3608" spans="1:17">
      <c r="A3608" s="175"/>
      <c r="B3608" s="175"/>
      <c r="P3608" s="4"/>
      <c r="Q3608" s="214"/>
    </row>
    <row r="3609" spans="1:17">
      <c r="A3609" s="175"/>
      <c r="B3609" s="175"/>
      <c r="P3609" s="4"/>
      <c r="Q3609" s="214"/>
    </row>
    <row r="3610" spans="1:17">
      <c r="A3610" s="175"/>
      <c r="B3610" s="175"/>
      <c r="P3610" s="4"/>
      <c r="Q3610" s="214"/>
    </row>
    <row r="3611" spans="1:17">
      <c r="A3611" s="175"/>
      <c r="B3611" s="175"/>
      <c r="P3611" s="4"/>
      <c r="Q3611" s="214"/>
    </row>
    <row r="3612" spans="1:17">
      <c r="A3612" s="175"/>
      <c r="B3612" s="175"/>
      <c r="P3612" s="4"/>
      <c r="Q3612" s="214"/>
    </row>
    <row r="3613" spans="1:17">
      <c r="A3613" s="175"/>
      <c r="B3613" s="175"/>
      <c r="P3613" s="4"/>
      <c r="Q3613" s="214"/>
    </row>
    <row r="3614" spans="1:17">
      <c r="A3614" s="175"/>
      <c r="B3614" s="175"/>
      <c r="P3614" s="4"/>
      <c r="Q3614" s="214"/>
    </row>
    <row r="3615" spans="1:17">
      <c r="A3615" s="175"/>
      <c r="B3615" s="175"/>
      <c r="P3615" s="4"/>
      <c r="Q3615" s="214"/>
    </row>
    <row r="3616" spans="1:17">
      <c r="A3616" s="175"/>
      <c r="B3616" s="175"/>
      <c r="P3616" s="4"/>
      <c r="Q3616" s="214"/>
    </row>
    <row r="3617" spans="1:17">
      <c r="A3617" s="175"/>
      <c r="B3617" s="175"/>
      <c r="P3617" s="4"/>
      <c r="Q3617" s="214"/>
    </row>
    <row r="3618" spans="1:17">
      <c r="A3618" s="175"/>
      <c r="B3618" s="175"/>
      <c r="P3618" s="4"/>
      <c r="Q3618" s="214"/>
    </row>
    <row r="3619" spans="1:17">
      <c r="A3619" s="175"/>
      <c r="B3619" s="175"/>
      <c r="P3619" s="4"/>
      <c r="Q3619" s="214"/>
    </row>
    <row r="3620" spans="1:17">
      <c r="A3620" s="175"/>
      <c r="B3620" s="175"/>
      <c r="P3620" s="4"/>
      <c r="Q3620" s="214"/>
    </row>
    <row r="3621" spans="1:17">
      <c r="A3621" s="175"/>
      <c r="B3621" s="175"/>
      <c r="P3621" s="4"/>
      <c r="Q3621" s="214"/>
    </row>
    <row r="3622" spans="1:17">
      <c r="A3622" s="175"/>
      <c r="B3622" s="175"/>
      <c r="P3622" s="4"/>
      <c r="Q3622" s="214"/>
    </row>
    <row r="3623" spans="1:17">
      <c r="A3623" s="175"/>
      <c r="B3623" s="175"/>
      <c r="P3623" s="4"/>
      <c r="Q3623" s="214"/>
    </row>
    <row r="3624" spans="1:17">
      <c r="A3624" s="175"/>
      <c r="B3624" s="175"/>
      <c r="P3624" s="4"/>
      <c r="Q3624" s="214"/>
    </row>
    <row r="3625" spans="1:17">
      <c r="A3625" s="175"/>
      <c r="B3625" s="175"/>
      <c r="P3625" s="4"/>
      <c r="Q3625" s="214"/>
    </row>
    <row r="3626" spans="1:17">
      <c r="A3626" s="175"/>
      <c r="B3626" s="175"/>
      <c r="P3626" s="4"/>
      <c r="Q3626" s="214"/>
    </row>
    <row r="3627" spans="1:17">
      <c r="A3627" s="175"/>
      <c r="B3627" s="175"/>
      <c r="P3627" s="4"/>
      <c r="Q3627" s="214"/>
    </row>
    <row r="3628" spans="1:17">
      <c r="A3628" s="175"/>
      <c r="B3628" s="175"/>
      <c r="P3628" s="4"/>
      <c r="Q3628" s="214"/>
    </row>
    <row r="3629" spans="1:17">
      <c r="A3629" s="175"/>
      <c r="B3629" s="175"/>
      <c r="P3629" s="4"/>
      <c r="Q3629" s="214"/>
    </row>
    <row r="3630" spans="1:17">
      <c r="A3630" s="175"/>
      <c r="B3630" s="175"/>
      <c r="P3630" s="4"/>
      <c r="Q3630" s="214"/>
    </row>
    <row r="3631" spans="1:17">
      <c r="A3631" s="175"/>
      <c r="B3631" s="175"/>
      <c r="P3631" s="4"/>
      <c r="Q3631" s="214"/>
    </row>
    <row r="3632" spans="1:17">
      <c r="A3632" s="175"/>
      <c r="B3632" s="175"/>
      <c r="P3632" s="4"/>
      <c r="Q3632" s="214"/>
    </row>
    <row r="3633" spans="1:17">
      <c r="A3633" s="175"/>
      <c r="B3633" s="175"/>
      <c r="P3633" s="4"/>
      <c r="Q3633" s="214"/>
    </row>
    <row r="3634" spans="1:17">
      <c r="A3634" s="175"/>
      <c r="B3634" s="175"/>
      <c r="P3634" s="4"/>
      <c r="Q3634" s="214"/>
    </row>
    <row r="3635" spans="1:17">
      <c r="A3635" s="175"/>
      <c r="B3635" s="175"/>
      <c r="P3635" s="4"/>
      <c r="Q3635" s="214"/>
    </row>
    <row r="3636" spans="1:17">
      <c r="A3636" s="175"/>
      <c r="B3636" s="175"/>
      <c r="P3636" s="4"/>
      <c r="Q3636" s="214"/>
    </row>
    <row r="3637" spans="1:17">
      <c r="A3637" s="175"/>
      <c r="B3637" s="175"/>
      <c r="P3637" s="4"/>
      <c r="Q3637" s="214"/>
    </row>
    <row r="3638" spans="1:17">
      <c r="A3638" s="175"/>
      <c r="B3638" s="175"/>
      <c r="P3638" s="4"/>
      <c r="Q3638" s="214"/>
    </row>
    <row r="3639" spans="1:17">
      <c r="A3639" s="175"/>
      <c r="B3639" s="175"/>
      <c r="P3639" s="4"/>
      <c r="Q3639" s="214"/>
    </row>
    <row r="3640" spans="1:17">
      <c r="A3640" s="175"/>
      <c r="B3640" s="175"/>
      <c r="P3640" s="4"/>
      <c r="Q3640" s="214"/>
    </row>
    <row r="3641" spans="1:17">
      <c r="A3641" s="175"/>
      <c r="B3641" s="175"/>
      <c r="P3641" s="4"/>
      <c r="Q3641" s="214"/>
    </row>
    <row r="3642" spans="1:17">
      <c r="A3642" s="175"/>
      <c r="B3642" s="175"/>
      <c r="P3642" s="4"/>
      <c r="Q3642" s="214"/>
    </row>
    <row r="3643" spans="1:17">
      <c r="A3643" s="175"/>
      <c r="B3643" s="175"/>
      <c r="P3643" s="4"/>
      <c r="Q3643" s="214"/>
    </row>
    <row r="3644" spans="1:17">
      <c r="A3644" s="175"/>
      <c r="B3644" s="175"/>
      <c r="P3644" s="4"/>
      <c r="Q3644" s="214"/>
    </row>
    <row r="3645" spans="1:17">
      <c r="A3645" s="175"/>
      <c r="B3645" s="175"/>
      <c r="P3645" s="4"/>
      <c r="Q3645" s="214"/>
    </row>
    <row r="3646" spans="1:17">
      <c r="A3646" s="175"/>
      <c r="B3646" s="175"/>
      <c r="P3646" s="4"/>
      <c r="Q3646" s="214"/>
    </row>
    <row r="3647" spans="1:17">
      <c r="A3647" s="175"/>
      <c r="B3647" s="175"/>
      <c r="P3647" s="4"/>
      <c r="Q3647" s="214"/>
    </row>
    <row r="3648" spans="1:17">
      <c r="A3648" s="175"/>
      <c r="B3648" s="175"/>
      <c r="P3648" s="4"/>
      <c r="Q3648" s="214"/>
    </row>
    <row r="3649" spans="1:17">
      <c r="A3649" s="175"/>
      <c r="B3649" s="175"/>
      <c r="P3649" s="4"/>
      <c r="Q3649" s="214"/>
    </row>
    <row r="3650" spans="1:17">
      <c r="A3650" s="175"/>
      <c r="B3650" s="175"/>
      <c r="P3650" s="4"/>
      <c r="Q3650" s="214"/>
    </row>
    <row r="3651" spans="1:17">
      <c r="A3651" s="175"/>
      <c r="B3651" s="175"/>
      <c r="P3651" s="4"/>
      <c r="Q3651" s="214"/>
    </row>
    <row r="3652" spans="1:17">
      <c r="A3652" s="175"/>
      <c r="B3652" s="175"/>
      <c r="P3652" s="4"/>
      <c r="Q3652" s="214"/>
    </row>
    <row r="3653" spans="1:17">
      <c r="A3653" s="175"/>
      <c r="B3653" s="175"/>
      <c r="P3653" s="4"/>
      <c r="Q3653" s="214"/>
    </row>
    <row r="3654" spans="1:17">
      <c r="A3654" s="175"/>
      <c r="B3654" s="175"/>
      <c r="P3654" s="4"/>
      <c r="Q3654" s="214"/>
    </row>
    <row r="3655" spans="1:17">
      <c r="A3655" s="175"/>
      <c r="B3655" s="175"/>
      <c r="P3655" s="4"/>
      <c r="Q3655" s="214"/>
    </row>
    <row r="3656" spans="1:17">
      <c r="A3656" s="175"/>
      <c r="B3656" s="175"/>
      <c r="P3656" s="4"/>
      <c r="Q3656" s="214"/>
    </row>
    <row r="3657" spans="1:17">
      <c r="A3657" s="175"/>
      <c r="B3657" s="175"/>
      <c r="P3657" s="4"/>
      <c r="Q3657" s="214"/>
    </row>
    <row r="3658" spans="1:17">
      <c r="A3658" s="175"/>
      <c r="B3658" s="175"/>
      <c r="P3658" s="4"/>
      <c r="Q3658" s="214"/>
    </row>
    <row r="3659" spans="1:17">
      <c r="A3659" s="175"/>
      <c r="B3659" s="175"/>
      <c r="P3659" s="4"/>
      <c r="Q3659" s="214"/>
    </row>
    <row r="3660" spans="1:17">
      <c r="A3660" s="175"/>
      <c r="B3660" s="175"/>
      <c r="P3660" s="4"/>
      <c r="Q3660" s="214"/>
    </row>
    <row r="3661" spans="1:17">
      <c r="A3661" s="175"/>
      <c r="B3661" s="175"/>
      <c r="P3661" s="4"/>
      <c r="Q3661" s="214"/>
    </row>
    <row r="3662" spans="1:17">
      <c r="A3662" s="175"/>
      <c r="B3662" s="175"/>
      <c r="P3662" s="4"/>
      <c r="Q3662" s="214"/>
    </row>
    <row r="3663" spans="1:17">
      <c r="A3663" s="175"/>
      <c r="B3663" s="175"/>
      <c r="P3663" s="4"/>
      <c r="Q3663" s="214"/>
    </row>
    <row r="3664" spans="1:17">
      <c r="A3664" s="175"/>
      <c r="B3664" s="175"/>
      <c r="P3664" s="4"/>
      <c r="Q3664" s="214"/>
    </row>
    <row r="3665" spans="1:17">
      <c r="A3665" s="175"/>
      <c r="B3665" s="175"/>
      <c r="P3665" s="4"/>
      <c r="Q3665" s="214"/>
    </row>
    <row r="3666" spans="1:17">
      <c r="A3666" s="175"/>
      <c r="B3666" s="175"/>
      <c r="P3666" s="4"/>
      <c r="Q3666" s="214"/>
    </row>
    <row r="3667" spans="1:17">
      <c r="A3667" s="175"/>
      <c r="B3667" s="175"/>
      <c r="P3667" s="4"/>
      <c r="Q3667" s="214"/>
    </row>
    <row r="3668" spans="1:17">
      <c r="A3668" s="175"/>
      <c r="B3668" s="175"/>
      <c r="P3668" s="4"/>
      <c r="Q3668" s="214"/>
    </row>
    <row r="3669" spans="1:17">
      <c r="A3669" s="175"/>
      <c r="B3669" s="175"/>
      <c r="P3669" s="4"/>
      <c r="Q3669" s="214"/>
    </row>
    <row r="3670" spans="1:17">
      <c r="A3670" s="175"/>
      <c r="B3670" s="175"/>
      <c r="P3670" s="4"/>
      <c r="Q3670" s="214"/>
    </row>
    <row r="3671" spans="1:17">
      <c r="A3671" s="175"/>
      <c r="B3671" s="175"/>
      <c r="P3671" s="4"/>
      <c r="Q3671" s="214"/>
    </row>
    <row r="3672" spans="1:17">
      <c r="A3672" s="175"/>
      <c r="B3672" s="175"/>
      <c r="P3672" s="4"/>
      <c r="Q3672" s="214"/>
    </row>
    <row r="3673" spans="1:17">
      <c r="A3673" s="175"/>
      <c r="B3673" s="175"/>
      <c r="P3673" s="4"/>
      <c r="Q3673" s="214"/>
    </row>
    <row r="3674" spans="1:17">
      <c r="A3674" s="175"/>
      <c r="B3674" s="175"/>
      <c r="P3674" s="4"/>
      <c r="Q3674" s="214"/>
    </row>
    <row r="3675" spans="1:17">
      <c r="A3675" s="175"/>
      <c r="B3675" s="175"/>
      <c r="P3675" s="4"/>
      <c r="Q3675" s="214"/>
    </row>
    <row r="3676" spans="1:17">
      <c r="A3676" s="175"/>
      <c r="B3676" s="175"/>
      <c r="P3676" s="4"/>
      <c r="Q3676" s="214"/>
    </row>
    <row r="3677" spans="1:17">
      <c r="A3677" s="175"/>
      <c r="B3677" s="175"/>
      <c r="P3677" s="4"/>
      <c r="Q3677" s="214"/>
    </row>
    <row r="3678" spans="1:17">
      <c r="A3678" s="175"/>
      <c r="B3678" s="175"/>
      <c r="P3678" s="4"/>
      <c r="Q3678" s="214"/>
    </row>
    <row r="3679" spans="1:17">
      <c r="A3679" s="175"/>
      <c r="B3679" s="175"/>
      <c r="P3679" s="4"/>
      <c r="Q3679" s="214"/>
    </row>
    <row r="3680" spans="1:17">
      <c r="A3680" s="175"/>
      <c r="B3680" s="175"/>
      <c r="P3680" s="4"/>
      <c r="Q3680" s="214"/>
    </row>
    <row r="3681" spans="1:17">
      <c r="A3681" s="175"/>
      <c r="B3681" s="175"/>
      <c r="P3681" s="4"/>
      <c r="Q3681" s="214"/>
    </row>
    <row r="3682" spans="1:17">
      <c r="A3682" s="175"/>
      <c r="B3682" s="175"/>
      <c r="P3682" s="4"/>
      <c r="Q3682" s="214"/>
    </row>
    <row r="3683" spans="1:17">
      <c r="A3683" s="175"/>
      <c r="B3683" s="175"/>
      <c r="P3683" s="4"/>
      <c r="Q3683" s="214"/>
    </row>
    <row r="3684" spans="1:17">
      <c r="A3684" s="175"/>
      <c r="B3684" s="175"/>
      <c r="P3684" s="4"/>
      <c r="Q3684" s="214"/>
    </row>
    <row r="3685" spans="1:17">
      <c r="A3685" s="175"/>
      <c r="B3685" s="175"/>
      <c r="P3685" s="4"/>
      <c r="Q3685" s="214"/>
    </row>
    <row r="3686" spans="1:17">
      <c r="A3686" s="175"/>
      <c r="B3686" s="175"/>
      <c r="P3686" s="4"/>
      <c r="Q3686" s="214"/>
    </row>
    <row r="3687" spans="1:17">
      <c r="A3687" s="175"/>
      <c r="B3687" s="175"/>
      <c r="P3687" s="4"/>
      <c r="Q3687" s="214"/>
    </row>
    <row r="3688" spans="1:17">
      <c r="A3688" s="175"/>
      <c r="B3688" s="175"/>
      <c r="P3688" s="4"/>
      <c r="Q3688" s="214"/>
    </row>
    <row r="3689" spans="1:17">
      <c r="A3689" s="175"/>
      <c r="B3689" s="175"/>
      <c r="P3689" s="4"/>
      <c r="Q3689" s="214"/>
    </row>
    <row r="3690" spans="1:17">
      <c r="A3690" s="175"/>
      <c r="B3690" s="175"/>
      <c r="P3690" s="4"/>
      <c r="Q3690" s="214"/>
    </row>
    <row r="3691" spans="1:17">
      <c r="A3691" s="175"/>
      <c r="B3691" s="175"/>
      <c r="P3691" s="4"/>
      <c r="Q3691" s="214"/>
    </row>
    <row r="3692" spans="1:17">
      <c r="A3692" s="175"/>
      <c r="B3692" s="175"/>
      <c r="P3692" s="4"/>
      <c r="Q3692" s="214"/>
    </row>
    <row r="3693" spans="1:17">
      <c r="A3693" s="175"/>
      <c r="B3693" s="175"/>
      <c r="P3693" s="4"/>
      <c r="Q3693" s="214"/>
    </row>
    <row r="3694" spans="1:17">
      <c r="A3694" s="175"/>
      <c r="B3694" s="175"/>
      <c r="P3694" s="4"/>
      <c r="Q3694" s="214"/>
    </row>
    <row r="3695" spans="1:17">
      <c r="A3695" s="175"/>
      <c r="B3695" s="175"/>
      <c r="P3695" s="4"/>
      <c r="Q3695" s="214"/>
    </row>
    <row r="3696" spans="1:17">
      <c r="A3696" s="175"/>
      <c r="B3696" s="175"/>
      <c r="P3696" s="4"/>
      <c r="Q3696" s="214"/>
    </row>
    <row r="3697" spans="1:17">
      <c r="A3697" s="175"/>
      <c r="B3697" s="175"/>
      <c r="P3697" s="4"/>
      <c r="Q3697" s="214"/>
    </row>
    <row r="3698" spans="1:17">
      <c r="A3698" s="175"/>
      <c r="B3698" s="175"/>
      <c r="P3698" s="4"/>
      <c r="Q3698" s="214"/>
    </row>
    <row r="3699" spans="1:17">
      <c r="A3699" s="175"/>
      <c r="B3699" s="175"/>
      <c r="P3699" s="4"/>
      <c r="Q3699" s="214"/>
    </row>
    <row r="3700" spans="1:17">
      <c r="A3700" s="175"/>
      <c r="B3700" s="175"/>
      <c r="P3700" s="4"/>
      <c r="Q3700" s="214"/>
    </row>
    <row r="3701" spans="1:17">
      <c r="A3701" s="175"/>
      <c r="B3701" s="175"/>
      <c r="P3701" s="4"/>
      <c r="Q3701" s="214"/>
    </row>
    <row r="3702" spans="1:17">
      <c r="A3702" s="175"/>
      <c r="B3702" s="175"/>
      <c r="P3702" s="4"/>
      <c r="Q3702" s="214"/>
    </row>
    <row r="3703" spans="1:17">
      <c r="A3703" s="175"/>
      <c r="B3703" s="175"/>
      <c r="P3703" s="4"/>
      <c r="Q3703" s="214"/>
    </row>
    <row r="3704" spans="1:17">
      <c r="A3704" s="175"/>
      <c r="B3704" s="175"/>
      <c r="P3704" s="4"/>
      <c r="Q3704" s="214"/>
    </row>
    <row r="3705" spans="1:17">
      <c r="A3705" s="175"/>
      <c r="B3705" s="175"/>
      <c r="P3705" s="4"/>
      <c r="Q3705" s="214"/>
    </row>
    <row r="3706" spans="1:17">
      <c r="A3706" s="175"/>
      <c r="B3706" s="175"/>
      <c r="P3706" s="4"/>
      <c r="Q3706" s="214"/>
    </row>
    <row r="3707" spans="1:17">
      <c r="A3707" s="175"/>
      <c r="B3707" s="175"/>
      <c r="P3707" s="4"/>
      <c r="Q3707" s="214"/>
    </row>
    <row r="3708" spans="1:17">
      <c r="A3708" s="175"/>
      <c r="B3708" s="175"/>
      <c r="P3708" s="4"/>
      <c r="Q3708" s="214"/>
    </row>
    <row r="3709" spans="1:17">
      <c r="A3709" s="175"/>
      <c r="B3709" s="175"/>
      <c r="P3709" s="4"/>
      <c r="Q3709" s="214"/>
    </row>
    <row r="3710" spans="1:17">
      <c r="A3710" s="175"/>
      <c r="B3710" s="175"/>
      <c r="P3710" s="4"/>
      <c r="Q3710" s="214"/>
    </row>
    <row r="3711" spans="1:17">
      <c r="A3711" s="175"/>
      <c r="B3711" s="175"/>
      <c r="P3711" s="4"/>
      <c r="Q3711" s="214"/>
    </row>
    <row r="3712" spans="1:17">
      <c r="A3712" s="175"/>
      <c r="B3712" s="175"/>
      <c r="P3712" s="4"/>
      <c r="Q3712" s="214"/>
    </row>
    <row r="3713" spans="1:17">
      <c r="A3713" s="175"/>
      <c r="B3713" s="175"/>
      <c r="P3713" s="4"/>
      <c r="Q3713" s="214"/>
    </row>
    <row r="3714" spans="1:17">
      <c r="A3714" s="175"/>
      <c r="B3714" s="175"/>
      <c r="P3714" s="4"/>
      <c r="Q3714" s="214"/>
    </row>
    <row r="3715" spans="1:17">
      <c r="A3715" s="175"/>
      <c r="B3715" s="175"/>
      <c r="P3715" s="4"/>
      <c r="Q3715" s="214"/>
    </row>
    <row r="3716" spans="1:17">
      <c r="A3716" s="175"/>
      <c r="B3716" s="175"/>
      <c r="P3716" s="4"/>
      <c r="Q3716" s="214"/>
    </row>
    <row r="3717" spans="1:17">
      <c r="A3717" s="175"/>
      <c r="B3717" s="175"/>
      <c r="P3717" s="4"/>
      <c r="Q3717" s="214"/>
    </row>
    <row r="3718" spans="1:17">
      <c r="A3718" s="175"/>
      <c r="B3718" s="175"/>
      <c r="P3718" s="4"/>
      <c r="Q3718" s="214"/>
    </row>
    <row r="3719" spans="1:17">
      <c r="A3719" s="175"/>
      <c r="B3719" s="175"/>
      <c r="P3719" s="4"/>
      <c r="Q3719" s="214"/>
    </row>
    <row r="3720" spans="1:17">
      <c r="A3720" s="175"/>
      <c r="B3720" s="175"/>
      <c r="P3720" s="4"/>
      <c r="Q3720" s="214"/>
    </row>
    <row r="3721" spans="1:17">
      <c r="A3721" s="175"/>
      <c r="B3721" s="175"/>
      <c r="P3721" s="4"/>
      <c r="Q3721" s="214"/>
    </row>
    <row r="3722" spans="1:17">
      <c r="A3722" s="175"/>
      <c r="B3722" s="175"/>
      <c r="P3722" s="4"/>
      <c r="Q3722" s="214"/>
    </row>
    <row r="3723" spans="1:17">
      <c r="A3723" s="175"/>
      <c r="B3723" s="175"/>
      <c r="P3723" s="4"/>
      <c r="Q3723" s="214"/>
    </row>
    <row r="3724" spans="1:17">
      <c r="A3724" s="175"/>
      <c r="B3724" s="175"/>
      <c r="P3724" s="4"/>
      <c r="Q3724" s="214"/>
    </row>
    <row r="3725" spans="1:17">
      <c r="A3725" s="175"/>
      <c r="B3725" s="175"/>
      <c r="P3725" s="4"/>
      <c r="Q3725" s="214"/>
    </row>
    <row r="3726" spans="1:17">
      <c r="A3726" s="175"/>
      <c r="B3726" s="175"/>
      <c r="P3726" s="4"/>
      <c r="Q3726" s="214"/>
    </row>
    <row r="3727" spans="1:17">
      <c r="A3727" s="175"/>
      <c r="B3727" s="175"/>
      <c r="P3727" s="4"/>
      <c r="Q3727" s="214"/>
    </row>
    <row r="3728" spans="1:17">
      <c r="A3728" s="175"/>
      <c r="B3728" s="175"/>
      <c r="P3728" s="4"/>
      <c r="Q3728" s="214"/>
    </row>
    <row r="3729" spans="1:17">
      <c r="A3729" s="175"/>
      <c r="B3729" s="175"/>
      <c r="P3729" s="4"/>
      <c r="Q3729" s="214"/>
    </row>
    <row r="3730" spans="1:17">
      <c r="A3730" s="175"/>
      <c r="B3730" s="175"/>
      <c r="P3730" s="4"/>
      <c r="Q3730" s="214"/>
    </row>
    <row r="3731" spans="1:17">
      <c r="A3731" s="175"/>
      <c r="B3731" s="175"/>
      <c r="P3731" s="4"/>
      <c r="Q3731" s="214"/>
    </row>
    <row r="3732" spans="1:17">
      <c r="A3732" s="175"/>
      <c r="B3732" s="175"/>
      <c r="P3732" s="4"/>
      <c r="Q3732" s="214"/>
    </row>
    <row r="3733" spans="1:17">
      <c r="A3733" s="175"/>
      <c r="B3733" s="175"/>
      <c r="P3733" s="4"/>
      <c r="Q3733" s="214"/>
    </row>
    <row r="3734" spans="1:17">
      <c r="A3734" s="175"/>
      <c r="B3734" s="175"/>
      <c r="P3734" s="4"/>
      <c r="Q3734" s="214"/>
    </row>
    <row r="3735" spans="1:17">
      <c r="A3735" s="175"/>
      <c r="B3735" s="175"/>
      <c r="P3735" s="4"/>
      <c r="Q3735" s="214"/>
    </row>
    <row r="3736" spans="1:17">
      <c r="A3736" s="175"/>
      <c r="B3736" s="175"/>
      <c r="P3736" s="4"/>
      <c r="Q3736" s="214"/>
    </row>
    <row r="3737" spans="1:17">
      <c r="A3737" s="175"/>
      <c r="B3737" s="175"/>
      <c r="P3737" s="4"/>
      <c r="Q3737" s="214"/>
    </row>
    <row r="3738" spans="1:17">
      <c r="A3738" s="175"/>
      <c r="B3738" s="175"/>
      <c r="P3738" s="4"/>
      <c r="Q3738" s="214"/>
    </row>
    <row r="3739" spans="1:17">
      <c r="A3739" s="175"/>
      <c r="B3739" s="175"/>
      <c r="P3739" s="4"/>
      <c r="Q3739" s="214"/>
    </row>
    <row r="3740" spans="1:17">
      <c r="A3740" s="175"/>
      <c r="B3740" s="175"/>
      <c r="P3740" s="4"/>
      <c r="Q3740" s="214"/>
    </row>
    <row r="3741" spans="1:17">
      <c r="A3741" s="175"/>
      <c r="B3741" s="175"/>
      <c r="P3741" s="4"/>
      <c r="Q3741" s="214"/>
    </row>
    <row r="3742" spans="1:17">
      <c r="A3742" s="175"/>
      <c r="B3742" s="175"/>
      <c r="P3742" s="4"/>
      <c r="Q3742" s="214"/>
    </row>
    <row r="3743" spans="1:17">
      <c r="A3743" s="175"/>
      <c r="B3743" s="175"/>
      <c r="P3743" s="4"/>
      <c r="Q3743" s="214"/>
    </row>
    <row r="3744" spans="1:17">
      <c r="A3744" s="175"/>
      <c r="B3744" s="175"/>
      <c r="P3744" s="4"/>
      <c r="Q3744" s="214"/>
    </row>
    <row r="3745" spans="1:17">
      <c r="A3745" s="175"/>
      <c r="B3745" s="175"/>
      <c r="P3745" s="4"/>
      <c r="Q3745" s="214"/>
    </row>
    <row r="3746" spans="1:17">
      <c r="A3746" s="175"/>
      <c r="B3746" s="175"/>
      <c r="P3746" s="4"/>
      <c r="Q3746" s="214"/>
    </row>
    <row r="3747" spans="1:17">
      <c r="A3747" s="175"/>
      <c r="B3747" s="175"/>
      <c r="P3747" s="4"/>
      <c r="Q3747" s="214"/>
    </row>
    <row r="3748" spans="1:17">
      <c r="A3748" s="175"/>
      <c r="B3748" s="175"/>
      <c r="P3748" s="4"/>
      <c r="Q3748" s="214"/>
    </row>
    <row r="3749" spans="1:17">
      <c r="A3749" s="175"/>
      <c r="B3749" s="175"/>
      <c r="P3749" s="4"/>
      <c r="Q3749" s="214"/>
    </row>
    <row r="3750" spans="1:17">
      <c r="A3750" s="175"/>
      <c r="B3750" s="175"/>
      <c r="P3750" s="4"/>
      <c r="Q3750" s="214"/>
    </row>
    <row r="3751" spans="1:17">
      <c r="A3751" s="175"/>
      <c r="B3751" s="175"/>
      <c r="P3751" s="4"/>
      <c r="Q3751" s="214"/>
    </row>
    <row r="3752" spans="1:17">
      <c r="A3752" s="175"/>
      <c r="B3752" s="175"/>
      <c r="P3752" s="4"/>
      <c r="Q3752" s="214"/>
    </row>
    <row r="3753" spans="1:17">
      <c r="A3753" s="175"/>
      <c r="B3753" s="175"/>
      <c r="P3753" s="4"/>
      <c r="Q3753" s="214"/>
    </row>
    <row r="3754" spans="1:17">
      <c r="A3754" s="175"/>
      <c r="B3754" s="175"/>
      <c r="P3754" s="4"/>
      <c r="Q3754" s="214"/>
    </row>
    <row r="3755" spans="1:17">
      <c r="A3755" s="175"/>
      <c r="B3755" s="175"/>
      <c r="P3755" s="4"/>
      <c r="Q3755" s="214"/>
    </row>
    <row r="3756" spans="1:17">
      <c r="A3756" s="175"/>
      <c r="B3756" s="175"/>
      <c r="P3756" s="4"/>
      <c r="Q3756" s="214"/>
    </row>
    <row r="3757" spans="1:17">
      <c r="A3757" s="175"/>
      <c r="B3757" s="175"/>
      <c r="P3757" s="4"/>
      <c r="Q3757" s="214"/>
    </row>
    <row r="3758" spans="1:17">
      <c r="A3758" s="175"/>
      <c r="B3758" s="175"/>
      <c r="P3758" s="4"/>
      <c r="Q3758" s="214"/>
    </row>
    <row r="3759" spans="1:17">
      <c r="A3759" s="175"/>
      <c r="B3759" s="175"/>
      <c r="P3759" s="4"/>
      <c r="Q3759" s="214"/>
    </row>
    <row r="3760" spans="1:17">
      <c r="A3760" s="175"/>
      <c r="B3760" s="175"/>
      <c r="P3760" s="4"/>
      <c r="Q3760" s="214"/>
    </row>
    <row r="3761" spans="1:17">
      <c r="A3761" s="175"/>
      <c r="B3761" s="175"/>
      <c r="P3761" s="4"/>
      <c r="Q3761" s="214"/>
    </row>
    <row r="3762" spans="1:17">
      <c r="A3762" s="175"/>
      <c r="B3762" s="175"/>
      <c r="P3762" s="4"/>
      <c r="Q3762" s="214"/>
    </row>
    <row r="3763" spans="1:17">
      <c r="A3763" s="175"/>
      <c r="B3763" s="175"/>
      <c r="P3763" s="4"/>
      <c r="Q3763" s="214"/>
    </row>
    <row r="3764" spans="1:17">
      <c r="A3764" s="175"/>
      <c r="B3764" s="175"/>
      <c r="P3764" s="4"/>
      <c r="Q3764" s="214"/>
    </row>
    <row r="3765" spans="1:17">
      <c r="A3765" s="175"/>
      <c r="B3765" s="175"/>
      <c r="P3765" s="4"/>
      <c r="Q3765" s="214"/>
    </row>
    <row r="3766" spans="1:17">
      <c r="A3766" s="175"/>
      <c r="B3766" s="175"/>
      <c r="P3766" s="4"/>
      <c r="Q3766" s="214"/>
    </row>
    <row r="3767" spans="1:17">
      <c r="A3767" s="175"/>
      <c r="B3767" s="175"/>
      <c r="P3767" s="4"/>
      <c r="Q3767" s="214"/>
    </row>
    <row r="3768" spans="1:17">
      <c r="A3768" s="175"/>
      <c r="B3768" s="175"/>
      <c r="P3768" s="4"/>
      <c r="Q3768" s="214"/>
    </row>
    <row r="3769" spans="1:17">
      <c r="A3769" s="175"/>
      <c r="B3769" s="175"/>
      <c r="P3769" s="4"/>
      <c r="Q3769" s="214"/>
    </row>
    <row r="3770" spans="1:17">
      <c r="A3770" s="175"/>
      <c r="B3770" s="175"/>
      <c r="P3770" s="4"/>
      <c r="Q3770" s="214"/>
    </row>
    <row r="3771" spans="1:17">
      <c r="A3771" s="175"/>
      <c r="B3771" s="175"/>
      <c r="P3771" s="4"/>
      <c r="Q3771" s="214"/>
    </row>
    <row r="3772" spans="1:17">
      <c r="A3772" s="175"/>
      <c r="B3772" s="175"/>
      <c r="P3772" s="4"/>
      <c r="Q3772" s="214"/>
    </row>
    <row r="3773" spans="1:17">
      <c r="A3773" s="175"/>
      <c r="B3773" s="175"/>
      <c r="P3773" s="4"/>
      <c r="Q3773" s="214"/>
    </row>
    <row r="3774" spans="1:17">
      <c r="A3774" s="175"/>
      <c r="B3774" s="175"/>
      <c r="P3774" s="4"/>
      <c r="Q3774" s="214"/>
    </row>
    <row r="3775" spans="1:17">
      <c r="A3775" s="175"/>
      <c r="B3775" s="175"/>
      <c r="P3775" s="4"/>
      <c r="Q3775" s="214"/>
    </row>
    <row r="3776" spans="1:17">
      <c r="A3776" s="175"/>
      <c r="B3776" s="175"/>
      <c r="P3776" s="4"/>
      <c r="Q3776" s="214"/>
    </row>
    <row r="3777" spans="1:17">
      <c r="A3777" s="175"/>
      <c r="B3777" s="175"/>
      <c r="P3777" s="4"/>
      <c r="Q3777" s="214"/>
    </row>
    <row r="3778" spans="1:17">
      <c r="A3778" s="175"/>
      <c r="B3778" s="175"/>
      <c r="P3778" s="4"/>
      <c r="Q3778" s="214"/>
    </row>
    <row r="3779" spans="1:17">
      <c r="A3779" s="175"/>
      <c r="B3779" s="175"/>
      <c r="P3779" s="4"/>
      <c r="Q3779" s="214"/>
    </row>
    <row r="3780" spans="1:17">
      <c r="A3780" s="175"/>
      <c r="B3780" s="175"/>
      <c r="P3780" s="4"/>
      <c r="Q3780" s="214"/>
    </row>
    <row r="3781" spans="1:17">
      <c r="A3781" s="175"/>
      <c r="B3781" s="175"/>
      <c r="P3781" s="4"/>
      <c r="Q3781" s="214"/>
    </row>
    <row r="3782" spans="1:17">
      <c r="A3782" s="175"/>
      <c r="B3782" s="175"/>
      <c r="P3782" s="4"/>
      <c r="Q3782" s="214"/>
    </row>
    <row r="3783" spans="1:17">
      <c r="A3783" s="175"/>
      <c r="B3783" s="175"/>
      <c r="P3783" s="4"/>
      <c r="Q3783" s="214"/>
    </row>
    <row r="3784" spans="1:17">
      <c r="A3784" s="175"/>
      <c r="B3784" s="175"/>
      <c r="P3784" s="4"/>
      <c r="Q3784" s="214"/>
    </row>
    <row r="3785" spans="1:17">
      <c r="A3785" s="175"/>
      <c r="B3785" s="175"/>
      <c r="P3785" s="4"/>
      <c r="Q3785" s="214"/>
    </row>
    <row r="3786" spans="1:17">
      <c r="A3786" s="175"/>
      <c r="B3786" s="175"/>
      <c r="P3786" s="4"/>
      <c r="Q3786" s="214"/>
    </row>
    <row r="3787" spans="1:17">
      <c r="A3787" s="175"/>
      <c r="B3787" s="175"/>
      <c r="P3787" s="4"/>
      <c r="Q3787" s="214"/>
    </row>
    <row r="3788" spans="1:17">
      <c r="A3788" s="175"/>
      <c r="B3788" s="175"/>
      <c r="P3788" s="4"/>
      <c r="Q3788" s="214"/>
    </row>
    <row r="3789" spans="1:17">
      <c r="A3789" s="175"/>
      <c r="B3789" s="175"/>
      <c r="P3789" s="4"/>
      <c r="Q3789" s="214"/>
    </row>
    <row r="3790" spans="1:17">
      <c r="A3790" s="175"/>
      <c r="B3790" s="175"/>
      <c r="P3790" s="4"/>
      <c r="Q3790" s="214"/>
    </row>
    <row r="3791" spans="1:17">
      <c r="A3791" s="175"/>
      <c r="B3791" s="175"/>
      <c r="P3791" s="4"/>
      <c r="Q3791" s="214"/>
    </row>
    <row r="3792" spans="1:17">
      <c r="A3792" s="175"/>
      <c r="B3792" s="175"/>
      <c r="P3792" s="4"/>
      <c r="Q3792" s="214"/>
    </row>
    <row r="3793" spans="1:17">
      <c r="A3793" s="175"/>
      <c r="B3793" s="175"/>
      <c r="P3793" s="4"/>
      <c r="Q3793" s="214"/>
    </row>
    <row r="3794" spans="1:17">
      <c r="A3794" s="175"/>
      <c r="B3794" s="175"/>
      <c r="P3794" s="4"/>
      <c r="Q3794" s="214"/>
    </row>
    <row r="3795" spans="1:17">
      <c r="A3795" s="175"/>
      <c r="B3795" s="175"/>
      <c r="P3795" s="4"/>
      <c r="Q3795" s="214"/>
    </row>
    <row r="3796" spans="1:17">
      <c r="A3796" s="175"/>
      <c r="B3796" s="175"/>
      <c r="P3796" s="4"/>
      <c r="Q3796" s="214"/>
    </row>
    <row r="3797" spans="1:17">
      <c r="A3797" s="175"/>
      <c r="B3797" s="175"/>
      <c r="P3797" s="4"/>
      <c r="Q3797" s="214"/>
    </row>
    <row r="3798" spans="1:17">
      <c r="A3798" s="175"/>
      <c r="B3798" s="175"/>
      <c r="P3798" s="4"/>
      <c r="Q3798" s="214"/>
    </row>
    <row r="3799" spans="1:17">
      <c r="A3799" s="175"/>
      <c r="B3799" s="175"/>
      <c r="P3799" s="4"/>
      <c r="Q3799" s="214"/>
    </row>
    <row r="3800" spans="1:17">
      <c r="A3800" s="175"/>
      <c r="B3800" s="175"/>
      <c r="P3800" s="4"/>
      <c r="Q3800" s="214"/>
    </row>
    <row r="3801" spans="1:17">
      <c r="A3801" s="175"/>
      <c r="B3801" s="175"/>
      <c r="P3801" s="4"/>
      <c r="Q3801" s="214"/>
    </row>
    <row r="3802" spans="1:17">
      <c r="A3802" s="175"/>
      <c r="B3802" s="175"/>
      <c r="P3802" s="4"/>
      <c r="Q3802" s="214"/>
    </row>
    <row r="3803" spans="1:17">
      <c r="A3803" s="175"/>
      <c r="B3803" s="175"/>
      <c r="P3803" s="4"/>
      <c r="Q3803" s="214"/>
    </row>
    <row r="3804" spans="1:17">
      <c r="A3804" s="175"/>
      <c r="B3804" s="175"/>
      <c r="P3804" s="4"/>
      <c r="Q3804" s="214"/>
    </row>
    <row r="3805" spans="1:17">
      <c r="A3805" s="175"/>
      <c r="B3805" s="175"/>
      <c r="P3805" s="4"/>
      <c r="Q3805" s="214"/>
    </row>
    <row r="3806" spans="1:17">
      <c r="A3806" s="175"/>
      <c r="B3806" s="175"/>
      <c r="P3806" s="4"/>
      <c r="Q3806" s="214"/>
    </row>
    <row r="3807" spans="1:17">
      <c r="A3807" s="175"/>
      <c r="B3807" s="175"/>
      <c r="P3807" s="4"/>
      <c r="Q3807" s="214"/>
    </row>
    <row r="3808" spans="1:17">
      <c r="A3808" s="175"/>
      <c r="B3808" s="175"/>
      <c r="P3808" s="4"/>
      <c r="Q3808" s="214"/>
    </row>
    <row r="3809" spans="1:17">
      <c r="A3809" s="175"/>
      <c r="B3809" s="175"/>
      <c r="P3809" s="4"/>
      <c r="Q3809" s="214"/>
    </row>
    <row r="3810" spans="1:17">
      <c r="A3810" s="175"/>
      <c r="B3810" s="175"/>
      <c r="P3810" s="4"/>
      <c r="Q3810" s="214"/>
    </row>
    <row r="3811" spans="1:17">
      <c r="A3811" s="175"/>
      <c r="B3811" s="175"/>
      <c r="P3811" s="4"/>
      <c r="Q3811" s="214"/>
    </row>
    <row r="3812" spans="1:17">
      <c r="A3812" s="175"/>
      <c r="B3812" s="175"/>
      <c r="P3812" s="4"/>
      <c r="Q3812" s="214"/>
    </row>
    <row r="3813" spans="1:17">
      <c r="A3813" s="175"/>
      <c r="B3813" s="175"/>
      <c r="P3813" s="4"/>
      <c r="Q3813" s="214"/>
    </row>
    <row r="3814" spans="1:17">
      <c r="A3814" s="175"/>
      <c r="B3814" s="175"/>
      <c r="P3814" s="4"/>
      <c r="Q3814" s="214"/>
    </row>
    <row r="3815" spans="1:17">
      <c r="A3815" s="175"/>
      <c r="B3815" s="175"/>
      <c r="P3815" s="4"/>
      <c r="Q3815" s="214"/>
    </row>
    <row r="3816" spans="1:17">
      <c r="A3816" s="175"/>
      <c r="B3816" s="175"/>
      <c r="P3816" s="4"/>
      <c r="Q3816" s="214"/>
    </row>
    <row r="3817" spans="1:17">
      <c r="A3817" s="175"/>
      <c r="B3817" s="175"/>
      <c r="P3817" s="4"/>
      <c r="Q3817" s="214"/>
    </row>
    <row r="3818" spans="1:17">
      <c r="A3818" s="175"/>
      <c r="B3818" s="175"/>
      <c r="P3818" s="4"/>
      <c r="Q3818" s="214"/>
    </row>
    <row r="3819" spans="1:17">
      <c r="A3819" s="175"/>
      <c r="B3819" s="175"/>
      <c r="P3819" s="4"/>
      <c r="Q3819" s="214"/>
    </row>
    <row r="3820" spans="1:17">
      <c r="A3820" s="175"/>
      <c r="B3820" s="175"/>
      <c r="P3820" s="4"/>
      <c r="Q3820" s="214"/>
    </row>
    <row r="3821" spans="1:17">
      <c r="A3821" s="175"/>
      <c r="B3821" s="175"/>
      <c r="P3821" s="4"/>
      <c r="Q3821" s="214"/>
    </row>
    <row r="3822" spans="1:17">
      <c r="A3822" s="175"/>
      <c r="B3822" s="175"/>
      <c r="P3822" s="4"/>
      <c r="Q3822" s="214"/>
    </row>
    <row r="3823" spans="1:17">
      <c r="A3823" s="175"/>
      <c r="B3823" s="175"/>
      <c r="P3823" s="4"/>
      <c r="Q3823" s="214"/>
    </row>
    <row r="3824" spans="1:17">
      <c r="A3824" s="175"/>
      <c r="B3824" s="175"/>
      <c r="P3824" s="4"/>
      <c r="Q3824" s="214"/>
    </row>
    <row r="3825" spans="1:17">
      <c r="A3825" s="175"/>
      <c r="B3825" s="175"/>
      <c r="P3825" s="4"/>
      <c r="Q3825" s="214"/>
    </row>
    <row r="3826" spans="1:17">
      <c r="A3826" s="175"/>
      <c r="B3826" s="175"/>
      <c r="P3826" s="4"/>
      <c r="Q3826" s="214"/>
    </row>
    <row r="3827" spans="1:17">
      <c r="A3827" s="175"/>
      <c r="B3827" s="175"/>
      <c r="P3827" s="4"/>
      <c r="Q3827" s="214"/>
    </row>
    <row r="3828" spans="1:17">
      <c r="A3828" s="175"/>
      <c r="B3828" s="175"/>
      <c r="P3828" s="4"/>
      <c r="Q3828" s="214"/>
    </row>
    <row r="3829" spans="1:17">
      <c r="A3829" s="175"/>
      <c r="B3829" s="175"/>
      <c r="P3829" s="4"/>
      <c r="Q3829" s="214"/>
    </row>
    <row r="3830" spans="1:17">
      <c r="A3830" s="175"/>
      <c r="B3830" s="175"/>
      <c r="P3830" s="4"/>
      <c r="Q3830" s="214"/>
    </row>
    <row r="3831" spans="1:17">
      <c r="A3831" s="175"/>
      <c r="B3831" s="175"/>
      <c r="P3831" s="4"/>
      <c r="Q3831" s="214"/>
    </row>
    <row r="3832" spans="1:17">
      <c r="A3832" s="175"/>
      <c r="B3832" s="175"/>
      <c r="P3832" s="4"/>
      <c r="Q3832" s="214"/>
    </row>
    <row r="3833" spans="1:17">
      <c r="A3833" s="175"/>
      <c r="B3833" s="175"/>
      <c r="P3833" s="4"/>
      <c r="Q3833" s="214"/>
    </row>
    <row r="3834" spans="1:17">
      <c r="A3834" s="175"/>
      <c r="B3834" s="175"/>
      <c r="P3834" s="4"/>
      <c r="Q3834" s="214"/>
    </row>
    <row r="3835" spans="1:17">
      <c r="A3835" s="175"/>
      <c r="B3835" s="175"/>
      <c r="P3835" s="4"/>
      <c r="Q3835" s="214"/>
    </row>
    <row r="3836" spans="1:17">
      <c r="A3836" s="175"/>
      <c r="B3836" s="175"/>
      <c r="P3836" s="4"/>
      <c r="Q3836" s="214"/>
    </row>
    <row r="3837" spans="1:17">
      <c r="A3837" s="175"/>
      <c r="B3837" s="175"/>
      <c r="P3837" s="4"/>
      <c r="Q3837" s="214"/>
    </row>
    <row r="3838" spans="1:17">
      <c r="A3838" s="175"/>
      <c r="B3838" s="175"/>
      <c r="P3838" s="4"/>
      <c r="Q3838" s="214"/>
    </row>
    <row r="3839" spans="1:17">
      <c r="A3839" s="175"/>
      <c r="B3839" s="175"/>
      <c r="P3839" s="4"/>
      <c r="Q3839" s="214"/>
    </row>
    <row r="3840" spans="1:17">
      <c r="A3840" s="175"/>
      <c r="B3840" s="175"/>
      <c r="P3840" s="4"/>
      <c r="Q3840" s="214"/>
    </row>
    <row r="3841" spans="1:17">
      <c r="A3841" s="175"/>
      <c r="B3841" s="175"/>
      <c r="P3841" s="4"/>
      <c r="Q3841" s="214"/>
    </row>
    <row r="3842" spans="1:17">
      <c r="A3842" s="175"/>
      <c r="B3842" s="175"/>
      <c r="P3842" s="4"/>
      <c r="Q3842" s="214"/>
    </row>
    <row r="3843" spans="1:17">
      <c r="A3843" s="175"/>
      <c r="B3843" s="175"/>
      <c r="P3843" s="4"/>
      <c r="Q3843" s="214"/>
    </row>
    <row r="3844" spans="1:17">
      <c r="A3844" s="175"/>
      <c r="B3844" s="175"/>
      <c r="P3844" s="4"/>
      <c r="Q3844" s="214"/>
    </row>
    <row r="3845" spans="1:17">
      <c r="A3845" s="175"/>
      <c r="B3845" s="175"/>
      <c r="P3845" s="4"/>
      <c r="Q3845" s="214"/>
    </row>
    <row r="3846" spans="1:17">
      <c r="A3846" s="175"/>
      <c r="B3846" s="175"/>
      <c r="P3846" s="4"/>
      <c r="Q3846" s="214"/>
    </row>
    <row r="3847" spans="1:17">
      <c r="A3847" s="175"/>
      <c r="B3847" s="175"/>
      <c r="P3847" s="4"/>
      <c r="Q3847" s="214"/>
    </row>
    <row r="3848" spans="1:17">
      <c r="A3848" s="175"/>
      <c r="B3848" s="175"/>
      <c r="P3848" s="4"/>
      <c r="Q3848" s="214"/>
    </row>
    <row r="3849" spans="1:17">
      <c r="A3849" s="175"/>
      <c r="B3849" s="175"/>
      <c r="P3849" s="4"/>
      <c r="Q3849" s="214"/>
    </row>
    <row r="3850" spans="1:17">
      <c r="A3850" s="175"/>
      <c r="B3850" s="175"/>
      <c r="P3850" s="4"/>
      <c r="Q3850" s="214"/>
    </row>
    <row r="3851" spans="1:17">
      <c r="A3851" s="175"/>
      <c r="B3851" s="175"/>
      <c r="P3851" s="4"/>
      <c r="Q3851" s="214"/>
    </row>
    <row r="3852" spans="1:17">
      <c r="A3852" s="175"/>
      <c r="B3852" s="175"/>
      <c r="P3852" s="4"/>
      <c r="Q3852" s="214"/>
    </row>
    <row r="3853" spans="1:17">
      <c r="A3853" s="175"/>
      <c r="B3853" s="175"/>
      <c r="P3853" s="4"/>
      <c r="Q3853" s="214"/>
    </row>
    <row r="3854" spans="1:17">
      <c r="A3854" s="175"/>
      <c r="B3854" s="175"/>
      <c r="P3854" s="4"/>
      <c r="Q3854" s="214"/>
    </row>
    <row r="3855" spans="1:17">
      <c r="A3855" s="175"/>
      <c r="B3855" s="175"/>
      <c r="P3855" s="4"/>
      <c r="Q3855" s="214"/>
    </row>
    <row r="3856" spans="1:17">
      <c r="A3856" s="175"/>
      <c r="B3856" s="175"/>
      <c r="P3856" s="4"/>
      <c r="Q3856" s="214"/>
    </row>
    <row r="3857" spans="1:17">
      <c r="A3857" s="175"/>
      <c r="B3857" s="175"/>
      <c r="P3857" s="4"/>
      <c r="Q3857" s="214"/>
    </row>
    <row r="3858" spans="1:17">
      <c r="A3858" s="175"/>
      <c r="B3858" s="175"/>
      <c r="P3858" s="4"/>
      <c r="Q3858" s="214"/>
    </row>
    <row r="3859" spans="1:17">
      <c r="A3859" s="175"/>
      <c r="B3859" s="175"/>
      <c r="P3859" s="4"/>
      <c r="Q3859" s="214"/>
    </row>
    <row r="3860" spans="1:17">
      <c r="A3860" s="175"/>
      <c r="B3860" s="175"/>
      <c r="P3860" s="4"/>
      <c r="Q3860" s="214"/>
    </row>
    <row r="3861" spans="1:17">
      <c r="A3861" s="175"/>
      <c r="B3861" s="175"/>
      <c r="P3861" s="4"/>
      <c r="Q3861" s="214"/>
    </row>
    <row r="3862" spans="1:17">
      <c r="A3862" s="175"/>
      <c r="B3862" s="175"/>
      <c r="P3862" s="4"/>
      <c r="Q3862" s="214"/>
    </row>
    <row r="3863" spans="1:17">
      <c r="A3863" s="175"/>
      <c r="B3863" s="175"/>
      <c r="P3863" s="4"/>
      <c r="Q3863" s="214"/>
    </row>
    <row r="3864" spans="1:17">
      <c r="A3864" s="175"/>
      <c r="B3864" s="175"/>
      <c r="P3864" s="4"/>
      <c r="Q3864" s="214"/>
    </row>
    <row r="3865" spans="1:17">
      <c r="A3865" s="175"/>
      <c r="B3865" s="175"/>
      <c r="P3865" s="4"/>
      <c r="Q3865" s="214"/>
    </row>
    <row r="3866" spans="1:17">
      <c r="A3866" s="175"/>
      <c r="B3866" s="175"/>
      <c r="P3866" s="4"/>
      <c r="Q3866" s="214"/>
    </row>
    <row r="3867" spans="1:17">
      <c r="A3867" s="175"/>
      <c r="B3867" s="175"/>
      <c r="P3867" s="4"/>
      <c r="Q3867" s="214"/>
    </row>
    <row r="3868" spans="1:17">
      <c r="A3868" s="175"/>
      <c r="B3868" s="175"/>
      <c r="P3868" s="4"/>
      <c r="Q3868" s="214"/>
    </row>
    <row r="3869" spans="1:17">
      <c r="A3869" s="175"/>
      <c r="B3869" s="175"/>
      <c r="P3869" s="4"/>
      <c r="Q3869" s="214"/>
    </row>
    <row r="3870" spans="1:17">
      <c r="A3870" s="175"/>
      <c r="B3870" s="175"/>
      <c r="P3870" s="4"/>
      <c r="Q3870" s="214"/>
    </row>
    <row r="3871" spans="1:17">
      <c r="A3871" s="175"/>
      <c r="B3871" s="175"/>
      <c r="P3871" s="4"/>
      <c r="Q3871" s="214"/>
    </row>
    <row r="3872" spans="1:17">
      <c r="A3872" s="175"/>
      <c r="B3872" s="175"/>
      <c r="P3872" s="4"/>
      <c r="Q3872" s="214"/>
    </row>
    <row r="3873" spans="1:17">
      <c r="A3873" s="175"/>
      <c r="B3873" s="175"/>
      <c r="P3873" s="4"/>
      <c r="Q3873" s="214"/>
    </row>
    <row r="3874" spans="1:17">
      <c r="A3874" s="175"/>
      <c r="B3874" s="175"/>
      <c r="P3874" s="4"/>
      <c r="Q3874" s="214"/>
    </row>
    <row r="3875" spans="1:17">
      <c r="A3875" s="175"/>
      <c r="B3875" s="175"/>
      <c r="P3875" s="4"/>
      <c r="Q3875" s="214"/>
    </row>
    <row r="3876" spans="1:17">
      <c r="A3876" s="175"/>
      <c r="B3876" s="175"/>
      <c r="P3876" s="4"/>
      <c r="Q3876" s="214"/>
    </row>
    <row r="3877" spans="1:17">
      <c r="A3877" s="175"/>
      <c r="B3877" s="175"/>
      <c r="P3877" s="4"/>
      <c r="Q3877" s="214"/>
    </row>
    <row r="3878" spans="1:17">
      <c r="A3878" s="175"/>
      <c r="B3878" s="175"/>
      <c r="P3878" s="4"/>
      <c r="Q3878" s="214"/>
    </row>
    <row r="3879" spans="1:17">
      <c r="A3879" s="175"/>
      <c r="B3879" s="175"/>
      <c r="P3879" s="4"/>
      <c r="Q3879" s="214"/>
    </row>
    <row r="3880" spans="1:17">
      <c r="A3880" s="175"/>
      <c r="B3880" s="175"/>
      <c r="P3880" s="4"/>
      <c r="Q3880" s="214"/>
    </row>
    <row r="3881" spans="1:17">
      <c r="A3881" s="175"/>
      <c r="B3881" s="175"/>
      <c r="P3881" s="4"/>
      <c r="Q3881" s="214"/>
    </row>
    <row r="3882" spans="1:17">
      <c r="A3882" s="175"/>
      <c r="B3882" s="175"/>
      <c r="P3882" s="4"/>
      <c r="Q3882" s="214"/>
    </row>
    <row r="3883" spans="1:17">
      <c r="A3883" s="175"/>
      <c r="B3883" s="175"/>
      <c r="P3883" s="4"/>
      <c r="Q3883" s="214"/>
    </row>
    <row r="3884" spans="1:17">
      <c r="A3884" s="175"/>
      <c r="B3884" s="175"/>
      <c r="P3884" s="4"/>
      <c r="Q3884" s="214"/>
    </row>
    <row r="3885" spans="1:17">
      <c r="A3885" s="175"/>
      <c r="B3885" s="175"/>
      <c r="P3885" s="4"/>
      <c r="Q3885" s="214"/>
    </row>
    <row r="3886" spans="1:17">
      <c r="A3886" s="175"/>
      <c r="B3886" s="175"/>
      <c r="P3886" s="4"/>
      <c r="Q3886" s="214"/>
    </row>
    <row r="3887" spans="1:17">
      <c r="A3887" s="175"/>
      <c r="B3887" s="175"/>
      <c r="P3887" s="4"/>
      <c r="Q3887" s="214"/>
    </row>
    <row r="3888" spans="1:17">
      <c r="A3888" s="175"/>
      <c r="B3888" s="175"/>
      <c r="P3888" s="4"/>
      <c r="Q3888" s="214"/>
    </row>
    <row r="3889" spans="1:17">
      <c r="A3889" s="175"/>
      <c r="B3889" s="175"/>
      <c r="P3889" s="4"/>
      <c r="Q3889" s="214"/>
    </row>
    <row r="3890" spans="1:17">
      <c r="A3890" s="175"/>
      <c r="B3890" s="175"/>
      <c r="P3890" s="4"/>
      <c r="Q3890" s="214"/>
    </row>
    <row r="3891" spans="1:17">
      <c r="A3891" s="175"/>
      <c r="B3891" s="175"/>
      <c r="P3891" s="4"/>
      <c r="Q3891" s="214"/>
    </row>
    <row r="3892" spans="1:17">
      <c r="A3892" s="175"/>
      <c r="B3892" s="175"/>
      <c r="P3892" s="4"/>
      <c r="Q3892" s="214"/>
    </row>
    <row r="3893" spans="1:17">
      <c r="A3893" s="175"/>
      <c r="B3893" s="175"/>
      <c r="P3893" s="4"/>
      <c r="Q3893" s="214"/>
    </row>
    <row r="3894" spans="1:17">
      <c r="A3894" s="175"/>
      <c r="B3894" s="175"/>
      <c r="P3894" s="4"/>
      <c r="Q3894" s="214"/>
    </row>
    <row r="3895" spans="1:17">
      <c r="A3895" s="175"/>
      <c r="B3895" s="175"/>
      <c r="P3895" s="4"/>
      <c r="Q3895" s="214"/>
    </row>
    <row r="3896" spans="1:17">
      <c r="A3896" s="175"/>
      <c r="B3896" s="175"/>
      <c r="P3896" s="4"/>
      <c r="Q3896" s="214"/>
    </row>
    <row r="3897" spans="1:17">
      <c r="A3897" s="175"/>
      <c r="B3897" s="175"/>
      <c r="P3897" s="4"/>
      <c r="Q3897" s="214"/>
    </row>
    <row r="3898" spans="1:17">
      <c r="A3898" s="175"/>
      <c r="B3898" s="175"/>
      <c r="P3898" s="4"/>
      <c r="Q3898" s="214"/>
    </row>
    <row r="3899" spans="1:17">
      <c r="A3899" s="175"/>
      <c r="B3899" s="175"/>
      <c r="P3899" s="4"/>
      <c r="Q3899" s="214"/>
    </row>
    <row r="3900" spans="1:17">
      <c r="A3900" s="175"/>
      <c r="B3900" s="175"/>
      <c r="P3900" s="4"/>
      <c r="Q3900" s="214"/>
    </row>
    <row r="3901" spans="1:17">
      <c r="A3901" s="175"/>
      <c r="B3901" s="175"/>
      <c r="P3901" s="4"/>
      <c r="Q3901" s="214"/>
    </row>
    <row r="3902" spans="1:17">
      <c r="A3902" s="175"/>
      <c r="B3902" s="175"/>
      <c r="P3902" s="4"/>
      <c r="Q3902" s="214"/>
    </row>
    <row r="3903" spans="1:17">
      <c r="A3903" s="175"/>
      <c r="B3903" s="175"/>
      <c r="P3903" s="4"/>
      <c r="Q3903" s="214"/>
    </row>
    <row r="3904" spans="1:17">
      <c r="A3904" s="175"/>
      <c r="B3904" s="175"/>
      <c r="P3904" s="4"/>
      <c r="Q3904" s="214"/>
    </row>
    <row r="3905" spans="1:17">
      <c r="A3905" s="175"/>
      <c r="B3905" s="175"/>
      <c r="P3905" s="4"/>
      <c r="Q3905" s="214"/>
    </row>
    <row r="3906" spans="1:17">
      <c r="A3906" s="175"/>
      <c r="B3906" s="175"/>
      <c r="P3906" s="4"/>
      <c r="Q3906" s="214"/>
    </row>
    <row r="3907" spans="1:17">
      <c r="A3907" s="175"/>
      <c r="B3907" s="175"/>
      <c r="P3907" s="4"/>
      <c r="Q3907" s="214"/>
    </row>
    <row r="3908" spans="1:17">
      <c r="A3908" s="175"/>
      <c r="B3908" s="175"/>
      <c r="P3908" s="4"/>
      <c r="Q3908" s="214"/>
    </row>
    <row r="3909" spans="1:17">
      <c r="A3909" s="175"/>
      <c r="B3909" s="175"/>
      <c r="P3909" s="4"/>
      <c r="Q3909" s="214"/>
    </row>
    <row r="3910" spans="1:17">
      <c r="A3910" s="175"/>
      <c r="B3910" s="175"/>
      <c r="P3910" s="4"/>
      <c r="Q3910" s="214"/>
    </row>
    <row r="3911" spans="1:17">
      <c r="A3911" s="175"/>
      <c r="B3911" s="175"/>
      <c r="P3911" s="4"/>
      <c r="Q3911" s="214"/>
    </row>
    <row r="3912" spans="1:17">
      <c r="A3912" s="175"/>
      <c r="B3912" s="175"/>
      <c r="P3912" s="4"/>
      <c r="Q3912" s="214"/>
    </row>
    <row r="3913" spans="1:17">
      <c r="A3913" s="175"/>
      <c r="B3913" s="175"/>
      <c r="P3913" s="4"/>
      <c r="Q3913" s="214"/>
    </row>
    <row r="3914" spans="1:17">
      <c r="A3914" s="175"/>
      <c r="B3914" s="175"/>
      <c r="P3914" s="4"/>
      <c r="Q3914" s="214"/>
    </row>
    <row r="3915" spans="1:17">
      <c r="A3915" s="175"/>
      <c r="B3915" s="175"/>
      <c r="P3915" s="4"/>
      <c r="Q3915" s="214"/>
    </row>
    <row r="3916" spans="1:17">
      <c r="A3916" s="175"/>
      <c r="B3916" s="175"/>
      <c r="P3916" s="4"/>
      <c r="Q3916" s="214"/>
    </row>
    <row r="3917" spans="1:17">
      <c r="A3917" s="175"/>
      <c r="B3917" s="175"/>
      <c r="P3917" s="4"/>
      <c r="Q3917" s="214"/>
    </row>
    <row r="3918" spans="1:17">
      <c r="A3918" s="175"/>
      <c r="B3918" s="175"/>
      <c r="P3918" s="4"/>
      <c r="Q3918" s="214"/>
    </row>
    <row r="3919" spans="1:17">
      <c r="A3919" s="175"/>
      <c r="B3919" s="175"/>
      <c r="P3919" s="4"/>
      <c r="Q3919" s="214"/>
    </row>
    <row r="3920" spans="1:17">
      <c r="A3920" s="175"/>
      <c r="B3920" s="175"/>
      <c r="P3920" s="4"/>
      <c r="Q3920" s="214"/>
    </row>
    <row r="3921" spans="1:17">
      <c r="A3921" s="175"/>
      <c r="B3921" s="175"/>
      <c r="P3921" s="4"/>
      <c r="Q3921" s="214"/>
    </row>
    <row r="3922" spans="1:17">
      <c r="A3922" s="175"/>
      <c r="B3922" s="175"/>
      <c r="P3922" s="4"/>
      <c r="Q3922" s="214"/>
    </row>
    <row r="3923" spans="1:17">
      <c r="A3923" s="175"/>
      <c r="B3923" s="175"/>
      <c r="P3923" s="4"/>
      <c r="Q3923" s="214"/>
    </row>
    <row r="3924" spans="1:17">
      <c r="A3924" s="175"/>
      <c r="B3924" s="175"/>
      <c r="P3924" s="4"/>
      <c r="Q3924" s="214"/>
    </row>
    <row r="3925" spans="1:17">
      <c r="A3925" s="175"/>
      <c r="B3925" s="175"/>
      <c r="P3925" s="4"/>
      <c r="Q3925" s="214"/>
    </row>
    <row r="3926" spans="1:17">
      <c r="A3926" s="175"/>
      <c r="B3926" s="175"/>
      <c r="P3926" s="4"/>
      <c r="Q3926" s="214"/>
    </row>
    <row r="3927" spans="1:17">
      <c r="A3927" s="175"/>
      <c r="B3927" s="175"/>
      <c r="P3927" s="4"/>
      <c r="Q3927" s="214"/>
    </row>
    <row r="3928" spans="1:17">
      <c r="A3928" s="175"/>
      <c r="B3928" s="175"/>
      <c r="P3928" s="4"/>
      <c r="Q3928" s="214"/>
    </row>
    <row r="3929" spans="1:17">
      <c r="A3929" s="175"/>
      <c r="B3929" s="175"/>
      <c r="P3929" s="4"/>
      <c r="Q3929" s="214"/>
    </row>
    <row r="3930" spans="1:17">
      <c r="A3930" s="175"/>
      <c r="B3930" s="175"/>
      <c r="P3930" s="4"/>
      <c r="Q3930" s="214"/>
    </row>
    <row r="3931" spans="1:17">
      <c r="A3931" s="175"/>
      <c r="B3931" s="175"/>
      <c r="P3931" s="4"/>
      <c r="Q3931" s="214"/>
    </row>
    <row r="3932" spans="1:17">
      <c r="A3932" s="175"/>
      <c r="B3932" s="175"/>
      <c r="P3932" s="4"/>
      <c r="Q3932" s="214"/>
    </row>
    <row r="3933" spans="1:17">
      <c r="A3933" s="175"/>
      <c r="B3933" s="175"/>
      <c r="P3933" s="4"/>
      <c r="Q3933" s="214"/>
    </row>
    <row r="3934" spans="1:17">
      <c r="A3934" s="175"/>
      <c r="B3934" s="175"/>
      <c r="P3934" s="4"/>
      <c r="Q3934" s="214"/>
    </row>
    <row r="3935" spans="1:17">
      <c r="A3935" s="175"/>
      <c r="B3935" s="175"/>
      <c r="P3935" s="4"/>
      <c r="Q3935" s="214"/>
    </row>
    <row r="3936" spans="1:17">
      <c r="A3936" s="175"/>
      <c r="B3936" s="175"/>
      <c r="P3936" s="4"/>
      <c r="Q3936" s="214"/>
    </row>
    <row r="3937" spans="1:17">
      <c r="A3937" s="175"/>
      <c r="B3937" s="175"/>
      <c r="P3937" s="4"/>
      <c r="Q3937" s="214"/>
    </row>
    <row r="3938" spans="1:17">
      <c r="A3938" s="175"/>
      <c r="B3938" s="175"/>
      <c r="P3938" s="4"/>
      <c r="Q3938" s="214"/>
    </row>
    <row r="3939" spans="1:17">
      <c r="A3939" s="175"/>
      <c r="B3939" s="175"/>
      <c r="P3939" s="4"/>
      <c r="Q3939" s="214"/>
    </row>
    <row r="3940" spans="1:17">
      <c r="A3940" s="175"/>
      <c r="B3940" s="175"/>
      <c r="P3940" s="4"/>
      <c r="Q3940" s="214"/>
    </row>
    <row r="3941" spans="1:17">
      <c r="A3941" s="175"/>
      <c r="B3941" s="175"/>
      <c r="P3941" s="4"/>
      <c r="Q3941" s="214"/>
    </row>
    <row r="3942" spans="1:17">
      <c r="A3942" s="175"/>
      <c r="B3942" s="175"/>
      <c r="P3942" s="4"/>
      <c r="Q3942" s="214"/>
    </row>
    <row r="3943" spans="1:17">
      <c r="A3943" s="175"/>
      <c r="B3943" s="175"/>
      <c r="P3943" s="4"/>
      <c r="Q3943" s="214"/>
    </row>
    <row r="3944" spans="1:17">
      <c r="A3944" s="175"/>
      <c r="B3944" s="175"/>
      <c r="P3944" s="4"/>
      <c r="Q3944" s="214"/>
    </row>
    <row r="3945" spans="1:17">
      <c r="A3945" s="175"/>
      <c r="B3945" s="175"/>
      <c r="P3945" s="4"/>
      <c r="Q3945" s="214"/>
    </row>
    <row r="3946" spans="1:17">
      <c r="A3946" s="175"/>
      <c r="B3946" s="175"/>
      <c r="P3946" s="4"/>
      <c r="Q3946" s="214"/>
    </row>
    <row r="3947" spans="1:17">
      <c r="A3947" s="175"/>
      <c r="B3947" s="175"/>
      <c r="P3947" s="4"/>
      <c r="Q3947" s="214"/>
    </row>
    <row r="3948" spans="1:17">
      <c r="A3948" s="175"/>
      <c r="B3948" s="175"/>
      <c r="P3948" s="4"/>
      <c r="Q3948" s="214"/>
    </row>
    <row r="3949" spans="1:17">
      <c r="A3949" s="175"/>
      <c r="B3949" s="175"/>
      <c r="P3949" s="4"/>
      <c r="Q3949" s="214"/>
    </row>
    <row r="3950" spans="1:17">
      <c r="A3950" s="175"/>
      <c r="B3950" s="175"/>
      <c r="P3950" s="4"/>
      <c r="Q3950" s="214"/>
    </row>
    <row r="3951" spans="1:17">
      <c r="A3951" s="175"/>
      <c r="B3951" s="175"/>
      <c r="P3951" s="4"/>
      <c r="Q3951" s="214"/>
    </row>
    <row r="3952" spans="1:17">
      <c r="A3952" s="175"/>
      <c r="B3952" s="175"/>
      <c r="P3952" s="4"/>
      <c r="Q3952" s="214"/>
    </row>
    <row r="3953" spans="1:17">
      <c r="A3953" s="175"/>
      <c r="B3953" s="175"/>
      <c r="P3953" s="4"/>
      <c r="Q3953" s="214"/>
    </row>
    <row r="3954" spans="1:17">
      <c r="A3954" s="175"/>
      <c r="B3954" s="175"/>
      <c r="P3954" s="4"/>
      <c r="Q3954" s="214"/>
    </row>
    <row r="3955" spans="1:17">
      <c r="A3955" s="175"/>
      <c r="B3955" s="175"/>
      <c r="P3955" s="4"/>
      <c r="Q3955" s="214"/>
    </row>
    <row r="3956" spans="1:17">
      <c r="A3956" s="175"/>
      <c r="B3956" s="175"/>
      <c r="P3956" s="4"/>
      <c r="Q3956" s="214"/>
    </row>
    <row r="3957" spans="1:17">
      <c r="A3957" s="175"/>
      <c r="B3957" s="175"/>
      <c r="P3957" s="4"/>
      <c r="Q3957" s="214"/>
    </row>
    <row r="3958" spans="1:17">
      <c r="A3958" s="175"/>
      <c r="B3958" s="175"/>
      <c r="P3958" s="4"/>
      <c r="Q3958" s="214"/>
    </row>
    <row r="3959" spans="1:17">
      <c r="A3959" s="175"/>
      <c r="B3959" s="175"/>
      <c r="P3959" s="4"/>
      <c r="Q3959" s="214"/>
    </row>
    <row r="3960" spans="1:17">
      <c r="A3960" s="175"/>
      <c r="B3960" s="175"/>
      <c r="P3960" s="4"/>
      <c r="Q3960" s="214"/>
    </row>
    <row r="3961" spans="1:17">
      <c r="A3961" s="175"/>
      <c r="B3961" s="175"/>
      <c r="P3961" s="4"/>
      <c r="Q3961" s="214"/>
    </row>
    <row r="3962" spans="1:17">
      <c r="A3962" s="175"/>
      <c r="B3962" s="175"/>
      <c r="P3962" s="4"/>
      <c r="Q3962" s="214"/>
    </row>
    <row r="3963" spans="1:17">
      <c r="A3963" s="175"/>
      <c r="B3963" s="175"/>
      <c r="P3963" s="4"/>
      <c r="Q3963" s="214"/>
    </row>
    <row r="3964" spans="1:17">
      <c r="A3964" s="175"/>
      <c r="B3964" s="175"/>
      <c r="P3964" s="4"/>
      <c r="Q3964" s="214"/>
    </row>
    <row r="3965" spans="1:17">
      <c r="A3965" s="175"/>
      <c r="B3965" s="175"/>
      <c r="P3965" s="4"/>
      <c r="Q3965" s="214"/>
    </row>
    <row r="3966" spans="1:17">
      <c r="A3966" s="175"/>
      <c r="B3966" s="175"/>
      <c r="P3966" s="4"/>
      <c r="Q3966" s="214"/>
    </row>
    <row r="3967" spans="1:17">
      <c r="A3967" s="175"/>
      <c r="B3967" s="175"/>
      <c r="P3967" s="4"/>
      <c r="Q3967" s="214"/>
    </row>
    <row r="3968" spans="1:17">
      <c r="A3968" s="175"/>
      <c r="B3968" s="175"/>
      <c r="P3968" s="4"/>
      <c r="Q3968" s="214"/>
    </row>
    <row r="3969" spans="1:17">
      <c r="A3969" s="175"/>
      <c r="B3969" s="175"/>
      <c r="P3969" s="4"/>
      <c r="Q3969" s="214"/>
    </row>
    <row r="3970" spans="1:17">
      <c r="A3970" s="175"/>
      <c r="B3970" s="175"/>
      <c r="P3970" s="4"/>
      <c r="Q3970" s="214"/>
    </row>
    <row r="3971" spans="1:17">
      <c r="A3971" s="175"/>
      <c r="B3971" s="175"/>
      <c r="P3971" s="4"/>
      <c r="Q3971" s="214"/>
    </row>
    <row r="3972" spans="1:17">
      <c r="A3972" s="175"/>
      <c r="B3972" s="175"/>
      <c r="P3972" s="4"/>
      <c r="Q3972" s="214"/>
    </row>
    <row r="3973" spans="1:17">
      <c r="A3973" s="175"/>
      <c r="B3973" s="175"/>
      <c r="P3973" s="4"/>
      <c r="Q3973" s="214"/>
    </row>
    <row r="3974" spans="1:17">
      <c r="A3974" s="175"/>
      <c r="B3974" s="175"/>
      <c r="P3974" s="4"/>
      <c r="Q3974" s="214"/>
    </row>
    <row r="3975" spans="1:17">
      <c r="A3975" s="175"/>
      <c r="B3975" s="175"/>
      <c r="P3975" s="4"/>
      <c r="Q3975" s="214"/>
    </row>
    <row r="3976" spans="1:17">
      <c r="A3976" s="175"/>
      <c r="B3976" s="175"/>
      <c r="P3976" s="4"/>
      <c r="Q3976" s="214"/>
    </row>
    <row r="3977" spans="1:17">
      <c r="A3977" s="175"/>
      <c r="B3977" s="175"/>
      <c r="P3977" s="4"/>
      <c r="Q3977" s="214"/>
    </row>
    <row r="3978" spans="1:17">
      <c r="A3978" s="175"/>
      <c r="B3978" s="175"/>
      <c r="P3978" s="4"/>
      <c r="Q3978" s="214"/>
    </row>
    <row r="3979" spans="1:17">
      <c r="A3979" s="175"/>
      <c r="B3979" s="175"/>
      <c r="P3979" s="4"/>
      <c r="Q3979" s="214"/>
    </row>
    <row r="3980" spans="1:17">
      <c r="A3980" s="175"/>
      <c r="B3980" s="175"/>
      <c r="P3980" s="4"/>
      <c r="Q3980" s="214"/>
    </row>
    <row r="3981" spans="1:17">
      <c r="A3981" s="175"/>
      <c r="B3981" s="175"/>
      <c r="P3981" s="4"/>
      <c r="Q3981" s="214"/>
    </row>
    <row r="3982" spans="1:17">
      <c r="A3982" s="175"/>
      <c r="B3982" s="175"/>
      <c r="P3982" s="4"/>
      <c r="Q3982" s="214"/>
    </row>
    <row r="3983" spans="1:17">
      <c r="A3983" s="175"/>
      <c r="B3983" s="175"/>
      <c r="P3983" s="4"/>
      <c r="Q3983" s="214"/>
    </row>
    <row r="3984" spans="1:17">
      <c r="A3984" s="175"/>
      <c r="B3984" s="175"/>
      <c r="P3984" s="4"/>
      <c r="Q3984" s="214"/>
    </row>
    <row r="3985" spans="1:17">
      <c r="A3985" s="175"/>
      <c r="B3985" s="175"/>
      <c r="P3985" s="4"/>
      <c r="Q3985" s="214"/>
    </row>
    <row r="3986" spans="1:17">
      <c r="A3986" s="175"/>
      <c r="B3986" s="175"/>
      <c r="P3986" s="4"/>
      <c r="Q3986" s="214"/>
    </row>
    <row r="3987" spans="1:17">
      <c r="A3987" s="175"/>
      <c r="B3987" s="175"/>
      <c r="P3987" s="4"/>
      <c r="Q3987" s="214"/>
    </row>
    <row r="3988" spans="1:17">
      <c r="A3988" s="175"/>
      <c r="B3988" s="175"/>
      <c r="P3988" s="4"/>
      <c r="Q3988" s="214"/>
    </row>
    <row r="3989" spans="1:17">
      <c r="A3989" s="175"/>
      <c r="B3989" s="175"/>
      <c r="P3989" s="4"/>
      <c r="Q3989" s="214"/>
    </row>
    <row r="3990" spans="1:17">
      <c r="A3990" s="175"/>
      <c r="B3990" s="175"/>
      <c r="P3990" s="4"/>
      <c r="Q3990" s="214"/>
    </row>
    <row r="3991" spans="1:17">
      <c r="A3991" s="175"/>
      <c r="B3991" s="175"/>
      <c r="P3991" s="4"/>
      <c r="Q3991" s="214"/>
    </row>
    <row r="3992" spans="1:17">
      <c r="A3992" s="175"/>
      <c r="B3992" s="175"/>
      <c r="P3992" s="4"/>
      <c r="Q3992" s="214"/>
    </row>
    <row r="3993" spans="1:17">
      <c r="A3993" s="175"/>
      <c r="B3993" s="175"/>
      <c r="P3993" s="4"/>
      <c r="Q3993" s="214"/>
    </row>
    <row r="3994" spans="1:17">
      <c r="A3994" s="175"/>
      <c r="B3994" s="175"/>
      <c r="P3994" s="4"/>
      <c r="Q3994" s="214"/>
    </row>
    <row r="3995" spans="1:17">
      <c r="A3995" s="175"/>
      <c r="B3995" s="175"/>
      <c r="P3995" s="4"/>
      <c r="Q3995" s="214"/>
    </row>
    <row r="3996" spans="1:17">
      <c r="A3996" s="175"/>
      <c r="B3996" s="175"/>
      <c r="P3996" s="4"/>
      <c r="Q3996" s="214"/>
    </row>
    <row r="3997" spans="1:17">
      <c r="A3997" s="175"/>
      <c r="B3997" s="175"/>
      <c r="P3997" s="4"/>
      <c r="Q3997" s="214"/>
    </row>
    <row r="3998" spans="1:17">
      <c r="A3998" s="175"/>
      <c r="B3998" s="175"/>
      <c r="P3998" s="4"/>
      <c r="Q3998" s="214"/>
    </row>
    <row r="3999" spans="1:17">
      <c r="A3999" s="175"/>
      <c r="B3999" s="175"/>
      <c r="P3999" s="4"/>
      <c r="Q3999" s="214"/>
    </row>
    <row r="4000" spans="1:17">
      <c r="A4000" s="175"/>
      <c r="B4000" s="175"/>
      <c r="P4000" s="4"/>
      <c r="Q4000" s="214"/>
    </row>
    <row r="4001" spans="1:17">
      <c r="A4001" s="175"/>
      <c r="B4001" s="175"/>
      <c r="P4001" s="4"/>
      <c r="Q4001" s="214"/>
    </row>
    <row r="4002" spans="1:17">
      <c r="A4002" s="175"/>
      <c r="B4002" s="175"/>
      <c r="P4002" s="4"/>
      <c r="Q4002" s="214"/>
    </row>
    <row r="4003" spans="1:17">
      <c r="A4003" s="175"/>
      <c r="B4003" s="175"/>
      <c r="P4003" s="4"/>
      <c r="Q4003" s="214"/>
    </row>
    <row r="4004" spans="1:17">
      <c r="A4004" s="175"/>
      <c r="B4004" s="175"/>
      <c r="P4004" s="4"/>
      <c r="Q4004" s="214"/>
    </row>
    <row r="4005" spans="1:17">
      <c r="A4005" s="175"/>
      <c r="B4005" s="175"/>
      <c r="P4005" s="4"/>
      <c r="Q4005" s="214"/>
    </row>
    <row r="4006" spans="1:17">
      <c r="A4006" s="175"/>
      <c r="B4006" s="175"/>
      <c r="P4006" s="4"/>
      <c r="Q4006" s="214"/>
    </row>
    <row r="4007" spans="1:17">
      <c r="A4007" s="175"/>
      <c r="B4007" s="175"/>
      <c r="P4007" s="4"/>
      <c r="Q4007" s="214"/>
    </row>
    <row r="4008" spans="1:17">
      <c r="A4008" s="175"/>
      <c r="B4008" s="175"/>
      <c r="P4008" s="4"/>
      <c r="Q4008" s="214"/>
    </row>
    <row r="4009" spans="1:17">
      <c r="A4009" s="175"/>
      <c r="B4009" s="175"/>
      <c r="P4009" s="4"/>
      <c r="Q4009" s="214"/>
    </row>
    <row r="4010" spans="1:17">
      <c r="A4010" s="175"/>
      <c r="B4010" s="175"/>
      <c r="P4010" s="4"/>
      <c r="Q4010" s="214"/>
    </row>
    <row r="4011" spans="1:17">
      <c r="A4011" s="175"/>
      <c r="B4011" s="175"/>
      <c r="P4011" s="4"/>
      <c r="Q4011" s="214"/>
    </row>
    <row r="4012" spans="1:17">
      <c r="A4012" s="175"/>
      <c r="B4012" s="175"/>
      <c r="P4012" s="4"/>
      <c r="Q4012" s="214"/>
    </row>
    <row r="4013" spans="1:17">
      <c r="A4013" s="175"/>
      <c r="B4013" s="175"/>
      <c r="P4013" s="4"/>
      <c r="Q4013" s="214"/>
    </row>
    <row r="4014" spans="1:17">
      <c r="A4014" s="175"/>
      <c r="B4014" s="175"/>
      <c r="P4014" s="4"/>
      <c r="Q4014" s="214"/>
    </row>
    <row r="4015" spans="1:17">
      <c r="A4015" s="175"/>
      <c r="B4015" s="175"/>
      <c r="P4015" s="4"/>
      <c r="Q4015" s="214"/>
    </row>
    <row r="4016" spans="1:17">
      <c r="A4016" s="175"/>
      <c r="B4016" s="175"/>
      <c r="P4016" s="4"/>
      <c r="Q4016" s="214"/>
    </row>
    <row r="4017" spans="1:17">
      <c r="A4017" s="175"/>
      <c r="B4017" s="175"/>
      <c r="P4017" s="4"/>
      <c r="Q4017" s="214"/>
    </row>
    <row r="4018" spans="1:17">
      <c r="A4018" s="175"/>
      <c r="B4018" s="175"/>
      <c r="P4018" s="4"/>
      <c r="Q4018" s="214"/>
    </row>
    <row r="4019" spans="1:17">
      <c r="A4019" s="175"/>
      <c r="B4019" s="175"/>
      <c r="P4019" s="4"/>
      <c r="Q4019" s="214"/>
    </row>
    <row r="4020" spans="1:17">
      <c r="A4020" s="175"/>
      <c r="B4020" s="175"/>
      <c r="P4020" s="4"/>
      <c r="Q4020" s="214"/>
    </row>
    <row r="4021" spans="1:17">
      <c r="A4021" s="175"/>
      <c r="B4021" s="175"/>
      <c r="P4021" s="4"/>
      <c r="Q4021" s="214"/>
    </row>
    <row r="4022" spans="1:17">
      <c r="A4022" s="175"/>
      <c r="B4022" s="175"/>
      <c r="P4022" s="4"/>
      <c r="Q4022" s="214"/>
    </row>
    <row r="4023" spans="1:17">
      <c r="A4023" s="175"/>
      <c r="B4023" s="175"/>
      <c r="P4023" s="4"/>
      <c r="Q4023" s="214"/>
    </row>
    <row r="4024" spans="1:17">
      <c r="A4024" s="175"/>
      <c r="B4024" s="175"/>
      <c r="P4024" s="4"/>
      <c r="Q4024" s="214"/>
    </row>
    <row r="4025" spans="1:17">
      <c r="A4025" s="175"/>
      <c r="B4025" s="175"/>
      <c r="P4025" s="4"/>
      <c r="Q4025" s="214"/>
    </row>
    <row r="4026" spans="1:17">
      <c r="A4026" s="175"/>
      <c r="B4026" s="175"/>
      <c r="P4026" s="4"/>
      <c r="Q4026" s="214"/>
    </row>
    <row r="4027" spans="1:17">
      <c r="A4027" s="175"/>
      <c r="B4027" s="175"/>
      <c r="P4027" s="4"/>
      <c r="Q4027" s="214"/>
    </row>
    <row r="4028" spans="1:17">
      <c r="A4028" s="175"/>
      <c r="B4028" s="175"/>
      <c r="P4028" s="4"/>
      <c r="Q4028" s="214"/>
    </row>
    <row r="4029" spans="1:17">
      <c r="A4029" s="175"/>
      <c r="B4029" s="175"/>
      <c r="P4029" s="4"/>
      <c r="Q4029" s="214"/>
    </row>
    <row r="4030" spans="1:17">
      <c r="A4030" s="175"/>
      <c r="B4030" s="175"/>
      <c r="P4030" s="4"/>
      <c r="Q4030" s="214"/>
    </row>
    <row r="4031" spans="1:17">
      <c r="A4031" s="175"/>
      <c r="B4031" s="175"/>
      <c r="P4031" s="4"/>
      <c r="Q4031" s="214"/>
    </row>
    <row r="4032" spans="1:17">
      <c r="A4032" s="175"/>
      <c r="B4032" s="175"/>
      <c r="P4032" s="4"/>
      <c r="Q4032" s="214"/>
    </row>
    <row r="4033" spans="1:17">
      <c r="A4033" s="175"/>
      <c r="B4033" s="175"/>
      <c r="P4033" s="4"/>
      <c r="Q4033" s="214"/>
    </row>
    <row r="4034" spans="1:17">
      <c r="A4034" s="175"/>
      <c r="B4034" s="175"/>
      <c r="P4034" s="4"/>
      <c r="Q4034" s="214"/>
    </row>
    <row r="4035" spans="1:17">
      <c r="A4035" s="175"/>
      <c r="B4035" s="175"/>
      <c r="P4035" s="4"/>
      <c r="Q4035" s="214"/>
    </row>
    <row r="4036" spans="1:17">
      <c r="A4036" s="175"/>
      <c r="B4036" s="175"/>
      <c r="P4036" s="4"/>
      <c r="Q4036" s="214"/>
    </row>
    <row r="4037" spans="1:17">
      <c r="A4037" s="175"/>
      <c r="B4037" s="175"/>
      <c r="P4037" s="4"/>
      <c r="Q4037" s="214"/>
    </row>
    <row r="4038" spans="1:17">
      <c r="A4038" s="175"/>
      <c r="B4038" s="175"/>
      <c r="P4038" s="4"/>
      <c r="Q4038" s="214"/>
    </row>
    <row r="4039" spans="1:17">
      <c r="A4039" s="175"/>
      <c r="B4039" s="175"/>
      <c r="P4039" s="4"/>
      <c r="Q4039" s="214"/>
    </row>
    <row r="4040" spans="1:17">
      <c r="A4040" s="175"/>
      <c r="B4040" s="175"/>
      <c r="P4040" s="4"/>
      <c r="Q4040" s="214"/>
    </row>
    <row r="4041" spans="1:17">
      <c r="A4041" s="175"/>
      <c r="B4041" s="175"/>
      <c r="P4041" s="4"/>
      <c r="Q4041" s="214"/>
    </row>
    <row r="4042" spans="1:17">
      <c r="A4042" s="175"/>
      <c r="B4042" s="175"/>
      <c r="P4042" s="4"/>
      <c r="Q4042" s="214"/>
    </row>
    <row r="4043" spans="1:17">
      <c r="A4043" s="175"/>
      <c r="B4043" s="175"/>
      <c r="P4043" s="4"/>
      <c r="Q4043" s="214"/>
    </row>
    <row r="4044" spans="1:17">
      <c r="A4044" s="175"/>
      <c r="B4044" s="175"/>
      <c r="P4044" s="4"/>
      <c r="Q4044" s="214"/>
    </row>
    <row r="4045" spans="1:17">
      <c r="A4045" s="175"/>
      <c r="B4045" s="175"/>
      <c r="P4045" s="4"/>
      <c r="Q4045" s="214"/>
    </row>
    <row r="4046" spans="1:17">
      <c r="A4046" s="175"/>
      <c r="B4046" s="175"/>
      <c r="P4046" s="4"/>
      <c r="Q4046" s="214"/>
    </row>
    <row r="4047" spans="1:17">
      <c r="A4047" s="175"/>
      <c r="B4047" s="175"/>
      <c r="P4047" s="4"/>
      <c r="Q4047" s="214"/>
    </row>
    <row r="4048" spans="1:17">
      <c r="A4048" s="175"/>
      <c r="B4048" s="175"/>
      <c r="P4048" s="4"/>
      <c r="Q4048" s="214"/>
    </row>
    <row r="4049" spans="1:17">
      <c r="A4049" s="175"/>
      <c r="B4049" s="175"/>
      <c r="P4049" s="4"/>
      <c r="Q4049" s="214"/>
    </row>
    <row r="4050" spans="1:17">
      <c r="A4050" s="175"/>
      <c r="B4050" s="175"/>
      <c r="P4050" s="4"/>
      <c r="Q4050" s="214"/>
    </row>
    <row r="4051" spans="1:17">
      <c r="A4051" s="175"/>
      <c r="B4051" s="175"/>
      <c r="P4051" s="4"/>
      <c r="Q4051" s="214"/>
    </row>
    <row r="4052" spans="1:17">
      <c r="A4052" s="175"/>
      <c r="B4052" s="175"/>
      <c r="P4052" s="4"/>
      <c r="Q4052" s="214"/>
    </row>
    <row r="4053" spans="1:17">
      <c r="A4053" s="175"/>
      <c r="B4053" s="175"/>
      <c r="P4053" s="4"/>
      <c r="Q4053" s="214"/>
    </row>
    <row r="4054" spans="1:17">
      <c r="A4054" s="175"/>
      <c r="B4054" s="175"/>
      <c r="P4054" s="4"/>
      <c r="Q4054" s="214"/>
    </row>
    <row r="4055" spans="1:17">
      <c r="A4055" s="175"/>
      <c r="B4055" s="175"/>
      <c r="P4055" s="4"/>
      <c r="Q4055" s="214"/>
    </row>
    <row r="4056" spans="1:17">
      <c r="A4056" s="175"/>
      <c r="B4056" s="175"/>
      <c r="P4056" s="4"/>
      <c r="Q4056" s="214"/>
    </row>
    <row r="4057" spans="1:17">
      <c r="A4057" s="175"/>
      <c r="B4057" s="175"/>
      <c r="P4057" s="4"/>
      <c r="Q4057" s="214"/>
    </row>
    <row r="4058" spans="1:17">
      <c r="A4058" s="175"/>
      <c r="B4058" s="175"/>
      <c r="P4058" s="4"/>
      <c r="Q4058" s="214"/>
    </row>
    <row r="4059" spans="1:17">
      <c r="A4059" s="175"/>
      <c r="B4059" s="175"/>
      <c r="P4059" s="4"/>
      <c r="Q4059" s="214"/>
    </row>
    <row r="4060" spans="1:17">
      <c r="A4060" s="175"/>
      <c r="B4060" s="175"/>
      <c r="P4060" s="4"/>
      <c r="Q4060" s="214"/>
    </row>
    <row r="4061" spans="1:17">
      <c r="A4061" s="175"/>
      <c r="B4061" s="175"/>
      <c r="P4061" s="4"/>
      <c r="Q4061" s="214"/>
    </row>
    <row r="4062" spans="1:17">
      <c r="A4062" s="175"/>
      <c r="B4062" s="175"/>
      <c r="P4062" s="4"/>
      <c r="Q4062" s="214"/>
    </row>
    <row r="4063" spans="1:17">
      <c r="A4063" s="175"/>
      <c r="B4063" s="175"/>
      <c r="P4063" s="4"/>
      <c r="Q4063" s="214"/>
    </row>
    <row r="4064" spans="1:17">
      <c r="A4064" s="175"/>
      <c r="B4064" s="175"/>
      <c r="P4064" s="4"/>
      <c r="Q4064" s="214"/>
    </row>
    <row r="4065" spans="1:17">
      <c r="A4065" s="175"/>
      <c r="B4065" s="175"/>
      <c r="P4065" s="4"/>
      <c r="Q4065" s="214"/>
    </row>
    <row r="4066" spans="1:17">
      <c r="A4066" s="175"/>
      <c r="B4066" s="175"/>
      <c r="P4066" s="4"/>
      <c r="Q4066" s="214"/>
    </row>
    <row r="4067" spans="1:17">
      <c r="A4067" s="175"/>
      <c r="B4067" s="175"/>
      <c r="P4067" s="4"/>
      <c r="Q4067" s="214"/>
    </row>
    <row r="4068" spans="1:17">
      <c r="A4068" s="175"/>
      <c r="B4068" s="175"/>
      <c r="P4068" s="4"/>
      <c r="Q4068" s="214"/>
    </row>
    <row r="4069" spans="1:17">
      <c r="A4069" s="175"/>
      <c r="B4069" s="175"/>
      <c r="P4069" s="4"/>
      <c r="Q4069" s="214"/>
    </row>
    <row r="4070" spans="1:17">
      <c r="A4070" s="175"/>
      <c r="B4070" s="175"/>
      <c r="P4070" s="4"/>
      <c r="Q4070" s="214"/>
    </row>
    <row r="4071" spans="1:17">
      <c r="A4071" s="175"/>
      <c r="B4071" s="175"/>
      <c r="P4071" s="4"/>
      <c r="Q4071" s="214"/>
    </row>
    <row r="4072" spans="1:17">
      <c r="A4072" s="175"/>
      <c r="B4072" s="175"/>
      <c r="P4072" s="4"/>
      <c r="Q4072" s="214"/>
    </row>
    <row r="4073" spans="1:17">
      <c r="A4073" s="175"/>
      <c r="B4073" s="175"/>
      <c r="P4073" s="4"/>
      <c r="Q4073" s="214"/>
    </row>
    <row r="4074" spans="1:17">
      <c r="A4074" s="175"/>
      <c r="B4074" s="175"/>
      <c r="P4074" s="4"/>
      <c r="Q4074" s="214"/>
    </row>
    <row r="4075" spans="1:17">
      <c r="A4075" s="175"/>
      <c r="B4075" s="175"/>
      <c r="P4075" s="4"/>
      <c r="Q4075" s="214"/>
    </row>
    <row r="4076" spans="1:17">
      <c r="A4076" s="175"/>
      <c r="B4076" s="175"/>
      <c r="P4076" s="4"/>
      <c r="Q4076" s="214"/>
    </row>
    <row r="4077" spans="1:17">
      <c r="A4077" s="175"/>
      <c r="B4077" s="175"/>
      <c r="P4077" s="4"/>
      <c r="Q4077" s="214"/>
    </row>
    <row r="4078" spans="1:17">
      <c r="A4078" s="175"/>
      <c r="B4078" s="175"/>
      <c r="P4078" s="4"/>
      <c r="Q4078" s="214"/>
    </row>
    <row r="4079" spans="1:17">
      <c r="A4079" s="175"/>
      <c r="B4079" s="175"/>
      <c r="P4079" s="4"/>
      <c r="Q4079" s="214"/>
    </row>
    <row r="4080" spans="1:17">
      <c r="A4080" s="175"/>
      <c r="B4080" s="175"/>
      <c r="P4080" s="4"/>
      <c r="Q4080" s="214"/>
    </row>
    <row r="4081" spans="1:17">
      <c r="A4081" s="175"/>
      <c r="B4081" s="175"/>
      <c r="P4081" s="4"/>
      <c r="Q4081" s="214"/>
    </row>
    <row r="4082" spans="1:17">
      <c r="A4082" s="175"/>
      <c r="B4082" s="175"/>
      <c r="P4082" s="4"/>
      <c r="Q4082" s="214"/>
    </row>
    <row r="4083" spans="1:17">
      <c r="A4083" s="175"/>
      <c r="B4083" s="175"/>
      <c r="P4083" s="4"/>
      <c r="Q4083" s="214"/>
    </row>
    <row r="4084" spans="1:17">
      <c r="A4084" s="175"/>
      <c r="B4084" s="175"/>
      <c r="P4084" s="4"/>
      <c r="Q4084" s="214"/>
    </row>
    <row r="4085" spans="1:17">
      <c r="A4085" s="175"/>
      <c r="B4085" s="175"/>
      <c r="P4085" s="4"/>
      <c r="Q4085" s="214"/>
    </row>
    <row r="4086" spans="1:17">
      <c r="A4086" s="175"/>
      <c r="B4086" s="175"/>
      <c r="P4086" s="4"/>
      <c r="Q4086" s="214"/>
    </row>
    <row r="4087" spans="1:17">
      <c r="A4087" s="175"/>
      <c r="B4087" s="175"/>
      <c r="P4087" s="4"/>
      <c r="Q4087" s="214"/>
    </row>
    <row r="4088" spans="1:17">
      <c r="A4088" s="175"/>
      <c r="B4088" s="175"/>
      <c r="P4088" s="4"/>
      <c r="Q4088" s="214"/>
    </row>
    <row r="4089" spans="1:17">
      <c r="A4089" s="175"/>
      <c r="B4089" s="175"/>
      <c r="P4089" s="4"/>
      <c r="Q4089" s="214"/>
    </row>
    <row r="4090" spans="1:17">
      <c r="A4090" s="175"/>
      <c r="B4090" s="175"/>
      <c r="P4090" s="4"/>
      <c r="Q4090" s="214"/>
    </row>
    <row r="4091" spans="1:17">
      <c r="A4091" s="175"/>
      <c r="B4091" s="175"/>
      <c r="P4091" s="4"/>
      <c r="Q4091" s="214"/>
    </row>
    <row r="4092" spans="1:17">
      <c r="A4092" s="175"/>
      <c r="B4092" s="175"/>
      <c r="P4092" s="4"/>
      <c r="Q4092" s="214"/>
    </row>
    <row r="4093" spans="1:17">
      <c r="A4093" s="175"/>
      <c r="B4093" s="175"/>
      <c r="P4093" s="4"/>
      <c r="Q4093" s="214"/>
    </row>
    <row r="4094" spans="1:17">
      <c r="A4094" s="175"/>
      <c r="B4094" s="175"/>
      <c r="P4094" s="4"/>
      <c r="Q4094" s="214"/>
    </row>
    <row r="4095" spans="1:17">
      <c r="A4095" s="175"/>
      <c r="B4095" s="175"/>
      <c r="P4095" s="4"/>
      <c r="Q4095" s="214"/>
    </row>
    <row r="4096" spans="1:17">
      <c r="A4096" s="175"/>
      <c r="B4096" s="175"/>
      <c r="P4096" s="4"/>
      <c r="Q4096" s="214"/>
    </row>
    <row r="4097" spans="1:17">
      <c r="A4097" s="175"/>
      <c r="B4097" s="175"/>
      <c r="P4097" s="4"/>
      <c r="Q4097" s="214"/>
    </row>
    <row r="4098" spans="1:17">
      <c r="A4098" s="175"/>
      <c r="B4098" s="175"/>
      <c r="P4098" s="4"/>
      <c r="Q4098" s="214"/>
    </row>
    <row r="4099" spans="1:17">
      <c r="A4099" s="175"/>
      <c r="B4099" s="175"/>
      <c r="P4099" s="4"/>
      <c r="Q4099" s="214"/>
    </row>
    <row r="4100" spans="1:17">
      <c r="A4100" s="175"/>
      <c r="B4100" s="175"/>
      <c r="P4100" s="4"/>
      <c r="Q4100" s="214"/>
    </row>
    <row r="4101" spans="1:17">
      <c r="A4101" s="175"/>
      <c r="B4101" s="175"/>
      <c r="P4101" s="4"/>
      <c r="Q4101" s="214"/>
    </row>
    <row r="4102" spans="1:17">
      <c r="A4102" s="175"/>
      <c r="B4102" s="175"/>
      <c r="P4102" s="4"/>
      <c r="Q4102" s="214"/>
    </row>
    <row r="4103" spans="1:17">
      <c r="A4103" s="175"/>
      <c r="B4103" s="175"/>
      <c r="P4103" s="4"/>
      <c r="Q4103" s="214"/>
    </row>
    <row r="4104" spans="1:17">
      <c r="A4104" s="175"/>
      <c r="B4104" s="175"/>
      <c r="P4104" s="4"/>
      <c r="Q4104" s="214"/>
    </row>
    <row r="4105" spans="1:17">
      <c r="A4105" s="175"/>
      <c r="B4105" s="175"/>
      <c r="P4105" s="4"/>
      <c r="Q4105" s="214"/>
    </row>
    <row r="4106" spans="1:17">
      <c r="A4106" s="175"/>
      <c r="B4106" s="175"/>
      <c r="P4106" s="4"/>
      <c r="Q4106" s="214"/>
    </row>
    <row r="4107" spans="1:17">
      <c r="A4107" s="175"/>
      <c r="B4107" s="175"/>
      <c r="P4107" s="4"/>
      <c r="Q4107" s="214"/>
    </row>
    <row r="4108" spans="1:17">
      <c r="A4108" s="175"/>
      <c r="B4108" s="175"/>
      <c r="P4108" s="4"/>
      <c r="Q4108" s="214"/>
    </row>
    <row r="4109" spans="1:17">
      <c r="A4109" s="175"/>
      <c r="B4109" s="175"/>
      <c r="P4109" s="4"/>
      <c r="Q4109" s="214"/>
    </row>
    <row r="4110" spans="1:17">
      <c r="A4110" s="175"/>
      <c r="B4110" s="175"/>
      <c r="P4110" s="4"/>
      <c r="Q4110" s="214"/>
    </row>
    <row r="4111" spans="1:17">
      <c r="A4111" s="175"/>
      <c r="B4111" s="175"/>
      <c r="P4111" s="4"/>
      <c r="Q4111" s="214"/>
    </row>
    <row r="4112" spans="1:17">
      <c r="A4112" s="175"/>
      <c r="B4112" s="175"/>
      <c r="P4112" s="4"/>
      <c r="Q4112" s="214"/>
    </row>
    <row r="4113" spans="1:17">
      <c r="A4113" s="175"/>
      <c r="B4113" s="175"/>
      <c r="P4113" s="4"/>
      <c r="Q4113" s="214"/>
    </row>
    <row r="4114" spans="1:17">
      <c r="A4114" s="175"/>
      <c r="B4114" s="175"/>
      <c r="P4114" s="4"/>
      <c r="Q4114" s="214"/>
    </row>
    <row r="4115" spans="1:17">
      <c r="A4115" s="175"/>
      <c r="B4115" s="175"/>
      <c r="P4115" s="4"/>
      <c r="Q4115" s="214"/>
    </row>
    <row r="4116" spans="1:17">
      <c r="A4116" s="175"/>
      <c r="B4116" s="175"/>
      <c r="P4116" s="4"/>
      <c r="Q4116" s="214"/>
    </row>
    <row r="4117" spans="1:17">
      <c r="A4117" s="175"/>
      <c r="B4117" s="175"/>
      <c r="P4117" s="4"/>
      <c r="Q4117" s="214"/>
    </row>
    <row r="4118" spans="1:17">
      <c r="A4118" s="175"/>
      <c r="B4118" s="175"/>
      <c r="P4118" s="4"/>
      <c r="Q4118" s="214"/>
    </row>
    <row r="4119" spans="1:17">
      <c r="A4119" s="175"/>
      <c r="B4119" s="175"/>
      <c r="P4119" s="4"/>
      <c r="Q4119" s="214"/>
    </row>
    <row r="4120" spans="1:17">
      <c r="A4120" s="175"/>
      <c r="B4120" s="175"/>
      <c r="P4120" s="4"/>
      <c r="Q4120" s="214"/>
    </row>
    <row r="4121" spans="1:17">
      <c r="A4121" s="175"/>
      <c r="B4121" s="175"/>
      <c r="P4121" s="4"/>
      <c r="Q4121" s="214"/>
    </row>
    <row r="4122" spans="1:17">
      <c r="A4122" s="175"/>
      <c r="B4122" s="175"/>
      <c r="P4122" s="4"/>
      <c r="Q4122" s="214"/>
    </row>
    <row r="4123" spans="1:17">
      <c r="A4123" s="175"/>
      <c r="B4123" s="175"/>
      <c r="P4123" s="4"/>
      <c r="Q4123" s="214"/>
    </row>
    <row r="4124" spans="1:17">
      <c r="A4124" s="175"/>
      <c r="B4124" s="175"/>
      <c r="P4124" s="4"/>
      <c r="Q4124" s="214"/>
    </row>
    <row r="4125" spans="1:17">
      <c r="A4125" s="175"/>
      <c r="B4125" s="175"/>
      <c r="P4125" s="4"/>
      <c r="Q4125" s="214"/>
    </row>
    <row r="4126" spans="1:17">
      <c r="A4126" s="175"/>
      <c r="B4126" s="175"/>
      <c r="P4126" s="4"/>
      <c r="Q4126" s="214"/>
    </row>
    <row r="4127" spans="1:17">
      <c r="A4127" s="175"/>
      <c r="B4127" s="175"/>
      <c r="P4127" s="4"/>
      <c r="Q4127" s="214"/>
    </row>
    <row r="4128" spans="1:17">
      <c r="A4128" s="175"/>
      <c r="B4128" s="175"/>
      <c r="P4128" s="4"/>
      <c r="Q4128" s="214"/>
    </row>
    <row r="4129" spans="1:17">
      <c r="A4129" s="175"/>
      <c r="B4129" s="175"/>
      <c r="P4129" s="4"/>
      <c r="Q4129" s="214"/>
    </row>
    <row r="4130" spans="1:17">
      <c r="A4130" s="175"/>
      <c r="B4130" s="175"/>
      <c r="P4130" s="4"/>
      <c r="Q4130" s="214"/>
    </row>
    <row r="4131" spans="1:17">
      <c r="A4131" s="175"/>
      <c r="B4131" s="175"/>
      <c r="P4131" s="4"/>
      <c r="Q4131" s="214"/>
    </row>
    <row r="4132" spans="1:17">
      <c r="A4132" s="175"/>
      <c r="B4132" s="175"/>
      <c r="P4132" s="4"/>
      <c r="Q4132" s="214"/>
    </row>
    <row r="4133" spans="1:17">
      <c r="A4133" s="175"/>
      <c r="B4133" s="175"/>
      <c r="P4133" s="4"/>
      <c r="Q4133" s="214"/>
    </row>
    <row r="4134" spans="1:17">
      <c r="A4134" s="175"/>
      <c r="B4134" s="175"/>
      <c r="P4134" s="4"/>
      <c r="Q4134" s="214"/>
    </row>
    <row r="4135" spans="1:17">
      <c r="A4135" s="175"/>
      <c r="B4135" s="175"/>
      <c r="P4135" s="4"/>
      <c r="Q4135" s="214"/>
    </row>
    <row r="4136" spans="1:17">
      <c r="A4136" s="175"/>
      <c r="B4136" s="175"/>
      <c r="P4136" s="4"/>
      <c r="Q4136" s="214"/>
    </row>
    <row r="4137" spans="1:17">
      <c r="A4137" s="175"/>
      <c r="B4137" s="175"/>
      <c r="P4137" s="4"/>
      <c r="Q4137" s="214"/>
    </row>
    <row r="4138" spans="1:17">
      <c r="A4138" s="175"/>
      <c r="B4138" s="175"/>
      <c r="P4138" s="4"/>
      <c r="Q4138" s="214"/>
    </row>
    <row r="4139" spans="1:17">
      <c r="A4139" s="175"/>
      <c r="B4139" s="175"/>
      <c r="P4139" s="4"/>
      <c r="Q4139" s="214"/>
    </row>
    <row r="4140" spans="1:17">
      <c r="A4140" s="175"/>
      <c r="B4140" s="175"/>
      <c r="P4140" s="4"/>
      <c r="Q4140" s="214"/>
    </row>
    <row r="4141" spans="1:17">
      <c r="A4141" s="175"/>
      <c r="B4141" s="175"/>
      <c r="P4141" s="4"/>
      <c r="Q4141" s="214"/>
    </row>
    <row r="4142" spans="1:17">
      <c r="A4142" s="175"/>
      <c r="B4142" s="175"/>
      <c r="P4142" s="4"/>
      <c r="Q4142" s="214"/>
    </row>
    <row r="4143" spans="1:17">
      <c r="A4143" s="175"/>
      <c r="B4143" s="175"/>
      <c r="P4143" s="4"/>
      <c r="Q4143" s="214"/>
    </row>
    <row r="4144" spans="1:17">
      <c r="A4144" s="175"/>
      <c r="B4144" s="175"/>
      <c r="P4144" s="4"/>
      <c r="Q4144" s="214"/>
    </row>
    <row r="4145" spans="1:17">
      <c r="A4145" s="175"/>
      <c r="B4145" s="175"/>
      <c r="P4145" s="4"/>
      <c r="Q4145" s="214"/>
    </row>
    <row r="4146" spans="1:17">
      <c r="A4146" s="175"/>
      <c r="B4146" s="175"/>
      <c r="P4146" s="4"/>
      <c r="Q4146" s="214"/>
    </row>
    <row r="4147" spans="1:17">
      <c r="A4147" s="175"/>
      <c r="B4147" s="175"/>
      <c r="P4147" s="4"/>
      <c r="Q4147" s="214"/>
    </row>
    <row r="4148" spans="1:17">
      <c r="A4148" s="175"/>
      <c r="B4148" s="175"/>
      <c r="P4148" s="4"/>
      <c r="Q4148" s="214"/>
    </row>
    <row r="4149" spans="1:17">
      <c r="A4149" s="175"/>
      <c r="B4149" s="175"/>
      <c r="P4149" s="4"/>
      <c r="Q4149" s="214"/>
    </row>
    <row r="4150" spans="1:17">
      <c r="A4150" s="175"/>
      <c r="B4150" s="175"/>
      <c r="P4150" s="4"/>
      <c r="Q4150" s="214"/>
    </row>
    <row r="4151" spans="1:17">
      <c r="A4151" s="175"/>
      <c r="B4151" s="175"/>
      <c r="P4151" s="4"/>
      <c r="Q4151" s="214"/>
    </row>
    <row r="4152" spans="1:17">
      <c r="A4152" s="175"/>
      <c r="B4152" s="175"/>
      <c r="P4152" s="4"/>
      <c r="Q4152" s="214"/>
    </row>
    <row r="4153" spans="1:17">
      <c r="A4153" s="175"/>
      <c r="B4153" s="175"/>
      <c r="P4153" s="4"/>
      <c r="Q4153" s="214"/>
    </row>
    <row r="4154" spans="1:17">
      <c r="A4154" s="175"/>
      <c r="B4154" s="175"/>
      <c r="P4154" s="4"/>
      <c r="Q4154" s="214"/>
    </row>
    <row r="4155" spans="1:17">
      <c r="A4155" s="175"/>
      <c r="B4155" s="175"/>
      <c r="P4155" s="4"/>
      <c r="Q4155" s="214"/>
    </row>
    <row r="4156" spans="1:17">
      <c r="A4156" s="175"/>
      <c r="B4156" s="175"/>
      <c r="P4156" s="4"/>
      <c r="Q4156" s="214"/>
    </row>
    <row r="4157" spans="1:17">
      <c r="A4157" s="175"/>
      <c r="B4157" s="175"/>
      <c r="P4157" s="4"/>
      <c r="Q4157" s="214"/>
    </row>
    <row r="4158" spans="1:17">
      <c r="A4158" s="175"/>
      <c r="B4158" s="175"/>
      <c r="P4158" s="4"/>
      <c r="Q4158" s="214"/>
    </row>
    <row r="4159" spans="1:17">
      <c r="A4159" s="175"/>
      <c r="B4159" s="175"/>
      <c r="P4159" s="4"/>
      <c r="Q4159" s="214"/>
    </row>
    <row r="4160" spans="1:17">
      <c r="A4160" s="175"/>
      <c r="B4160" s="175"/>
      <c r="P4160" s="4"/>
      <c r="Q4160" s="214"/>
    </row>
    <row r="4161" spans="1:17">
      <c r="A4161" s="175"/>
      <c r="B4161" s="175"/>
      <c r="P4161" s="4"/>
      <c r="Q4161" s="214"/>
    </row>
    <row r="4162" spans="1:17">
      <c r="A4162" s="175"/>
      <c r="B4162" s="175"/>
      <c r="P4162" s="4"/>
      <c r="Q4162" s="214"/>
    </row>
    <row r="4163" spans="1:17">
      <c r="A4163" s="175"/>
      <c r="B4163" s="175"/>
      <c r="P4163" s="4"/>
      <c r="Q4163" s="214"/>
    </row>
    <row r="4164" spans="1:17">
      <c r="A4164" s="175"/>
      <c r="B4164" s="175"/>
      <c r="P4164" s="4"/>
      <c r="Q4164" s="214"/>
    </row>
    <row r="4165" spans="1:17">
      <c r="A4165" s="175"/>
      <c r="B4165" s="175"/>
      <c r="P4165" s="4"/>
      <c r="Q4165" s="214"/>
    </row>
    <row r="4166" spans="1:17">
      <c r="A4166" s="175"/>
      <c r="B4166" s="175"/>
      <c r="P4166" s="4"/>
      <c r="Q4166" s="214"/>
    </row>
    <row r="4167" spans="1:17">
      <c r="A4167" s="175"/>
      <c r="B4167" s="175"/>
      <c r="P4167" s="4"/>
      <c r="Q4167" s="214"/>
    </row>
    <row r="4168" spans="1:17">
      <c r="A4168" s="175"/>
      <c r="B4168" s="175"/>
      <c r="P4168" s="4"/>
      <c r="Q4168" s="214"/>
    </row>
    <row r="4169" spans="1:17">
      <c r="A4169" s="175"/>
      <c r="B4169" s="175"/>
      <c r="P4169" s="4"/>
      <c r="Q4169" s="214"/>
    </row>
    <row r="4170" spans="1:17">
      <c r="A4170" s="175"/>
      <c r="B4170" s="175"/>
      <c r="P4170" s="4"/>
      <c r="Q4170" s="214"/>
    </row>
    <row r="4171" spans="1:17">
      <c r="A4171" s="175"/>
      <c r="B4171" s="175"/>
      <c r="P4171" s="4"/>
      <c r="Q4171" s="214"/>
    </row>
    <row r="4172" spans="1:17">
      <c r="A4172" s="175"/>
      <c r="B4172" s="175"/>
      <c r="P4172" s="4"/>
      <c r="Q4172" s="214"/>
    </row>
    <row r="4173" spans="1:17">
      <c r="A4173" s="175"/>
      <c r="B4173" s="175"/>
      <c r="P4173" s="4"/>
      <c r="Q4173" s="214"/>
    </row>
    <row r="4174" spans="1:17">
      <c r="A4174" s="175"/>
      <c r="B4174" s="175"/>
      <c r="P4174" s="4"/>
      <c r="Q4174" s="214"/>
    </row>
    <row r="4175" spans="1:17">
      <c r="A4175" s="175"/>
      <c r="B4175" s="175"/>
      <c r="P4175" s="4"/>
      <c r="Q4175" s="214"/>
    </row>
    <row r="4176" spans="1:17">
      <c r="A4176" s="175"/>
      <c r="B4176" s="175"/>
      <c r="P4176" s="4"/>
      <c r="Q4176" s="214"/>
    </row>
    <row r="4177" spans="1:17">
      <c r="A4177" s="175"/>
      <c r="B4177" s="175"/>
      <c r="P4177" s="4"/>
      <c r="Q4177" s="214"/>
    </row>
    <row r="4178" spans="1:17">
      <c r="A4178" s="175"/>
      <c r="B4178" s="175"/>
      <c r="P4178" s="4"/>
      <c r="Q4178" s="214"/>
    </row>
    <row r="4179" spans="1:17">
      <c r="A4179" s="175"/>
      <c r="B4179" s="175"/>
      <c r="P4179" s="4"/>
      <c r="Q4179" s="214"/>
    </row>
    <row r="4180" spans="1:17">
      <c r="A4180" s="175"/>
      <c r="B4180" s="175"/>
      <c r="P4180" s="4"/>
      <c r="Q4180" s="214"/>
    </row>
    <row r="4181" spans="1:17">
      <c r="A4181" s="175"/>
      <c r="B4181" s="175"/>
      <c r="P4181" s="4"/>
      <c r="Q4181" s="214"/>
    </row>
    <row r="4182" spans="1:17">
      <c r="A4182" s="175"/>
      <c r="B4182" s="175"/>
      <c r="P4182" s="4"/>
      <c r="Q4182" s="214"/>
    </row>
    <row r="4183" spans="1:17">
      <c r="A4183" s="175"/>
      <c r="B4183" s="175"/>
      <c r="P4183" s="4"/>
      <c r="Q4183" s="214"/>
    </row>
    <row r="4184" spans="1:17">
      <c r="A4184" s="175"/>
      <c r="B4184" s="175"/>
      <c r="P4184" s="4"/>
      <c r="Q4184" s="214"/>
    </row>
    <row r="4185" spans="1:17">
      <c r="A4185" s="175"/>
      <c r="B4185" s="175"/>
      <c r="P4185" s="4"/>
      <c r="Q4185" s="214"/>
    </row>
    <row r="4186" spans="1:17">
      <c r="A4186" s="175"/>
      <c r="B4186" s="175"/>
      <c r="P4186" s="4"/>
      <c r="Q4186" s="214"/>
    </row>
    <row r="4187" spans="1:17">
      <c r="A4187" s="175"/>
      <c r="B4187" s="175"/>
      <c r="P4187" s="4"/>
      <c r="Q4187" s="214"/>
    </row>
    <row r="4188" spans="1:17">
      <c r="A4188" s="175"/>
      <c r="B4188" s="175"/>
      <c r="P4188" s="4"/>
      <c r="Q4188" s="214"/>
    </row>
    <row r="4189" spans="1:17">
      <c r="A4189" s="175"/>
      <c r="B4189" s="175"/>
      <c r="P4189" s="4"/>
      <c r="Q4189" s="214"/>
    </row>
    <row r="4190" spans="1:17">
      <c r="A4190" s="175"/>
      <c r="B4190" s="175"/>
      <c r="P4190" s="4"/>
      <c r="Q4190" s="214"/>
    </row>
    <row r="4191" spans="1:17">
      <c r="A4191" s="175"/>
      <c r="B4191" s="175"/>
      <c r="P4191" s="4"/>
      <c r="Q4191" s="214"/>
    </row>
    <row r="4192" spans="1:17">
      <c r="A4192" s="175"/>
      <c r="B4192" s="175"/>
      <c r="P4192" s="4"/>
      <c r="Q4192" s="214"/>
    </row>
    <row r="4193" spans="1:17">
      <c r="A4193" s="175"/>
      <c r="B4193" s="175"/>
      <c r="P4193" s="4"/>
      <c r="Q4193" s="214"/>
    </row>
    <row r="4194" spans="1:17">
      <c r="A4194" s="175"/>
      <c r="B4194" s="175"/>
      <c r="P4194" s="4"/>
      <c r="Q4194" s="214"/>
    </row>
    <row r="4195" spans="1:17">
      <c r="A4195" s="175"/>
      <c r="B4195" s="175"/>
      <c r="P4195" s="4"/>
      <c r="Q4195" s="214"/>
    </row>
    <row r="4196" spans="1:17">
      <c r="A4196" s="175"/>
      <c r="B4196" s="175"/>
      <c r="P4196" s="4"/>
      <c r="Q4196" s="214"/>
    </row>
    <row r="4197" spans="1:17">
      <c r="A4197" s="175"/>
      <c r="B4197" s="175"/>
      <c r="P4197" s="4"/>
      <c r="Q4197" s="214"/>
    </row>
    <row r="4198" spans="1:17">
      <c r="A4198" s="175"/>
      <c r="B4198" s="175"/>
      <c r="P4198" s="4"/>
      <c r="Q4198" s="214"/>
    </row>
    <row r="4199" spans="1:17">
      <c r="A4199" s="175"/>
      <c r="B4199" s="175"/>
      <c r="P4199" s="4"/>
      <c r="Q4199" s="214"/>
    </row>
    <row r="4200" spans="1:17">
      <c r="A4200" s="175"/>
      <c r="B4200" s="175"/>
      <c r="P4200" s="4"/>
      <c r="Q4200" s="214"/>
    </row>
    <row r="4201" spans="1:17">
      <c r="A4201" s="175"/>
      <c r="B4201" s="175"/>
      <c r="P4201" s="4"/>
      <c r="Q4201" s="214"/>
    </row>
    <row r="4202" spans="1:17">
      <c r="A4202" s="175"/>
      <c r="B4202" s="175"/>
      <c r="P4202" s="4"/>
      <c r="Q4202" s="214"/>
    </row>
    <row r="4203" spans="1:17">
      <c r="A4203" s="175"/>
      <c r="B4203" s="175"/>
      <c r="P4203" s="4"/>
      <c r="Q4203" s="214"/>
    </row>
    <row r="4204" spans="1:17">
      <c r="A4204" s="175"/>
      <c r="B4204" s="175"/>
      <c r="P4204" s="4"/>
      <c r="Q4204" s="214"/>
    </row>
    <row r="4205" spans="1:17">
      <c r="A4205" s="175"/>
      <c r="B4205" s="175"/>
      <c r="P4205" s="4"/>
      <c r="Q4205" s="214"/>
    </row>
    <row r="4206" spans="1:17">
      <c r="A4206" s="175"/>
      <c r="B4206" s="175"/>
      <c r="P4206" s="4"/>
      <c r="Q4206" s="214"/>
    </row>
    <row r="4207" spans="1:17">
      <c r="A4207" s="175"/>
      <c r="B4207" s="175"/>
      <c r="P4207" s="4"/>
      <c r="Q4207" s="214"/>
    </row>
    <row r="4208" spans="1:17">
      <c r="A4208" s="175"/>
      <c r="B4208" s="175"/>
      <c r="P4208" s="4"/>
      <c r="Q4208" s="214"/>
    </row>
    <row r="4209" spans="1:17">
      <c r="A4209" s="175"/>
      <c r="B4209" s="175"/>
      <c r="P4209" s="4"/>
      <c r="Q4209" s="214"/>
    </row>
    <row r="4210" spans="1:17">
      <c r="A4210" s="175"/>
      <c r="B4210" s="175"/>
      <c r="P4210" s="4"/>
      <c r="Q4210" s="214"/>
    </row>
    <row r="4211" spans="1:17">
      <c r="A4211" s="175"/>
      <c r="B4211" s="175"/>
      <c r="P4211" s="4"/>
      <c r="Q4211" s="214"/>
    </row>
    <row r="4212" spans="1:17">
      <c r="A4212" s="175"/>
      <c r="B4212" s="175"/>
      <c r="P4212" s="4"/>
      <c r="Q4212" s="214"/>
    </row>
    <row r="4213" spans="1:17">
      <c r="A4213" s="175"/>
      <c r="B4213" s="175"/>
      <c r="P4213" s="4"/>
      <c r="Q4213" s="214"/>
    </row>
    <row r="4214" spans="1:17">
      <c r="A4214" s="175"/>
      <c r="B4214" s="175"/>
      <c r="P4214" s="4"/>
      <c r="Q4214" s="214"/>
    </row>
    <row r="4215" spans="1:17">
      <c r="A4215" s="175"/>
      <c r="B4215" s="175"/>
      <c r="P4215" s="4"/>
      <c r="Q4215" s="214"/>
    </row>
    <row r="4216" spans="1:17">
      <c r="A4216" s="175"/>
      <c r="B4216" s="175"/>
      <c r="P4216" s="4"/>
      <c r="Q4216" s="214"/>
    </row>
    <row r="4217" spans="1:17">
      <c r="A4217" s="175"/>
      <c r="B4217" s="175"/>
      <c r="P4217" s="4"/>
      <c r="Q4217" s="214"/>
    </row>
    <row r="4218" spans="1:17">
      <c r="A4218" s="175"/>
      <c r="B4218" s="175"/>
      <c r="P4218" s="4"/>
      <c r="Q4218" s="214"/>
    </row>
    <row r="4219" spans="1:17">
      <c r="A4219" s="175"/>
      <c r="B4219" s="175"/>
      <c r="P4219" s="4"/>
      <c r="Q4219" s="214"/>
    </row>
    <row r="4220" spans="1:17">
      <c r="A4220" s="175"/>
      <c r="B4220" s="175"/>
      <c r="P4220" s="4"/>
      <c r="Q4220" s="214"/>
    </row>
    <row r="4221" spans="1:17">
      <c r="A4221" s="175"/>
      <c r="B4221" s="175"/>
      <c r="P4221" s="4"/>
      <c r="Q4221" s="214"/>
    </row>
    <row r="4222" spans="1:17">
      <c r="A4222" s="175"/>
      <c r="B4222" s="175"/>
      <c r="P4222" s="4"/>
      <c r="Q4222" s="214"/>
    </row>
    <row r="4223" spans="1:17">
      <c r="A4223" s="175"/>
      <c r="B4223" s="175"/>
      <c r="P4223" s="4"/>
      <c r="Q4223" s="214"/>
    </row>
    <row r="4224" spans="1:17">
      <c r="A4224" s="175"/>
      <c r="B4224" s="175"/>
      <c r="P4224" s="4"/>
      <c r="Q4224" s="214"/>
    </row>
    <row r="4225" spans="1:17">
      <c r="A4225" s="175"/>
      <c r="B4225" s="175"/>
      <c r="P4225" s="4"/>
      <c r="Q4225" s="214"/>
    </row>
    <row r="4226" spans="1:17">
      <c r="A4226" s="175"/>
      <c r="B4226" s="175"/>
      <c r="P4226" s="4"/>
      <c r="Q4226" s="214"/>
    </row>
    <row r="4227" spans="1:17">
      <c r="A4227" s="175"/>
      <c r="B4227" s="175"/>
      <c r="P4227" s="4"/>
      <c r="Q4227" s="214"/>
    </row>
    <row r="4228" spans="1:17">
      <c r="A4228" s="175"/>
      <c r="B4228" s="175"/>
      <c r="P4228" s="4"/>
      <c r="Q4228" s="214"/>
    </row>
    <row r="4229" spans="1:17">
      <c r="A4229" s="175"/>
      <c r="B4229" s="175"/>
      <c r="P4229" s="4"/>
      <c r="Q4229" s="214"/>
    </row>
    <row r="4230" spans="1:17">
      <c r="A4230" s="175"/>
      <c r="B4230" s="175"/>
      <c r="P4230" s="4"/>
      <c r="Q4230" s="214"/>
    </row>
    <row r="4231" spans="1:17">
      <c r="A4231" s="175"/>
      <c r="B4231" s="175"/>
      <c r="P4231" s="4"/>
      <c r="Q4231" s="214"/>
    </row>
    <row r="4232" spans="1:17">
      <c r="A4232" s="175"/>
      <c r="B4232" s="175"/>
      <c r="P4232" s="4"/>
      <c r="Q4232" s="214"/>
    </row>
    <row r="4233" spans="1:17">
      <c r="A4233" s="175"/>
      <c r="B4233" s="175"/>
      <c r="P4233" s="4"/>
      <c r="Q4233" s="214"/>
    </row>
    <row r="4234" spans="1:17">
      <c r="A4234" s="175"/>
      <c r="B4234" s="175"/>
      <c r="P4234" s="4"/>
      <c r="Q4234" s="214"/>
    </row>
    <row r="4235" spans="1:17">
      <c r="A4235" s="175"/>
      <c r="B4235" s="175"/>
      <c r="P4235" s="4"/>
      <c r="Q4235" s="214"/>
    </row>
    <row r="4236" spans="1:17">
      <c r="A4236" s="175"/>
      <c r="B4236" s="175"/>
      <c r="P4236" s="4"/>
      <c r="Q4236" s="214"/>
    </row>
    <row r="4237" spans="1:17">
      <c r="A4237" s="175"/>
      <c r="B4237" s="175"/>
      <c r="P4237" s="4"/>
      <c r="Q4237" s="214"/>
    </row>
    <row r="4238" spans="1:17">
      <c r="A4238" s="175"/>
      <c r="B4238" s="175"/>
      <c r="P4238" s="4"/>
      <c r="Q4238" s="214"/>
    </row>
    <row r="4239" spans="1:17">
      <c r="A4239" s="175"/>
      <c r="B4239" s="175"/>
      <c r="P4239" s="4"/>
      <c r="Q4239" s="214"/>
    </row>
    <row r="4240" spans="1:17">
      <c r="A4240" s="175"/>
      <c r="B4240" s="175"/>
      <c r="P4240" s="4"/>
      <c r="Q4240" s="214"/>
    </row>
    <row r="4241" spans="1:17">
      <c r="A4241" s="175"/>
      <c r="B4241" s="175"/>
      <c r="P4241" s="4"/>
      <c r="Q4241" s="214"/>
    </row>
    <row r="4242" spans="1:17">
      <c r="A4242" s="175"/>
      <c r="B4242" s="175"/>
      <c r="P4242" s="4"/>
      <c r="Q4242" s="214"/>
    </row>
    <row r="4243" spans="1:17">
      <c r="A4243" s="175"/>
      <c r="B4243" s="175"/>
      <c r="P4243" s="4"/>
      <c r="Q4243" s="214"/>
    </row>
    <row r="4244" spans="1:17">
      <c r="A4244" s="175"/>
      <c r="B4244" s="175"/>
      <c r="P4244" s="4"/>
      <c r="Q4244" s="214"/>
    </row>
    <row r="4245" spans="1:17">
      <c r="A4245" s="175"/>
      <c r="B4245" s="175"/>
      <c r="P4245" s="4"/>
      <c r="Q4245" s="214"/>
    </row>
    <row r="4246" spans="1:17">
      <c r="A4246" s="175"/>
      <c r="B4246" s="175"/>
      <c r="P4246" s="4"/>
      <c r="Q4246" s="214"/>
    </row>
    <row r="4247" spans="1:17">
      <c r="A4247" s="175"/>
      <c r="B4247" s="175"/>
      <c r="P4247" s="4"/>
      <c r="Q4247" s="214"/>
    </row>
    <row r="4248" spans="1:17">
      <c r="A4248" s="175"/>
      <c r="B4248" s="175"/>
      <c r="P4248" s="4"/>
      <c r="Q4248" s="214"/>
    </row>
    <row r="4249" spans="1:17">
      <c r="A4249" s="175"/>
      <c r="B4249" s="175"/>
      <c r="P4249" s="4"/>
      <c r="Q4249" s="214"/>
    </row>
    <row r="4250" spans="1:17">
      <c r="A4250" s="175"/>
      <c r="B4250" s="175"/>
      <c r="P4250" s="4"/>
      <c r="Q4250" s="214"/>
    </row>
    <row r="4251" spans="1:17">
      <c r="A4251" s="175"/>
      <c r="B4251" s="175"/>
      <c r="P4251" s="4"/>
      <c r="Q4251" s="214"/>
    </row>
    <row r="4252" spans="1:17">
      <c r="A4252" s="175"/>
      <c r="B4252" s="175"/>
      <c r="P4252" s="4"/>
      <c r="Q4252" s="214"/>
    </row>
    <row r="4253" spans="1:17">
      <c r="A4253" s="175"/>
      <c r="B4253" s="175"/>
      <c r="P4253" s="4"/>
      <c r="Q4253" s="214"/>
    </row>
    <row r="4254" spans="1:17">
      <c r="A4254" s="175"/>
      <c r="B4254" s="175"/>
      <c r="P4254" s="4"/>
      <c r="Q4254" s="214"/>
    </row>
    <row r="4255" spans="1:17">
      <c r="A4255" s="175"/>
      <c r="B4255" s="175"/>
      <c r="P4255" s="4"/>
      <c r="Q4255" s="214"/>
    </row>
    <row r="4256" spans="1:17">
      <c r="A4256" s="175"/>
      <c r="B4256" s="175"/>
      <c r="P4256" s="4"/>
      <c r="Q4256" s="214"/>
    </row>
    <row r="4257" spans="1:17">
      <c r="A4257" s="175"/>
      <c r="B4257" s="175"/>
      <c r="P4257" s="4"/>
      <c r="Q4257" s="214"/>
    </row>
    <row r="4258" spans="1:17">
      <c r="A4258" s="175"/>
      <c r="B4258" s="175"/>
      <c r="P4258" s="4"/>
      <c r="Q4258" s="214"/>
    </row>
    <row r="4259" spans="1:17">
      <c r="A4259" s="175"/>
      <c r="B4259" s="175"/>
      <c r="P4259" s="4"/>
      <c r="Q4259" s="214"/>
    </row>
    <row r="4260" spans="1:17">
      <c r="A4260" s="175"/>
      <c r="B4260" s="175"/>
      <c r="P4260" s="4"/>
      <c r="Q4260" s="214"/>
    </row>
    <row r="4261" spans="1:17">
      <c r="A4261" s="175"/>
      <c r="B4261" s="175"/>
      <c r="P4261" s="4"/>
      <c r="Q4261" s="214"/>
    </row>
    <row r="4262" spans="1:17">
      <c r="A4262" s="175"/>
      <c r="B4262" s="175"/>
      <c r="P4262" s="4"/>
      <c r="Q4262" s="214"/>
    </row>
    <row r="4263" spans="1:17">
      <c r="A4263" s="175"/>
      <c r="B4263" s="175"/>
      <c r="P4263" s="4"/>
      <c r="Q4263" s="214"/>
    </row>
    <row r="4264" spans="1:17">
      <c r="A4264" s="175"/>
      <c r="B4264" s="175"/>
      <c r="P4264" s="4"/>
      <c r="Q4264" s="214"/>
    </row>
    <row r="4265" spans="1:17">
      <c r="A4265" s="175"/>
      <c r="B4265" s="175"/>
      <c r="P4265" s="4"/>
      <c r="Q4265" s="214"/>
    </row>
    <row r="4266" spans="1:17">
      <c r="A4266" s="175"/>
      <c r="B4266" s="175"/>
      <c r="P4266" s="4"/>
      <c r="Q4266" s="214"/>
    </row>
    <row r="4267" spans="1:17">
      <c r="A4267" s="175"/>
      <c r="B4267" s="175"/>
      <c r="P4267" s="4"/>
      <c r="Q4267" s="214"/>
    </row>
    <row r="4268" spans="1:17">
      <c r="A4268" s="175"/>
      <c r="B4268" s="175"/>
      <c r="P4268" s="4"/>
      <c r="Q4268" s="214"/>
    </row>
    <row r="4269" spans="1:17">
      <c r="A4269" s="175"/>
      <c r="B4269" s="175"/>
      <c r="P4269" s="4"/>
      <c r="Q4269" s="214"/>
    </row>
    <row r="4270" spans="1:17">
      <c r="A4270" s="175"/>
      <c r="B4270" s="175"/>
      <c r="P4270" s="4"/>
      <c r="Q4270" s="214"/>
    </row>
    <row r="4271" spans="1:17">
      <c r="A4271" s="175"/>
      <c r="B4271" s="175"/>
      <c r="P4271" s="4"/>
      <c r="Q4271" s="214"/>
    </row>
    <row r="4272" spans="1:17">
      <c r="A4272" s="175"/>
      <c r="B4272" s="175"/>
      <c r="P4272" s="4"/>
      <c r="Q4272" s="214"/>
    </row>
    <row r="4273" spans="1:17">
      <c r="A4273" s="175"/>
      <c r="B4273" s="175"/>
      <c r="P4273" s="4"/>
      <c r="Q4273" s="214"/>
    </row>
    <row r="4274" spans="1:17">
      <c r="A4274" s="175"/>
      <c r="B4274" s="175"/>
      <c r="P4274" s="4"/>
      <c r="Q4274" s="214"/>
    </row>
    <row r="4275" spans="1:17">
      <c r="A4275" s="175"/>
      <c r="B4275" s="175"/>
      <c r="P4275" s="4"/>
      <c r="Q4275" s="214"/>
    </row>
    <row r="4276" spans="1:17">
      <c r="A4276" s="175"/>
      <c r="B4276" s="175"/>
      <c r="P4276" s="4"/>
      <c r="Q4276" s="214"/>
    </row>
    <row r="4277" spans="1:17">
      <c r="A4277" s="175"/>
      <c r="B4277" s="175"/>
      <c r="P4277" s="4"/>
      <c r="Q4277" s="214"/>
    </row>
    <row r="4278" spans="1:17">
      <c r="A4278" s="175"/>
      <c r="B4278" s="175"/>
      <c r="P4278" s="4"/>
      <c r="Q4278" s="214"/>
    </row>
    <row r="4279" spans="1:17">
      <c r="A4279" s="175"/>
      <c r="B4279" s="175"/>
      <c r="P4279" s="4"/>
      <c r="Q4279" s="214"/>
    </row>
    <row r="4280" spans="1:17">
      <c r="A4280" s="175"/>
      <c r="B4280" s="175"/>
      <c r="P4280" s="4"/>
      <c r="Q4280" s="214"/>
    </row>
    <row r="4281" spans="1:17">
      <c r="A4281" s="175"/>
      <c r="B4281" s="175"/>
      <c r="P4281" s="4"/>
      <c r="Q4281" s="214"/>
    </row>
    <row r="4282" spans="1:17">
      <c r="A4282" s="175"/>
      <c r="B4282" s="175"/>
      <c r="P4282" s="4"/>
      <c r="Q4282" s="214"/>
    </row>
    <row r="4283" spans="1:17">
      <c r="A4283" s="175"/>
      <c r="B4283" s="175"/>
      <c r="P4283" s="4"/>
      <c r="Q4283" s="214"/>
    </row>
    <row r="4284" spans="1:17">
      <c r="A4284" s="175"/>
      <c r="B4284" s="175"/>
      <c r="P4284" s="4"/>
      <c r="Q4284" s="214"/>
    </row>
    <row r="4285" spans="1:17">
      <c r="A4285" s="175"/>
      <c r="B4285" s="175"/>
      <c r="P4285" s="4"/>
      <c r="Q4285" s="214"/>
    </row>
    <row r="4286" spans="1:17">
      <c r="A4286" s="175"/>
      <c r="B4286" s="175"/>
      <c r="P4286" s="4"/>
      <c r="Q4286" s="214"/>
    </row>
    <row r="4287" spans="1:17">
      <c r="A4287" s="175"/>
      <c r="B4287" s="175"/>
      <c r="P4287" s="4"/>
      <c r="Q4287" s="214"/>
    </row>
    <row r="4288" spans="1:17">
      <c r="A4288" s="175"/>
      <c r="B4288" s="175"/>
      <c r="P4288" s="4"/>
      <c r="Q4288" s="214"/>
    </row>
    <row r="4289" spans="1:17">
      <c r="A4289" s="175"/>
      <c r="B4289" s="175"/>
      <c r="P4289" s="4"/>
      <c r="Q4289" s="214"/>
    </row>
    <row r="4290" spans="1:17">
      <c r="A4290" s="175"/>
      <c r="B4290" s="175"/>
      <c r="P4290" s="4"/>
      <c r="Q4290" s="214"/>
    </row>
    <row r="4291" spans="1:17">
      <c r="A4291" s="175"/>
      <c r="B4291" s="175"/>
      <c r="P4291" s="4"/>
      <c r="Q4291" s="214"/>
    </row>
    <row r="4292" spans="1:17">
      <c r="A4292" s="175"/>
      <c r="B4292" s="175"/>
      <c r="P4292" s="4"/>
      <c r="Q4292" s="214"/>
    </row>
    <row r="4293" spans="1:17">
      <c r="A4293" s="175"/>
      <c r="B4293" s="175"/>
      <c r="P4293" s="4"/>
      <c r="Q4293" s="214"/>
    </row>
    <row r="4294" spans="1:17">
      <c r="A4294" s="175"/>
      <c r="B4294" s="175"/>
      <c r="P4294" s="4"/>
      <c r="Q4294" s="214"/>
    </row>
    <row r="4295" spans="1:17">
      <c r="A4295" s="175"/>
      <c r="B4295" s="175"/>
      <c r="P4295" s="4"/>
      <c r="Q4295" s="214"/>
    </row>
    <row r="4296" spans="1:17">
      <c r="A4296" s="175"/>
      <c r="B4296" s="175"/>
      <c r="P4296" s="4"/>
      <c r="Q4296" s="214"/>
    </row>
    <row r="4297" spans="1:17">
      <c r="A4297" s="175"/>
      <c r="B4297" s="175"/>
      <c r="P4297" s="4"/>
      <c r="Q4297" s="214"/>
    </row>
    <row r="4298" spans="1:17">
      <c r="A4298" s="175"/>
      <c r="B4298" s="175"/>
      <c r="P4298" s="4"/>
      <c r="Q4298" s="214"/>
    </row>
    <row r="4299" spans="1:17">
      <c r="A4299" s="175"/>
      <c r="B4299" s="175"/>
      <c r="P4299" s="4"/>
      <c r="Q4299" s="214"/>
    </row>
    <row r="4300" spans="1:17">
      <c r="A4300" s="175"/>
      <c r="B4300" s="175"/>
      <c r="P4300" s="4"/>
      <c r="Q4300" s="214"/>
    </row>
    <row r="4301" spans="1:17">
      <c r="A4301" s="175"/>
      <c r="B4301" s="175"/>
      <c r="P4301" s="4"/>
      <c r="Q4301" s="214"/>
    </row>
    <row r="4302" spans="1:17">
      <c r="A4302" s="175"/>
      <c r="B4302" s="175"/>
      <c r="P4302" s="4"/>
      <c r="Q4302" s="214"/>
    </row>
    <row r="4303" spans="1:17">
      <c r="A4303" s="175"/>
      <c r="B4303" s="175"/>
      <c r="P4303" s="4"/>
      <c r="Q4303" s="214"/>
    </row>
    <row r="4304" spans="1:17">
      <c r="A4304" s="175"/>
      <c r="B4304" s="175"/>
      <c r="P4304" s="4"/>
      <c r="Q4304" s="214"/>
    </row>
    <row r="4305" spans="1:17">
      <c r="A4305" s="175"/>
      <c r="B4305" s="175"/>
      <c r="P4305" s="4"/>
      <c r="Q4305" s="214"/>
    </row>
    <row r="4306" spans="1:17">
      <c r="A4306" s="175"/>
      <c r="B4306" s="175"/>
      <c r="P4306" s="4"/>
      <c r="Q4306" s="214"/>
    </row>
    <row r="4307" spans="1:17">
      <c r="A4307" s="175"/>
      <c r="B4307" s="175"/>
      <c r="P4307" s="4"/>
      <c r="Q4307" s="214"/>
    </row>
    <row r="4308" spans="1:17">
      <c r="A4308" s="175"/>
      <c r="B4308" s="175"/>
      <c r="P4308" s="4"/>
      <c r="Q4308" s="214"/>
    </row>
    <row r="4309" spans="1:17">
      <c r="A4309" s="175"/>
      <c r="B4309" s="175"/>
      <c r="P4309" s="4"/>
      <c r="Q4309" s="214"/>
    </row>
    <row r="4310" spans="1:17">
      <c r="A4310" s="175"/>
      <c r="B4310" s="175"/>
      <c r="P4310" s="4"/>
      <c r="Q4310" s="214"/>
    </row>
    <row r="4311" spans="1:17">
      <c r="A4311" s="175"/>
      <c r="B4311" s="175"/>
      <c r="P4311" s="4"/>
      <c r="Q4311" s="214"/>
    </row>
    <row r="4312" spans="1:17">
      <c r="A4312" s="175"/>
      <c r="B4312" s="175"/>
      <c r="P4312" s="4"/>
      <c r="Q4312" s="214"/>
    </row>
    <row r="4313" spans="1:17">
      <c r="A4313" s="175"/>
      <c r="B4313" s="175"/>
      <c r="P4313" s="4"/>
      <c r="Q4313" s="214"/>
    </row>
    <row r="4314" spans="1:17">
      <c r="A4314" s="175"/>
      <c r="B4314" s="175"/>
      <c r="P4314" s="4"/>
      <c r="Q4314" s="214"/>
    </row>
    <row r="4315" spans="1:17">
      <c r="A4315" s="175"/>
      <c r="B4315" s="175"/>
      <c r="P4315" s="4"/>
      <c r="Q4315" s="214"/>
    </row>
    <row r="4316" spans="1:17">
      <c r="A4316" s="175"/>
      <c r="B4316" s="175"/>
      <c r="P4316" s="4"/>
      <c r="Q4316" s="214"/>
    </row>
    <row r="4317" spans="1:17">
      <c r="A4317" s="175"/>
      <c r="B4317" s="175"/>
      <c r="P4317" s="4"/>
      <c r="Q4317" s="214"/>
    </row>
    <row r="4318" spans="1:17">
      <c r="A4318" s="175"/>
      <c r="B4318" s="175"/>
      <c r="P4318" s="4"/>
      <c r="Q4318" s="214"/>
    </row>
    <row r="4319" spans="1:17">
      <c r="A4319" s="175"/>
      <c r="B4319" s="175"/>
      <c r="P4319" s="4"/>
      <c r="Q4319" s="214"/>
    </row>
    <row r="4320" spans="1:17">
      <c r="A4320" s="175"/>
      <c r="B4320" s="175"/>
      <c r="P4320" s="4"/>
      <c r="Q4320" s="214"/>
    </row>
    <row r="4321" spans="1:17">
      <c r="A4321" s="175"/>
      <c r="B4321" s="175"/>
      <c r="P4321" s="4"/>
      <c r="Q4321" s="214"/>
    </row>
    <row r="4322" spans="1:17">
      <c r="A4322" s="175"/>
      <c r="B4322" s="175"/>
      <c r="P4322" s="4"/>
      <c r="Q4322" s="214"/>
    </row>
    <row r="4323" spans="1:17">
      <c r="A4323" s="175"/>
      <c r="B4323" s="175"/>
      <c r="P4323" s="4"/>
      <c r="Q4323" s="214"/>
    </row>
    <row r="4324" spans="1:17">
      <c r="A4324" s="175"/>
      <c r="B4324" s="175"/>
      <c r="P4324" s="4"/>
      <c r="Q4324" s="214"/>
    </row>
    <row r="4325" spans="1:17">
      <c r="A4325" s="175"/>
      <c r="B4325" s="175"/>
      <c r="P4325" s="4"/>
      <c r="Q4325" s="214"/>
    </row>
    <row r="4326" spans="1:17">
      <c r="A4326" s="175"/>
      <c r="B4326" s="175"/>
      <c r="P4326" s="4"/>
      <c r="Q4326" s="214"/>
    </row>
    <row r="4327" spans="1:17">
      <c r="A4327" s="175"/>
      <c r="B4327" s="175"/>
      <c r="P4327" s="4"/>
      <c r="Q4327" s="214"/>
    </row>
    <row r="4328" spans="1:17">
      <c r="A4328" s="175"/>
      <c r="B4328" s="175"/>
      <c r="P4328" s="4"/>
      <c r="Q4328" s="214"/>
    </row>
    <row r="4329" spans="1:17">
      <c r="A4329" s="175"/>
      <c r="B4329" s="175"/>
      <c r="P4329" s="4"/>
      <c r="Q4329" s="214"/>
    </row>
    <row r="4330" spans="1:17">
      <c r="A4330" s="175"/>
      <c r="B4330" s="175"/>
      <c r="P4330" s="4"/>
      <c r="Q4330" s="214"/>
    </row>
    <row r="4331" spans="1:17">
      <c r="A4331" s="175"/>
      <c r="B4331" s="175"/>
      <c r="P4331" s="4"/>
      <c r="Q4331" s="214"/>
    </row>
    <row r="4332" spans="1:17">
      <c r="A4332" s="175"/>
      <c r="B4332" s="175"/>
      <c r="P4332" s="4"/>
      <c r="Q4332" s="214"/>
    </row>
    <row r="4333" spans="1:17">
      <c r="A4333" s="175"/>
      <c r="B4333" s="175"/>
      <c r="P4333" s="4"/>
      <c r="Q4333" s="214"/>
    </row>
    <row r="4334" spans="1:17">
      <c r="A4334" s="175"/>
      <c r="B4334" s="175"/>
      <c r="P4334" s="4"/>
      <c r="Q4334" s="214"/>
    </row>
    <row r="4335" spans="1:17">
      <c r="A4335" s="175"/>
      <c r="B4335" s="175"/>
      <c r="P4335" s="4"/>
      <c r="Q4335" s="214"/>
    </row>
    <row r="4336" spans="1:17">
      <c r="A4336" s="175"/>
      <c r="B4336" s="175"/>
      <c r="P4336" s="4"/>
      <c r="Q4336" s="214"/>
    </row>
    <row r="4337" spans="1:17">
      <c r="A4337" s="175"/>
      <c r="B4337" s="175"/>
      <c r="P4337" s="4"/>
      <c r="Q4337" s="214"/>
    </row>
    <row r="4338" spans="1:17">
      <c r="A4338" s="175"/>
      <c r="B4338" s="175"/>
      <c r="P4338" s="4"/>
      <c r="Q4338" s="214"/>
    </row>
    <row r="4339" spans="1:17">
      <c r="A4339" s="175"/>
      <c r="B4339" s="175"/>
      <c r="P4339" s="4"/>
      <c r="Q4339" s="214"/>
    </row>
    <row r="4340" spans="1:17">
      <c r="A4340" s="175"/>
      <c r="B4340" s="175"/>
      <c r="P4340" s="4"/>
      <c r="Q4340" s="214"/>
    </row>
    <row r="4341" spans="1:17">
      <c r="A4341" s="175"/>
      <c r="B4341" s="175"/>
      <c r="P4341" s="4"/>
      <c r="Q4341" s="214"/>
    </row>
    <row r="4342" spans="1:17">
      <c r="A4342" s="175"/>
      <c r="B4342" s="175"/>
      <c r="P4342" s="4"/>
      <c r="Q4342" s="214"/>
    </row>
    <row r="4343" spans="1:17">
      <c r="A4343" s="175"/>
      <c r="B4343" s="175"/>
      <c r="P4343" s="4"/>
      <c r="Q4343" s="214"/>
    </row>
    <row r="4344" spans="1:17">
      <c r="A4344" s="175"/>
      <c r="B4344" s="175"/>
      <c r="P4344" s="4"/>
      <c r="Q4344" s="214"/>
    </row>
    <row r="4345" spans="1:17">
      <c r="A4345" s="175"/>
      <c r="B4345" s="175"/>
      <c r="P4345" s="4"/>
      <c r="Q4345" s="214"/>
    </row>
    <row r="4346" spans="1:17">
      <c r="A4346" s="175"/>
      <c r="B4346" s="175"/>
      <c r="P4346" s="4"/>
      <c r="Q4346" s="214"/>
    </row>
    <row r="4347" spans="1:17">
      <c r="A4347" s="175"/>
      <c r="B4347" s="175"/>
      <c r="P4347" s="4"/>
      <c r="Q4347" s="214"/>
    </row>
    <row r="4348" spans="1:17">
      <c r="A4348" s="175"/>
      <c r="B4348" s="175"/>
      <c r="P4348" s="4"/>
      <c r="Q4348" s="214"/>
    </row>
    <row r="4349" spans="1:17">
      <c r="A4349" s="175"/>
      <c r="B4349" s="175"/>
      <c r="P4349" s="4"/>
      <c r="Q4349" s="214"/>
    </row>
    <row r="4350" spans="1:17">
      <c r="A4350" s="175"/>
      <c r="B4350" s="175"/>
      <c r="P4350" s="4"/>
      <c r="Q4350" s="214"/>
    </row>
    <row r="4351" spans="1:17">
      <c r="A4351" s="175"/>
      <c r="B4351" s="175"/>
      <c r="P4351" s="4"/>
      <c r="Q4351" s="214"/>
    </row>
    <row r="4352" spans="1:17">
      <c r="A4352" s="175"/>
      <c r="B4352" s="175"/>
      <c r="P4352" s="4"/>
      <c r="Q4352" s="214"/>
    </row>
    <row r="4353" spans="1:17">
      <c r="A4353" s="175"/>
      <c r="B4353" s="175"/>
      <c r="P4353" s="4"/>
      <c r="Q4353" s="214"/>
    </row>
    <row r="4354" spans="1:17">
      <c r="A4354" s="175"/>
      <c r="B4354" s="175"/>
      <c r="P4354" s="4"/>
      <c r="Q4354" s="214"/>
    </row>
    <row r="4355" spans="1:17">
      <c r="A4355" s="175"/>
      <c r="B4355" s="175"/>
      <c r="P4355" s="4"/>
      <c r="Q4355" s="214"/>
    </row>
    <row r="4356" spans="1:17">
      <c r="A4356" s="175"/>
      <c r="B4356" s="175"/>
      <c r="P4356" s="4"/>
      <c r="Q4356" s="214"/>
    </row>
    <row r="4357" spans="1:17">
      <c r="A4357" s="175"/>
      <c r="B4357" s="175"/>
      <c r="P4357" s="4"/>
      <c r="Q4357" s="214"/>
    </row>
    <row r="4358" spans="1:17">
      <c r="A4358" s="175"/>
      <c r="B4358" s="175"/>
      <c r="P4358" s="4"/>
      <c r="Q4358" s="214"/>
    </row>
    <row r="4359" spans="1:17">
      <c r="A4359" s="175"/>
      <c r="B4359" s="175"/>
      <c r="P4359" s="4"/>
      <c r="Q4359" s="214"/>
    </row>
    <row r="4360" spans="1:17">
      <c r="A4360" s="175"/>
      <c r="B4360" s="175"/>
      <c r="P4360" s="4"/>
      <c r="Q4360" s="214"/>
    </row>
    <row r="4361" spans="1:17">
      <c r="A4361" s="175"/>
      <c r="B4361" s="175"/>
      <c r="P4361" s="4"/>
      <c r="Q4361" s="214"/>
    </row>
    <row r="4362" spans="1:17">
      <c r="A4362" s="175"/>
      <c r="B4362" s="175"/>
      <c r="P4362" s="4"/>
      <c r="Q4362" s="214"/>
    </row>
    <row r="4363" spans="1:17">
      <c r="A4363" s="175"/>
      <c r="B4363" s="175"/>
      <c r="P4363" s="4"/>
      <c r="Q4363" s="214"/>
    </row>
    <row r="4364" spans="1:17">
      <c r="A4364" s="175"/>
      <c r="B4364" s="175"/>
      <c r="P4364" s="4"/>
      <c r="Q4364" s="214"/>
    </row>
    <row r="4365" spans="1:17">
      <c r="A4365" s="175"/>
      <c r="B4365" s="175"/>
      <c r="P4365" s="4"/>
      <c r="Q4365" s="214"/>
    </row>
    <row r="4366" spans="1:17">
      <c r="A4366" s="175"/>
      <c r="B4366" s="175"/>
      <c r="P4366" s="4"/>
      <c r="Q4366" s="214"/>
    </row>
    <row r="4367" spans="1:17">
      <c r="A4367" s="175"/>
      <c r="B4367" s="175"/>
      <c r="P4367" s="4"/>
      <c r="Q4367" s="214"/>
    </row>
    <row r="4368" spans="1:17">
      <c r="A4368" s="175"/>
      <c r="B4368" s="175"/>
      <c r="P4368" s="4"/>
      <c r="Q4368" s="214"/>
    </row>
    <row r="4369" spans="1:17">
      <c r="A4369" s="175"/>
      <c r="B4369" s="175"/>
      <c r="P4369" s="4"/>
      <c r="Q4369" s="214"/>
    </row>
    <row r="4370" spans="1:17">
      <c r="A4370" s="175"/>
      <c r="B4370" s="175"/>
      <c r="P4370" s="4"/>
      <c r="Q4370" s="214"/>
    </row>
    <row r="4371" spans="1:17">
      <c r="A4371" s="175"/>
      <c r="B4371" s="175"/>
      <c r="P4371" s="4"/>
      <c r="Q4371" s="214"/>
    </row>
    <row r="4372" spans="1:17">
      <c r="A4372" s="175"/>
      <c r="B4372" s="175"/>
      <c r="P4372" s="4"/>
      <c r="Q4372" s="214"/>
    </row>
    <row r="4373" spans="1:17">
      <c r="A4373" s="175"/>
      <c r="B4373" s="175"/>
      <c r="P4373" s="4"/>
      <c r="Q4373" s="214"/>
    </row>
    <row r="4374" spans="1:17">
      <c r="A4374" s="175"/>
      <c r="B4374" s="175"/>
      <c r="P4374" s="4"/>
      <c r="Q4374" s="214"/>
    </row>
    <row r="4375" spans="1:17">
      <c r="A4375" s="175"/>
      <c r="B4375" s="175"/>
      <c r="P4375" s="4"/>
      <c r="Q4375" s="214"/>
    </row>
    <row r="4376" spans="1:17">
      <c r="A4376" s="175"/>
      <c r="B4376" s="175"/>
      <c r="P4376" s="4"/>
      <c r="Q4376" s="214"/>
    </row>
    <row r="4377" spans="1:17">
      <c r="A4377" s="175"/>
      <c r="B4377" s="175"/>
      <c r="P4377" s="4"/>
      <c r="Q4377" s="214"/>
    </row>
    <row r="4378" spans="1:17">
      <c r="A4378" s="175"/>
      <c r="B4378" s="175"/>
      <c r="P4378" s="4"/>
      <c r="Q4378" s="214"/>
    </row>
    <row r="4379" spans="1:17">
      <c r="A4379" s="175"/>
      <c r="B4379" s="175"/>
      <c r="P4379" s="4"/>
      <c r="Q4379" s="214"/>
    </row>
    <row r="4380" spans="1:17">
      <c r="A4380" s="175"/>
      <c r="B4380" s="175"/>
      <c r="P4380" s="4"/>
      <c r="Q4380" s="214"/>
    </row>
    <row r="4381" spans="1:17">
      <c r="A4381" s="175"/>
      <c r="B4381" s="175"/>
      <c r="P4381" s="4"/>
      <c r="Q4381" s="214"/>
    </row>
    <row r="4382" spans="1:17">
      <c r="A4382" s="175"/>
      <c r="B4382" s="175"/>
      <c r="P4382" s="4"/>
      <c r="Q4382" s="214"/>
    </row>
    <row r="4383" spans="1:17">
      <c r="A4383" s="175"/>
      <c r="B4383" s="175"/>
      <c r="P4383" s="4"/>
      <c r="Q4383" s="214"/>
    </row>
    <row r="4384" spans="1:17">
      <c r="A4384" s="175"/>
      <c r="B4384" s="175"/>
      <c r="P4384" s="4"/>
      <c r="Q4384" s="214"/>
    </row>
    <row r="4385" spans="1:17">
      <c r="A4385" s="175"/>
      <c r="B4385" s="175"/>
      <c r="P4385" s="4"/>
      <c r="Q4385" s="214"/>
    </row>
    <row r="4386" spans="1:17">
      <c r="A4386" s="175"/>
      <c r="B4386" s="175"/>
      <c r="P4386" s="4"/>
      <c r="Q4386" s="214"/>
    </row>
    <row r="4387" spans="1:17">
      <c r="A4387" s="175"/>
      <c r="B4387" s="175"/>
      <c r="P4387" s="4"/>
      <c r="Q4387" s="214"/>
    </row>
    <row r="4388" spans="1:17">
      <c r="A4388" s="175"/>
      <c r="B4388" s="175"/>
      <c r="P4388" s="4"/>
      <c r="Q4388" s="214"/>
    </row>
    <row r="4389" spans="1:17">
      <c r="A4389" s="175"/>
      <c r="B4389" s="175"/>
      <c r="P4389" s="4"/>
      <c r="Q4389" s="214"/>
    </row>
    <row r="4390" spans="1:17">
      <c r="A4390" s="175"/>
      <c r="B4390" s="175"/>
      <c r="P4390" s="4"/>
      <c r="Q4390" s="214"/>
    </row>
    <row r="4391" spans="1:17">
      <c r="A4391" s="175"/>
      <c r="B4391" s="175"/>
      <c r="P4391" s="4"/>
      <c r="Q4391" s="214"/>
    </row>
    <row r="4392" spans="1:17">
      <c r="A4392" s="175"/>
      <c r="B4392" s="175"/>
      <c r="P4392" s="4"/>
      <c r="Q4392" s="214"/>
    </row>
    <row r="4393" spans="1:17">
      <c r="A4393" s="175"/>
      <c r="B4393" s="175"/>
      <c r="P4393" s="4"/>
      <c r="Q4393" s="214"/>
    </row>
    <row r="4394" spans="1:17">
      <c r="A4394" s="175"/>
      <c r="B4394" s="175"/>
      <c r="P4394" s="4"/>
      <c r="Q4394" s="214"/>
    </row>
    <row r="4395" spans="1:17">
      <c r="A4395" s="175"/>
      <c r="B4395" s="175"/>
      <c r="P4395" s="4"/>
      <c r="Q4395" s="214"/>
    </row>
    <row r="4396" spans="1:17">
      <c r="A4396" s="175"/>
      <c r="B4396" s="175"/>
      <c r="P4396" s="4"/>
      <c r="Q4396" s="214"/>
    </row>
    <row r="4397" spans="1:17">
      <c r="A4397" s="175"/>
      <c r="B4397" s="175"/>
      <c r="P4397" s="4"/>
      <c r="Q4397" s="214"/>
    </row>
    <row r="4398" spans="1:17">
      <c r="A4398" s="175"/>
      <c r="B4398" s="175"/>
      <c r="P4398" s="4"/>
      <c r="Q4398" s="214"/>
    </row>
    <row r="4399" spans="1:17">
      <c r="A4399" s="175"/>
      <c r="B4399" s="175"/>
      <c r="P4399" s="4"/>
      <c r="Q4399" s="214"/>
    </row>
    <row r="4400" spans="1:17">
      <c r="A4400" s="175"/>
      <c r="B4400" s="175"/>
      <c r="P4400" s="4"/>
      <c r="Q4400" s="214"/>
    </row>
    <row r="4401" spans="1:17">
      <c r="A4401" s="175"/>
      <c r="B4401" s="175"/>
      <c r="P4401" s="4"/>
      <c r="Q4401" s="214"/>
    </row>
    <row r="4402" spans="1:17">
      <c r="A4402" s="175"/>
      <c r="B4402" s="175"/>
      <c r="P4402" s="4"/>
      <c r="Q4402" s="214"/>
    </row>
    <row r="4403" spans="1:17">
      <c r="A4403" s="175"/>
      <c r="B4403" s="175"/>
      <c r="P4403" s="4"/>
      <c r="Q4403" s="214"/>
    </row>
    <row r="4404" spans="1:17">
      <c r="A4404" s="175"/>
      <c r="B4404" s="175"/>
      <c r="P4404" s="4"/>
      <c r="Q4404" s="214"/>
    </row>
    <row r="4405" spans="1:17">
      <c r="A4405" s="175"/>
      <c r="B4405" s="175"/>
      <c r="P4405" s="4"/>
      <c r="Q4405" s="214"/>
    </row>
    <row r="4406" spans="1:17">
      <c r="A4406" s="175"/>
      <c r="B4406" s="175"/>
      <c r="P4406" s="4"/>
      <c r="Q4406" s="214"/>
    </row>
    <row r="4407" spans="1:17">
      <c r="A4407" s="175"/>
      <c r="B4407" s="175"/>
      <c r="P4407" s="4"/>
      <c r="Q4407" s="214"/>
    </row>
    <row r="4408" spans="1:17">
      <c r="A4408" s="175"/>
      <c r="B4408" s="175"/>
      <c r="P4408" s="4"/>
      <c r="Q4408" s="214"/>
    </row>
    <row r="4409" spans="1:17">
      <c r="A4409" s="175"/>
      <c r="B4409" s="175"/>
      <c r="P4409" s="4"/>
      <c r="Q4409" s="214"/>
    </row>
    <row r="4410" spans="1:17">
      <c r="A4410" s="175"/>
      <c r="B4410" s="175"/>
      <c r="P4410" s="4"/>
      <c r="Q4410" s="214"/>
    </row>
    <row r="4411" spans="1:17">
      <c r="A4411" s="175"/>
      <c r="B4411" s="175"/>
      <c r="P4411" s="4"/>
      <c r="Q4411" s="214"/>
    </row>
    <row r="4412" spans="1:17">
      <c r="A4412" s="175"/>
      <c r="B4412" s="175"/>
      <c r="P4412" s="4"/>
      <c r="Q4412" s="214"/>
    </row>
    <row r="4413" spans="1:17">
      <c r="A4413" s="175"/>
      <c r="B4413" s="175"/>
      <c r="P4413" s="4"/>
      <c r="Q4413" s="214"/>
    </row>
    <row r="4414" spans="1:17">
      <c r="A4414" s="175"/>
      <c r="B4414" s="175"/>
      <c r="P4414" s="4"/>
      <c r="Q4414" s="214"/>
    </row>
    <row r="4415" spans="1:17">
      <c r="A4415" s="175"/>
      <c r="B4415" s="175"/>
      <c r="P4415" s="4"/>
      <c r="Q4415" s="214"/>
    </row>
    <row r="4416" spans="1:17">
      <c r="A4416" s="175"/>
      <c r="B4416" s="175"/>
      <c r="P4416" s="4"/>
      <c r="Q4416" s="214"/>
    </row>
    <row r="4417" spans="1:17">
      <c r="A4417" s="175"/>
      <c r="B4417" s="175"/>
      <c r="P4417" s="4"/>
      <c r="Q4417" s="214"/>
    </row>
    <row r="4418" spans="1:17">
      <c r="A4418" s="175"/>
      <c r="B4418" s="175"/>
      <c r="P4418" s="4"/>
      <c r="Q4418" s="214"/>
    </row>
    <row r="4419" spans="1:17">
      <c r="A4419" s="175"/>
      <c r="B4419" s="175"/>
      <c r="P4419" s="4"/>
      <c r="Q4419" s="214"/>
    </row>
    <row r="4420" spans="1:17">
      <c r="A4420" s="175"/>
      <c r="B4420" s="175"/>
      <c r="P4420" s="4"/>
      <c r="Q4420" s="214"/>
    </row>
    <row r="4421" spans="1:17">
      <c r="A4421" s="175"/>
      <c r="B4421" s="175"/>
      <c r="P4421" s="4"/>
      <c r="Q4421" s="214"/>
    </row>
    <row r="4422" spans="1:17">
      <c r="A4422" s="175"/>
      <c r="B4422" s="175"/>
      <c r="P4422" s="4"/>
      <c r="Q4422" s="214"/>
    </row>
    <row r="4423" spans="1:17">
      <c r="A4423" s="175"/>
      <c r="B4423" s="175"/>
      <c r="P4423" s="4"/>
      <c r="Q4423" s="214"/>
    </row>
    <row r="4424" spans="1:17">
      <c r="A4424" s="175"/>
      <c r="B4424" s="175"/>
      <c r="P4424" s="4"/>
      <c r="Q4424" s="214"/>
    </row>
    <row r="4425" spans="1:17">
      <c r="A4425" s="175"/>
      <c r="B4425" s="175"/>
      <c r="P4425" s="4"/>
      <c r="Q4425" s="214"/>
    </row>
    <row r="4426" spans="1:17">
      <c r="A4426" s="175"/>
      <c r="B4426" s="175"/>
      <c r="P4426" s="4"/>
      <c r="Q4426" s="214"/>
    </row>
    <row r="4427" spans="1:17">
      <c r="A4427" s="175"/>
      <c r="B4427" s="175"/>
      <c r="P4427" s="4"/>
      <c r="Q4427" s="214"/>
    </row>
    <row r="4428" spans="1:17">
      <c r="A4428" s="175"/>
      <c r="B4428" s="175"/>
      <c r="P4428" s="4"/>
      <c r="Q4428" s="214"/>
    </row>
    <row r="4429" spans="1:17">
      <c r="A4429" s="175"/>
      <c r="B4429" s="175"/>
      <c r="P4429" s="4"/>
      <c r="Q4429" s="214"/>
    </row>
    <row r="4430" spans="1:17">
      <c r="A4430" s="175"/>
      <c r="B4430" s="175"/>
      <c r="P4430" s="4"/>
      <c r="Q4430" s="214"/>
    </row>
    <row r="4431" spans="1:17">
      <c r="A4431" s="175"/>
      <c r="B4431" s="175"/>
      <c r="P4431" s="4"/>
      <c r="Q4431" s="214"/>
    </row>
    <row r="4432" spans="1:17">
      <c r="A4432" s="175"/>
      <c r="B4432" s="175"/>
      <c r="P4432" s="4"/>
      <c r="Q4432" s="214"/>
    </row>
    <row r="4433" spans="1:17">
      <c r="A4433" s="175"/>
      <c r="B4433" s="175"/>
      <c r="P4433" s="4"/>
      <c r="Q4433" s="214"/>
    </row>
    <row r="4434" spans="1:17">
      <c r="A4434" s="175"/>
      <c r="B4434" s="175"/>
      <c r="P4434" s="4"/>
      <c r="Q4434" s="214"/>
    </row>
    <row r="4435" spans="1:17">
      <c r="A4435" s="175"/>
      <c r="B4435" s="175"/>
      <c r="P4435" s="4"/>
      <c r="Q4435" s="214"/>
    </row>
    <row r="4436" spans="1:17">
      <c r="A4436" s="175"/>
      <c r="B4436" s="175"/>
      <c r="P4436" s="4"/>
      <c r="Q4436" s="214"/>
    </row>
    <row r="4437" spans="1:17">
      <c r="A4437" s="175"/>
      <c r="B4437" s="175"/>
      <c r="P4437" s="4"/>
      <c r="Q4437" s="214"/>
    </row>
    <row r="4438" spans="1:17">
      <c r="A4438" s="175"/>
      <c r="B4438" s="175"/>
      <c r="P4438" s="4"/>
      <c r="Q4438" s="214"/>
    </row>
    <row r="4439" spans="1:17">
      <c r="A4439" s="175"/>
      <c r="B4439" s="175"/>
      <c r="P4439" s="4"/>
      <c r="Q4439" s="214"/>
    </row>
    <row r="4440" spans="1:17">
      <c r="A4440" s="175"/>
      <c r="B4440" s="175"/>
      <c r="P4440" s="4"/>
      <c r="Q4440" s="214"/>
    </row>
    <row r="4441" spans="1:17">
      <c r="A4441" s="175"/>
      <c r="B4441" s="175"/>
      <c r="P4441" s="4"/>
      <c r="Q4441" s="214"/>
    </row>
    <row r="4442" spans="1:17">
      <c r="A4442" s="175"/>
      <c r="B4442" s="175"/>
      <c r="P4442" s="4"/>
      <c r="Q4442" s="214"/>
    </row>
    <row r="4443" spans="1:17">
      <c r="A4443" s="175"/>
      <c r="B4443" s="175"/>
      <c r="P4443" s="4"/>
      <c r="Q4443" s="214"/>
    </row>
    <row r="4444" spans="1:17">
      <c r="A4444" s="175"/>
      <c r="B4444" s="175"/>
      <c r="P4444" s="4"/>
      <c r="Q4444" s="214"/>
    </row>
    <row r="4445" spans="1:17">
      <c r="A4445" s="175"/>
      <c r="B4445" s="175"/>
      <c r="P4445" s="4"/>
      <c r="Q4445" s="214"/>
    </row>
    <row r="4446" spans="1:17">
      <c r="A4446" s="175"/>
      <c r="B4446" s="175"/>
      <c r="P4446" s="4"/>
      <c r="Q4446" s="214"/>
    </row>
    <row r="4447" spans="1:17">
      <c r="A4447" s="175"/>
      <c r="B4447" s="175"/>
      <c r="P4447" s="4"/>
      <c r="Q4447" s="214"/>
    </row>
    <row r="4448" spans="1:17">
      <c r="A4448" s="175"/>
      <c r="B4448" s="175"/>
      <c r="P4448" s="4"/>
      <c r="Q4448" s="214"/>
    </row>
    <row r="4449" spans="1:17">
      <c r="A4449" s="175"/>
      <c r="B4449" s="175"/>
      <c r="P4449" s="4"/>
      <c r="Q4449" s="214"/>
    </row>
    <row r="4450" spans="1:17">
      <c r="A4450" s="175"/>
      <c r="B4450" s="175"/>
      <c r="P4450" s="4"/>
      <c r="Q4450" s="214"/>
    </row>
    <row r="4451" spans="1:17">
      <c r="A4451" s="175"/>
      <c r="B4451" s="175"/>
      <c r="P4451" s="4"/>
      <c r="Q4451" s="214"/>
    </row>
    <row r="4452" spans="1:17">
      <c r="A4452" s="175"/>
      <c r="B4452" s="175"/>
      <c r="P4452" s="4"/>
      <c r="Q4452" s="214"/>
    </row>
    <row r="4453" spans="1:17">
      <c r="A4453" s="175"/>
      <c r="B4453" s="175"/>
      <c r="P4453" s="4"/>
      <c r="Q4453" s="214"/>
    </row>
    <row r="4454" spans="1:17">
      <c r="A4454" s="175"/>
      <c r="B4454" s="175"/>
      <c r="P4454" s="4"/>
      <c r="Q4454" s="214"/>
    </row>
    <row r="4455" spans="1:17">
      <c r="A4455" s="175"/>
      <c r="B4455" s="175"/>
      <c r="P4455" s="4"/>
      <c r="Q4455" s="214"/>
    </row>
    <row r="4456" spans="1:17">
      <c r="A4456" s="175"/>
      <c r="B4456" s="175"/>
      <c r="P4456" s="4"/>
      <c r="Q4456" s="214"/>
    </row>
    <row r="4457" spans="1:17">
      <c r="A4457" s="175"/>
      <c r="B4457" s="175"/>
      <c r="P4457" s="4"/>
      <c r="Q4457" s="214"/>
    </row>
    <row r="4458" spans="1:17">
      <c r="A4458" s="175"/>
      <c r="B4458" s="175"/>
      <c r="P4458" s="4"/>
      <c r="Q4458" s="214"/>
    </row>
    <row r="4459" spans="1:17">
      <c r="A4459" s="175"/>
      <c r="B4459" s="175"/>
      <c r="P4459" s="4"/>
      <c r="Q4459" s="214"/>
    </row>
    <row r="4460" spans="1:17">
      <c r="A4460" s="175"/>
      <c r="B4460" s="175"/>
      <c r="P4460" s="4"/>
      <c r="Q4460" s="214"/>
    </row>
    <row r="4461" spans="1:17">
      <c r="A4461" s="175"/>
      <c r="B4461" s="175"/>
      <c r="P4461" s="4"/>
      <c r="Q4461" s="214"/>
    </row>
    <row r="4462" spans="1:17">
      <c r="A4462" s="175"/>
      <c r="B4462" s="175"/>
      <c r="P4462" s="4"/>
      <c r="Q4462" s="214"/>
    </row>
    <row r="4463" spans="1:17">
      <c r="A4463" s="175"/>
      <c r="B4463" s="175"/>
      <c r="P4463" s="4"/>
      <c r="Q4463" s="214"/>
    </row>
    <row r="4464" spans="1:17">
      <c r="A4464" s="175"/>
      <c r="B4464" s="175"/>
      <c r="P4464" s="4"/>
      <c r="Q4464" s="214"/>
    </row>
    <row r="4465" spans="1:17">
      <c r="A4465" s="175"/>
      <c r="B4465" s="175"/>
      <c r="P4465" s="4"/>
      <c r="Q4465" s="214"/>
    </row>
    <row r="4466" spans="1:17">
      <c r="A4466" s="175"/>
      <c r="B4466" s="175"/>
      <c r="P4466" s="4"/>
      <c r="Q4466" s="214"/>
    </row>
    <row r="4467" spans="1:17">
      <c r="A4467" s="175"/>
      <c r="B4467" s="175"/>
      <c r="P4467" s="4"/>
      <c r="Q4467" s="214"/>
    </row>
    <row r="4468" spans="1:17">
      <c r="A4468" s="175"/>
      <c r="B4468" s="175"/>
      <c r="P4468" s="4"/>
      <c r="Q4468" s="214"/>
    </row>
    <row r="4469" spans="1:17">
      <c r="A4469" s="175"/>
      <c r="B4469" s="175"/>
      <c r="P4469" s="4"/>
      <c r="Q4469" s="214"/>
    </row>
    <row r="4470" spans="1:17">
      <c r="A4470" s="175"/>
      <c r="B4470" s="175"/>
      <c r="P4470" s="4"/>
      <c r="Q4470" s="214"/>
    </row>
    <row r="4471" spans="1:17">
      <c r="A4471" s="175"/>
      <c r="B4471" s="175"/>
      <c r="P4471" s="4"/>
      <c r="Q4471" s="214"/>
    </row>
    <row r="4472" spans="1:17">
      <c r="A4472" s="175"/>
      <c r="B4472" s="175"/>
      <c r="P4472" s="4"/>
      <c r="Q4472" s="214"/>
    </row>
    <row r="4473" spans="1:17">
      <c r="A4473" s="175"/>
      <c r="B4473" s="175"/>
      <c r="P4473" s="4"/>
      <c r="Q4473" s="214"/>
    </row>
    <row r="4474" spans="1:17">
      <c r="A4474" s="175"/>
      <c r="B4474" s="175"/>
      <c r="P4474" s="4"/>
      <c r="Q4474" s="214"/>
    </row>
    <row r="4475" spans="1:17">
      <c r="A4475" s="175"/>
      <c r="B4475" s="175"/>
      <c r="P4475" s="4"/>
      <c r="Q4475" s="214"/>
    </row>
    <row r="4476" spans="1:17">
      <c r="A4476" s="175"/>
      <c r="B4476" s="175"/>
      <c r="P4476" s="4"/>
      <c r="Q4476" s="214"/>
    </row>
    <row r="4477" spans="1:17">
      <c r="A4477" s="175"/>
      <c r="B4477" s="175"/>
      <c r="P4477" s="4"/>
      <c r="Q4477" s="214"/>
    </row>
    <row r="4478" spans="1:17">
      <c r="A4478" s="175"/>
      <c r="B4478" s="175"/>
      <c r="P4478" s="4"/>
      <c r="Q4478" s="214"/>
    </row>
    <row r="4479" spans="1:17">
      <c r="A4479" s="175"/>
      <c r="B4479" s="175"/>
      <c r="P4479" s="4"/>
      <c r="Q4479" s="214"/>
    </row>
    <row r="4480" spans="1:17">
      <c r="A4480" s="175"/>
      <c r="B4480" s="175"/>
      <c r="P4480" s="4"/>
      <c r="Q4480" s="214"/>
    </row>
    <row r="4481" spans="1:17">
      <c r="A4481" s="175"/>
      <c r="B4481" s="175"/>
      <c r="P4481" s="4"/>
      <c r="Q4481" s="214"/>
    </row>
    <row r="4482" spans="1:17">
      <c r="A4482" s="175"/>
      <c r="B4482" s="175"/>
      <c r="P4482" s="4"/>
      <c r="Q4482" s="214"/>
    </row>
    <row r="4483" spans="1:17">
      <c r="A4483" s="175"/>
      <c r="B4483" s="175"/>
      <c r="P4483" s="4"/>
      <c r="Q4483" s="214"/>
    </row>
    <row r="4484" spans="1:17">
      <c r="A4484" s="175"/>
      <c r="B4484" s="175"/>
      <c r="P4484" s="4"/>
      <c r="Q4484" s="214"/>
    </row>
    <row r="4485" spans="1:17">
      <c r="A4485" s="175"/>
      <c r="B4485" s="175"/>
      <c r="P4485" s="4"/>
      <c r="Q4485" s="214"/>
    </row>
    <row r="4486" spans="1:17">
      <c r="A4486" s="175"/>
      <c r="B4486" s="175"/>
      <c r="P4486" s="4"/>
      <c r="Q4486" s="214"/>
    </row>
    <row r="4487" spans="1:17">
      <c r="A4487" s="175"/>
      <c r="B4487" s="175"/>
      <c r="P4487" s="4"/>
      <c r="Q4487" s="214"/>
    </row>
    <row r="4488" spans="1:17">
      <c r="A4488" s="175"/>
      <c r="B4488" s="175"/>
      <c r="P4488" s="4"/>
      <c r="Q4488" s="214"/>
    </row>
    <row r="4489" spans="1:17">
      <c r="A4489" s="175"/>
      <c r="B4489" s="175"/>
      <c r="P4489" s="4"/>
      <c r="Q4489" s="214"/>
    </row>
    <row r="4490" spans="1:17">
      <c r="A4490" s="175"/>
      <c r="B4490" s="175"/>
      <c r="P4490" s="4"/>
      <c r="Q4490" s="214"/>
    </row>
    <row r="4491" spans="1:17">
      <c r="A4491" s="175"/>
      <c r="B4491" s="175"/>
      <c r="P4491" s="4"/>
      <c r="Q4491" s="214"/>
    </row>
    <row r="4492" spans="1:17">
      <c r="A4492" s="175"/>
      <c r="B4492" s="175"/>
      <c r="P4492" s="4"/>
      <c r="Q4492" s="214"/>
    </row>
    <row r="4493" spans="1:17">
      <c r="A4493" s="175"/>
      <c r="B4493" s="175"/>
      <c r="P4493" s="4"/>
      <c r="Q4493" s="214"/>
    </row>
    <row r="4494" spans="1:17">
      <c r="A4494" s="175"/>
      <c r="B4494" s="175"/>
      <c r="P4494" s="4"/>
      <c r="Q4494" s="214"/>
    </row>
    <row r="4495" spans="1:17">
      <c r="A4495" s="175"/>
      <c r="B4495" s="175"/>
      <c r="P4495" s="4"/>
      <c r="Q4495" s="214"/>
    </row>
    <row r="4496" spans="1:17">
      <c r="A4496" s="175"/>
      <c r="B4496" s="175"/>
      <c r="P4496" s="4"/>
      <c r="Q4496" s="214"/>
    </row>
    <row r="4497" spans="1:17">
      <c r="A4497" s="175"/>
      <c r="B4497" s="175"/>
      <c r="P4497" s="4"/>
      <c r="Q4497" s="214"/>
    </row>
    <row r="4498" spans="1:17">
      <c r="A4498" s="175"/>
      <c r="B4498" s="175"/>
      <c r="P4498" s="4"/>
      <c r="Q4498" s="214"/>
    </row>
    <row r="4499" spans="1:17">
      <c r="A4499" s="175"/>
      <c r="B4499" s="175"/>
      <c r="P4499" s="4"/>
      <c r="Q4499" s="214"/>
    </row>
    <row r="4500" spans="1:17">
      <c r="A4500" s="175"/>
      <c r="B4500" s="175"/>
      <c r="P4500" s="4"/>
      <c r="Q4500" s="214"/>
    </row>
    <row r="4501" spans="1:17">
      <c r="A4501" s="175"/>
      <c r="B4501" s="175"/>
      <c r="P4501" s="4"/>
      <c r="Q4501" s="214"/>
    </row>
    <row r="4502" spans="1:17">
      <c r="A4502" s="175"/>
      <c r="B4502" s="175"/>
      <c r="P4502" s="4"/>
      <c r="Q4502" s="214"/>
    </row>
    <row r="4503" spans="1:17">
      <c r="A4503" s="175"/>
      <c r="B4503" s="175"/>
      <c r="P4503" s="4"/>
      <c r="Q4503" s="214"/>
    </row>
    <row r="4504" spans="1:17">
      <c r="A4504" s="175"/>
      <c r="B4504" s="175"/>
      <c r="P4504" s="4"/>
      <c r="Q4504" s="214"/>
    </row>
    <row r="4505" spans="1:17">
      <c r="A4505" s="175"/>
      <c r="B4505" s="175"/>
      <c r="P4505" s="4"/>
      <c r="Q4505" s="214"/>
    </row>
    <row r="4506" spans="1:17">
      <c r="A4506" s="175"/>
      <c r="B4506" s="175"/>
      <c r="P4506" s="4"/>
      <c r="Q4506" s="214"/>
    </row>
    <row r="4507" spans="1:17">
      <c r="A4507" s="175"/>
      <c r="B4507" s="175"/>
      <c r="P4507" s="4"/>
      <c r="Q4507" s="214"/>
    </row>
    <row r="4508" spans="1:17">
      <c r="A4508" s="175"/>
      <c r="B4508" s="175"/>
      <c r="P4508" s="4"/>
      <c r="Q4508" s="214"/>
    </row>
    <row r="4509" spans="1:17">
      <c r="A4509" s="175"/>
      <c r="B4509" s="175"/>
      <c r="P4509" s="4"/>
      <c r="Q4509" s="214"/>
    </row>
    <row r="4510" spans="1:17">
      <c r="A4510" s="175"/>
      <c r="B4510" s="175"/>
      <c r="P4510" s="4"/>
      <c r="Q4510" s="214"/>
    </row>
    <row r="4511" spans="1:17">
      <c r="A4511" s="175"/>
      <c r="B4511" s="175"/>
      <c r="P4511" s="4"/>
      <c r="Q4511" s="214"/>
    </row>
    <row r="4512" spans="1:17">
      <c r="A4512" s="175"/>
      <c r="B4512" s="175"/>
      <c r="P4512" s="4"/>
      <c r="Q4512" s="214"/>
    </row>
    <row r="4513" spans="1:17">
      <c r="A4513" s="175"/>
      <c r="B4513" s="175"/>
      <c r="P4513" s="4"/>
      <c r="Q4513" s="214"/>
    </row>
    <row r="4514" spans="1:17">
      <c r="A4514" s="175"/>
      <c r="B4514" s="175"/>
      <c r="P4514" s="4"/>
      <c r="Q4514" s="214"/>
    </row>
    <row r="4515" spans="1:17">
      <c r="A4515" s="175"/>
      <c r="B4515" s="175"/>
      <c r="P4515" s="4"/>
      <c r="Q4515" s="214"/>
    </row>
    <row r="4516" spans="1:17">
      <c r="A4516" s="175"/>
      <c r="B4516" s="175"/>
      <c r="P4516" s="4"/>
      <c r="Q4516" s="214"/>
    </row>
    <row r="4517" spans="1:17">
      <c r="A4517" s="175"/>
      <c r="B4517" s="175"/>
      <c r="P4517" s="4"/>
      <c r="Q4517" s="214"/>
    </row>
    <row r="4518" spans="1:17">
      <c r="A4518" s="175"/>
      <c r="B4518" s="175"/>
      <c r="P4518" s="4"/>
      <c r="Q4518" s="214"/>
    </row>
    <row r="4519" spans="1:17">
      <c r="A4519" s="175"/>
      <c r="B4519" s="175"/>
      <c r="P4519" s="4"/>
      <c r="Q4519" s="214"/>
    </row>
    <row r="4520" spans="1:17">
      <c r="A4520" s="175"/>
      <c r="B4520" s="175"/>
      <c r="P4520" s="4"/>
      <c r="Q4520" s="214"/>
    </row>
    <row r="4521" spans="1:17">
      <c r="A4521" s="175"/>
      <c r="B4521" s="175"/>
      <c r="P4521" s="4"/>
      <c r="Q4521" s="214"/>
    </row>
    <row r="4522" spans="1:17">
      <c r="A4522" s="175"/>
      <c r="B4522" s="175"/>
      <c r="P4522" s="4"/>
      <c r="Q4522" s="214"/>
    </row>
    <row r="4523" spans="1:17">
      <c r="A4523" s="175"/>
      <c r="B4523" s="175"/>
      <c r="P4523" s="4"/>
      <c r="Q4523" s="214"/>
    </row>
    <row r="4524" spans="1:17">
      <c r="A4524" s="175"/>
      <c r="B4524" s="175"/>
      <c r="P4524" s="4"/>
      <c r="Q4524" s="214"/>
    </row>
    <row r="4525" spans="1:17">
      <c r="A4525" s="175"/>
      <c r="B4525" s="175"/>
      <c r="P4525" s="4"/>
      <c r="Q4525" s="214"/>
    </row>
    <row r="4526" spans="1:17">
      <c r="A4526" s="175"/>
      <c r="B4526" s="175"/>
      <c r="P4526" s="4"/>
      <c r="Q4526" s="214"/>
    </row>
    <row r="4527" spans="1:17">
      <c r="A4527" s="175"/>
      <c r="B4527" s="175"/>
      <c r="P4527" s="4"/>
      <c r="Q4527" s="214"/>
    </row>
    <row r="4528" spans="1:17">
      <c r="A4528" s="175"/>
      <c r="B4528" s="175"/>
      <c r="P4528" s="4"/>
      <c r="Q4528" s="214"/>
    </row>
    <row r="4529" spans="1:17">
      <c r="A4529" s="175"/>
      <c r="B4529" s="175"/>
      <c r="P4529" s="4"/>
      <c r="Q4529" s="214"/>
    </row>
    <row r="4530" spans="1:17">
      <c r="A4530" s="175"/>
      <c r="B4530" s="175"/>
      <c r="P4530" s="4"/>
      <c r="Q4530" s="214"/>
    </row>
    <row r="4531" spans="1:17">
      <c r="A4531" s="175"/>
      <c r="B4531" s="175"/>
      <c r="P4531" s="4"/>
      <c r="Q4531" s="214"/>
    </row>
    <row r="4532" spans="1:17">
      <c r="A4532" s="175"/>
      <c r="B4532" s="175"/>
      <c r="P4532" s="4"/>
      <c r="Q4532" s="214"/>
    </row>
    <row r="4533" spans="1:17">
      <c r="A4533" s="175"/>
      <c r="B4533" s="175"/>
      <c r="P4533" s="4"/>
      <c r="Q4533" s="214"/>
    </row>
    <row r="4534" spans="1:17">
      <c r="A4534" s="175"/>
      <c r="B4534" s="175"/>
      <c r="P4534" s="4"/>
      <c r="Q4534" s="214"/>
    </row>
    <row r="4535" spans="1:17">
      <c r="A4535" s="175"/>
      <c r="B4535" s="175"/>
      <c r="P4535" s="4"/>
      <c r="Q4535" s="214"/>
    </row>
    <row r="4536" spans="1:17">
      <c r="A4536" s="175"/>
      <c r="B4536" s="175"/>
      <c r="P4536" s="4"/>
      <c r="Q4536" s="214"/>
    </row>
    <row r="4537" spans="1:17">
      <c r="A4537" s="175"/>
      <c r="B4537" s="175"/>
      <c r="P4537" s="4"/>
      <c r="Q4537" s="214"/>
    </row>
    <row r="4538" spans="1:17">
      <c r="A4538" s="175"/>
      <c r="B4538" s="175"/>
      <c r="P4538" s="4"/>
      <c r="Q4538" s="214"/>
    </row>
    <row r="4539" spans="1:17">
      <c r="A4539" s="175"/>
      <c r="B4539" s="175"/>
      <c r="P4539" s="4"/>
      <c r="Q4539" s="214"/>
    </row>
    <row r="4540" spans="1:17">
      <c r="A4540" s="175"/>
      <c r="B4540" s="175"/>
      <c r="P4540" s="4"/>
      <c r="Q4540" s="214"/>
    </row>
    <row r="4541" spans="1:17">
      <c r="A4541" s="175"/>
      <c r="B4541" s="175"/>
      <c r="P4541" s="4"/>
      <c r="Q4541" s="214"/>
    </row>
    <row r="4542" spans="1:17">
      <c r="A4542" s="175"/>
      <c r="B4542" s="175"/>
      <c r="P4542" s="4"/>
      <c r="Q4542" s="214"/>
    </row>
    <row r="4543" spans="1:17">
      <c r="A4543" s="175"/>
      <c r="B4543" s="175"/>
      <c r="P4543" s="4"/>
      <c r="Q4543" s="214"/>
    </row>
    <row r="4544" spans="1:17">
      <c r="A4544" s="175"/>
      <c r="B4544" s="175"/>
      <c r="P4544" s="4"/>
      <c r="Q4544" s="214"/>
    </row>
    <row r="4545" spans="1:17">
      <c r="A4545" s="175"/>
      <c r="B4545" s="175"/>
      <c r="P4545" s="4"/>
      <c r="Q4545" s="214"/>
    </row>
    <row r="4546" spans="1:17">
      <c r="A4546" s="175"/>
      <c r="B4546" s="175"/>
      <c r="P4546" s="4"/>
      <c r="Q4546" s="214"/>
    </row>
    <row r="4547" spans="1:17">
      <c r="A4547" s="175"/>
      <c r="B4547" s="175"/>
      <c r="P4547" s="4"/>
      <c r="Q4547" s="214"/>
    </row>
    <row r="4548" spans="1:17">
      <c r="A4548" s="175"/>
      <c r="B4548" s="175"/>
      <c r="P4548" s="4"/>
      <c r="Q4548" s="214"/>
    </row>
    <row r="4549" spans="1:17">
      <c r="A4549" s="175"/>
      <c r="B4549" s="175"/>
      <c r="P4549" s="4"/>
      <c r="Q4549" s="214"/>
    </row>
    <row r="4550" spans="1:17">
      <c r="A4550" s="175"/>
      <c r="B4550" s="175"/>
      <c r="P4550" s="4"/>
      <c r="Q4550" s="214"/>
    </row>
    <row r="4551" spans="1:17">
      <c r="A4551" s="175"/>
      <c r="B4551" s="175"/>
      <c r="P4551" s="4"/>
      <c r="Q4551" s="214"/>
    </row>
    <row r="4552" spans="1:17">
      <c r="A4552" s="175"/>
      <c r="B4552" s="175"/>
      <c r="P4552" s="4"/>
      <c r="Q4552" s="214"/>
    </row>
    <row r="4553" spans="1:17">
      <c r="A4553" s="175"/>
      <c r="B4553" s="175"/>
      <c r="P4553" s="4"/>
      <c r="Q4553" s="214"/>
    </row>
    <row r="4554" spans="1:17">
      <c r="A4554" s="175"/>
      <c r="B4554" s="175"/>
      <c r="P4554" s="4"/>
      <c r="Q4554" s="214"/>
    </row>
    <row r="4555" spans="1:17">
      <c r="A4555" s="175"/>
      <c r="B4555" s="175"/>
      <c r="P4555" s="4"/>
      <c r="Q4555" s="214"/>
    </row>
    <row r="4556" spans="1:17">
      <c r="A4556" s="175"/>
      <c r="B4556" s="175"/>
      <c r="P4556" s="4"/>
      <c r="Q4556" s="214"/>
    </row>
    <row r="4557" spans="1:17">
      <c r="A4557" s="175"/>
      <c r="B4557" s="175"/>
      <c r="P4557" s="4"/>
      <c r="Q4557" s="214"/>
    </row>
    <row r="4558" spans="1:17">
      <c r="A4558" s="175"/>
      <c r="B4558" s="175"/>
      <c r="P4558" s="4"/>
      <c r="Q4558" s="214"/>
    </row>
    <row r="4559" spans="1:17">
      <c r="A4559" s="175"/>
      <c r="B4559" s="175"/>
      <c r="P4559" s="4"/>
      <c r="Q4559" s="214"/>
    </row>
    <row r="4560" spans="1:17">
      <c r="A4560" s="175"/>
      <c r="B4560" s="175"/>
      <c r="P4560" s="4"/>
      <c r="Q4560" s="214"/>
    </row>
    <row r="4561" spans="1:17">
      <c r="A4561" s="175"/>
      <c r="B4561" s="175"/>
      <c r="P4561" s="4"/>
      <c r="Q4561" s="214"/>
    </row>
    <row r="4562" spans="1:17">
      <c r="A4562" s="175"/>
      <c r="B4562" s="175"/>
      <c r="P4562" s="4"/>
      <c r="Q4562" s="214"/>
    </row>
    <row r="4563" spans="1:17">
      <c r="A4563" s="175"/>
      <c r="B4563" s="175"/>
      <c r="P4563" s="4"/>
      <c r="Q4563" s="214"/>
    </row>
    <row r="4564" spans="1:17">
      <c r="A4564" s="175"/>
      <c r="B4564" s="175"/>
      <c r="P4564" s="4"/>
      <c r="Q4564" s="214"/>
    </row>
    <row r="4565" spans="1:17">
      <c r="A4565" s="175"/>
      <c r="B4565" s="175"/>
      <c r="P4565" s="4"/>
      <c r="Q4565" s="214"/>
    </row>
    <row r="4566" spans="1:17">
      <c r="A4566" s="175"/>
      <c r="B4566" s="175"/>
      <c r="P4566" s="4"/>
      <c r="Q4566" s="214"/>
    </row>
    <row r="4567" spans="1:17">
      <c r="A4567" s="175"/>
      <c r="B4567" s="175"/>
      <c r="P4567" s="4"/>
      <c r="Q4567" s="214"/>
    </row>
    <row r="4568" spans="1:17">
      <c r="A4568" s="175"/>
      <c r="B4568" s="175"/>
      <c r="P4568" s="4"/>
      <c r="Q4568" s="214"/>
    </row>
    <row r="4569" spans="1:17">
      <c r="A4569" s="175"/>
      <c r="B4569" s="175"/>
      <c r="P4569" s="4"/>
      <c r="Q4569" s="214"/>
    </row>
    <row r="4570" spans="1:17">
      <c r="A4570" s="175"/>
      <c r="B4570" s="175"/>
      <c r="P4570" s="4"/>
      <c r="Q4570" s="214"/>
    </row>
    <row r="4571" spans="1:17">
      <c r="A4571" s="175"/>
      <c r="B4571" s="175"/>
      <c r="P4571" s="4"/>
      <c r="Q4571" s="214"/>
    </row>
    <row r="4572" spans="1:17">
      <c r="A4572" s="175"/>
      <c r="B4572" s="175"/>
      <c r="P4572" s="4"/>
      <c r="Q4572" s="214"/>
    </row>
    <row r="4573" spans="1:17">
      <c r="A4573" s="175"/>
      <c r="B4573" s="175"/>
      <c r="P4573" s="4"/>
      <c r="Q4573" s="214"/>
    </row>
    <row r="4574" spans="1:17">
      <c r="A4574" s="175"/>
      <c r="B4574" s="175"/>
      <c r="P4574" s="4"/>
      <c r="Q4574" s="214"/>
    </row>
    <row r="4575" spans="1:17">
      <c r="A4575" s="175"/>
      <c r="B4575" s="175"/>
      <c r="P4575" s="4"/>
      <c r="Q4575" s="214"/>
    </row>
    <row r="4576" spans="1:17">
      <c r="A4576" s="175"/>
      <c r="B4576" s="175"/>
      <c r="P4576" s="4"/>
      <c r="Q4576" s="214"/>
    </row>
    <row r="4577" spans="1:17">
      <c r="A4577" s="175"/>
      <c r="B4577" s="175"/>
      <c r="P4577" s="4"/>
      <c r="Q4577" s="214"/>
    </row>
    <row r="4578" spans="1:17">
      <c r="A4578" s="175"/>
      <c r="B4578" s="175"/>
      <c r="P4578" s="4"/>
      <c r="Q4578" s="214"/>
    </row>
    <row r="4579" spans="1:17">
      <c r="A4579" s="175"/>
      <c r="B4579" s="175"/>
      <c r="P4579" s="4"/>
      <c r="Q4579" s="214"/>
    </row>
    <row r="4580" spans="1:17">
      <c r="A4580" s="175"/>
      <c r="B4580" s="175"/>
      <c r="P4580" s="4"/>
      <c r="Q4580" s="214"/>
    </row>
    <row r="4581" spans="1:17">
      <c r="A4581" s="175"/>
      <c r="B4581" s="175"/>
      <c r="P4581" s="4"/>
      <c r="Q4581" s="214"/>
    </row>
    <row r="4582" spans="1:17">
      <c r="A4582" s="175"/>
      <c r="B4582" s="175"/>
      <c r="P4582" s="4"/>
      <c r="Q4582" s="214"/>
    </row>
    <row r="4583" spans="1:17">
      <c r="A4583" s="175"/>
      <c r="B4583" s="175"/>
      <c r="P4583" s="4"/>
      <c r="Q4583" s="214"/>
    </row>
    <row r="4584" spans="1:17">
      <c r="A4584" s="175"/>
      <c r="B4584" s="175"/>
      <c r="P4584" s="4"/>
      <c r="Q4584" s="214"/>
    </row>
    <row r="4585" spans="1:17">
      <c r="A4585" s="175"/>
      <c r="B4585" s="175"/>
      <c r="P4585" s="4"/>
      <c r="Q4585" s="214"/>
    </row>
    <row r="4586" spans="1:17">
      <c r="A4586" s="175"/>
      <c r="B4586" s="175"/>
      <c r="P4586" s="4"/>
      <c r="Q4586" s="214"/>
    </row>
    <row r="4587" spans="1:17">
      <c r="A4587" s="175"/>
      <c r="B4587" s="175"/>
      <c r="P4587" s="4"/>
      <c r="Q4587" s="214"/>
    </row>
    <row r="4588" spans="1:17">
      <c r="A4588" s="175"/>
      <c r="B4588" s="175"/>
      <c r="P4588" s="4"/>
      <c r="Q4588" s="214"/>
    </row>
    <row r="4589" spans="1:17">
      <c r="A4589" s="175"/>
      <c r="B4589" s="175"/>
      <c r="P4589" s="4"/>
      <c r="Q4589" s="214"/>
    </row>
    <row r="4590" spans="1:17">
      <c r="A4590" s="175"/>
      <c r="B4590" s="175"/>
      <c r="P4590" s="4"/>
      <c r="Q4590" s="214"/>
    </row>
    <row r="4591" spans="1:17">
      <c r="A4591" s="175"/>
      <c r="B4591" s="175"/>
      <c r="P4591" s="4"/>
      <c r="Q4591" s="214"/>
    </row>
    <row r="4592" spans="1:17">
      <c r="A4592" s="175"/>
      <c r="B4592" s="175"/>
      <c r="P4592" s="4"/>
      <c r="Q4592" s="214"/>
    </row>
    <row r="4593" spans="1:17">
      <c r="A4593" s="175"/>
      <c r="B4593" s="175"/>
      <c r="P4593" s="4"/>
      <c r="Q4593" s="214"/>
    </row>
    <row r="4594" spans="1:17">
      <c r="A4594" s="175"/>
      <c r="B4594" s="175"/>
      <c r="P4594" s="4"/>
      <c r="Q4594" s="214"/>
    </row>
    <row r="4595" spans="1:17">
      <c r="A4595" s="175"/>
      <c r="B4595" s="175"/>
      <c r="P4595" s="4"/>
      <c r="Q4595" s="214"/>
    </row>
    <row r="4596" spans="1:17">
      <c r="A4596" s="175"/>
      <c r="B4596" s="175"/>
      <c r="P4596" s="4"/>
      <c r="Q4596" s="214"/>
    </row>
    <row r="4597" spans="1:17">
      <c r="A4597" s="175"/>
      <c r="B4597" s="175"/>
      <c r="P4597" s="4"/>
      <c r="Q4597" s="214"/>
    </row>
    <row r="4598" spans="1:17">
      <c r="A4598" s="175"/>
      <c r="B4598" s="175"/>
      <c r="P4598" s="4"/>
      <c r="Q4598" s="214"/>
    </row>
    <row r="4599" spans="1:17">
      <c r="A4599" s="175"/>
      <c r="B4599" s="175"/>
      <c r="P4599" s="4"/>
      <c r="Q4599" s="214"/>
    </row>
    <row r="4600" spans="1:17">
      <c r="A4600" s="175"/>
      <c r="B4600" s="175"/>
      <c r="P4600" s="4"/>
      <c r="Q4600" s="214"/>
    </row>
    <row r="4601" spans="1:17">
      <c r="A4601" s="175"/>
      <c r="B4601" s="175"/>
      <c r="P4601" s="4"/>
      <c r="Q4601" s="214"/>
    </row>
    <row r="4602" spans="1:17">
      <c r="A4602" s="175"/>
      <c r="B4602" s="175"/>
      <c r="P4602" s="4"/>
      <c r="Q4602" s="214"/>
    </row>
    <row r="4603" spans="1:17">
      <c r="A4603" s="175"/>
      <c r="B4603" s="175"/>
      <c r="P4603" s="4"/>
      <c r="Q4603" s="214"/>
    </row>
    <row r="4604" spans="1:17">
      <c r="A4604" s="175"/>
      <c r="B4604" s="175"/>
      <c r="P4604" s="4"/>
      <c r="Q4604" s="214"/>
    </row>
    <row r="4605" spans="1:17">
      <c r="A4605" s="175"/>
      <c r="B4605" s="175"/>
      <c r="P4605" s="4"/>
      <c r="Q4605" s="214"/>
    </row>
    <row r="4606" spans="1:17">
      <c r="A4606" s="175"/>
      <c r="B4606" s="175"/>
      <c r="P4606" s="4"/>
      <c r="Q4606" s="214"/>
    </row>
    <row r="4607" spans="1:17">
      <c r="A4607" s="175"/>
      <c r="B4607" s="175"/>
      <c r="P4607" s="4"/>
      <c r="Q4607" s="214"/>
    </row>
    <row r="4608" spans="1:17">
      <c r="A4608" s="175"/>
      <c r="B4608" s="175"/>
      <c r="P4608" s="4"/>
      <c r="Q4608" s="214"/>
    </row>
    <row r="4609" spans="1:17">
      <c r="A4609" s="175"/>
      <c r="B4609" s="175"/>
      <c r="P4609" s="4"/>
      <c r="Q4609" s="214"/>
    </row>
    <row r="4610" spans="1:17">
      <c r="A4610" s="175"/>
      <c r="B4610" s="175"/>
      <c r="P4610" s="4"/>
      <c r="Q4610" s="214"/>
    </row>
    <row r="4611" spans="1:17">
      <c r="A4611" s="175"/>
      <c r="B4611" s="175"/>
      <c r="P4611" s="4"/>
      <c r="Q4611" s="214"/>
    </row>
    <row r="4612" spans="1:17">
      <c r="A4612" s="175"/>
      <c r="B4612" s="175"/>
      <c r="P4612" s="4"/>
      <c r="Q4612" s="214"/>
    </row>
    <row r="4613" spans="1:17">
      <c r="A4613" s="175"/>
      <c r="B4613" s="175"/>
      <c r="P4613" s="4"/>
      <c r="Q4613" s="214"/>
    </row>
    <row r="4614" spans="1:17">
      <c r="A4614" s="175"/>
      <c r="B4614" s="175"/>
      <c r="P4614" s="4"/>
      <c r="Q4614" s="214"/>
    </row>
    <row r="4615" spans="1:17">
      <c r="A4615" s="175"/>
      <c r="B4615" s="175"/>
      <c r="P4615" s="4"/>
      <c r="Q4615" s="214"/>
    </row>
    <row r="4616" spans="1:17">
      <c r="A4616" s="175"/>
      <c r="B4616" s="175"/>
      <c r="P4616" s="4"/>
      <c r="Q4616" s="214"/>
    </row>
    <row r="4617" spans="1:17">
      <c r="A4617" s="175"/>
      <c r="B4617" s="175"/>
      <c r="P4617" s="4"/>
      <c r="Q4617" s="214"/>
    </row>
    <row r="4618" spans="1:17">
      <c r="A4618" s="175"/>
      <c r="B4618" s="175"/>
      <c r="P4618" s="4"/>
      <c r="Q4618" s="214"/>
    </row>
    <row r="4619" spans="1:17">
      <c r="A4619" s="175"/>
      <c r="B4619" s="175"/>
      <c r="P4619" s="4"/>
      <c r="Q4619" s="214"/>
    </row>
    <row r="4620" spans="1:17">
      <c r="A4620" s="175"/>
      <c r="B4620" s="175"/>
      <c r="P4620" s="4"/>
      <c r="Q4620" s="214"/>
    </row>
    <row r="4621" spans="1:17">
      <c r="A4621" s="175"/>
      <c r="B4621" s="175"/>
      <c r="P4621" s="4"/>
      <c r="Q4621" s="214"/>
    </row>
    <row r="4622" spans="1:17">
      <c r="A4622" s="175"/>
      <c r="B4622" s="175"/>
      <c r="P4622" s="4"/>
      <c r="Q4622" s="214"/>
    </row>
    <row r="4623" spans="1:17">
      <c r="A4623" s="175"/>
      <c r="B4623" s="175"/>
      <c r="P4623" s="4"/>
      <c r="Q4623" s="214"/>
    </row>
    <row r="4624" spans="1:17">
      <c r="A4624" s="175"/>
      <c r="B4624" s="175"/>
      <c r="P4624" s="4"/>
      <c r="Q4624" s="214"/>
    </row>
    <row r="4625" spans="1:17">
      <c r="A4625" s="175"/>
      <c r="B4625" s="175"/>
      <c r="P4625" s="4"/>
      <c r="Q4625" s="214"/>
    </row>
    <row r="4626" spans="1:17">
      <c r="A4626" s="175"/>
      <c r="B4626" s="175"/>
      <c r="P4626" s="4"/>
      <c r="Q4626" s="214"/>
    </row>
    <row r="4627" spans="1:17">
      <c r="A4627" s="175"/>
      <c r="B4627" s="175"/>
      <c r="P4627" s="4"/>
      <c r="Q4627" s="214"/>
    </row>
    <row r="4628" spans="1:17">
      <c r="A4628" s="175"/>
      <c r="B4628" s="175"/>
      <c r="P4628" s="4"/>
      <c r="Q4628" s="214"/>
    </row>
    <row r="4629" spans="1:17">
      <c r="A4629" s="175"/>
      <c r="B4629" s="175"/>
      <c r="P4629" s="4"/>
      <c r="Q4629" s="214"/>
    </row>
    <row r="4630" spans="1:17">
      <c r="A4630" s="175"/>
      <c r="B4630" s="175"/>
      <c r="P4630" s="4"/>
      <c r="Q4630" s="214"/>
    </row>
    <row r="4631" spans="1:17">
      <c r="A4631" s="175"/>
      <c r="B4631" s="175"/>
      <c r="P4631" s="4"/>
      <c r="Q4631" s="214"/>
    </row>
    <row r="4632" spans="1:17">
      <c r="A4632" s="175"/>
      <c r="B4632" s="175"/>
      <c r="P4632" s="4"/>
      <c r="Q4632" s="214"/>
    </row>
    <row r="4633" spans="1:17">
      <c r="A4633" s="175"/>
      <c r="B4633" s="175"/>
      <c r="P4633" s="4"/>
      <c r="Q4633" s="214"/>
    </row>
    <row r="4634" spans="1:17">
      <c r="A4634" s="175"/>
      <c r="B4634" s="175"/>
      <c r="P4634" s="4"/>
      <c r="Q4634" s="214"/>
    </row>
    <row r="4635" spans="1:17">
      <c r="A4635" s="175"/>
      <c r="B4635" s="175"/>
      <c r="P4635" s="4"/>
      <c r="Q4635" s="214"/>
    </row>
    <row r="4636" spans="1:17">
      <c r="A4636" s="175"/>
      <c r="B4636" s="175"/>
      <c r="P4636" s="4"/>
      <c r="Q4636" s="214"/>
    </row>
    <row r="4637" spans="1:17">
      <c r="A4637" s="175"/>
      <c r="B4637" s="175"/>
      <c r="P4637" s="4"/>
      <c r="Q4637" s="214"/>
    </row>
    <row r="4638" spans="1:17">
      <c r="A4638" s="175"/>
      <c r="B4638" s="175"/>
      <c r="P4638" s="4"/>
      <c r="Q4638" s="214"/>
    </row>
    <row r="4639" spans="1:17">
      <c r="A4639" s="175"/>
      <c r="B4639" s="175"/>
      <c r="P4639" s="4"/>
      <c r="Q4639" s="214"/>
    </row>
    <row r="4640" spans="1:17">
      <c r="A4640" s="175"/>
      <c r="B4640" s="175"/>
      <c r="P4640" s="4"/>
      <c r="Q4640" s="214"/>
    </row>
    <row r="4641" spans="1:17">
      <c r="A4641" s="175"/>
      <c r="B4641" s="175"/>
      <c r="P4641" s="4"/>
      <c r="Q4641" s="214"/>
    </row>
    <row r="4642" spans="1:17">
      <c r="A4642" s="175"/>
      <c r="B4642" s="175"/>
      <c r="P4642" s="4"/>
      <c r="Q4642" s="214"/>
    </row>
    <row r="4643" spans="1:17">
      <c r="A4643" s="175"/>
      <c r="B4643" s="175"/>
      <c r="P4643" s="4"/>
      <c r="Q4643" s="214"/>
    </row>
    <row r="4644" spans="1:17">
      <c r="A4644" s="175"/>
      <c r="B4644" s="175"/>
      <c r="P4644" s="4"/>
      <c r="Q4644" s="214"/>
    </row>
    <row r="4645" spans="1:17">
      <c r="A4645" s="175"/>
      <c r="B4645" s="175"/>
      <c r="P4645" s="4"/>
      <c r="Q4645" s="214"/>
    </row>
    <row r="4646" spans="1:17">
      <c r="A4646" s="175"/>
      <c r="B4646" s="175"/>
      <c r="P4646" s="4"/>
      <c r="Q4646" s="214"/>
    </row>
    <row r="4647" spans="1:17">
      <c r="A4647" s="175"/>
      <c r="B4647" s="175"/>
      <c r="P4647" s="4"/>
      <c r="Q4647" s="214"/>
    </row>
    <row r="4648" spans="1:17">
      <c r="A4648" s="175"/>
      <c r="B4648" s="175"/>
      <c r="P4648" s="4"/>
      <c r="Q4648" s="214"/>
    </row>
    <row r="4649" spans="1:17">
      <c r="A4649" s="175"/>
      <c r="B4649" s="175"/>
      <c r="P4649" s="4"/>
      <c r="Q4649" s="214"/>
    </row>
    <row r="4650" spans="1:17">
      <c r="A4650" s="175"/>
      <c r="B4650" s="175"/>
      <c r="P4650" s="4"/>
      <c r="Q4650" s="214"/>
    </row>
    <row r="4651" spans="1:17">
      <c r="A4651" s="175"/>
      <c r="B4651" s="175"/>
      <c r="P4651" s="4"/>
      <c r="Q4651" s="214"/>
    </row>
    <row r="4652" spans="1:17">
      <c r="A4652" s="175"/>
      <c r="B4652" s="175"/>
      <c r="P4652" s="4"/>
      <c r="Q4652" s="214"/>
    </row>
    <row r="4653" spans="1:17">
      <c r="A4653" s="175"/>
      <c r="B4653" s="175"/>
      <c r="P4653" s="4"/>
      <c r="Q4653" s="214"/>
    </row>
    <row r="4654" spans="1:17">
      <c r="A4654" s="175"/>
      <c r="B4654" s="175"/>
      <c r="P4654" s="4"/>
      <c r="Q4654" s="214"/>
    </row>
    <row r="4655" spans="1:17">
      <c r="A4655" s="175"/>
      <c r="B4655" s="175"/>
      <c r="P4655" s="4"/>
      <c r="Q4655" s="214"/>
    </row>
    <row r="4656" spans="1:17">
      <c r="A4656" s="175"/>
      <c r="B4656" s="175"/>
      <c r="P4656" s="4"/>
      <c r="Q4656" s="214"/>
    </row>
    <row r="4657" spans="1:17">
      <c r="A4657" s="175"/>
      <c r="B4657" s="175"/>
      <c r="P4657" s="4"/>
      <c r="Q4657" s="214"/>
    </row>
    <row r="4658" spans="1:17">
      <c r="A4658" s="175"/>
      <c r="B4658" s="175"/>
      <c r="P4658" s="4"/>
      <c r="Q4658" s="214"/>
    </row>
    <row r="4659" spans="1:17">
      <c r="A4659" s="175"/>
      <c r="B4659" s="175"/>
      <c r="P4659" s="4"/>
      <c r="Q4659" s="214"/>
    </row>
    <row r="4660" spans="1:17">
      <c r="A4660" s="175"/>
      <c r="B4660" s="175"/>
      <c r="P4660" s="4"/>
      <c r="Q4660" s="214"/>
    </row>
    <row r="4661" spans="1:17">
      <c r="A4661" s="175"/>
      <c r="B4661" s="175"/>
      <c r="P4661" s="4"/>
      <c r="Q4661" s="214"/>
    </row>
    <row r="4662" spans="1:17">
      <c r="A4662" s="175"/>
      <c r="B4662" s="175"/>
      <c r="P4662" s="4"/>
      <c r="Q4662" s="214"/>
    </row>
    <row r="4663" spans="1:17">
      <c r="A4663" s="175"/>
      <c r="B4663" s="175"/>
      <c r="P4663" s="4"/>
      <c r="Q4663" s="214"/>
    </row>
    <row r="4664" spans="1:17">
      <c r="A4664" s="175"/>
      <c r="B4664" s="175"/>
      <c r="P4664" s="4"/>
      <c r="Q4664" s="214"/>
    </row>
    <row r="4665" spans="1:17">
      <c r="A4665" s="175"/>
      <c r="B4665" s="175"/>
      <c r="P4665" s="4"/>
      <c r="Q4665" s="214"/>
    </row>
    <row r="4666" spans="1:17">
      <c r="A4666" s="175"/>
      <c r="B4666" s="175"/>
      <c r="P4666" s="4"/>
      <c r="Q4666" s="214"/>
    </row>
    <row r="4667" spans="1:17">
      <c r="A4667" s="175"/>
      <c r="B4667" s="175"/>
      <c r="P4667" s="4"/>
      <c r="Q4667" s="214"/>
    </row>
    <row r="4668" spans="1:17">
      <c r="A4668" s="175"/>
      <c r="B4668" s="175"/>
      <c r="P4668" s="4"/>
      <c r="Q4668" s="214"/>
    </row>
    <row r="4669" spans="1:17">
      <c r="A4669" s="175"/>
      <c r="B4669" s="175"/>
      <c r="P4669" s="4"/>
      <c r="Q4669" s="214"/>
    </row>
    <row r="4670" spans="1:17">
      <c r="A4670" s="175"/>
      <c r="B4670" s="175"/>
      <c r="P4670" s="4"/>
      <c r="Q4670" s="214"/>
    </row>
    <row r="4671" spans="1:17">
      <c r="A4671" s="175"/>
      <c r="B4671" s="175"/>
      <c r="P4671" s="4"/>
      <c r="Q4671" s="214"/>
    </row>
    <row r="4672" spans="1:17">
      <c r="A4672" s="175"/>
      <c r="B4672" s="175"/>
      <c r="P4672" s="4"/>
      <c r="Q4672" s="214"/>
    </row>
    <row r="4673" spans="1:17">
      <c r="A4673" s="175"/>
      <c r="B4673" s="175"/>
      <c r="P4673" s="4"/>
      <c r="Q4673" s="214"/>
    </row>
    <row r="4674" spans="1:17">
      <c r="A4674" s="175"/>
      <c r="B4674" s="175"/>
      <c r="P4674" s="4"/>
      <c r="Q4674" s="214"/>
    </row>
    <row r="4675" spans="1:17">
      <c r="A4675" s="175"/>
      <c r="B4675" s="175"/>
      <c r="P4675" s="4"/>
      <c r="Q4675" s="214"/>
    </row>
    <row r="4676" spans="1:17">
      <c r="A4676" s="175"/>
      <c r="B4676" s="175"/>
      <c r="P4676" s="4"/>
      <c r="Q4676" s="214"/>
    </row>
    <row r="4677" spans="1:17">
      <c r="A4677" s="175"/>
      <c r="B4677" s="175"/>
      <c r="P4677" s="4"/>
      <c r="Q4677" s="214"/>
    </row>
    <row r="4678" spans="1:17">
      <c r="A4678" s="175"/>
      <c r="B4678" s="175"/>
      <c r="P4678" s="4"/>
      <c r="Q4678" s="214"/>
    </row>
    <row r="4679" spans="1:17">
      <c r="A4679" s="175"/>
      <c r="B4679" s="175"/>
      <c r="P4679" s="4"/>
      <c r="Q4679" s="214"/>
    </row>
    <row r="4680" spans="1:17">
      <c r="A4680" s="175"/>
      <c r="B4680" s="175"/>
      <c r="P4680" s="4"/>
      <c r="Q4680" s="214"/>
    </row>
    <row r="4681" spans="1:17">
      <c r="A4681" s="175"/>
      <c r="B4681" s="175"/>
      <c r="P4681" s="4"/>
      <c r="Q4681" s="214"/>
    </row>
    <row r="4682" spans="1:17">
      <c r="A4682" s="175"/>
      <c r="B4682" s="175"/>
      <c r="P4682" s="4"/>
      <c r="Q4682" s="214"/>
    </row>
    <row r="4683" spans="1:17">
      <c r="A4683" s="175"/>
      <c r="B4683" s="175"/>
      <c r="P4683" s="4"/>
      <c r="Q4683" s="214"/>
    </row>
    <row r="4684" spans="1:17">
      <c r="A4684" s="175"/>
      <c r="B4684" s="175"/>
      <c r="P4684" s="4"/>
      <c r="Q4684" s="214"/>
    </row>
    <row r="4685" spans="1:17">
      <c r="A4685" s="175"/>
      <c r="B4685" s="175"/>
      <c r="P4685" s="4"/>
      <c r="Q4685" s="214"/>
    </row>
    <row r="4686" spans="1:17">
      <c r="A4686" s="175"/>
      <c r="B4686" s="175"/>
      <c r="P4686" s="4"/>
      <c r="Q4686" s="214"/>
    </row>
    <row r="4687" spans="1:17">
      <c r="A4687" s="175"/>
      <c r="B4687" s="175"/>
      <c r="P4687" s="4"/>
      <c r="Q4687" s="214"/>
    </row>
    <row r="4688" spans="1:17">
      <c r="A4688" s="175"/>
      <c r="B4688" s="175"/>
      <c r="P4688" s="4"/>
      <c r="Q4688" s="214"/>
    </row>
    <row r="4689" spans="1:17">
      <c r="A4689" s="175"/>
      <c r="B4689" s="175"/>
      <c r="P4689" s="4"/>
      <c r="Q4689" s="214"/>
    </row>
    <row r="4690" spans="1:17">
      <c r="A4690" s="175"/>
      <c r="B4690" s="175"/>
      <c r="P4690" s="4"/>
      <c r="Q4690" s="214"/>
    </row>
    <row r="4691" spans="1:17">
      <c r="A4691" s="175"/>
      <c r="B4691" s="175"/>
      <c r="P4691" s="4"/>
      <c r="Q4691" s="214"/>
    </row>
    <row r="4692" spans="1:17">
      <c r="A4692" s="175"/>
      <c r="B4692" s="175"/>
      <c r="P4692" s="4"/>
      <c r="Q4692" s="214"/>
    </row>
    <row r="4693" spans="1:17">
      <c r="A4693" s="175"/>
      <c r="B4693" s="175"/>
      <c r="P4693" s="4"/>
      <c r="Q4693" s="214"/>
    </row>
    <row r="4694" spans="1:17">
      <c r="A4694" s="175"/>
      <c r="B4694" s="175"/>
      <c r="P4694" s="4"/>
      <c r="Q4694" s="214"/>
    </row>
    <row r="4695" spans="1:17">
      <c r="A4695" s="175"/>
      <c r="B4695" s="175"/>
      <c r="P4695" s="4"/>
      <c r="Q4695" s="214"/>
    </row>
    <row r="4696" spans="1:17">
      <c r="A4696" s="175"/>
      <c r="B4696" s="175"/>
      <c r="P4696" s="4"/>
      <c r="Q4696" s="214"/>
    </row>
    <row r="4697" spans="1:17">
      <c r="A4697" s="175"/>
      <c r="B4697" s="175"/>
      <c r="P4697" s="4"/>
      <c r="Q4697" s="214"/>
    </row>
    <row r="4698" spans="1:17">
      <c r="A4698" s="175"/>
      <c r="B4698" s="175"/>
      <c r="P4698" s="4"/>
      <c r="Q4698" s="214"/>
    </row>
    <row r="4699" spans="1:17">
      <c r="A4699" s="175"/>
      <c r="B4699" s="175"/>
      <c r="P4699" s="4"/>
      <c r="Q4699" s="214"/>
    </row>
    <row r="4700" spans="1:17">
      <c r="A4700" s="175"/>
      <c r="B4700" s="175"/>
      <c r="P4700" s="4"/>
      <c r="Q4700" s="214"/>
    </row>
    <row r="4701" spans="1:17">
      <c r="A4701" s="175"/>
      <c r="B4701" s="175"/>
      <c r="P4701" s="4"/>
      <c r="Q4701" s="214"/>
    </row>
    <row r="4702" spans="1:17">
      <c r="A4702" s="175"/>
      <c r="B4702" s="175"/>
      <c r="P4702" s="4"/>
      <c r="Q4702" s="214"/>
    </row>
    <row r="4703" spans="1:17">
      <c r="A4703" s="175"/>
      <c r="B4703" s="175"/>
      <c r="P4703" s="4"/>
      <c r="Q4703" s="214"/>
    </row>
    <row r="4704" spans="1:17">
      <c r="A4704" s="175"/>
      <c r="B4704" s="175"/>
      <c r="P4704" s="4"/>
      <c r="Q4704" s="214"/>
    </row>
    <row r="4705" spans="1:17">
      <c r="A4705" s="175"/>
      <c r="B4705" s="175"/>
      <c r="P4705" s="4"/>
      <c r="Q4705" s="214"/>
    </row>
    <row r="4706" spans="1:17">
      <c r="A4706" s="175"/>
      <c r="B4706" s="175"/>
      <c r="P4706" s="4"/>
      <c r="Q4706" s="214"/>
    </row>
    <row r="4707" spans="1:17">
      <c r="A4707" s="175"/>
      <c r="B4707" s="175"/>
      <c r="P4707" s="4"/>
      <c r="Q4707" s="214"/>
    </row>
    <row r="4708" spans="1:17">
      <c r="A4708" s="175"/>
      <c r="B4708" s="175"/>
      <c r="P4708" s="4"/>
      <c r="Q4708" s="214"/>
    </row>
    <row r="4709" spans="1:17">
      <c r="A4709" s="175"/>
      <c r="B4709" s="175"/>
      <c r="P4709" s="4"/>
      <c r="Q4709" s="214"/>
    </row>
    <row r="4710" spans="1:17">
      <c r="A4710" s="175"/>
      <c r="B4710" s="175"/>
      <c r="P4710" s="4"/>
      <c r="Q4710" s="214"/>
    </row>
    <row r="4711" spans="1:17">
      <c r="A4711" s="175"/>
      <c r="B4711" s="175"/>
      <c r="P4711" s="4"/>
      <c r="Q4711" s="214"/>
    </row>
    <row r="4712" spans="1:17">
      <c r="A4712" s="175"/>
      <c r="B4712" s="175"/>
      <c r="P4712" s="4"/>
      <c r="Q4712" s="214"/>
    </row>
    <row r="4713" spans="1:17">
      <c r="A4713" s="175"/>
      <c r="B4713" s="175"/>
      <c r="P4713" s="4"/>
      <c r="Q4713" s="214"/>
    </row>
    <row r="4714" spans="1:17">
      <c r="A4714" s="175"/>
      <c r="B4714" s="175"/>
      <c r="P4714" s="4"/>
      <c r="Q4714" s="214"/>
    </row>
    <row r="4715" spans="1:17">
      <c r="A4715" s="175"/>
      <c r="B4715" s="175"/>
      <c r="P4715" s="4"/>
      <c r="Q4715" s="214"/>
    </row>
    <row r="4716" spans="1:17">
      <c r="A4716" s="175"/>
      <c r="B4716" s="175"/>
      <c r="P4716" s="4"/>
      <c r="Q4716" s="214"/>
    </row>
    <row r="4717" spans="1:17">
      <c r="A4717" s="175"/>
      <c r="B4717" s="175"/>
      <c r="P4717" s="4"/>
      <c r="Q4717" s="214"/>
    </row>
    <row r="4718" spans="1:17">
      <c r="A4718" s="175"/>
      <c r="B4718" s="175"/>
      <c r="P4718" s="4"/>
      <c r="Q4718" s="214"/>
    </row>
    <row r="4719" spans="1:17">
      <c r="A4719" s="175"/>
      <c r="B4719" s="175"/>
      <c r="P4719" s="4"/>
      <c r="Q4719" s="214"/>
    </row>
    <row r="4720" spans="1:17">
      <c r="A4720" s="175"/>
      <c r="B4720" s="175"/>
      <c r="P4720" s="4"/>
      <c r="Q4720" s="214"/>
    </row>
    <row r="4721" spans="1:17">
      <c r="A4721" s="175"/>
      <c r="B4721" s="175"/>
      <c r="P4721" s="4"/>
      <c r="Q4721" s="214"/>
    </row>
    <row r="4722" spans="1:17">
      <c r="A4722" s="175"/>
      <c r="B4722" s="175"/>
      <c r="P4722" s="4"/>
      <c r="Q4722" s="214"/>
    </row>
    <row r="4723" spans="1:17">
      <c r="A4723" s="175"/>
      <c r="B4723" s="175"/>
      <c r="P4723" s="4"/>
      <c r="Q4723" s="214"/>
    </row>
    <row r="4724" spans="1:17">
      <c r="A4724" s="175"/>
      <c r="B4724" s="175"/>
      <c r="P4724" s="4"/>
      <c r="Q4724" s="214"/>
    </row>
    <row r="4725" spans="1:17">
      <c r="A4725" s="175"/>
      <c r="B4725" s="175"/>
      <c r="P4725" s="4"/>
      <c r="Q4725" s="214"/>
    </row>
    <row r="4726" spans="1:17">
      <c r="A4726" s="175"/>
      <c r="B4726" s="175"/>
      <c r="P4726" s="4"/>
      <c r="Q4726" s="214"/>
    </row>
    <row r="4727" spans="1:17">
      <c r="A4727" s="175"/>
      <c r="B4727" s="175"/>
      <c r="P4727" s="4"/>
      <c r="Q4727" s="214"/>
    </row>
    <row r="4728" spans="1:17">
      <c r="A4728" s="175"/>
      <c r="B4728" s="175"/>
      <c r="P4728" s="4"/>
      <c r="Q4728" s="214"/>
    </row>
    <row r="4729" spans="1:17">
      <c r="A4729" s="175"/>
      <c r="B4729" s="175"/>
      <c r="P4729" s="4"/>
      <c r="Q4729" s="214"/>
    </row>
    <row r="4730" spans="1:17">
      <c r="A4730" s="175"/>
      <c r="B4730" s="175"/>
      <c r="P4730" s="4"/>
      <c r="Q4730" s="214"/>
    </row>
    <row r="4731" spans="1:17">
      <c r="A4731" s="175"/>
      <c r="B4731" s="175"/>
      <c r="P4731" s="4"/>
      <c r="Q4731" s="214"/>
    </row>
    <row r="4732" spans="1:17">
      <c r="A4732" s="175"/>
      <c r="B4732" s="175"/>
      <c r="P4732" s="4"/>
      <c r="Q4732" s="214"/>
    </row>
    <row r="4733" spans="1:17">
      <c r="A4733" s="175"/>
      <c r="B4733" s="175"/>
      <c r="P4733" s="4"/>
      <c r="Q4733" s="214"/>
    </row>
    <row r="4734" spans="1:17">
      <c r="A4734" s="175"/>
      <c r="B4734" s="175"/>
      <c r="P4734" s="4"/>
      <c r="Q4734" s="214"/>
    </row>
    <row r="4735" spans="1:17">
      <c r="A4735" s="175"/>
      <c r="B4735" s="175"/>
      <c r="P4735" s="4"/>
      <c r="Q4735" s="214"/>
    </row>
    <row r="4736" spans="1:17">
      <c r="A4736" s="175"/>
      <c r="B4736" s="175"/>
      <c r="P4736" s="4"/>
      <c r="Q4736" s="214"/>
    </row>
    <row r="4737" spans="1:17">
      <c r="A4737" s="175"/>
      <c r="B4737" s="175"/>
      <c r="P4737" s="4"/>
      <c r="Q4737" s="214"/>
    </row>
    <row r="4738" spans="1:17">
      <c r="A4738" s="175"/>
      <c r="B4738" s="175"/>
      <c r="P4738" s="4"/>
      <c r="Q4738" s="214"/>
    </row>
    <row r="4739" spans="1:17">
      <c r="A4739" s="175"/>
      <c r="B4739" s="175"/>
      <c r="P4739" s="4"/>
      <c r="Q4739" s="214"/>
    </row>
    <row r="4740" spans="1:17">
      <c r="A4740" s="175"/>
      <c r="B4740" s="175"/>
      <c r="P4740" s="4"/>
      <c r="Q4740" s="214"/>
    </row>
    <row r="4741" spans="1:17">
      <c r="A4741" s="175"/>
      <c r="B4741" s="175"/>
      <c r="P4741" s="4"/>
      <c r="Q4741" s="214"/>
    </row>
    <row r="4742" spans="1:17">
      <c r="A4742" s="175"/>
      <c r="B4742" s="175"/>
      <c r="P4742" s="4"/>
      <c r="Q4742" s="214"/>
    </row>
    <row r="4743" spans="1:17">
      <c r="A4743" s="175"/>
      <c r="B4743" s="175"/>
      <c r="P4743" s="4"/>
      <c r="Q4743" s="214"/>
    </row>
    <row r="4744" spans="1:17">
      <c r="A4744" s="175"/>
      <c r="B4744" s="175"/>
      <c r="P4744" s="4"/>
      <c r="Q4744" s="214"/>
    </row>
    <row r="4745" spans="1:17">
      <c r="A4745" s="175"/>
      <c r="B4745" s="175"/>
      <c r="P4745" s="4"/>
      <c r="Q4745" s="214"/>
    </row>
    <row r="4746" spans="1:17">
      <c r="A4746" s="175"/>
      <c r="B4746" s="175"/>
      <c r="P4746" s="4"/>
      <c r="Q4746" s="214"/>
    </row>
    <row r="4747" spans="1:17">
      <c r="A4747" s="175"/>
      <c r="B4747" s="175"/>
      <c r="P4747" s="4"/>
      <c r="Q4747" s="214"/>
    </row>
    <row r="4748" spans="1:17">
      <c r="A4748" s="175"/>
      <c r="B4748" s="175"/>
      <c r="P4748" s="4"/>
      <c r="Q4748" s="214"/>
    </row>
    <row r="4749" spans="1:17">
      <c r="A4749" s="175"/>
      <c r="B4749" s="175"/>
      <c r="P4749" s="4"/>
      <c r="Q4749" s="214"/>
    </row>
    <row r="4750" spans="1:17">
      <c r="A4750" s="175"/>
      <c r="B4750" s="175"/>
      <c r="P4750" s="4"/>
      <c r="Q4750" s="214"/>
    </row>
    <row r="4751" spans="1:17">
      <c r="A4751" s="175"/>
      <c r="B4751" s="175"/>
      <c r="P4751" s="4"/>
      <c r="Q4751" s="214"/>
    </row>
    <row r="4752" spans="1:17">
      <c r="A4752" s="175"/>
      <c r="B4752" s="175"/>
      <c r="P4752" s="4"/>
      <c r="Q4752" s="214"/>
    </row>
    <row r="4753" spans="1:17">
      <c r="A4753" s="175"/>
      <c r="B4753" s="175"/>
      <c r="P4753" s="4"/>
      <c r="Q4753" s="214"/>
    </row>
    <row r="4754" spans="1:17">
      <c r="A4754" s="175"/>
      <c r="B4754" s="175"/>
      <c r="P4754" s="4"/>
      <c r="Q4754" s="214"/>
    </row>
    <row r="4755" spans="1:17">
      <c r="A4755" s="175"/>
      <c r="B4755" s="175"/>
      <c r="P4755" s="4"/>
      <c r="Q4755" s="214"/>
    </row>
    <row r="4756" spans="1:17">
      <c r="A4756" s="175"/>
      <c r="B4756" s="175"/>
      <c r="P4756" s="4"/>
      <c r="Q4756" s="214"/>
    </row>
    <row r="4757" spans="1:17">
      <c r="A4757" s="175"/>
      <c r="B4757" s="175"/>
      <c r="P4757" s="4"/>
      <c r="Q4757" s="214"/>
    </row>
    <row r="4758" spans="1:17">
      <c r="A4758" s="175"/>
      <c r="B4758" s="175"/>
      <c r="P4758" s="4"/>
      <c r="Q4758" s="214"/>
    </row>
    <row r="4759" spans="1:17">
      <c r="A4759" s="175"/>
      <c r="B4759" s="175"/>
      <c r="P4759" s="4"/>
      <c r="Q4759" s="214"/>
    </row>
    <row r="4760" spans="1:17">
      <c r="A4760" s="175"/>
      <c r="B4760" s="175"/>
      <c r="P4760" s="4"/>
      <c r="Q4760" s="214"/>
    </row>
    <row r="4761" spans="1:17">
      <c r="A4761" s="175"/>
      <c r="B4761" s="175"/>
      <c r="P4761" s="4"/>
      <c r="Q4761" s="214"/>
    </row>
    <row r="4762" spans="1:17">
      <c r="A4762" s="175"/>
      <c r="B4762" s="175"/>
      <c r="P4762" s="4"/>
      <c r="Q4762" s="214"/>
    </row>
    <row r="4763" spans="1:17">
      <c r="A4763" s="175"/>
      <c r="B4763" s="175"/>
      <c r="P4763" s="4"/>
      <c r="Q4763" s="214"/>
    </row>
    <row r="4764" spans="1:17">
      <c r="A4764" s="175"/>
      <c r="B4764" s="175"/>
      <c r="P4764" s="4"/>
      <c r="Q4764" s="214"/>
    </row>
    <row r="4765" spans="1:17">
      <c r="A4765" s="175"/>
      <c r="B4765" s="175"/>
      <c r="P4765" s="4"/>
      <c r="Q4765" s="214"/>
    </row>
    <row r="4766" spans="1:17">
      <c r="A4766" s="175"/>
      <c r="B4766" s="175"/>
      <c r="P4766" s="4"/>
      <c r="Q4766" s="214"/>
    </row>
    <row r="4767" spans="1:17">
      <c r="A4767" s="175"/>
      <c r="B4767" s="175"/>
      <c r="P4767" s="4"/>
      <c r="Q4767" s="214"/>
    </row>
    <row r="4768" spans="1:17">
      <c r="A4768" s="175"/>
      <c r="B4768" s="175"/>
      <c r="P4768" s="4"/>
      <c r="Q4768" s="214"/>
    </row>
    <row r="4769" spans="1:17">
      <c r="A4769" s="175"/>
      <c r="B4769" s="175"/>
      <c r="P4769" s="4"/>
      <c r="Q4769" s="214"/>
    </row>
    <row r="4770" spans="1:17">
      <c r="A4770" s="175"/>
      <c r="B4770" s="175"/>
      <c r="P4770" s="4"/>
      <c r="Q4770" s="214"/>
    </row>
    <row r="4771" spans="1:17">
      <c r="A4771" s="175"/>
      <c r="B4771" s="175"/>
      <c r="P4771" s="4"/>
      <c r="Q4771" s="214"/>
    </row>
    <row r="4772" spans="1:17">
      <c r="A4772" s="175"/>
      <c r="B4772" s="175"/>
      <c r="P4772" s="4"/>
      <c r="Q4772" s="214"/>
    </row>
    <row r="4773" spans="1:17">
      <c r="A4773" s="175"/>
      <c r="B4773" s="175"/>
      <c r="P4773" s="4"/>
      <c r="Q4773" s="214"/>
    </row>
    <row r="4774" spans="1:17">
      <c r="A4774" s="175"/>
      <c r="B4774" s="175"/>
      <c r="P4774" s="4"/>
      <c r="Q4774" s="214"/>
    </row>
    <row r="4775" spans="1:17">
      <c r="A4775" s="175"/>
      <c r="B4775" s="175"/>
      <c r="P4775" s="4"/>
      <c r="Q4775" s="214"/>
    </row>
    <row r="4776" spans="1:17">
      <c r="A4776" s="175"/>
      <c r="B4776" s="175"/>
      <c r="P4776" s="4"/>
      <c r="Q4776" s="214"/>
    </row>
    <row r="4777" spans="1:17">
      <c r="A4777" s="175"/>
      <c r="B4777" s="175"/>
      <c r="P4777" s="4"/>
      <c r="Q4777" s="214"/>
    </row>
    <row r="4778" spans="1:17">
      <c r="A4778" s="175"/>
      <c r="B4778" s="175"/>
      <c r="P4778" s="4"/>
      <c r="Q4778" s="214"/>
    </row>
    <row r="4779" spans="1:17">
      <c r="A4779" s="175"/>
      <c r="B4779" s="175"/>
      <c r="P4779" s="4"/>
      <c r="Q4779" s="214"/>
    </row>
    <row r="4780" spans="1:17">
      <c r="A4780" s="175"/>
      <c r="B4780" s="175"/>
      <c r="P4780" s="4"/>
      <c r="Q4780" s="214"/>
    </row>
    <row r="4781" spans="1:17">
      <c r="A4781" s="175"/>
      <c r="B4781" s="175"/>
      <c r="P4781" s="4"/>
      <c r="Q4781" s="214"/>
    </row>
    <row r="4782" spans="1:17">
      <c r="A4782" s="175"/>
      <c r="B4782" s="175"/>
      <c r="P4782" s="4"/>
      <c r="Q4782" s="214"/>
    </row>
    <row r="4783" spans="1:17">
      <c r="A4783" s="175"/>
      <c r="B4783" s="175"/>
      <c r="P4783" s="4"/>
      <c r="Q4783" s="214"/>
    </row>
    <row r="4784" spans="1:17">
      <c r="A4784" s="175"/>
      <c r="B4784" s="175"/>
      <c r="P4784" s="4"/>
      <c r="Q4784" s="214"/>
    </row>
    <row r="4785" spans="1:17">
      <c r="A4785" s="175"/>
      <c r="B4785" s="175"/>
      <c r="P4785" s="4"/>
      <c r="Q4785" s="214"/>
    </row>
    <row r="4786" spans="1:17">
      <c r="A4786" s="175"/>
      <c r="B4786" s="175"/>
      <c r="P4786" s="4"/>
      <c r="Q4786" s="214"/>
    </row>
    <row r="4787" spans="1:17">
      <c r="A4787" s="175"/>
      <c r="B4787" s="175"/>
      <c r="P4787" s="4"/>
      <c r="Q4787" s="214"/>
    </row>
    <row r="4788" spans="1:17">
      <c r="A4788" s="175"/>
      <c r="B4788" s="175"/>
      <c r="P4788" s="4"/>
      <c r="Q4788" s="214"/>
    </row>
    <row r="4789" spans="1:17">
      <c r="A4789" s="175"/>
      <c r="B4789" s="175"/>
      <c r="P4789" s="4"/>
      <c r="Q4789" s="214"/>
    </row>
    <row r="4790" spans="1:17">
      <c r="A4790" s="175"/>
      <c r="B4790" s="175"/>
      <c r="P4790" s="4"/>
      <c r="Q4790" s="214"/>
    </row>
    <row r="4791" spans="1:17">
      <c r="A4791" s="175"/>
      <c r="B4791" s="175"/>
      <c r="P4791" s="4"/>
      <c r="Q4791" s="214"/>
    </row>
    <row r="4792" spans="1:17">
      <c r="A4792" s="175"/>
      <c r="B4792" s="175"/>
      <c r="P4792" s="4"/>
      <c r="Q4792" s="214"/>
    </row>
    <row r="4793" spans="1:17">
      <c r="A4793" s="175"/>
      <c r="B4793" s="175"/>
      <c r="P4793" s="4"/>
      <c r="Q4793" s="214"/>
    </row>
    <row r="4794" spans="1:17">
      <c r="A4794" s="175"/>
      <c r="B4794" s="175"/>
      <c r="P4794" s="4"/>
      <c r="Q4794" s="214"/>
    </row>
    <row r="4795" spans="1:17">
      <c r="A4795" s="175"/>
      <c r="B4795" s="175"/>
      <c r="P4795" s="4"/>
      <c r="Q4795" s="214"/>
    </row>
    <row r="4796" spans="1:17">
      <c r="A4796" s="175"/>
      <c r="B4796" s="175"/>
      <c r="P4796" s="4"/>
      <c r="Q4796" s="214"/>
    </row>
    <row r="4797" spans="1:17">
      <c r="A4797" s="175"/>
      <c r="B4797" s="175"/>
      <c r="P4797" s="4"/>
      <c r="Q4797" s="214"/>
    </row>
    <row r="4798" spans="1:17">
      <c r="A4798" s="175"/>
      <c r="B4798" s="175"/>
      <c r="P4798" s="4"/>
      <c r="Q4798" s="214"/>
    </row>
    <row r="4799" spans="1:17">
      <c r="A4799" s="175"/>
      <c r="B4799" s="175"/>
      <c r="P4799" s="4"/>
      <c r="Q4799" s="214"/>
    </row>
    <row r="4800" spans="1:17">
      <c r="A4800" s="175"/>
      <c r="B4800" s="175"/>
      <c r="P4800" s="4"/>
      <c r="Q4800" s="214"/>
    </row>
    <row r="4801" spans="1:17">
      <c r="A4801" s="175"/>
      <c r="B4801" s="175"/>
      <c r="P4801" s="4"/>
      <c r="Q4801" s="214"/>
    </row>
    <row r="4802" spans="1:17">
      <c r="A4802" s="175"/>
      <c r="B4802" s="175"/>
      <c r="P4802" s="4"/>
      <c r="Q4802" s="214"/>
    </row>
    <row r="4803" spans="1:17">
      <c r="A4803" s="175"/>
      <c r="B4803" s="175"/>
      <c r="P4803" s="4"/>
      <c r="Q4803" s="214"/>
    </row>
    <row r="4804" spans="1:17">
      <c r="A4804" s="175"/>
      <c r="B4804" s="175"/>
      <c r="P4804" s="4"/>
      <c r="Q4804" s="214"/>
    </row>
    <row r="4805" spans="1:17">
      <c r="A4805" s="175"/>
      <c r="B4805" s="175"/>
      <c r="P4805" s="4"/>
      <c r="Q4805" s="214"/>
    </row>
    <row r="4806" spans="1:17">
      <c r="A4806" s="175"/>
      <c r="B4806" s="175"/>
      <c r="P4806" s="4"/>
      <c r="Q4806" s="214"/>
    </row>
    <row r="4807" spans="1:17">
      <c r="A4807" s="175"/>
      <c r="B4807" s="175"/>
      <c r="P4807" s="4"/>
      <c r="Q4807" s="214"/>
    </row>
    <row r="4808" spans="1:17">
      <c r="A4808" s="175"/>
      <c r="B4808" s="175"/>
      <c r="P4808" s="4"/>
      <c r="Q4808" s="214"/>
    </row>
    <row r="4809" spans="1:17">
      <c r="A4809" s="175"/>
      <c r="B4809" s="175"/>
      <c r="P4809" s="4"/>
      <c r="Q4809" s="214"/>
    </row>
    <row r="4810" spans="1:17">
      <c r="A4810" s="175"/>
      <c r="B4810" s="175"/>
      <c r="P4810" s="4"/>
      <c r="Q4810" s="214"/>
    </row>
    <row r="4811" spans="1:17">
      <c r="A4811" s="175"/>
      <c r="B4811" s="175"/>
      <c r="P4811" s="4"/>
      <c r="Q4811" s="214"/>
    </row>
    <row r="4812" spans="1:17">
      <c r="A4812" s="175"/>
      <c r="B4812" s="175"/>
      <c r="P4812" s="4"/>
      <c r="Q4812" s="214"/>
    </row>
    <row r="4813" spans="1:17">
      <c r="A4813" s="175"/>
      <c r="B4813" s="175"/>
      <c r="P4813" s="4"/>
      <c r="Q4813" s="214"/>
    </row>
    <row r="4814" spans="1:17">
      <c r="A4814" s="175"/>
      <c r="B4814" s="175"/>
      <c r="P4814" s="4"/>
      <c r="Q4814" s="214"/>
    </row>
    <row r="4815" spans="1:17">
      <c r="A4815" s="175"/>
      <c r="B4815" s="175"/>
      <c r="P4815" s="4"/>
      <c r="Q4815" s="214"/>
    </row>
    <row r="4816" spans="1:17">
      <c r="A4816" s="175"/>
      <c r="B4816" s="175"/>
      <c r="P4816" s="4"/>
      <c r="Q4816" s="214"/>
    </row>
    <row r="4817" spans="1:17">
      <c r="A4817" s="175"/>
      <c r="B4817" s="175"/>
      <c r="P4817" s="4"/>
      <c r="Q4817" s="214"/>
    </row>
    <row r="4818" spans="1:17">
      <c r="A4818" s="175"/>
      <c r="B4818" s="175"/>
      <c r="P4818" s="4"/>
      <c r="Q4818" s="214"/>
    </row>
    <row r="4819" spans="1:17">
      <c r="A4819" s="175"/>
      <c r="B4819" s="175"/>
      <c r="P4819" s="4"/>
      <c r="Q4819" s="214"/>
    </row>
    <row r="4820" spans="1:17">
      <c r="A4820" s="175"/>
      <c r="B4820" s="175"/>
      <c r="P4820" s="4"/>
      <c r="Q4820" s="214"/>
    </row>
    <row r="4821" spans="1:17">
      <c r="A4821" s="175"/>
      <c r="B4821" s="175"/>
      <c r="P4821" s="4"/>
      <c r="Q4821" s="214"/>
    </row>
    <row r="4822" spans="1:17">
      <c r="A4822" s="175"/>
      <c r="B4822" s="175"/>
      <c r="P4822" s="4"/>
      <c r="Q4822" s="214"/>
    </row>
    <row r="4823" spans="1:17">
      <c r="A4823" s="175"/>
      <c r="B4823" s="175"/>
      <c r="P4823" s="4"/>
      <c r="Q4823" s="214"/>
    </row>
    <row r="4824" spans="1:17">
      <c r="A4824" s="175"/>
      <c r="B4824" s="175"/>
      <c r="P4824" s="4"/>
      <c r="Q4824" s="214"/>
    </row>
    <row r="4825" spans="1:17">
      <c r="A4825" s="175"/>
      <c r="B4825" s="175"/>
      <c r="P4825" s="4"/>
      <c r="Q4825" s="214"/>
    </row>
    <row r="4826" spans="1:17">
      <c r="A4826" s="175"/>
      <c r="B4826" s="175"/>
      <c r="P4826" s="4"/>
      <c r="Q4826" s="214"/>
    </row>
    <row r="4827" spans="1:17">
      <c r="A4827" s="175"/>
      <c r="B4827" s="175"/>
      <c r="P4827" s="4"/>
      <c r="Q4827" s="214"/>
    </row>
    <row r="4828" spans="1:17">
      <c r="A4828" s="175"/>
      <c r="B4828" s="175"/>
      <c r="P4828" s="4"/>
      <c r="Q4828" s="214"/>
    </row>
    <row r="4829" spans="1:17">
      <c r="A4829" s="175"/>
      <c r="B4829" s="175"/>
      <c r="P4829" s="4"/>
      <c r="Q4829" s="214"/>
    </row>
    <row r="4830" spans="1:17">
      <c r="A4830" s="175"/>
      <c r="B4830" s="175"/>
      <c r="P4830" s="4"/>
      <c r="Q4830" s="214"/>
    </row>
    <row r="4831" spans="1:17">
      <c r="A4831" s="175"/>
      <c r="B4831" s="175"/>
      <c r="P4831" s="4"/>
      <c r="Q4831" s="214"/>
    </row>
    <row r="4832" spans="1:17">
      <c r="A4832" s="175"/>
      <c r="B4832" s="175"/>
      <c r="P4832" s="4"/>
      <c r="Q4832" s="214"/>
    </row>
    <row r="4833" spans="1:17">
      <c r="A4833" s="175"/>
      <c r="B4833" s="175"/>
      <c r="P4833" s="4"/>
      <c r="Q4833" s="214"/>
    </row>
    <row r="4834" spans="1:17">
      <c r="A4834" s="175"/>
      <c r="B4834" s="175"/>
      <c r="P4834" s="4"/>
      <c r="Q4834" s="214"/>
    </row>
    <row r="4835" spans="1:17">
      <c r="A4835" s="175"/>
      <c r="B4835" s="175"/>
      <c r="P4835" s="4"/>
      <c r="Q4835" s="214"/>
    </row>
    <row r="4836" spans="1:17">
      <c r="A4836" s="175"/>
      <c r="B4836" s="175"/>
      <c r="P4836" s="4"/>
      <c r="Q4836" s="214"/>
    </row>
    <row r="4837" spans="1:17">
      <c r="A4837" s="175"/>
      <c r="B4837" s="175"/>
      <c r="P4837" s="4"/>
      <c r="Q4837" s="214"/>
    </row>
    <row r="4838" spans="1:17">
      <c r="A4838" s="175"/>
      <c r="B4838" s="175"/>
      <c r="P4838" s="4"/>
      <c r="Q4838" s="214"/>
    </row>
    <row r="4839" spans="1:17">
      <c r="A4839" s="175"/>
      <c r="B4839" s="175"/>
      <c r="P4839" s="4"/>
      <c r="Q4839" s="214"/>
    </row>
    <row r="4840" spans="1:17">
      <c r="A4840" s="175"/>
      <c r="B4840" s="175"/>
      <c r="P4840" s="4"/>
      <c r="Q4840" s="214"/>
    </row>
    <row r="4841" spans="1:17">
      <c r="A4841" s="175"/>
      <c r="B4841" s="175"/>
      <c r="P4841" s="4"/>
      <c r="Q4841" s="214"/>
    </row>
    <row r="4842" spans="1:17">
      <c r="A4842" s="175"/>
      <c r="B4842" s="175"/>
      <c r="P4842" s="4"/>
      <c r="Q4842" s="214"/>
    </row>
    <row r="4843" spans="1:17">
      <c r="A4843" s="175"/>
      <c r="B4843" s="175"/>
      <c r="P4843" s="4"/>
      <c r="Q4843" s="214"/>
    </row>
    <row r="4844" spans="1:17">
      <c r="A4844" s="175"/>
      <c r="B4844" s="175"/>
      <c r="P4844" s="4"/>
      <c r="Q4844" s="214"/>
    </row>
    <row r="4845" spans="1:17">
      <c r="A4845" s="175"/>
      <c r="B4845" s="175"/>
      <c r="P4845" s="4"/>
      <c r="Q4845" s="214"/>
    </row>
    <row r="4846" spans="1:17">
      <c r="A4846" s="175"/>
      <c r="B4846" s="175"/>
      <c r="P4846" s="4"/>
      <c r="Q4846" s="214"/>
    </row>
    <row r="4847" spans="1:17">
      <c r="A4847" s="175"/>
      <c r="B4847" s="175"/>
      <c r="P4847" s="4"/>
      <c r="Q4847" s="214"/>
    </row>
    <row r="4848" spans="1:17">
      <c r="A4848" s="175"/>
      <c r="B4848" s="175"/>
      <c r="P4848" s="4"/>
      <c r="Q4848" s="214"/>
    </row>
    <row r="4849" spans="1:17">
      <c r="A4849" s="175"/>
      <c r="B4849" s="175"/>
      <c r="P4849" s="4"/>
      <c r="Q4849" s="214"/>
    </row>
    <row r="4850" spans="1:17">
      <c r="A4850" s="175"/>
      <c r="B4850" s="175"/>
      <c r="P4850" s="4"/>
      <c r="Q4850" s="214"/>
    </row>
    <row r="4851" spans="1:17">
      <c r="A4851" s="175"/>
      <c r="B4851" s="175"/>
      <c r="P4851" s="4"/>
      <c r="Q4851" s="214"/>
    </row>
    <row r="4852" spans="1:17">
      <c r="A4852" s="175"/>
      <c r="B4852" s="175"/>
      <c r="P4852" s="4"/>
      <c r="Q4852" s="214"/>
    </row>
    <row r="4853" spans="1:17">
      <c r="A4853" s="175"/>
      <c r="B4853" s="175"/>
      <c r="P4853" s="4"/>
      <c r="Q4853" s="214"/>
    </row>
    <row r="4854" spans="1:17">
      <c r="A4854" s="175"/>
      <c r="B4854" s="175"/>
      <c r="P4854" s="4"/>
      <c r="Q4854" s="214"/>
    </row>
    <row r="4855" spans="1:17">
      <c r="A4855" s="175"/>
      <c r="B4855" s="175"/>
      <c r="P4855" s="4"/>
      <c r="Q4855" s="214"/>
    </row>
    <row r="4856" spans="1:17">
      <c r="A4856" s="175"/>
      <c r="B4856" s="175"/>
      <c r="P4856" s="4"/>
      <c r="Q4856" s="214"/>
    </row>
    <row r="4857" spans="1:17">
      <c r="A4857" s="175"/>
      <c r="B4857" s="175"/>
      <c r="P4857" s="4"/>
      <c r="Q4857" s="214"/>
    </row>
    <row r="4858" spans="1:17">
      <c r="A4858" s="175"/>
      <c r="B4858" s="175"/>
      <c r="P4858" s="4"/>
      <c r="Q4858" s="214"/>
    </row>
    <row r="4859" spans="1:17">
      <c r="A4859" s="175"/>
      <c r="B4859" s="175"/>
      <c r="P4859" s="4"/>
      <c r="Q4859" s="214"/>
    </row>
    <row r="4860" spans="1:17">
      <c r="A4860" s="175"/>
      <c r="B4860" s="175"/>
      <c r="P4860" s="4"/>
      <c r="Q4860" s="214"/>
    </row>
    <row r="4861" spans="1:17">
      <c r="A4861" s="175"/>
      <c r="B4861" s="175"/>
      <c r="P4861" s="4"/>
      <c r="Q4861" s="214"/>
    </row>
    <row r="4862" spans="1:17">
      <c r="A4862" s="175"/>
      <c r="B4862" s="175"/>
      <c r="P4862" s="4"/>
      <c r="Q4862" s="214"/>
    </row>
    <row r="4863" spans="1:17">
      <c r="A4863" s="175"/>
      <c r="B4863" s="175"/>
      <c r="P4863" s="4"/>
      <c r="Q4863" s="214"/>
    </row>
    <row r="4864" spans="1:17">
      <c r="A4864" s="175"/>
      <c r="B4864" s="175"/>
      <c r="P4864" s="4"/>
      <c r="Q4864" s="214"/>
    </row>
    <row r="4865" spans="1:17">
      <c r="A4865" s="175"/>
      <c r="B4865" s="175"/>
      <c r="P4865" s="4"/>
      <c r="Q4865" s="214"/>
    </row>
    <row r="4866" spans="1:17">
      <c r="A4866" s="175"/>
      <c r="B4866" s="175"/>
      <c r="P4866" s="4"/>
      <c r="Q4866" s="214"/>
    </row>
    <row r="4867" spans="1:17">
      <c r="A4867" s="175"/>
      <c r="B4867" s="175"/>
      <c r="P4867" s="4"/>
      <c r="Q4867" s="214"/>
    </row>
    <row r="4868" spans="1:17">
      <c r="A4868" s="175"/>
      <c r="B4868" s="175"/>
      <c r="P4868" s="4"/>
      <c r="Q4868" s="214"/>
    </row>
    <row r="4869" spans="1:17">
      <c r="A4869" s="175"/>
      <c r="B4869" s="175"/>
      <c r="P4869" s="4"/>
      <c r="Q4869" s="214"/>
    </row>
    <row r="4870" spans="1:17">
      <c r="A4870" s="175"/>
      <c r="B4870" s="175"/>
      <c r="P4870" s="4"/>
      <c r="Q4870" s="214"/>
    </row>
    <row r="4871" spans="1:17">
      <c r="A4871" s="175"/>
      <c r="B4871" s="175"/>
      <c r="P4871" s="4"/>
      <c r="Q4871" s="214"/>
    </row>
    <row r="4872" spans="1:17">
      <c r="A4872" s="175"/>
      <c r="B4872" s="175"/>
      <c r="P4872" s="4"/>
      <c r="Q4872" s="214"/>
    </row>
    <row r="4873" spans="1:17">
      <c r="A4873" s="175"/>
      <c r="B4873" s="175"/>
      <c r="P4873" s="4"/>
      <c r="Q4873" s="214"/>
    </row>
    <row r="4874" spans="1:17">
      <c r="A4874" s="175"/>
      <c r="B4874" s="175"/>
      <c r="P4874" s="4"/>
      <c r="Q4874" s="214"/>
    </row>
    <row r="4875" spans="1:17">
      <c r="A4875" s="175"/>
      <c r="B4875" s="175"/>
      <c r="P4875" s="4"/>
      <c r="Q4875" s="214"/>
    </row>
    <row r="4876" spans="1:17">
      <c r="A4876" s="175"/>
      <c r="B4876" s="175"/>
      <c r="P4876" s="4"/>
      <c r="Q4876" s="214"/>
    </row>
    <row r="4877" spans="1:17">
      <c r="A4877" s="175"/>
      <c r="B4877" s="175"/>
      <c r="P4877" s="4"/>
      <c r="Q4877" s="214"/>
    </row>
    <row r="4878" spans="1:17">
      <c r="A4878" s="175"/>
      <c r="B4878" s="175"/>
      <c r="P4878" s="4"/>
      <c r="Q4878" s="214"/>
    </row>
    <row r="4879" spans="1:17">
      <c r="A4879" s="175"/>
      <c r="B4879" s="175"/>
      <c r="P4879" s="4"/>
      <c r="Q4879" s="214"/>
    </row>
    <row r="4880" spans="1:17">
      <c r="A4880" s="175"/>
      <c r="B4880" s="175"/>
      <c r="P4880" s="4"/>
      <c r="Q4880" s="214"/>
    </row>
    <row r="4881" spans="1:17">
      <c r="A4881" s="175"/>
      <c r="B4881" s="175"/>
      <c r="P4881" s="4"/>
      <c r="Q4881" s="214"/>
    </row>
    <row r="4882" spans="1:17">
      <c r="A4882" s="175"/>
      <c r="B4882" s="175"/>
      <c r="P4882" s="4"/>
      <c r="Q4882" s="214"/>
    </row>
    <row r="4883" spans="1:17">
      <c r="A4883" s="175"/>
      <c r="B4883" s="175"/>
      <c r="P4883" s="4"/>
      <c r="Q4883" s="214"/>
    </row>
    <row r="4884" spans="1:17">
      <c r="A4884" s="175"/>
      <c r="B4884" s="175"/>
      <c r="P4884" s="4"/>
      <c r="Q4884" s="214"/>
    </row>
    <row r="4885" spans="1:17">
      <c r="A4885" s="175"/>
      <c r="B4885" s="175"/>
      <c r="P4885" s="4"/>
      <c r="Q4885" s="214"/>
    </row>
    <row r="4886" spans="1:17">
      <c r="A4886" s="175"/>
      <c r="B4886" s="175"/>
      <c r="P4886" s="4"/>
      <c r="Q4886" s="214"/>
    </row>
    <row r="4887" spans="1:17">
      <c r="A4887" s="175"/>
      <c r="B4887" s="175"/>
      <c r="P4887" s="4"/>
      <c r="Q4887" s="214"/>
    </row>
    <row r="4888" spans="1:17">
      <c r="A4888" s="175"/>
      <c r="B4888" s="175"/>
      <c r="P4888" s="4"/>
      <c r="Q4888" s="214"/>
    </row>
    <row r="4889" spans="1:17">
      <c r="A4889" s="175"/>
      <c r="B4889" s="175"/>
      <c r="P4889" s="4"/>
      <c r="Q4889" s="214"/>
    </row>
    <row r="4890" spans="1:17">
      <c r="A4890" s="175"/>
      <c r="B4890" s="175"/>
      <c r="P4890" s="4"/>
      <c r="Q4890" s="214"/>
    </row>
    <row r="4891" spans="1:17">
      <c r="A4891" s="175"/>
      <c r="B4891" s="175"/>
      <c r="P4891" s="4"/>
      <c r="Q4891" s="214"/>
    </row>
    <row r="4892" spans="1:17">
      <c r="A4892" s="175"/>
      <c r="B4892" s="175"/>
      <c r="P4892" s="4"/>
      <c r="Q4892" s="214"/>
    </row>
    <row r="4893" spans="1:17">
      <c r="A4893" s="175"/>
      <c r="B4893" s="175"/>
      <c r="P4893" s="4"/>
      <c r="Q4893" s="214"/>
    </row>
    <row r="4894" spans="1:17">
      <c r="A4894" s="175"/>
      <c r="B4894" s="175"/>
      <c r="P4894" s="4"/>
      <c r="Q4894" s="214"/>
    </row>
    <row r="4895" spans="1:17">
      <c r="A4895" s="175"/>
      <c r="B4895" s="175"/>
      <c r="P4895" s="4"/>
      <c r="Q4895" s="214"/>
    </row>
    <row r="4896" spans="1:17">
      <c r="A4896" s="175"/>
      <c r="B4896" s="175"/>
      <c r="P4896" s="4"/>
      <c r="Q4896" s="214"/>
    </row>
    <row r="4897" spans="1:17">
      <c r="A4897" s="175"/>
      <c r="B4897" s="175"/>
      <c r="P4897" s="4"/>
      <c r="Q4897" s="214"/>
    </row>
    <row r="4898" spans="1:17">
      <c r="A4898" s="175"/>
      <c r="B4898" s="175"/>
      <c r="P4898" s="4"/>
      <c r="Q4898" s="214"/>
    </row>
    <row r="4899" spans="1:17">
      <c r="A4899" s="175"/>
      <c r="B4899" s="175"/>
      <c r="P4899" s="4"/>
      <c r="Q4899" s="214"/>
    </row>
    <row r="4900" spans="1:17">
      <c r="A4900" s="175"/>
      <c r="B4900" s="175"/>
      <c r="P4900" s="4"/>
      <c r="Q4900" s="214"/>
    </row>
    <row r="4901" spans="1:17">
      <c r="A4901" s="175"/>
      <c r="B4901" s="175"/>
      <c r="P4901" s="4"/>
      <c r="Q4901" s="214"/>
    </row>
    <row r="4902" spans="1:17">
      <c r="A4902" s="175"/>
      <c r="B4902" s="175"/>
      <c r="P4902" s="4"/>
      <c r="Q4902" s="214"/>
    </row>
    <row r="4903" spans="1:17">
      <c r="A4903" s="175"/>
      <c r="B4903" s="175"/>
      <c r="P4903" s="4"/>
      <c r="Q4903" s="214"/>
    </row>
    <row r="4904" spans="1:17">
      <c r="A4904" s="175"/>
      <c r="B4904" s="175"/>
      <c r="P4904" s="4"/>
      <c r="Q4904" s="214"/>
    </row>
    <row r="4905" spans="1:17">
      <c r="A4905" s="175"/>
      <c r="B4905" s="175"/>
      <c r="P4905" s="4"/>
      <c r="Q4905" s="214"/>
    </row>
    <row r="4906" spans="1:17">
      <c r="A4906" s="175"/>
      <c r="B4906" s="175"/>
      <c r="P4906" s="4"/>
      <c r="Q4906" s="214"/>
    </row>
    <row r="4907" spans="1:17">
      <c r="A4907" s="175"/>
      <c r="B4907" s="175"/>
      <c r="P4907" s="4"/>
      <c r="Q4907" s="214"/>
    </row>
    <row r="4908" spans="1:17">
      <c r="A4908" s="175"/>
      <c r="B4908" s="175"/>
      <c r="P4908" s="4"/>
      <c r="Q4908" s="214"/>
    </row>
    <row r="4909" spans="1:17">
      <c r="A4909" s="175"/>
      <c r="B4909" s="175"/>
      <c r="P4909" s="4"/>
      <c r="Q4909" s="214"/>
    </row>
    <row r="4910" spans="1:17">
      <c r="A4910" s="175"/>
      <c r="B4910" s="175"/>
      <c r="P4910" s="4"/>
      <c r="Q4910" s="214"/>
    </row>
    <row r="4911" spans="1:17">
      <c r="A4911" s="175"/>
      <c r="B4911" s="175"/>
      <c r="P4911" s="4"/>
      <c r="Q4911" s="214"/>
    </row>
    <row r="4912" spans="1:17">
      <c r="A4912" s="175"/>
      <c r="B4912" s="175"/>
      <c r="P4912" s="4"/>
      <c r="Q4912" s="214"/>
    </row>
    <row r="4913" spans="1:17">
      <c r="A4913" s="175"/>
      <c r="B4913" s="175"/>
      <c r="P4913" s="4"/>
      <c r="Q4913" s="214"/>
    </row>
    <row r="4914" spans="1:17">
      <c r="A4914" s="175"/>
      <c r="B4914" s="175"/>
      <c r="P4914" s="4"/>
      <c r="Q4914" s="214"/>
    </row>
    <row r="4915" spans="1:17">
      <c r="A4915" s="175"/>
      <c r="B4915" s="175"/>
      <c r="P4915" s="4"/>
      <c r="Q4915" s="214"/>
    </row>
    <row r="4916" spans="1:17">
      <c r="A4916" s="175"/>
      <c r="B4916" s="175"/>
      <c r="P4916" s="4"/>
      <c r="Q4916" s="214"/>
    </row>
    <row r="4917" spans="1:17">
      <c r="A4917" s="175"/>
      <c r="B4917" s="175"/>
      <c r="P4917" s="4"/>
      <c r="Q4917" s="214"/>
    </row>
    <row r="4918" spans="1:17">
      <c r="A4918" s="175"/>
      <c r="B4918" s="175"/>
      <c r="P4918" s="4"/>
      <c r="Q4918" s="214"/>
    </row>
    <row r="4919" spans="1:17">
      <c r="A4919" s="175"/>
      <c r="B4919" s="175"/>
      <c r="P4919" s="4"/>
      <c r="Q4919" s="214"/>
    </row>
    <row r="4920" spans="1:17">
      <c r="A4920" s="175"/>
      <c r="B4920" s="175"/>
      <c r="P4920" s="4"/>
      <c r="Q4920" s="214"/>
    </row>
    <row r="4921" spans="1:17">
      <c r="A4921" s="175"/>
      <c r="B4921" s="175"/>
      <c r="P4921" s="4"/>
      <c r="Q4921" s="214"/>
    </row>
    <row r="4922" spans="1:17">
      <c r="A4922" s="175"/>
      <c r="B4922" s="175"/>
      <c r="P4922" s="4"/>
      <c r="Q4922" s="214"/>
    </row>
    <row r="4923" spans="1:17">
      <c r="A4923" s="175"/>
      <c r="B4923" s="175"/>
      <c r="P4923" s="4"/>
      <c r="Q4923" s="214"/>
    </row>
    <row r="4924" spans="1:17">
      <c r="A4924" s="175"/>
      <c r="B4924" s="175"/>
      <c r="P4924" s="4"/>
      <c r="Q4924" s="214"/>
    </row>
    <row r="4925" spans="1:17">
      <c r="A4925" s="175"/>
      <c r="B4925" s="175"/>
      <c r="P4925" s="4"/>
      <c r="Q4925" s="214"/>
    </row>
    <row r="4926" spans="1:17">
      <c r="A4926" s="175"/>
      <c r="B4926" s="175"/>
      <c r="P4926" s="4"/>
      <c r="Q4926" s="214"/>
    </row>
    <row r="4927" spans="1:17">
      <c r="A4927" s="175"/>
      <c r="B4927" s="175"/>
      <c r="P4927" s="4"/>
      <c r="Q4927" s="214"/>
    </row>
    <row r="4928" spans="1:17">
      <c r="A4928" s="175"/>
      <c r="B4928" s="175"/>
      <c r="P4928" s="4"/>
      <c r="Q4928" s="214"/>
    </row>
    <row r="4929" spans="1:17">
      <c r="A4929" s="175"/>
      <c r="B4929" s="175"/>
      <c r="P4929" s="4"/>
      <c r="Q4929" s="214"/>
    </row>
    <row r="4930" spans="1:17">
      <c r="A4930" s="175"/>
      <c r="B4930" s="175"/>
      <c r="P4930" s="4"/>
      <c r="Q4930" s="214"/>
    </row>
    <row r="4931" spans="1:17">
      <c r="A4931" s="175"/>
      <c r="B4931" s="175"/>
      <c r="P4931" s="4"/>
      <c r="Q4931" s="214"/>
    </row>
    <row r="4932" spans="1:17">
      <c r="A4932" s="175"/>
      <c r="B4932" s="175"/>
      <c r="P4932" s="4"/>
      <c r="Q4932" s="214"/>
    </row>
    <row r="4933" spans="1:17">
      <c r="A4933" s="175"/>
      <c r="B4933" s="175"/>
      <c r="P4933" s="4"/>
      <c r="Q4933" s="214"/>
    </row>
    <row r="4934" spans="1:17">
      <c r="A4934" s="175"/>
      <c r="B4934" s="175"/>
      <c r="P4934" s="4"/>
      <c r="Q4934" s="214"/>
    </row>
    <row r="4935" spans="1:17">
      <c r="A4935" s="175"/>
      <c r="B4935" s="175"/>
      <c r="P4935" s="4"/>
      <c r="Q4935" s="214"/>
    </row>
    <row r="4936" spans="1:17">
      <c r="A4936" s="175"/>
      <c r="B4936" s="175"/>
      <c r="P4936" s="4"/>
      <c r="Q4936" s="214"/>
    </row>
    <row r="4937" spans="1:17">
      <c r="A4937" s="175"/>
      <c r="B4937" s="175"/>
      <c r="P4937" s="4"/>
      <c r="Q4937" s="214"/>
    </row>
    <row r="4938" spans="1:17">
      <c r="A4938" s="175"/>
      <c r="B4938" s="175"/>
      <c r="P4938" s="4"/>
      <c r="Q4938" s="214"/>
    </row>
    <row r="4939" spans="1:17">
      <c r="A4939" s="175"/>
      <c r="B4939" s="175"/>
      <c r="P4939" s="4"/>
      <c r="Q4939" s="214"/>
    </row>
    <row r="4940" spans="1:17">
      <c r="A4940" s="175"/>
      <c r="B4940" s="175"/>
      <c r="P4940" s="4"/>
      <c r="Q4940" s="214"/>
    </row>
    <row r="4941" spans="1:17">
      <c r="A4941" s="175"/>
      <c r="B4941" s="175"/>
      <c r="P4941" s="4"/>
      <c r="Q4941" s="214"/>
    </row>
    <row r="4942" spans="1:17">
      <c r="A4942" s="175"/>
      <c r="B4942" s="175"/>
      <c r="P4942" s="4"/>
      <c r="Q4942" s="214"/>
    </row>
    <row r="4943" spans="1:17">
      <c r="A4943" s="175"/>
      <c r="B4943" s="175"/>
      <c r="P4943" s="4"/>
      <c r="Q4943" s="214"/>
    </row>
    <row r="4944" spans="1:17">
      <c r="A4944" s="175"/>
      <c r="B4944" s="175"/>
      <c r="P4944" s="4"/>
      <c r="Q4944" s="214"/>
    </row>
    <row r="4945" spans="1:17">
      <c r="A4945" s="175"/>
      <c r="B4945" s="175"/>
      <c r="P4945" s="4"/>
      <c r="Q4945" s="214"/>
    </row>
    <row r="4946" spans="1:17">
      <c r="A4946" s="175"/>
      <c r="B4946" s="175"/>
      <c r="P4946" s="4"/>
      <c r="Q4946" s="214"/>
    </row>
    <row r="4947" spans="1:17">
      <c r="A4947" s="175"/>
      <c r="B4947" s="175"/>
      <c r="P4947" s="4"/>
      <c r="Q4947" s="214"/>
    </row>
    <row r="4948" spans="1:17">
      <c r="A4948" s="175"/>
      <c r="B4948" s="175"/>
      <c r="P4948" s="4"/>
      <c r="Q4948" s="214"/>
    </row>
    <row r="4949" spans="1:17">
      <c r="A4949" s="175"/>
      <c r="B4949" s="175"/>
      <c r="P4949" s="4"/>
      <c r="Q4949" s="214"/>
    </row>
    <row r="4950" spans="1:17">
      <c r="A4950" s="175"/>
      <c r="B4950" s="175"/>
      <c r="P4950" s="4"/>
      <c r="Q4950" s="214"/>
    </row>
    <row r="4951" spans="1:17">
      <c r="A4951" s="175"/>
      <c r="B4951" s="175"/>
      <c r="P4951" s="4"/>
      <c r="Q4951" s="214"/>
    </row>
    <row r="4952" spans="1:17">
      <c r="A4952" s="175"/>
      <c r="B4952" s="175"/>
      <c r="P4952" s="4"/>
      <c r="Q4952" s="214"/>
    </row>
    <row r="4953" spans="1:17">
      <c r="A4953" s="175"/>
      <c r="B4953" s="175"/>
      <c r="P4953" s="4"/>
      <c r="Q4953" s="214"/>
    </row>
    <row r="4954" spans="1:17">
      <c r="A4954" s="175"/>
      <c r="B4954" s="175"/>
      <c r="P4954" s="4"/>
      <c r="Q4954" s="214"/>
    </row>
    <row r="4955" spans="1:17">
      <c r="A4955" s="175"/>
      <c r="B4955" s="175"/>
      <c r="P4955" s="4"/>
      <c r="Q4955" s="214"/>
    </row>
    <row r="4956" spans="1:17">
      <c r="A4956" s="175"/>
      <c r="B4956" s="175"/>
      <c r="P4956" s="4"/>
      <c r="Q4956" s="214"/>
    </row>
    <row r="4957" spans="1:17">
      <c r="A4957" s="175"/>
      <c r="B4957" s="175"/>
      <c r="P4957" s="4"/>
      <c r="Q4957" s="214"/>
    </row>
    <row r="4958" spans="1:17">
      <c r="A4958" s="175"/>
      <c r="B4958" s="175"/>
      <c r="P4958" s="4"/>
      <c r="Q4958" s="214"/>
    </row>
    <row r="4959" spans="1:17">
      <c r="A4959" s="175"/>
      <c r="B4959" s="175"/>
      <c r="P4959" s="4"/>
      <c r="Q4959" s="214"/>
    </row>
    <row r="4960" spans="1:17">
      <c r="A4960" s="175"/>
      <c r="B4960" s="175"/>
      <c r="P4960" s="4"/>
      <c r="Q4960" s="214"/>
    </row>
    <row r="4961" spans="1:17">
      <c r="A4961" s="175"/>
      <c r="B4961" s="175"/>
      <c r="P4961" s="4"/>
      <c r="Q4961" s="214"/>
    </row>
    <row r="4962" spans="1:17">
      <c r="A4962" s="175"/>
      <c r="B4962" s="175"/>
      <c r="P4962" s="4"/>
      <c r="Q4962" s="214"/>
    </row>
    <row r="4963" spans="1:17">
      <c r="A4963" s="175"/>
      <c r="B4963" s="175"/>
      <c r="P4963" s="4"/>
      <c r="Q4963" s="214"/>
    </row>
    <row r="4964" spans="1:17">
      <c r="A4964" s="175"/>
      <c r="B4964" s="175"/>
      <c r="P4964" s="4"/>
      <c r="Q4964" s="214"/>
    </row>
    <row r="4965" spans="1:17">
      <c r="A4965" s="175"/>
      <c r="B4965" s="175"/>
      <c r="P4965" s="4"/>
      <c r="Q4965" s="214"/>
    </row>
    <row r="4966" spans="1:17">
      <c r="A4966" s="175"/>
      <c r="B4966" s="175"/>
      <c r="P4966" s="4"/>
      <c r="Q4966" s="214"/>
    </row>
    <row r="4967" spans="1:17">
      <c r="A4967" s="175"/>
      <c r="B4967" s="175"/>
      <c r="P4967" s="4"/>
      <c r="Q4967" s="214"/>
    </row>
    <row r="4968" spans="1:17">
      <c r="A4968" s="175"/>
      <c r="B4968" s="175"/>
      <c r="P4968" s="4"/>
      <c r="Q4968" s="214"/>
    </row>
    <row r="4969" spans="1:17">
      <c r="A4969" s="175"/>
      <c r="B4969" s="175"/>
      <c r="P4969" s="4"/>
      <c r="Q4969" s="214"/>
    </row>
    <row r="4970" spans="1:17">
      <c r="A4970" s="175"/>
      <c r="B4970" s="175"/>
      <c r="P4970" s="4"/>
      <c r="Q4970" s="214"/>
    </row>
    <row r="4971" spans="1:17">
      <c r="A4971" s="175"/>
      <c r="B4971" s="175"/>
      <c r="P4971" s="4"/>
      <c r="Q4971" s="214"/>
    </row>
    <row r="4972" spans="1:17">
      <c r="A4972" s="175"/>
      <c r="B4972" s="175"/>
      <c r="P4972" s="4"/>
      <c r="Q4972" s="214"/>
    </row>
    <row r="4973" spans="1:17">
      <c r="A4973" s="175"/>
      <c r="B4973" s="175"/>
      <c r="P4973" s="4"/>
      <c r="Q4973" s="214"/>
    </row>
    <row r="4974" spans="1:17">
      <c r="A4974" s="175"/>
      <c r="B4974" s="175"/>
      <c r="P4974" s="4"/>
      <c r="Q4974" s="214"/>
    </row>
    <row r="4975" spans="1:17">
      <c r="A4975" s="175"/>
      <c r="B4975" s="175"/>
      <c r="P4975" s="4"/>
      <c r="Q4975" s="214"/>
    </row>
    <row r="4976" spans="1:17">
      <c r="A4976" s="175"/>
      <c r="B4976" s="175"/>
      <c r="P4976" s="4"/>
      <c r="Q4976" s="214"/>
    </row>
    <row r="4977" spans="1:17">
      <c r="A4977" s="175"/>
      <c r="B4977" s="175"/>
      <c r="P4977" s="4"/>
      <c r="Q4977" s="214"/>
    </row>
    <row r="4978" spans="1:17">
      <c r="A4978" s="175"/>
      <c r="B4978" s="175"/>
      <c r="P4978" s="4"/>
      <c r="Q4978" s="214"/>
    </row>
    <row r="4979" spans="1:17">
      <c r="A4979" s="175"/>
      <c r="B4979" s="175"/>
      <c r="P4979" s="4"/>
      <c r="Q4979" s="214"/>
    </row>
    <row r="4980" spans="1:17">
      <c r="A4980" s="175"/>
      <c r="B4980" s="175"/>
      <c r="P4980" s="4"/>
      <c r="Q4980" s="214"/>
    </row>
    <row r="4981" spans="1:17">
      <c r="A4981" s="175"/>
      <c r="B4981" s="175"/>
      <c r="P4981" s="4"/>
      <c r="Q4981" s="214"/>
    </row>
    <row r="4982" spans="1:17">
      <c r="A4982" s="175"/>
      <c r="B4982" s="175"/>
      <c r="P4982" s="4"/>
      <c r="Q4982" s="214"/>
    </row>
    <row r="4983" spans="1:17">
      <c r="A4983" s="175"/>
      <c r="B4983" s="175"/>
      <c r="P4983" s="4"/>
      <c r="Q4983" s="214"/>
    </row>
    <row r="4984" spans="1:17">
      <c r="A4984" s="175"/>
      <c r="B4984" s="175"/>
      <c r="P4984" s="4"/>
      <c r="Q4984" s="214"/>
    </row>
    <row r="4985" spans="1:17">
      <c r="A4985" s="175"/>
      <c r="B4985" s="175"/>
      <c r="P4985" s="4"/>
      <c r="Q4985" s="214"/>
    </row>
    <row r="4986" spans="1:17">
      <c r="A4986" s="175"/>
      <c r="B4986" s="175"/>
      <c r="P4986" s="4"/>
      <c r="Q4986" s="214"/>
    </row>
    <row r="4987" spans="1:17">
      <c r="A4987" s="175"/>
      <c r="B4987" s="175"/>
      <c r="P4987" s="4"/>
      <c r="Q4987" s="214"/>
    </row>
    <row r="4988" spans="1:17">
      <c r="A4988" s="175"/>
      <c r="B4988" s="175"/>
      <c r="P4988" s="4"/>
      <c r="Q4988" s="214"/>
    </row>
    <row r="4989" spans="1:17">
      <c r="A4989" s="175"/>
      <c r="B4989" s="175"/>
      <c r="P4989" s="4"/>
      <c r="Q4989" s="214"/>
    </row>
    <row r="4990" spans="1:17">
      <c r="A4990" s="175"/>
      <c r="B4990" s="175"/>
      <c r="P4990" s="4"/>
      <c r="Q4990" s="214"/>
    </row>
    <row r="4991" spans="1:17">
      <c r="A4991" s="175"/>
      <c r="B4991" s="175"/>
      <c r="P4991" s="4"/>
      <c r="Q4991" s="214"/>
    </row>
    <row r="4992" spans="1:17">
      <c r="A4992" s="175"/>
      <c r="B4992" s="175"/>
      <c r="P4992" s="4"/>
      <c r="Q4992" s="214"/>
    </row>
    <row r="4993" spans="1:17">
      <c r="A4993" s="175"/>
      <c r="B4993" s="175"/>
      <c r="P4993" s="4"/>
      <c r="Q4993" s="214"/>
    </row>
    <row r="4994" spans="1:17">
      <c r="A4994" s="175"/>
      <c r="B4994" s="175"/>
      <c r="P4994" s="4"/>
      <c r="Q4994" s="214"/>
    </row>
    <row r="4995" spans="1:17">
      <c r="A4995" s="175"/>
      <c r="B4995" s="175"/>
      <c r="P4995" s="4"/>
      <c r="Q4995" s="214"/>
    </row>
    <row r="4996" spans="1:17">
      <c r="A4996" s="175"/>
      <c r="B4996" s="175"/>
      <c r="P4996" s="4"/>
      <c r="Q4996" s="214"/>
    </row>
    <row r="4997" spans="1:17">
      <c r="A4997" s="175"/>
      <c r="B4997" s="175"/>
      <c r="P4997" s="4"/>
      <c r="Q4997" s="214"/>
    </row>
    <row r="4998" spans="1:17">
      <c r="A4998" s="175"/>
      <c r="B4998" s="175"/>
      <c r="P4998" s="4"/>
      <c r="Q4998" s="214"/>
    </row>
    <row r="4999" spans="1:17">
      <c r="A4999" s="175"/>
      <c r="B4999" s="175"/>
      <c r="P4999" s="4"/>
      <c r="Q4999" s="214"/>
    </row>
    <row r="5000" spans="1:17">
      <c r="A5000" s="175"/>
      <c r="B5000" s="175"/>
      <c r="P5000" s="4"/>
      <c r="Q5000" s="214"/>
    </row>
    <row r="5001" spans="1:17">
      <c r="A5001" s="175"/>
      <c r="B5001" s="175"/>
      <c r="P5001" s="4"/>
      <c r="Q5001" s="214"/>
    </row>
    <row r="5002" spans="1:17">
      <c r="A5002" s="175"/>
      <c r="B5002" s="175"/>
      <c r="P5002" s="4"/>
      <c r="Q5002" s="214"/>
    </row>
    <row r="5003" spans="1:17">
      <c r="A5003" s="175"/>
      <c r="B5003" s="175"/>
      <c r="P5003" s="4"/>
      <c r="Q5003" s="214"/>
    </row>
    <row r="5004" spans="1:17">
      <c r="A5004" s="175"/>
      <c r="B5004" s="175"/>
      <c r="P5004" s="4"/>
      <c r="Q5004" s="214"/>
    </row>
    <row r="5005" spans="1:17">
      <c r="A5005" s="175"/>
      <c r="B5005" s="175"/>
      <c r="P5005" s="4"/>
      <c r="Q5005" s="214"/>
    </row>
    <row r="5006" spans="1:17">
      <c r="A5006" s="175"/>
      <c r="B5006" s="175"/>
      <c r="P5006" s="4"/>
      <c r="Q5006" s="214"/>
    </row>
    <row r="5007" spans="1:17">
      <c r="A5007" s="175"/>
      <c r="B5007" s="175"/>
      <c r="P5007" s="4"/>
      <c r="Q5007" s="214"/>
    </row>
    <row r="5008" spans="1:17">
      <c r="A5008" s="175"/>
      <c r="B5008" s="175"/>
      <c r="P5008" s="4"/>
      <c r="Q5008" s="214"/>
    </row>
    <row r="5009" spans="1:17">
      <c r="A5009" s="175"/>
      <c r="B5009" s="175"/>
      <c r="P5009" s="4"/>
      <c r="Q5009" s="214"/>
    </row>
    <row r="5010" spans="1:17">
      <c r="A5010" s="175"/>
      <c r="B5010" s="175"/>
      <c r="P5010" s="4"/>
      <c r="Q5010" s="214"/>
    </row>
    <row r="5011" spans="1:17">
      <c r="A5011" s="175"/>
      <c r="B5011" s="175"/>
      <c r="P5011" s="4"/>
      <c r="Q5011" s="214"/>
    </row>
    <row r="5012" spans="1:17">
      <c r="A5012" s="175"/>
      <c r="B5012" s="175"/>
      <c r="P5012" s="4"/>
      <c r="Q5012" s="214"/>
    </row>
    <row r="5013" spans="1:17">
      <c r="A5013" s="175"/>
      <c r="B5013" s="175"/>
      <c r="P5013" s="4"/>
      <c r="Q5013" s="214"/>
    </row>
    <row r="5014" spans="1:17">
      <c r="A5014" s="175"/>
      <c r="B5014" s="175"/>
      <c r="P5014" s="4"/>
      <c r="Q5014" s="214"/>
    </row>
    <row r="5015" spans="1:17">
      <c r="A5015" s="175"/>
      <c r="B5015" s="175"/>
      <c r="P5015" s="4"/>
      <c r="Q5015" s="214"/>
    </row>
    <row r="5016" spans="1:17">
      <c r="A5016" s="175"/>
      <c r="B5016" s="175"/>
      <c r="P5016" s="4"/>
      <c r="Q5016" s="214"/>
    </row>
    <row r="5017" spans="1:17">
      <c r="A5017" s="175"/>
      <c r="B5017" s="175"/>
      <c r="P5017" s="4"/>
      <c r="Q5017" s="214"/>
    </row>
    <row r="5018" spans="1:17">
      <c r="A5018" s="175"/>
      <c r="B5018" s="175"/>
      <c r="P5018" s="4"/>
      <c r="Q5018" s="214"/>
    </row>
    <row r="5019" spans="1:17">
      <c r="A5019" s="175"/>
      <c r="B5019" s="175"/>
      <c r="P5019" s="4"/>
      <c r="Q5019" s="214"/>
    </row>
    <row r="5020" spans="1:17">
      <c r="A5020" s="175"/>
      <c r="B5020" s="175"/>
      <c r="P5020" s="4"/>
      <c r="Q5020" s="214"/>
    </row>
    <row r="5021" spans="1:17">
      <c r="A5021" s="175"/>
      <c r="B5021" s="175"/>
      <c r="P5021" s="4"/>
      <c r="Q5021" s="214"/>
    </row>
    <row r="5022" spans="1:17">
      <c r="A5022" s="175"/>
      <c r="B5022" s="175"/>
      <c r="P5022" s="4"/>
      <c r="Q5022" s="214"/>
    </row>
    <row r="5023" spans="1:17">
      <c r="A5023" s="175"/>
      <c r="B5023" s="175"/>
      <c r="P5023" s="4"/>
      <c r="Q5023" s="214"/>
    </row>
    <row r="5024" spans="1:17">
      <c r="A5024" s="175"/>
      <c r="B5024" s="175"/>
      <c r="P5024" s="4"/>
      <c r="Q5024" s="214"/>
    </row>
    <row r="5025" spans="1:17">
      <c r="A5025" s="175"/>
      <c r="B5025" s="175"/>
      <c r="P5025" s="4"/>
      <c r="Q5025" s="214"/>
    </row>
    <row r="5026" spans="1:17">
      <c r="A5026" s="175"/>
      <c r="B5026" s="175"/>
      <c r="P5026" s="4"/>
      <c r="Q5026" s="214"/>
    </row>
    <row r="5027" spans="1:17">
      <c r="A5027" s="175"/>
      <c r="B5027" s="175"/>
      <c r="P5027" s="4"/>
      <c r="Q5027" s="214"/>
    </row>
    <row r="5028" spans="1:17">
      <c r="A5028" s="175"/>
      <c r="B5028" s="175"/>
      <c r="P5028" s="4"/>
      <c r="Q5028" s="214"/>
    </row>
    <row r="5029" spans="1:17">
      <c r="A5029" s="175"/>
      <c r="B5029" s="175"/>
      <c r="P5029" s="4"/>
      <c r="Q5029" s="214"/>
    </row>
    <row r="5030" spans="1:17">
      <c r="A5030" s="175"/>
      <c r="B5030" s="175"/>
      <c r="P5030" s="4"/>
      <c r="Q5030" s="214"/>
    </row>
    <row r="5031" spans="1:17">
      <c r="A5031" s="175"/>
      <c r="B5031" s="175"/>
      <c r="P5031" s="4"/>
      <c r="Q5031" s="214"/>
    </row>
    <row r="5032" spans="1:17">
      <c r="A5032" s="175"/>
      <c r="B5032" s="175"/>
      <c r="P5032" s="4"/>
      <c r="Q5032" s="214"/>
    </row>
    <row r="5033" spans="1:17">
      <c r="A5033" s="175"/>
      <c r="B5033" s="175"/>
      <c r="P5033" s="4"/>
      <c r="Q5033" s="214"/>
    </row>
    <row r="5034" spans="1:17">
      <c r="A5034" s="175"/>
      <c r="B5034" s="175"/>
      <c r="P5034" s="4"/>
      <c r="Q5034" s="214"/>
    </row>
    <row r="5035" spans="1:17">
      <c r="A5035" s="175"/>
      <c r="B5035" s="175"/>
      <c r="P5035" s="4"/>
      <c r="Q5035" s="214"/>
    </row>
    <row r="5036" spans="1:17">
      <c r="A5036" s="175"/>
      <c r="B5036" s="175"/>
      <c r="P5036" s="4"/>
      <c r="Q5036" s="214"/>
    </row>
    <row r="5037" spans="1:17">
      <c r="A5037" s="175"/>
      <c r="B5037" s="175"/>
      <c r="P5037" s="4"/>
      <c r="Q5037" s="214"/>
    </row>
    <row r="5038" spans="1:17">
      <c r="A5038" s="175"/>
      <c r="B5038" s="175"/>
      <c r="P5038" s="4"/>
      <c r="Q5038" s="214"/>
    </row>
    <row r="5039" spans="1:17">
      <c r="A5039" s="175"/>
      <c r="B5039" s="175"/>
      <c r="P5039" s="4"/>
      <c r="Q5039" s="214"/>
    </row>
    <row r="5040" spans="1:17">
      <c r="A5040" s="175"/>
      <c r="B5040" s="175"/>
      <c r="P5040" s="4"/>
      <c r="Q5040" s="214"/>
    </row>
    <row r="5041" spans="1:17">
      <c r="A5041" s="175"/>
      <c r="B5041" s="175"/>
      <c r="P5041" s="4"/>
      <c r="Q5041" s="214"/>
    </row>
    <row r="5042" spans="1:17">
      <c r="A5042" s="175"/>
      <c r="B5042" s="175"/>
      <c r="P5042" s="4"/>
      <c r="Q5042" s="214"/>
    </row>
    <row r="5043" spans="1:17">
      <c r="A5043" s="175"/>
      <c r="B5043" s="175"/>
      <c r="P5043" s="4"/>
      <c r="Q5043" s="214"/>
    </row>
    <row r="5044" spans="1:17">
      <c r="A5044" s="175"/>
      <c r="B5044" s="175"/>
      <c r="P5044" s="4"/>
      <c r="Q5044" s="214"/>
    </row>
    <row r="5045" spans="1:17">
      <c r="A5045" s="175"/>
      <c r="B5045" s="175"/>
      <c r="P5045" s="4"/>
      <c r="Q5045" s="214"/>
    </row>
    <row r="5046" spans="1:17">
      <c r="A5046" s="175"/>
      <c r="B5046" s="175"/>
      <c r="P5046" s="4"/>
      <c r="Q5046" s="214"/>
    </row>
    <row r="5047" spans="1:17">
      <c r="A5047" s="175"/>
      <c r="B5047" s="175"/>
      <c r="P5047" s="4"/>
      <c r="Q5047" s="214"/>
    </row>
    <row r="5048" spans="1:17">
      <c r="A5048" s="175"/>
      <c r="B5048" s="175"/>
      <c r="P5048" s="4"/>
      <c r="Q5048" s="214"/>
    </row>
    <row r="5049" spans="1:17">
      <c r="A5049" s="175"/>
      <c r="B5049" s="175"/>
      <c r="P5049" s="4"/>
      <c r="Q5049" s="214"/>
    </row>
    <row r="5050" spans="1:17">
      <c r="A5050" s="175"/>
      <c r="B5050" s="175"/>
      <c r="P5050" s="4"/>
      <c r="Q5050" s="214"/>
    </row>
    <row r="5051" spans="1:17">
      <c r="A5051" s="175"/>
      <c r="B5051" s="175"/>
      <c r="P5051" s="4"/>
      <c r="Q5051" s="214"/>
    </row>
    <row r="5052" spans="1:17">
      <c r="A5052" s="175"/>
      <c r="B5052" s="175"/>
      <c r="P5052" s="4"/>
      <c r="Q5052" s="214"/>
    </row>
    <row r="5053" spans="1:17">
      <c r="A5053" s="175"/>
      <c r="B5053" s="175"/>
      <c r="P5053" s="4"/>
      <c r="Q5053" s="214"/>
    </row>
    <row r="5054" spans="1:17">
      <c r="A5054" s="175"/>
      <c r="B5054" s="175"/>
      <c r="P5054" s="4"/>
      <c r="Q5054" s="214"/>
    </row>
    <row r="5055" spans="1:17">
      <c r="A5055" s="175"/>
      <c r="B5055" s="175"/>
      <c r="P5055" s="4"/>
      <c r="Q5055" s="214"/>
    </row>
    <row r="5056" spans="1:17">
      <c r="A5056" s="175"/>
      <c r="B5056" s="175"/>
      <c r="P5056" s="4"/>
      <c r="Q5056" s="214"/>
    </row>
    <row r="5057" spans="1:17">
      <c r="A5057" s="175"/>
      <c r="B5057" s="175"/>
      <c r="P5057" s="4"/>
      <c r="Q5057" s="214"/>
    </row>
    <row r="5058" spans="1:17">
      <c r="A5058" s="175"/>
      <c r="B5058" s="175"/>
      <c r="P5058" s="4"/>
      <c r="Q5058" s="214"/>
    </row>
    <row r="5059" spans="1:17">
      <c r="A5059" s="175"/>
      <c r="B5059" s="175"/>
      <c r="P5059" s="4"/>
      <c r="Q5059" s="214"/>
    </row>
    <row r="5060" spans="1:17">
      <c r="A5060" s="175"/>
      <c r="B5060" s="175"/>
      <c r="P5060" s="4"/>
      <c r="Q5060" s="214"/>
    </row>
    <row r="5061" spans="1:17">
      <c r="A5061" s="175"/>
      <c r="B5061" s="175"/>
      <c r="P5061" s="4"/>
      <c r="Q5061" s="214"/>
    </row>
    <row r="5062" spans="1:17">
      <c r="A5062" s="175"/>
      <c r="B5062" s="175"/>
      <c r="P5062" s="4"/>
      <c r="Q5062" s="214"/>
    </row>
    <row r="5063" spans="1:17">
      <c r="A5063" s="175"/>
      <c r="B5063" s="175"/>
      <c r="P5063" s="4"/>
      <c r="Q5063" s="214"/>
    </row>
    <row r="5064" spans="1:17">
      <c r="A5064" s="175"/>
      <c r="B5064" s="175"/>
      <c r="P5064" s="4"/>
      <c r="Q5064" s="214"/>
    </row>
    <row r="5065" spans="1:17">
      <c r="A5065" s="175"/>
      <c r="B5065" s="175"/>
      <c r="P5065" s="4"/>
      <c r="Q5065" s="214"/>
    </row>
    <row r="5066" spans="1:17">
      <c r="A5066" s="175"/>
      <c r="B5066" s="175"/>
      <c r="P5066" s="4"/>
      <c r="Q5066" s="214"/>
    </row>
    <row r="5067" spans="1:17">
      <c r="A5067" s="175"/>
      <c r="B5067" s="175"/>
      <c r="P5067" s="4"/>
      <c r="Q5067" s="214"/>
    </row>
    <row r="5068" spans="1:17">
      <c r="A5068" s="175"/>
      <c r="B5068" s="175"/>
      <c r="P5068" s="4"/>
      <c r="Q5068" s="214"/>
    </row>
    <row r="5069" spans="1:17">
      <c r="A5069" s="175"/>
      <c r="B5069" s="175"/>
      <c r="P5069" s="4"/>
      <c r="Q5069" s="214"/>
    </row>
    <row r="5070" spans="1:17">
      <c r="A5070" s="175"/>
      <c r="B5070" s="175"/>
      <c r="P5070" s="4"/>
      <c r="Q5070" s="214"/>
    </row>
    <row r="5071" spans="1:17">
      <c r="A5071" s="175"/>
      <c r="B5071" s="175"/>
      <c r="P5071" s="4"/>
      <c r="Q5071" s="214"/>
    </row>
    <row r="5072" spans="1:17">
      <c r="A5072" s="175"/>
      <c r="B5072" s="175"/>
      <c r="P5072" s="4"/>
      <c r="Q5072" s="214"/>
    </row>
    <row r="5073" spans="1:17">
      <c r="A5073" s="175"/>
      <c r="B5073" s="175"/>
      <c r="P5073" s="4"/>
      <c r="Q5073" s="214"/>
    </row>
    <row r="5074" spans="1:17">
      <c r="A5074" s="175"/>
      <c r="B5074" s="175"/>
      <c r="P5074" s="4"/>
      <c r="Q5074" s="214"/>
    </row>
    <row r="5075" spans="1:17">
      <c r="A5075" s="175"/>
      <c r="B5075" s="175"/>
      <c r="P5075" s="4"/>
      <c r="Q5075" s="214"/>
    </row>
    <row r="5076" spans="1:17">
      <c r="A5076" s="175"/>
      <c r="B5076" s="175"/>
      <c r="P5076" s="4"/>
      <c r="Q5076" s="214"/>
    </row>
    <row r="5077" spans="1:17">
      <c r="A5077" s="175"/>
      <c r="B5077" s="175"/>
      <c r="P5077" s="4"/>
      <c r="Q5077" s="214"/>
    </row>
    <row r="5078" spans="1:17">
      <c r="A5078" s="175"/>
      <c r="B5078" s="175"/>
      <c r="P5078" s="4"/>
      <c r="Q5078" s="214"/>
    </row>
    <row r="5079" spans="1:17">
      <c r="A5079" s="175"/>
      <c r="B5079" s="175"/>
      <c r="P5079" s="4"/>
      <c r="Q5079" s="214"/>
    </row>
    <row r="5080" spans="1:17">
      <c r="A5080" s="175"/>
      <c r="B5080" s="175"/>
      <c r="P5080" s="4"/>
      <c r="Q5080" s="214"/>
    </row>
    <row r="5081" spans="1:17">
      <c r="A5081" s="175"/>
      <c r="B5081" s="175"/>
      <c r="P5081" s="4"/>
      <c r="Q5081" s="214"/>
    </row>
    <row r="5082" spans="1:17">
      <c r="A5082" s="175"/>
      <c r="B5082" s="175"/>
      <c r="P5082" s="4"/>
      <c r="Q5082" s="214"/>
    </row>
    <row r="5083" spans="1:17">
      <c r="A5083" s="175"/>
      <c r="B5083" s="175"/>
      <c r="P5083" s="4"/>
      <c r="Q5083" s="214"/>
    </row>
    <row r="5084" spans="1:17">
      <c r="A5084" s="175"/>
      <c r="B5084" s="175"/>
      <c r="P5084" s="4"/>
      <c r="Q5084" s="214"/>
    </row>
    <row r="5085" spans="1:17">
      <c r="A5085" s="175"/>
      <c r="B5085" s="175"/>
      <c r="P5085" s="4"/>
      <c r="Q5085" s="214"/>
    </row>
    <row r="5086" spans="1:17">
      <c r="A5086" s="175"/>
      <c r="B5086" s="175"/>
      <c r="P5086" s="4"/>
      <c r="Q5086" s="214"/>
    </row>
    <row r="5087" spans="1:17">
      <c r="A5087" s="175"/>
      <c r="B5087" s="175"/>
      <c r="P5087" s="4"/>
      <c r="Q5087" s="214"/>
    </row>
    <row r="5088" spans="1:17">
      <c r="A5088" s="175"/>
      <c r="B5088" s="175"/>
      <c r="P5088" s="4"/>
      <c r="Q5088" s="214"/>
    </row>
    <row r="5089" spans="1:17">
      <c r="A5089" s="175"/>
      <c r="B5089" s="175"/>
      <c r="P5089" s="4"/>
      <c r="Q5089" s="214"/>
    </row>
    <row r="5090" spans="1:17">
      <c r="A5090" s="175"/>
      <c r="B5090" s="175"/>
      <c r="P5090" s="4"/>
      <c r="Q5090" s="214"/>
    </row>
    <row r="5091" spans="1:17">
      <c r="A5091" s="175"/>
      <c r="B5091" s="175"/>
      <c r="P5091" s="4"/>
      <c r="Q5091" s="214"/>
    </row>
    <row r="5092" spans="1:17">
      <c r="A5092" s="175"/>
      <c r="B5092" s="175"/>
      <c r="P5092" s="4"/>
      <c r="Q5092" s="214"/>
    </row>
    <row r="5093" spans="1:17">
      <c r="A5093" s="175"/>
      <c r="B5093" s="175"/>
      <c r="P5093" s="4"/>
      <c r="Q5093" s="214"/>
    </row>
    <row r="5094" spans="1:17">
      <c r="A5094" s="175"/>
      <c r="B5094" s="175"/>
      <c r="P5094" s="4"/>
      <c r="Q5094" s="214"/>
    </row>
    <row r="5095" spans="1:17">
      <c r="A5095" s="175"/>
      <c r="B5095" s="175"/>
      <c r="P5095" s="4"/>
      <c r="Q5095" s="214"/>
    </row>
    <row r="5096" spans="1:17">
      <c r="A5096" s="175"/>
      <c r="B5096" s="175"/>
      <c r="P5096" s="4"/>
      <c r="Q5096" s="214"/>
    </row>
    <row r="5097" spans="1:17">
      <c r="A5097" s="175"/>
      <c r="B5097" s="175"/>
      <c r="P5097" s="4"/>
      <c r="Q5097" s="214"/>
    </row>
    <row r="5098" spans="1:17">
      <c r="A5098" s="175"/>
      <c r="B5098" s="175"/>
      <c r="P5098" s="4"/>
      <c r="Q5098" s="214"/>
    </row>
    <row r="5099" spans="1:17">
      <c r="A5099" s="175"/>
      <c r="B5099" s="175"/>
      <c r="P5099" s="4"/>
      <c r="Q5099" s="214"/>
    </row>
    <row r="5100" spans="1:17">
      <c r="A5100" s="175"/>
      <c r="B5100" s="175"/>
      <c r="P5100" s="4"/>
      <c r="Q5100" s="214"/>
    </row>
    <row r="5101" spans="1:17">
      <c r="A5101" s="175"/>
      <c r="B5101" s="175"/>
      <c r="P5101" s="4"/>
      <c r="Q5101" s="214"/>
    </row>
    <row r="5102" spans="1:17">
      <c r="A5102" s="175"/>
      <c r="B5102" s="175"/>
      <c r="P5102" s="4"/>
      <c r="Q5102" s="214"/>
    </row>
    <row r="5103" spans="1:17">
      <c r="A5103" s="175"/>
      <c r="B5103" s="175"/>
      <c r="P5103" s="4"/>
      <c r="Q5103" s="214"/>
    </row>
    <row r="5104" spans="1:17">
      <c r="A5104" s="175"/>
      <c r="B5104" s="175"/>
      <c r="P5104" s="4"/>
      <c r="Q5104" s="214"/>
    </row>
    <row r="5105" spans="1:17">
      <c r="A5105" s="175"/>
      <c r="B5105" s="175"/>
      <c r="P5105" s="4"/>
      <c r="Q5105" s="214"/>
    </row>
    <row r="5106" spans="1:17">
      <c r="A5106" s="175"/>
      <c r="B5106" s="175"/>
      <c r="P5106" s="4"/>
      <c r="Q5106" s="214"/>
    </row>
    <row r="5107" spans="1:17">
      <c r="A5107" s="175"/>
      <c r="B5107" s="175"/>
      <c r="P5107" s="4"/>
      <c r="Q5107" s="214"/>
    </row>
    <row r="5108" spans="1:17">
      <c r="A5108" s="175"/>
      <c r="B5108" s="175"/>
      <c r="P5108" s="4"/>
      <c r="Q5108" s="214"/>
    </row>
    <row r="5109" spans="1:17">
      <c r="A5109" s="175"/>
      <c r="B5109" s="175"/>
      <c r="P5109" s="4"/>
      <c r="Q5109" s="214"/>
    </row>
    <row r="5110" spans="1:17">
      <c r="A5110" s="175"/>
      <c r="B5110" s="175"/>
      <c r="P5110" s="4"/>
      <c r="Q5110" s="214"/>
    </row>
    <row r="5111" spans="1:17">
      <c r="A5111" s="175"/>
      <c r="B5111" s="175"/>
      <c r="P5111" s="4"/>
      <c r="Q5111" s="214"/>
    </row>
    <row r="5112" spans="1:17">
      <c r="A5112" s="175"/>
      <c r="B5112" s="175"/>
      <c r="P5112" s="4"/>
      <c r="Q5112" s="214"/>
    </row>
    <row r="5113" spans="1:17">
      <c r="A5113" s="175"/>
      <c r="B5113" s="175"/>
      <c r="P5113" s="4"/>
      <c r="Q5113" s="214"/>
    </row>
    <row r="5114" spans="1:17">
      <c r="A5114" s="175"/>
      <c r="B5114" s="175"/>
      <c r="P5114" s="4"/>
      <c r="Q5114" s="214"/>
    </row>
    <row r="5115" spans="1:17">
      <c r="A5115" s="175"/>
      <c r="B5115" s="175"/>
      <c r="P5115" s="4"/>
      <c r="Q5115" s="214"/>
    </row>
    <row r="5116" spans="1:17">
      <c r="A5116" s="175"/>
      <c r="B5116" s="175"/>
      <c r="P5116" s="4"/>
      <c r="Q5116" s="214"/>
    </row>
    <row r="5117" spans="1:17">
      <c r="A5117" s="175"/>
      <c r="B5117" s="175"/>
      <c r="P5117" s="4"/>
      <c r="Q5117" s="214"/>
    </row>
    <row r="5118" spans="1:17">
      <c r="A5118" s="175"/>
      <c r="B5118" s="175"/>
      <c r="P5118" s="4"/>
      <c r="Q5118" s="214"/>
    </row>
    <row r="5119" spans="1:17">
      <c r="A5119" s="175"/>
      <c r="B5119" s="175"/>
      <c r="P5119" s="4"/>
      <c r="Q5119" s="214"/>
    </row>
    <row r="5120" spans="1:17">
      <c r="A5120" s="175"/>
      <c r="B5120" s="175"/>
      <c r="P5120" s="4"/>
      <c r="Q5120" s="214"/>
    </row>
    <row r="5121" spans="1:17">
      <c r="A5121" s="175"/>
      <c r="B5121" s="175"/>
      <c r="P5121" s="4"/>
      <c r="Q5121" s="214"/>
    </row>
    <row r="5122" spans="1:17">
      <c r="A5122" s="175"/>
      <c r="B5122" s="175"/>
      <c r="P5122" s="4"/>
      <c r="Q5122" s="214"/>
    </row>
    <row r="5123" spans="1:17">
      <c r="A5123" s="175"/>
      <c r="B5123" s="175"/>
      <c r="P5123" s="4"/>
      <c r="Q5123" s="214"/>
    </row>
    <row r="5124" spans="1:17">
      <c r="A5124" s="175"/>
      <c r="B5124" s="175"/>
      <c r="P5124" s="4"/>
      <c r="Q5124" s="214"/>
    </row>
    <row r="5125" spans="1:17">
      <c r="A5125" s="175"/>
      <c r="B5125" s="175"/>
      <c r="P5125" s="4"/>
      <c r="Q5125" s="214"/>
    </row>
    <row r="5126" spans="1:17">
      <c r="A5126" s="175"/>
      <c r="B5126" s="175"/>
      <c r="P5126" s="4"/>
      <c r="Q5126" s="214"/>
    </row>
    <row r="5127" spans="1:17">
      <c r="A5127" s="175"/>
      <c r="B5127" s="175"/>
      <c r="P5127" s="4"/>
      <c r="Q5127" s="214"/>
    </row>
    <row r="5128" spans="1:17">
      <c r="A5128" s="175"/>
      <c r="B5128" s="175"/>
      <c r="P5128" s="4"/>
      <c r="Q5128" s="214"/>
    </row>
    <row r="5129" spans="1:17">
      <c r="A5129" s="175"/>
      <c r="B5129" s="175"/>
      <c r="P5129" s="4"/>
      <c r="Q5129" s="214"/>
    </row>
    <row r="5130" spans="1:17">
      <c r="A5130" s="175"/>
      <c r="B5130" s="175"/>
      <c r="P5130" s="4"/>
      <c r="Q5130" s="214"/>
    </row>
    <row r="5131" spans="1:17">
      <c r="A5131" s="175"/>
      <c r="B5131" s="175"/>
      <c r="P5131" s="4"/>
      <c r="Q5131" s="214"/>
    </row>
    <row r="5132" spans="1:17">
      <c r="A5132" s="175"/>
      <c r="B5132" s="175"/>
      <c r="P5132" s="4"/>
      <c r="Q5132" s="214"/>
    </row>
    <row r="5133" spans="1:17">
      <c r="A5133" s="175"/>
      <c r="B5133" s="175"/>
      <c r="P5133" s="4"/>
      <c r="Q5133" s="214"/>
    </row>
    <row r="5134" spans="1:17">
      <c r="A5134" s="175"/>
      <c r="B5134" s="175"/>
      <c r="P5134" s="4"/>
      <c r="Q5134" s="214"/>
    </row>
    <row r="5135" spans="1:17">
      <c r="A5135" s="175"/>
      <c r="B5135" s="175"/>
      <c r="P5135" s="4"/>
      <c r="Q5135" s="214"/>
    </row>
    <row r="5136" spans="1:17">
      <c r="A5136" s="175"/>
      <c r="B5136" s="175"/>
      <c r="P5136" s="4"/>
      <c r="Q5136" s="214"/>
    </row>
    <row r="5137" spans="1:17">
      <c r="A5137" s="175"/>
      <c r="B5137" s="175"/>
      <c r="P5137" s="4"/>
      <c r="Q5137" s="214"/>
    </row>
    <row r="5138" spans="1:17">
      <c r="A5138" s="175"/>
      <c r="B5138" s="175"/>
      <c r="P5138" s="4"/>
      <c r="Q5138" s="214"/>
    </row>
    <row r="5139" spans="1:17">
      <c r="A5139" s="175"/>
      <c r="B5139" s="175"/>
      <c r="P5139" s="4"/>
      <c r="Q5139" s="214"/>
    </row>
    <row r="5140" spans="1:17">
      <c r="A5140" s="175"/>
      <c r="B5140" s="175"/>
      <c r="P5140" s="4"/>
      <c r="Q5140" s="214"/>
    </row>
    <row r="5141" spans="1:17">
      <c r="A5141" s="175"/>
      <c r="B5141" s="175"/>
      <c r="P5141" s="4"/>
      <c r="Q5141" s="214"/>
    </row>
    <row r="5142" spans="1:17">
      <c r="A5142" s="175"/>
      <c r="B5142" s="175"/>
      <c r="P5142" s="4"/>
      <c r="Q5142" s="214"/>
    </row>
    <row r="5143" spans="1:17">
      <c r="A5143" s="175"/>
      <c r="B5143" s="175"/>
      <c r="P5143" s="4"/>
      <c r="Q5143" s="214"/>
    </row>
    <row r="5144" spans="1:17">
      <c r="A5144" s="175"/>
      <c r="B5144" s="175"/>
      <c r="P5144" s="4"/>
      <c r="Q5144" s="214"/>
    </row>
    <row r="5145" spans="1:17">
      <c r="A5145" s="175"/>
      <c r="B5145" s="175"/>
      <c r="P5145" s="4"/>
      <c r="Q5145" s="214"/>
    </row>
    <row r="5146" spans="1:17">
      <c r="A5146" s="175"/>
      <c r="B5146" s="175"/>
      <c r="P5146" s="4"/>
      <c r="Q5146" s="214"/>
    </row>
    <row r="5147" spans="1:17">
      <c r="A5147" s="175"/>
      <c r="B5147" s="175"/>
      <c r="P5147" s="4"/>
      <c r="Q5147" s="214"/>
    </row>
    <row r="5148" spans="1:17">
      <c r="A5148" s="175"/>
      <c r="B5148" s="175"/>
      <c r="P5148" s="4"/>
      <c r="Q5148" s="214"/>
    </row>
    <row r="5149" spans="1:17">
      <c r="A5149" s="175"/>
      <c r="B5149" s="175"/>
      <c r="P5149" s="4"/>
      <c r="Q5149" s="214"/>
    </row>
    <row r="5150" spans="1:17">
      <c r="A5150" s="175"/>
      <c r="B5150" s="175"/>
      <c r="P5150" s="4"/>
      <c r="Q5150" s="214"/>
    </row>
    <row r="5151" spans="1:17">
      <c r="A5151" s="175"/>
      <c r="B5151" s="175"/>
      <c r="P5151" s="4"/>
      <c r="Q5151" s="214"/>
    </row>
    <row r="5152" spans="1:17">
      <c r="A5152" s="175"/>
      <c r="B5152" s="175"/>
      <c r="P5152" s="4"/>
      <c r="Q5152" s="214"/>
    </row>
    <row r="5153" spans="1:17">
      <c r="A5153" s="175"/>
      <c r="B5153" s="175"/>
      <c r="P5153" s="4"/>
      <c r="Q5153" s="214"/>
    </row>
    <row r="5154" spans="1:17">
      <c r="A5154" s="175"/>
      <c r="B5154" s="175"/>
      <c r="P5154" s="4"/>
      <c r="Q5154" s="214"/>
    </row>
    <row r="5155" spans="1:17">
      <c r="A5155" s="175"/>
      <c r="B5155" s="175"/>
      <c r="P5155" s="4"/>
      <c r="Q5155" s="214"/>
    </row>
    <row r="5156" spans="1:17">
      <c r="A5156" s="175"/>
      <c r="B5156" s="175"/>
      <c r="P5156" s="4"/>
      <c r="Q5156" s="214"/>
    </row>
    <row r="5157" spans="1:17">
      <c r="A5157" s="175"/>
      <c r="B5157" s="175"/>
      <c r="P5157" s="4"/>
      <c r="Q5157" s="214"/>
    </row>
    <row r="5158" spans="1:17">
      <c r="A5158" s="175"/>
      <c r="B5158" s="175"/>
      <c r="P5158" s="4"/>
      <c r="Q5158" s="214"/>
    </row>
    <row r="5159" spans="1:17">
      <c r="A5159" s="175"/>
      <c r="B5159" s="175"/>
      <c r="P5159" s="4"/>
      <c r="Q5159" s="214"/>
    </row>
    <row r="5160" spans="1:17">
      <c r="A5160" s="175"/>
      <c r="B5160" s="175"/>
      <c r="P5160" s="4"/>
      <c r="Q5160" s="214"/>
    </row>
    <row r="5161" spans="1:17">
      <c r="A5161" s="175"/>
      <c r="B5161" s="175"/>
      <c r="P5161" s="4"/>
      <c r="Q5161" s="214"/>
    </row>
    <row r="5162" spans="1:17">
      <c r="A5162" s="175"/>
      <c r="B5162" s="175"/>
      <c r="P5162" s="4"/>
      <c r="Q5162" s="214"/>
    </row>
    <row r="5163" spans="1:17">
      <c r="A5163" s="175"/>
      <c r="B5163" s="175"/>
      <c r="P5163" s="4"/>
      <c r="Q5163" s="214"/>
    </row>
    <row r="5164" spans="1:17">
      <c r="A5164" s="175"/>
      <c r="B5164" s="175"/>
      <c r="P5164" s="4"/>
      <c r="Q5164" s="214"/>
    </row>
    <row r="5165" spans="1:17">
      <c r="A5165" s="175"/>
      <c r="B5165" s="175"/>
      <c r="P5165" s="4"/>
      <c r="Q5165" s="214"/>
    </row>
    <row r="5166" spans="1:17">
      <c r="A5166" s="175"/>
      <c r="B5166" s="175"/>
      <c r="P5166" s="4"/>
      <c r="Q5166" s="214"/>
    </row>
    <row r="5167" spans="1:17">
      <c r="A5167" s="175"/>
      <c r="B5167" s="175"/>
      <c r="P5167" s="4"/>
      <c r="Q5167" s="214"/>
    </row>
    <row r="5168" spans="1:17">
      <c r="A5168" s="175"/>
      <c r="B5168" s="175"/>
      <c r="P5168" s="4"/>
      <c r="Q5168" s="214"/>
    </row>
    <row r="5169" spans="1:17">
      <c r="A5169" s="175"/>
      <c r="B5169" s="175"/>
      <c r="P5169" s="4"/>
      <c r="Q5169" s="214"/>
    </row>
    <row r="5170" spans="1:17">
      <c r="A5170" s="175"/>
      <c r="B5170" s="175"/>
      <c r="P5170" s="4"/>
      <c r="Q5170" s="214"/>
    </row>
    <row r="5171" spans="1:17">
      <c r="A5171" s="175"/>
      <c r="B5171" s="175"/>
      <c r="P5171" s="4"/>
      <c r="Q5171" s="214"/>
    </row>
    <row r="5172" spans="1:17">
      <c r="A5172" s="175"/>
      <c r="B5172" s="175"/>
      <c r="P5172" s="4"/>
      <c r="Q5172" s="214"/>
    </row>
    <row r="5173" spans="1:17">
      <c r="A5173" s="175"/>
      <c r="B5173" s="175"/>
      <c r="P5173" s="4"/>
      <c r="Q5173" s="214"/>
    </row>
    <row r="5174" spans="1:17">
      <c r="A5174" s="175"/>
      <c r="B5174" s="175"/>
      <c r="P5174" s="4"/>
      <c r="Q5174" s="214"/>
    </row>
    <row r="5175" spans="1:17">
      <c r="A5175" s="175"/>
      <c r="B5175" s="175"/>
      <c r="P5175" s="4"/>
      <c r="Q5175" s="214"/>
    </row>
    <row r="5176" spans="1:17">
      <c r="A5176" s="175"/>
      <c r="B5176" s="175"/>
      <c r="P5176" s="4"/>
      <c r="Q5176" s="214"/>
    </row>
    <row r="5177" spans="1:17">
      <c r="A5177" s="175"/>
      <c r="B5177" s="175"/>
      <c r="P5177" s="4"/>
      <c r="Q5177" s="214"/>
    </row>
    <row r="5178" spans="1:17">
      <c r="A5178" s="175"/>
      <c r="B5178" s="175"/>
      <c r="P5178" s="4"/>
      <c r="Q5178" s="214"/>
    </row>
    <row r="5179" spans="1:17">
      <c r="A5179" s="175"/>
      <c r="B5179" s="175"/>
      <c r="P5179" s="4"/>
      <c r="Q5179" s="214"/>
    </row>
    <row r="5180" spans="1:17">
      <c r="A5180" s="175"/>
      <c r="B5180" s="175"/>
      <c r="P5180" s="4"/>
      <c r="Q5180" s="214"/>
    </row>
    <row r="5181" spans="1:17">
      <c r="A5181" s="175"/>
      <c r="B5181" s="175"/>
      <c r="P5181" s="4"/>
      <c r="Q5181" s="214"/>
    </row>
    <row r="5182" spans="1:17">
      <c r="A5182" s="175"/>
      <c r="B5182" s="175"/>
      <c r="P5182" s="4"/>
      <c r="Q5182" s="214"/>
    </row>
    <row r="5183" spans="1:17">
      <c r="A5183" s="175"/>
      <c r="B5183" s="175"/>
      <c r="P5183" s="4"/>
      <c r="Q5183" s="214"/>
    </row>
    <row r="5184" spans="1:17">
      <c r="A5184" s="175"/>
      <c r="B5184" s="175"/>
      <c r="P5184" s="4"/>
      <c r="Q5184" s="214"/>
    </row>
    <row r="5185" spans="1:17">
      <c r="A5185" s="175"/>
      <c r="B5185" s="175"/>
      <c r="P5185" s="4"/>
      <c r="Q5185" s="214"/>
    </row>
    <row r="5186" spans="1:17">
      <c r="A5186" s="175"/>
      <c r="B5186" s="175"/>
      <c r="P5186" s="4"/>
      <c r="Q5186" s="214"/>
    </row>
    <row r="5187" spans="1:17">
      <c r="A5187" s="175"/>
      <c r="B5187" s="175"/>
      <c r="P5187" s="4"/>
      <c r="Q5187" s="214"/>
    </row>
    <row r="5188" spans="1:17">
      <c r="A5188" s="175"/>
      <c r="B5188" s="175"/>
      <c r="P5188" s="4"/>
      <c r="Q5188" s="214"/>
    </row>
    <row r="5189" spans="1:17">
      <c r="A5189" s="175"/>
      <c r="B5189" s="175"/>
      <c r="P5189" s="4"/>
      <c r="Q5189" s="214"/>
    </row>
    <row r="5190" spans="1:17">
      <c r="A5190" s="175"/>
      <c r="B5190" s="175"/>
      <c r="P5190" s="4"/>
      <c r="Q5190" s="214"/>
    </row>
    <row r="5191" spans="1:17">
      <c r="A5191" s="175"/>
      <c r="B5191" s="175"/>
      <c r="P5191" s="4"/>
      <c r="Q5191" s="214"/>
    </row>
    <row r="5192" spans="1:17">
      <c r="A5192" s="175"/>
      <c r="B5192" s="175"/>
      <c r="P5192" s="4"/>
      <c r="Q5192" s="214"/>
    </row>
    <row r="5193" spans="1:17">
      <c r="A5193" s="175"/>
      <c r="B5193" s="175"/>
      <c r="P5193" s="4"/>
      <c r="Q5193" s="214"/>
    </row>
    <row r="5194" spans="1:17">
      <c r="A5194" s="175"/>
      <c r="B5194" s="175"/>
      <c r="P5194" s="4"/>
      <c r="Q5194" s="214"/>
    </row>
    <row r="5195" spans="1:17">
      <c r="A5195" s="175"/>
      <c r="B5195" s="175"/>
      <c r="P5195" s="4"/>
      <c r="Q5195" s="214"/>
    </row>
    <row r="5196" spans="1:17">
      <c r="A5196" s="175"/>
      <c r="B5196" s="175"/>
      <c r="P5196" s="4"/>
      <c r="Q5196" s="214"/>
    </row>
    <row r="5197" spans="1:17">
      <c r="A5197" s="175"/>
      <c r="B5197" s="175"/>
      <c r="P5197" s="4"/>
      <c r="Q5197" s="214"/>
    </row>
    <row r="5198" spans="1:17">
      <c r="A5198" s="175"/>
      <c r="B5198" s="175"/>
      <c r="P5198" s="4"/>
      <c r="Q5198" s="214"/>
    </row>
    <row r="5199" spans="1:17">
      <c r="A5199" s="175"/>
      <c r="B5199" s="175"/>
      <c r="P5199" s="4"/>
      <c r="Q5199" s="214"/>
    </row>
    <row r="5200" spans="1:17">
      <c r="A5200" s="175"/>
      <c r="B5200" s="175"/>
      <c r="P5200" s="4"/>
      <c r="Q5200" s="214"/>
    </row>
    <row r="5201" spans="1:17">
      <c r="A5201" s="175"/>
      <c r="B5201" s="175"/>
      <c r="P5201" s="4"/>
      <c r="Q5201" s="214"/>
    </row>
    <row r="5202" spans="1:17">
      <c r="A5202" s="175"/>
      <c r="B5202" s="175"/>
      <c r="P5202" s="4"/>
      <c r="Q5202" s="214"/>
    </row>
    <row r="5203" spans="1:17">
      <c r="A5203" s="175"/>
      <c r="B5203" s="175"/>
      <c r="P5203" s="4"/>
      <c r="Q5203" s="214"/>
    </row>
    <row r="5204" spans="1:17">
      <c r="A5204" s="175"/>
      <c r="B5204" s="175"/>
      <c r="P5204" s="4"/>
      <c r="Q5204" s="214"/>
    </row>
    <row r="5205" spans="1:17">
      <c r="A5205" s="175"/>
      <c r="B5205" s="175"/>
      <c r="P5205" s="4"/>
      <c r="Q5205" s="214"/>
    </row>
    <row r="5206" spans="1:17">
      <c r="A5206" s="175"/>
      <c r="B5206" s="175"/>
      <c r="P5206" s="4"/>
      <c r="Q5206" s="214"/>
    </row>
    <row r="5207" spans="1:17">
      <c r="A5207" s="175"/>
      <c r="B5207" s="175"/>
      <c r="P5207" s="4"/>
      <c r="Q5207" s="214"/>
    </row>
    <row r="5208" spans="1:17">
      <c r="A5208" s="175"/>
      <c r="B5208" s="175"/>
      <c r="P5208" s="4"/>
      <c r="Q5208" s="214"/>
    </row>
    <row r="5209" spans="1:17">
      <c r="A5209" s="175"/>
      <c r="B5209" s="175"/>
      <c r="P5209" s="4"/>
      <c r="Q5209" s="214"/>
    </row>
    <row r="5210" spans="1:17">
      <c r="A5210" s="175"/>
      <c r="B5210" s="175"/>
      <c r="P5210" s="4"/>
      <c r="Q5210" s="214"/>
    </row>
    <row r="5211" spans="1:17">
      <c r="A5211" s="175"/>
      <c r="B5211" s="175"/>
      <c r="P5211" s="4"/>
      <c r="Q5211" s="214"/>
    </row>
    <row r="5212" spans="1:17">
      <c r="A5212" s="175"/>
      <c r="B5212" s="175"/>
      <c r="P5212" s="4"/>
      <c r="Q5212" s="214"/>
    </row>
    <row r="5213" spans="1:17">
      <c r="A5213" s="175"/>
      <c r="B5213" s="175"/>
      <c r="P5213" s="4"/>
      <c r="Q5213" s="214"/>
    </row>
    <row r="5214" spans="1:17">
      <c r="A5214" s="175"/>
      <c r="B5214" s="175"/>
      <c r="P5214" s="4"/>
      <c r="Q5214" s="214"/>
    </row>
    <row r="5215" spans="1:17">
      <c r="A5215" s="175"/>
      <c r="B5215" s="175"/>
      <c r="P5215" s="4"/>
      <c r="Q5215" s="214"/>
    </row>
    <row r="5216" spans="1:17">
      <c r="A5216" s="175"/>
      <c r="B5216" s="175"/>
      <c r="P5216" s="4"/>
      <c r="Q5216" s="214"/>
    </row>
    <row r="5217" spans="1:17">
      <c r="A5217" s="175"/>
      <c r="B5217" s="175"/>
      <c r="P5217" s="4"/>
      <c r="Q5217" s="214"/>
    </row>
    <row r="5218" spans="1:17">
      <c r="A5218" s="175"/>
      <c r="B5218" s="175"/>
      <c r="P5218" s="4"/>
      <c r="Q5218" s="214"/>
    </row>
    <row r="5219" spans="1:17">
      <c r="A5219" s="175"/>
      <c r="B5219" s="175"/>
      <c r="P5219" s="4"/>
      <c r="Q5219" s="214"/>
    </row>
    <row r="5220" spans="1:17">
      <c r="A5220" s="175"/>
      <c r="B5220" s="175"/>
      <c r="P5220" s="4"/>
      <c r="Q5220" s="214"/>
    </row>
    <row r="5221" spans="1:17">
      <c r="A5221" s="175"/>
      <c r="B5221" s="175"/>
      <c r="P5221" s="4"/>
      <c r="Q5221" s="214"/>
    </row>
    <row r="5222" spans="1:17">
      <c r="A5222" s="175"/>
      <c r="B5222" s="175"/>
      <c r="P5222" s="4"/>
      <c r="Q5222" s="214"/>
    </row>
    <row r="5223" spans="1:17">
      <c r="A5223" s="175"/>
      <c r="B5223" s="175"/>
      <c r="P5223" s="4"/>
      <c r="Q5223" s="214"/>
    </row>
    <row r="5224" spans="1:17">
      <c r="A5224" s="175"/>
      <c r="B5224" s="175"/>
      <c r="P5224" s="4"/>
      <c r="Q5224" s="214"/>
    </row>
    <row r="5225" spans="1:17">
      <c r="A5225" s="175"/>
      <c r="B5225" s="175"/>
      <c r="P5225" s="4"/>
      <c r="Q5225" s="214"/>
    </row>
    <row r="5226" spans="1:17">
      <c r="A5226" s="175"/>
      <c r="B5226" s="175"/>
      <c r="P5226" s="4"/>
      <c r="Q5226" s="214"/>
    </row>
    <row r="5227" spans="1:17">
      <c r="A5227" s="175"/>
      <c r="B5227" s="175"/>
      <c r="P5227" s="4"/>
      <c r="Q5227" s="214"/>
    </row>
    <row r="5228" spans="1:17">
      <c r="A5228" s="175"/>
      <c r="B5228" s="175"/>
      <c r="P5228" s="4"/>
      <c r="Q5228" s="214"/>
    </row>
    <row r="5229" spans="1:17">
      <c r="A5229" s="175"/>
      <c r="B5229" s="175"/>
      <c r="P5229" s="4"/>
      <c r="Q5229" s="214"/>
    </row>
    <row r="5230" spans="1:17">
      <c r="A5230" s="175"/>
      <c r="B5230" s="175"/>
      <c r="P5230" s="4"/>
      <c r="Q5230" s="214"/>
    </row>
    <row r="5231" spans="1:17">
      <c r="A5231" s="175"/>
      <c r="B5231" s="175"/>
      <c r="P5231" s="4"/>
      <c r="Q5231" s="214"/>
    </row>
    <row r="5232" spans="1:17">
      <c r="A5232" s="175"/>
      <c r="B5232" s="175"/>
      <c r="P5232" s="4"/>
      <c r="Q5232" s="214"/>
    </row>
    <row r="5233" spans="1:17">
      <c r="A5233" s="175"/>
      <c r="B5233" s="175"/>
      <c r="P5233" s="4"/>
      <c r="Q5233" s="214"/>
    </row>
    <row r="5234" spans="1:17">
      <c r="A5234" s="175"/>
      <c r="B5234" s="175"/>
      <c r="P5234" s="4"/>
      <c r="Q5234" s="214"/>
    </row>
    <row r="5235" spans="1:17">
      <c r="A5235" s="175"/>
      <c r="B5235" s="175"/>
      <c r="P5235" s="4"/>
      <c r="Q5235" s="214"/>
    </row>
    <row r="5236" spans="1:17">
      <c r="A5236" s="175"/>
      <c r="B5236" s="175"/>
      <c r="P5236" s="4"/>
      <c r="Q5236" s="214"/>
    </row>
    <row r="5237" spans="1:17">
      <c r="A5237" s="175"/>
      <c r="B5237" s="175"/>
      <c r="P5237" s="4"/>
      <c r="Q5237" s="214"/>
    </row>
    <row r="5238" spans="1:17">
      <c r="A5238" s="175"/>
      <c r="B5238" s="175"/>
      <c r="P5238" s="4"/>
      <c r="Q5238" s="214"/>
    </row>
    <row r="5239" spans="1:17">
      <c r="A5239" s="175"/>
      <c r="B5239" s="175"/>
      <c r="P5239" s="4"/>
      <c r="Q5239" s="214"/>
    </row>
    <row r="5240" spans="1:17">
      <c r="A5240" s="175"/>
      <c r="B5240" s="175"/>
      <c r="P5240" s="4"/>
      <c r="Q5240" s="214"/>
    </row>
    <row r="5241" spans="1:17">
      <c r="A5241" s="175"/>
      <c r="B5241" s="175"/>
      <c r="P5241" s="4"/>
      <c r="Q5241" s="214"/>
    </row>
    <row r="5242" spans="1:17">
      <c r="A5242" s="175"/>
      <c r="B5242" s="175"/>
      <c r="P5242" s="4"/>
      <c r="Q5242" s="214"/>
    </row>
    <row r="5243" spans="1:17">
      <c r="A5243" s="175"/>
      <c r="B5243" s="175"/>
      <c r="P5243" s="4"/>
      <c r="Q5243" s="214"/>
    </row>
    <row r="5244" spans="1:17">
      <c r="A5244" s="175"/>
      <c r="B5244" s="175"/>
      <c r="P5244" s="4"/>
      <c r="Q5244" s="214"/>
    </row>
    <row r="5245" spans="1:17">
      <c r="A5245" s="175"/>
      <c r="B5245" s="175"/>
      <c r="P5245" s="4"/>
      <c r="Q5245" s="214"/>
    </row>
    <row r="5246" spans="1:17">
      <c r="A5246" s="175"/>
      <c r="B5246" s="175"/>
      <c r="P5246" s="4"/>
      <c r="Q5246" s="214"/>
    </row>
    <row r="5247" spans="1:17">
      <c r="A5247" s="175"/>
      <c r="B5247" s="175"/>
      <c r="P5247" s="4"/>
      <c r="Q5247" s="214"/>
    </row>
    <row r="5248" spans="1:17">
      <c r="A5248" s="175"/>
      <c r="B5248" s="175"/>
      <c r="P5248" s="4"/>
      <c r="Q5248" s="214"/>
    </row>
    <row r="5249" spans="1:17">
      <c r="A5249" s="175"/>
      <c r="B5249" s="175"/>
      <c r="P5249" s="4"/>
      <c r="Q5249" s="214"/>
    </row>
    <row r="5250" spans="1:17">
      <c r="A5250" s="175"/>
      <c r="B5250" s="175"/>
      <c r="P5250" s="4"/>
      <c r="Q5250" s="214"/>
    </row>
    <row r="5251" spans="1:17">
      <c r="A5251" s="175"/>
      <c r="B5251" s="175"/>
      <c r="P5251" s="4"/>
      <c r="Q5251" s="214"/>
    </row>
    <row r="5252" spans="1:17">
      <c r="A5252" s="175"/>
      <c r="B5252" s="175"/>
      <c r="P5252" s="4"/>
      <c r="Q5252" s="214"/>
    </row>
    <row r="5253" spans="1:17">
      <c r="A5253" s="175"/>
      <c r="B5253" s="175"/>
      <c r="P5253" s="4"/>
      <c r="Q5253" s="214"/>
    </row>
    <row r="5254" spans="1:17">
      <c r="A5254" s="175"/>
      <c r="B5254" s="175"/>
      <c r="P5254" s="4"/>
      <c r="Q5254" s="214"/>
    </row>
    <row r="5255" spans="1:17">
      <c r="A5255" s="175"/>
      <c r="B5255" s="175"/>
      <c r="P5255" s="4"/>
      <c r="Q5255" s="214"/>
    </row>
    <row r="5256" spans="1:17">
      <c r="A5256" s="175"/>
      <c r="B5256" s="175"/>
      <c r="P5256" s="4"/>
      <c r="Q5256" s="214"/>
    </row>
    <row r="5257" spans="1:17">
      <c r="A5257" s="175"/>
      <c r="B5257" s="175"/>
      <c r="P5257" s="4"/>
      <c r="Q5257" s="214"/>
    </row>
    <row r="5258" spans="1:17">
      <c r="A5258" s="175"/>
      <c r="B5258" s="175"/>
      <c r="P5258" s="4"/>
      <c r="Q5258" s="214"/>
    </row>
    <row r="5259" spans="1:17">
      <c r="A5259" s="175"/>
      <c r="B5259" s="175"/>
      <c r="P5259" s="4"/>
      <c r="Q5259" s="214"/>
    </row>
    <row r="5260" spans="1:17">
      <c r="A5260" s="175"/>
      <c r="B5260" s="175"/>
      <c r="P5260" s="4"/>
      <c r="Q5260" s="214"/>
    </row>
    <row r="5261" spans="1:17">
      <c r="A5261" s="175"/>
      <c r="B5261" s="175"/>
      <c r="P5261" s="4"/>
      <c r="Q5261" s="214"/>
    </row>
    <row r="5262" spans="1:17">
      <c r="A5262" s="175"/>
      <c r="B5262" s="175"/>
      <c r="P5262" s="4"/>
      <c r="Q5262" s="214"/>
    </row>
    <row r="5263" spans="1:17">
      <c r="A5263" s="175"/>
      <c r="B5263" s="175"/>
      <c r="P5263" s="4"/>
      <c r="Q5263" s="214"/>
    </row>
    <row r="5264" spans="1:17">
      <c r="A5264" s="175"/>
      <c r="B5264" s="175"/>
      <c r="P5264" s="4"/>
      <c r="Q5264" s="214"/>
    </row>
    <row r="5265" spans="1:17">
      <c r="A5265" s="175"/>
      <c r="B5265" s="175"/>
      <c r="P5265" s="4"/>
      <c r="Q5265" s="214"/>
    </row>
    <row r="5266" spans="1:17">
      <c r="A5266" s="175"/>
      <c r="B5266" s="175"/>
      <c r="P5266" s="4"/>
      <c r="Q5266" s="214"/>
    </row>
    <row r="5267" spans="1:17">
      <c r="A5267" s="175"/>
      <c r="B5267" s="175"/>
      <c r="P5267" s="4"/>
      <c r="Q5267" s="214"/>
    </row>
    <row r="5268" spans="1:17">
      <c r="A5268" s="175"/>
      <c r="B5268" s="175"/>
      <c r="P5268" s="4"/>
      <c r="Q5268" s="214"/>
    </row>
    <row r="5269" spans="1:17">
      <c r="A5269" s="175"/>
      <c r="B5269" s="175"/>
      <c r="P5269" s="4"/>
      <c r="Q5269" s="214"/>
    </row>
    <row r="5270" spans="1:17">
      <c r="A5270" s="175"/>
      <c r="B5270" s="175"/>
      <c r="P5270" s="4"/>
      <c r="Q5270" s="214"/>
    </row>
    <row r="5271" spans="1:17">
      <c r="A5271" s="175"/>
      <c r="B5271" s="175"/>
      <c r="P5271" s="4"/>
      <c r="Q5271" s="214"/>
    </row>
    <row r="5272" spans="1:17">
      <c r="A5272" s="175"/>
      <c r="B5272" s="175"/>
      <c r="P5272" s="4"/>
      <c r="Q5272" s="214"/>
    </row>
    <row r="5273" spans="1:17">
      <c r="A5273" s="175"/>
      <c r="B5273" s="175"/>
      <c r="P5273" s="4"/>
      <c r="Q5273" s="214"/>
    </row>
    <row r="5274" spans="1:17">
      <c r="A5274" s="175"/>
      <c r="B5274" s="175"/>
      <c r="P5274" s="4"/>
      <c r="Q5274" s="214"/>
    </row>
    <row r="5275" spans="1:17">
      <c r="A5275" s="175"/>
      <c r="B5275" s="175"/>
      <c r="P5275" s="4"/>
      <c r="Q5275" s="214"/>
    </row>
    <row r="5276" spans="1:17">
      <c r="A5276" s="175"/>
      <c r="B5276" s="175"/>
      <c r="P5276" s="4"/>
      <c r="Q5276" s="214"/>
    </row>
    <row r="5277" spans="1:17">
      <c r="A5277" s="175"/>
      <c r="B5277" s="175"/>
      <c r="P5277" s="4"/>
      <c r="Q5277" s="214"/>
    </row>
    <row r="5278" spans="1:17">
      <c r="A5278" s="175"/>
      <c r="B5278" s="175"/>
      <c r="P5278" s="4"/>
      <c r="Q5278" s="214"/>
    </row>
    <row r="5279" spans="1:17">
      <c r="A5279" s="175"/>
      <c r="B5279" s="175"/>
      <c r="P5279" s="4"/>
      <c r="Q5279" s="214"/>
    </row>
    <row r="5280" spans="1:17">
      <c r="A5280" s="175"/>
      <c r="B5280" s="175"/>
      <c r="P5280" s="4"/>
      <c r="Q5280" s="214"/>
    </row>
    <row r="5281" spans="1:17">
      <c r="A5281" s="175"/>
      <c r="B5281" s="175"/>
      <c r="P5281" s="4"/>
      <c r="Q5281" s="214"/>
    </row>
    <row r="5282" spans="1:17">
      <c r="A5282" s="175"/>
      <c r="B5282" s="175"/>
      <c r="P5282" s="4"/>
      <c r="Q5282" s="214"/>
    </row>
    <row r="5283" spans="1:17">
      <c r="A5283" s="175"/>
      <c r="B5283" s="175"/>
      <c r="P5283" s="4"/>
      <c r="Q5283" s="214"/>
    </row>
    <row r="5284" spans="1:17">
      <c r="A5284" s="175"/>
      <c r="B5284" s="175"/>
      <c r="P5284" s="4"/>
      <c r="Q5284" s="214"/>
    </row>
    <row r="5285" spans="1:17">
      <c r="A5285" s="175"/>
      <c r="B5285" s="175"/>
      <c r="P5285" s="4"/>
      <c r="Q5285" s="214"/>
    </row>
    <row r="5286" spans="1:17">
      <c r="A5286" s="175"/>
      <c r="B5286" s="175"/>
      <c r="P5286" s="4"/>
      <c r="Q5286" s="214"/>
    </row>
    <row r="5287" spans="1:17">
      <c r="A5287" s="175"/>
      <c r="B5287" s="175"/>
      <c r="P5287" s="4"/>
      <c r="Q5287" s="214"/>
    </row>
    <row r="5288" spans="1:17">
      <c r="A5288" s="175"/>
      <c r="B5288" s="175"/>
      <c r="P5288" s="4"/>
      <c r="Q5288" s="214"/>
    </row>
    <row r="5289" spans="1:17">
      <c r="A5289" s="175"/>
      <c r="B5289" s="175"/>
      <c r="P5289" s="4"/>
      <c r="Q5289" s="214"/>
    </row>
    <row r="5290" spans="1:17">
      <c r="A5290" s="175"/>
      <c r="B5290" s="175"/>
      <c r="P5290" s="4"/>
      <c r="Q5290" s="214"/>
    </row>
    <row r="5291" spans="1:17">
      <c r="A5291" s="175"/>
      <c r="B5291" s="175"/>
      <c r="P5291" s="4"/>
      <c r="Q5291" s="214"/>
    </row>
    <row r="5292" spans="1:17">
      <c r="A5292" s="175"/>
      <c r="B5292" s="175"/>
      <c r="P5292" s="4"/>
      <c r="Q5292" s="214"/>
    </row>
    <row r="5293" spans="1:17">
      <c r="A5293" s="175"/>
      <c r="B5293" s="175"/>
      <c r="P5293" s="4"/>
      <c r="Q5293" s="214"/>
    </row>
    <row r="5294" spans="1:17">
      <c r="A5294" s="175"/>
      <c r="B5294" s="175"/>
      <c r="P5294" s="4"/>
      <c r="Q5294" s="214"/>
    </row>
    <row r="5295" spans="1:17">
      <c r="A5295" s="175"/>
      <c r="B5295" s="175"/>
      <c r="P5295" s="4"/>
      <c r="Q5295" s="214"/>
    </row>
    <row r="5296" spans="1:17">
      <c r="A5296" s="175"/>
      <c r="B5296" s="175"/>
      <c r="P5296" s="4"/>
      <c r="Q5296" s="214"/>
    </row>
    <row r="5297" spans="1:17">
      <c r="A5297" s="175"/>
      <c r="B5297" s="175"/>
      <c r="P5297" s="4"/>
      <c r="Q5297" s="214"/>
    </row>
    <row r="5298" spans="1:17">
      <c r="A5298" s="175"/>
      <c r="B5298" s="175"/>
      <c r="P5298" s="4"/>
      <c r="Q5298" s="214"/>
    </row>
    <row r="5299" spans="1:17">
      <c r="A5299" s="175"/>
      <c r="B5299" s="175"/>
      <c r="P5299" s="4"/>
      <c r="Q5299" s="214"/>
    </row>
    <row r="5300" spans="1:17">
      <c r="A5300" s="175"/>
      <c r="B5300" s="175"/>
      <c r="P5300" s="4"/>
      <c r="Q5300" s="214"/>
    </row>
    <row r="5301" spans="1:17">
      <c r="A5301" s="175"/>
      <c r="B5301" s="175"/>
      <c r="P5301" s="4"/>
      <c r="Q5301" s="214"/>
    </row>
    <row r="5302" spans="1:17">
      <c r="A5302" s="175"/>
      <c r="B5302" s="175"/>
      <c r="P5302" s="4"/>
      <c r="Q5302" s="214"/>
    </row>
    <row r="5303" spans="1:17">
      <c r="A5303" s="175"/>
      <c r="B5303" s="175"/>
      <c r="P5303" s="4"/>
      <c r="Q5303" s="214"/>
    </row>
    <row r="5304" spans="1:17">
      <c r="A5304" s="175"/>
      <c r="B5304" s="175"/>
      <c r="P5304" s="4"/>
      <c r="Q5304" s="214"/>
    </row>
    <row r="5305" spans="1:17">
      <c r="A5305" s="175"/>
      <c r="B5305" s="175"/>
      <c r="P5305" s="4"/>
      <c r="Q5305" s="214"/>
    </row>
    <row r="5306" spans="1:17">
      <c r="A5306" s="175"/>
      <c r="B5306" s="175"/>
      <c r="P5306" s="4"/>
      <c r="Q5306" s="214"/>
    </row>
    <row r="5307" spans="1:17">
      <c r="A5307" s="175"/>
      <c r="B5307" s="175"/>
      <c r="P5307" s="4"/>
      <c r="Q5307" s="214"/>
    </row>
    <row r="5308" spans="1:17">
      <c r="A5308" s="175"/>
      <c r="B5308" s="175"/>
      <c r="P5308" s="4"/>
      <c r="Q5308" s="214"/>
    </row>
    <row r="5309" spans="1:17">
      <c r="A5309" s="175"/>
      <c r="B5309" s="175"/>
      <c r="P5309" s="4"/>
      <c r="Q5309" s="214"/>
    </row>
    <row r="5310" spans="1:17">
      <c r="A5310" s="175"/>
      <c r="B5310" s="175"/>
      <c r="P5310" s="4"/>
      <c r="Q5310" s="214"/>
    </row>
    <row r="5311" spans="1:17">
      <c r="A5311" s="175"/>
      <c r="B5311" s="175"/>
      <c r="P5311" s="4"/>
      <c r="Q5311" s="214"/>
    </row>
    <row r="5312" spans="1:17">
      <c r="A5312" s="175"/>
      <c r="B5312" s="175"/>
      <c r="P5312" s="4"/>
      <c r="Q5312" s="214"/>
    </row>
    <row r="5313" spans="1:17">
      <c r="A5313" s="175"/>
      <c r="B5313" s="175"/>
      <c r="P5313" s="4"/>
      <c r="Q5313" s="214"/>
    </row>
    <row r="5314" spans="1:17">
      <c r="A5314" s="175"/>
      <c r="B5314" s="175"/>
      <c r="P5314" s="4"/>
      <c r="Q5314" s="214"/>
    </row>
    <row r="5315" spans="1:17">
      <c r="A5315" s="175"/>
      <c r="B5315" s="175"/>
      <c r="P5315" s="4"/>
      <c r="Q5315" s="214"/>
    </row>
    <row r="5316" spans="1:17">
      <c r="A5316" s="175"/>
      <c r="B5316" s="175"/>
      <c r="P5316" s="4"/>
      <c r="Q5316" s="214"/>
    </row>
    <row r="5317" spans="1:17">
      <c r="A5317" s="175"/>
      <c r="B5317" s="175"/>
      <c r="P5317" s="4"/>
      <c r="Q5317" s="214"/>
    </row>
    <row r="5318" spans="1:17">
      <c r="A5318" s="175"/>
      <c r="B5318" s="175"/>
      <c r="P5318" s="4"/>
      <c r="Q5318" s="214"/>
    </row>
    <row r="5319" spans="1:17">
      <c r="A5319" s="175"/>
      <c r="B5319" s="175"/>
      <c r="P5319" s="4"/>
      <c r="Q5319" s="214"/>
    </row>
    <row r="5320" spans="1:17">
      <c r="A5320" s="175"/>
      <c r="B5320" s="175"/>
      <c r="P5320" s="4"/>
      <c r="Q5320" s="214"/>
    </row>
    <row r="5321" spans="1:17">
      <c r="A5321" s="175"/>
      <c r="B5321" s="175"/>
      <c r="P5321" s="4"/>
      <c r="Q5321" s="214"/>
    </row>
    <row r="5322" spans="1:17">
      <c r="A5322" s="175"/>
      <c r="B5322" s="175"/>
      <c r="P5322" s="4"/>
      <c r="Q5322" s="214"/>
    </row>
    <row r="5323" spans="1:17">
      <c r="A5323" s="175"/>
      <c r="B5323" s="175"/>
      <c r="P5323" s="4"/>
      <c r="Q5323" s="214"/>
    </row>
    <row r="5324" spans="1:17">
      <c r="A5324" s="175"/>
      <c r="B5324" s="175"/>
      <c r="P5324" s="4"/>
      <c r="Q5324" s="214"/>
    </row>
    <row r="5325" spans="1:17">
      <c r="A5325" s="175"/>
      <c r="B5325" s="175"/>
      <c r="P5325" s="4"/>
      <c r="Q5325" s="214"/>
    </row>
    <row r="5326" spans="1:17">
      <c r="A5326" s="175"/>
      <c r="B5326" s="175"/>
      <c r="P5326" s="4"/>
      <c r="Q5326" s="214"/>
    </row>
    <row r="5327" spans="1:17">
      <c r="A5327" s="175"/>
      <c r="B5327" s="175"/>
      <c r="P5327" s="4"/>
      <c r="Q5327" s="214"/>
    </row>
    <row r="5328" spans="1:17">
      <c r="A5328" s="175"/>
      <c r="B5328" s="175"/>
      <c r="P5328" s="4"/>
      <c r="Q5328" s="214"/>
    </row>
    <row r="5329" spans="1:17">
      <c r="A5329" s="175"/>
      <c r="B5329" s="175"/>
      <c r="P5329" s="4"/>
      <c r="Q5329" s="214"/>
    </row>
    <row r="5330" spans="1:17">
      <c r="A5330" s="175"/>
      <c r="B5330" s="175"/>
      <c r="P5330" s="4"/>
      <c r="Q5330" s="214"/>
    </row>
    <row r="5331" spans="1:17">
      <c r="A5331" s="175"/>
      <c r="B5331" s="175"/>
      <c r="P5331" s="4"/>
      <c r="Q5331" s="214"/>
    </row>
    <row r="5332" spans="1:17">
      <c r="A5332" s="175"/>
      <c r="B5332" s="175"/>
      <c r="P5332" s="4"/>
      <c r="Q5332" s="214"/>
    </row>
    <row r="5333" spans="1:17">
      <c r="A5333" s="175"/>
      <c r="B5333" s="175"/>
      <c r="P5333" s="4"/>
      <c r="Q5333" s="214"/>
    </row>
    <row r="5334" spans="1:17">
      <c r="A5334" s="175"/>
      <c r="B5334" s="175"/>
      <c r="P5334" s="4"/>
      <c r="Q5334" s="214"/>
    </row>
    <row r="5335" spans="1:17">
      <c r="A5335" s="175"/>
      <c r="B5335" s="175"/>
      <c r="P5335" s="4"/>
      <c r="Q5335" s="214"/>
    </row>
    <row r="5336" spans="1:17">
      <c r="A5336" s="175"/>
      <c r="B5336" s="175"/>
      <c r="P5336" s="4"/>
      <c r="Q5336" s="214"/>
    </row>
    <row r="5337" spans="1:17">
      <c r="A5337" s="175"/>
      <c r="B5337" s="175"/>
      <c r="P5337" s="4"/>
      <c r="Q5337" s="214"/>
    </row>
    <row r="5338" spans="1:17">
      <c r="A5338" s="175"/>
      <c r="B5338" s="175"/>
      <c r="P5338" s="4"/>
      <c r="Q5338" s="214"/>
    </row>
    <row r="5339" spans="1:17">
      <c r="A5339" s="175"/>
      <c r="B5339" s="175"/>
      <c r="P5339" s="4"/>
      <c r="Q5339" s="214"/>
    </row>
    <row r="5340" spans="1:17">
      <c r="A5340" s="175"/>
      <c r="B5340" s="175"/>
      <c r="P5340" s="4"/>
      <c r="Q5340" s="214"/>
    </row>
    <row r="5341" spans="1:17">
      <c r="A5341" s="175"/>
      <c r="B5341" s="175"/>
      <c r="P5341" s="4"/>
      <c r="Q5341" s="214"/>
    </row>
    <row r="5342" spans="1:17">
      <c r="A5342" s="175"/>
      <c r="B5342" s="175"/>
      <c r="P5342" s="4"/>
      <c r="Q5342" s="214"/>
    </row>
    <row r="5343" spans="1:17">
      <c r="A5343" s="175"/>
      <c r="B5343" s="175"/>
      <c r="P5343" s="4"/>
      <c r="Q5343" s="214"/>
    </row>
    <row r="5344" spans="1:17">
      <c r="A5344" s="175"/>
      <c r="B5344" s="175"/>
      <c r="P5344" s="4"/>
      <c r="Q5344" s="214"/>
    </row>
    <row r="5345" spans="1:17">
      <c r="A5345" s="175"/>
      <c r="B5345" s="175"/>
      <c r="P5345" s="4"/>
      <c r="Q5345" s="214"/>
    </row>
    <row r="5346" spans="1:17">
      <c r="A5346" s="175"/>
      <c r="B5346" s="175"/>
      <c r="P5346" s="4"/>
      <c r="Q5346" s="214"/>
    </row>
    <row r="5347" spans="1:17">
      <c r="A5347" s="175"/>
      <c r="B5347" s="175"/>
      <c r="P5347" s="4"/>
      <c r="Q5347" s="214"/>
    </row>
    <row r="5348" spans="1:17">
      <c r="A5348" s="175"/>
      <c r="B5348" s="175"/>
      <c r="P5348" s="4"/>
      <c r="Q5348" s="214"/>
    </row>
    <row r="5349" spans="1:17">
      <c r="A5349" s="175"/>
      <c r="B5349" s="175"/>
      <c r="P5349" s="4"/>
      <c r="Q5349" s="214"/>
    </row>
    <row r="5350" spans="1:17">
      <c r="A5350" s="175"/>
      <c r="B5350" s="175"/>
      <c r="P5350" s="4"/>
      <c r="Q5350" s="214"/>
    </row>
    <row r="5351" spans="1:17">
      <c r="A5351" s="175"/>
      <c r="B5351" s="175"/>
      <c r="P5351" s="4"/>
      <c r="Q5351" s="214"/>
    </row>
    <row r="5352" spans="1:17">
      <c r="A5352" s="175"/>
      <c r="B5352" s="175"/>
      <c r="P5352" s="4"/>
      <c r="Q5352" s="214"/>
    </row>
    <row r="5353" spans="1:17">
      <c r="A5353" s="175"/>
      <c r="B5353" s="175"/>
      <c r="P5353" s="4"/>
      <c r="Q5353" s="214"/>
    </row>
    <row r="5354" spans="1:17">
      <c r="A5354" s="175"/>
      <c r="B5354" s="175"/>
      <c r="P5354" s="4"/>
      <c r="Q5354" s="214"/>
    </row>
    <row r="5355" spans="1:17">
      <c r="A5355" s="175"/>
      <c r="B5355" s="175"/>
      <c r="P5355" s="4"/>
      <c r="Q5355" s="214"/>
    </row>
    <row r="5356" spans="1:17">
      <c r="A5356" s="175"/>
      <c r="B5356" s="175"/>
      <c r="P5356" s="4"/>
      <c r="Q5356" s="214"/>
    </row>
    <row r="5357" spans="1:17">
      <c r="A5357" s="175"/>
      <c r="B5357" s="175"/>
      <c r="P5357" s="4"/>
      <c r="Q5357" s="214"/>
    </row>
    <row r="5358" spans="1:17">
      <c r="A5358" s="175"/>
      <c r="B5358" s="175"/>
      <c r="P5358" s="4"/>
      <c r="Q5358" s="214"/>
    </row>
    <row r="5359" spans="1:17">
      <c r="A5359" s="175"/>
      <c r="B5359" s="175"/>
      <c r="P5359" s="4"/>
      <c r="Q5359" s="214"/>
    </row>
    <row r="5360" spans="1:17">
      <c r="A5360" s="175"/>
      <c r="B5360" s="175"/>
      <c r="P5360" s="4"/>
      <c r="Q5360" s="214"/>
    </row>
    <row r="5361" spans="1:17">
      <c r="A5361" s="175"/>
      <c r="B5361" s="175"/>
      <c r="P5361" s="4"/>
      <c r="Q5361" s="214"/>
    </row>
    <row r="5362" spans="1:17">
      <c r="A5362" s="175"/>
      <c r="B5362" s="175"/>
      <c r="P5362" s="4"/>
      <c r="Q5362" s="214"/>
    </row>
    <row r="5363" spans="1:17">
      <c r="A5363" s="175"/>
      <c r="B5363" s="175"/>
      <c r="P5363" s="4"/>
      <c r="Q5363" s="214"/>
    </row>
    <row r="5364" spans="1:17">
      <c r="A5364" s="175"/>
      <c r="B5364" s="175"/>
      <c r="P5364" s="4"/>
      <c r="Q5364" s="214"/>
    </row>
    <row r="5365" spans="1:17">
      <c r="A5365" s="175"/>
      <c r="B5365" s="175"/>
      <c r="P5365" s="4"/>
      <c r="Q5365" s="214"/>
    </row>
    <row r="5366" spans="1:17">
      <c r="A5366" s="175"/>
      <c r="B5366" s="175"/>
      <c r="P5366" s="4"/>
      <c r="Q5366" s="214"/>
    </row>
    <row r="5367" spans="1:17">
      <c r="A5367" s="175"/>
      <c r="B5367" s="175"/>
      <c r="P5367" s="4"/>
      <c r="Q5367" s="214"/>
    </row>
    <row r="5368" spans="1:17">
      <c r="A5368" s="175"/>
      <c r="B5368" s="175"/>
      <c r="P5368" s="4"/>
      <c r="Q5368" s="214"/>
    </row>
    <row r="5369" spans="1:17">
      <c r="A5369" s="175"/>
      <c r="B5369" s="175"/>
      <c r="P5369" s="4"/>
      <c r="Q5369" s="214"/>
    </row>
    <row r="5370" spans="1:17">
      <c r="A5370" s="175"/>
      <c r="B5370" s="175"/>
      <c r="P5370" s="4"/>
      <c r="Q5370" s="214"/>
    </row>
    <row r="5371" spans="1:17">
      <c r="A5371" s="175"/>
      <c r="B5371" s="175"/>
      <c r="P5371" s="4"/>
      <c r="Q5371" s="214"/>
    </row>
    <row r="5372" spans="1:17">
      <c r="A5372" s="175"/>
      <c r="B5372" s="175"/>
      <c r="P5372" s="4"/>
      <c r="Q5372" s="214"/>
    </row>
    <row r="5373" spans="1:17">
      <c r="A5373" s="175"/>
      <c r="B5373" s="175"/>
      <c r="P5373" s="4"/>
      <c r="Q5373" s="214"/>
    </row>
    <row r="5374" spans="1:17">
      <c r="A5374" s="175"/>
      <c r="B5374" s="175"/>
      <c r="P5374" s="4"/>
      <c r="Q5374" s="214"/>
    </row>
    <row r="5375" spans="1:17">
      <c r="A5375" s="175"/>
      <c r="B5375" s="175"/>
      <c r="P5375" s="4"/>
      <c r="Q5375" s="214"/>
    </row>
    <row r="5376" spans="1:17">
      <c r="A5376" s="175"/>
      <c r="B5376" s="175"/>
      <c r="P5376" s="4"/>
      <c r="Q5376" s="214"/>
    </row>
    <row r="5377" spans="1:17">
      <c r="A5377" s="175"/>
      <c r="B5377" s="175"/>
      <c r="P5377" s="4"/>
      <c r="Q5377" s="214"/>
    </row>
    <row r="5378" spans="1:17">
      <c r="A5378" s="175"/>
      <c r="B5378" s="175"/>
      <c r="P5378" s="4"/>
      <c r="Q5378" s="214"/>
    </row>
    <row r="5379" spans="1:17">
      <c r="A5379" s="175"/>
      <c r="B5379" s="175"/>
      <c r="P5379" s="4"/>
      <c r="Q5379" s="214"/>
    </row>
    <row r="5380" spans="1:17">
      <c r="A5380" s="175"/>
      <c r="B5380" s="175"/>
      <c r="P5380" s="4"/>
      <c r="Q5380" s="214"/>
    </row>
    <row r="5381" spans="1:17">
      <c r="A5381" s="175"/>
      <c r="B5381" s="175"/>
      <c r="P5381" s="4"/>
      <c r="Q5381" s="214"/>
    </row>
    <row r="5382" spans="1:17">
      <c r="A5382" s="175"/>
      <c r="B5382" s="175"/>
      <c r="P5382" s="4"/>
      <c r="Q5382" s="214"/>
    </row>
    <row r="5383" spans="1:17">
      <c r="A5383" s="175"/>
      <c r="B5383" s="175"/>
      <c r="P5383" s="4"/>
      <c r="Q5383" s="214"/>
    </row>
    <row r="5384" spans="1:17">
      <c r="A5384" s="175"/>
      <c r="B5384" s="175"/>
      <c r="P5384" s="4"/>
      <c r="Q5384" s="214"/>
    </row>
    <row r="5385" spans="1:17">
      <c r="A5385" s="175"/>
      <c r="B5385" s="175"/>
      <c r="P5385" s="4"/>
      <c r="Q5385" s="214"/>
    </row>
    <row r="5386" spans="1:17">
      <c r="A5386" s="175"/>
      <c r="B5386" s="175"/>
      <c r="P5386" s="4"/>
      <c r="Q5386" s="214"/>
    </row>
    <row r="5387" spans="1:17">
      <c r="A5387" s="175"/>
      <c r="B5387" s="175"/>
      <c r="P5387" s="4"/>
      <c r="Q5387" s="214"/>
    </row>
    <row r="5388" spans="1:17">
      <c r="A5388" s="175"/>
      <c r="B5388" s="175"/>
      <c r="P5388" s="4"/>
      <c r="Q5388" s="214"/>
    </row>
    <row r="5389" spans="1:17">
      <c r="A5389" s="175"/>
      <c r="B5389" s="175"/>
      <c r="P5389" s="4"/>
      <c r="Q5389" s="214"/>
    </row>
    <row r="5390" spans="1:17">
      <c r="A5390" s="175"/>
      <c r="B5390" s="175"/>
      <c r="P5390" s="4"/>
      <c r="Q5390" s="214"/>
    </row>
    <row r="5391" spans="1:17">
      <c r="A5391" s="175"/>
      <c r="B5391" s="175"/>
      <c r="P5391" s="4"/>
      <c r="Q5391" s="214"/>
    </row>
    <row r="5392" spans="1:17">
      <c r="A5392" s="175"/>
      <c r="B5392" s="175"/>
      <c r="P5392" s="4"/>
      <c r="Q5392" s="214"/>
    </row>
    <row r="5393" spans="1:17">
      <c r="A5393" s="175"/>
      <c r="B5393" s="175"/>
      <c r="P5393" s="4"/>
      <c r="Q5393" s="214"/>
    </row>
    <row r="5394" spans="1:17">
      <c r="A5394" s="175"/>
      <c r="B5394" s="175"/>
      <c r="P5394" s="4"/>
      <c r="Q5394" s="214"/>
    </row>
    <row r="5395" spans="1:17">
      <c r="A5395" s="175"/>
      <c r="B5395" s="175"/>
      <c r="P5395" s="4"/>
      <c r="Q5395" s="214"/>
    </row>
    <row r="5396" spans="1:17">
      <c r="A5396" s="175"/>
      <c r="B5396" s="175"/>
      <c r="P5396" s="4"/>
      <c r="Q5396" s="214"/>
    </row>
    <row r="5397" spans="1:17">
      <c r="A5397" s="175"/>
      <c r="B5397" s="175"/>
      <c r="P5397" s="4"/>
      <c r="Q5397" s="214"/>
    </row>
    <row r="5398" spans="1:17">
      <c r="A5398" s="175"/>
      <c r="B5398" s="175"/>
      <c r="P5398" s="4"/>
      <c r="Q5398" s="214"/>
    </row>
    <row r="5399" spans="1:17">
      <c r="A5399" s="175"/>
      <c r="B5399" s="175"/>
      <c r="P5399" s="4"/>
      <c r="Q5399" s="214"/>
    </row>
    <row r="5400" spans="1:17">
      <c r="A5400" s="175"/>
      <c r="B5400" s="175"/>
      <c r="P5400" s="4"/>
      <c r="Q5400" s="214"/>
    </row>
    <row r="5401" spans="1:17">
      <c r="A5401" s="175"/>
      <c r="B5401" s="175"/>
      <c r="P5401" s="4"/>
      <c r="Q5401" s="214"/>
    </row>
    <row r="5402" spans="1:17">
      <c r="A5402" s="175"/>
      <c r="B5402" s="175"/>
      <c r="P5402" s="4"/>
      <c r="Q5402" s="214"/>
    </row>
    <row r="5403" spans="1:17">
      <c r="A5403" s="175"/>
      <c r="B5403" s="175"/>
      <c r="P5403" s="4"/>
      <c r="Q5403" s="214"/>
    </row>
    <row r="5404" spans="1:17">
      <c r="A5404" s="175"/>
      <c r="B5404" s="175"/>
      <c r="P5404" s="4"/>
      <c r="Q5404" s="214"/>
    </row>
    <row r="5405" spans="1:17">
      <c r="A5405" s="175"/>
      <c r="B5405" s="175"/>
      <c r="P5405" s="4"/>
      <c r="Q5405" s="214"/>
    </row>
    <row r="5406" spans="1:17">
      <c r="A5406" s="175"/>
      <c r="B5406" s="175"/>
      <c r="P5406" s="4"/>
      <c r="Q5406" s="214"/>
    </row>
    <row r="5407" spans="1:17">
      <c r="A5407" s="175"/>
      <c r="B5407" s="175"/>
      <c r="P5407" s="4"/>
      <c r="Q5407" s="214"/>
    </row>
    <row r="5408" spans="1:17">
      <c r="A5408" s="175"/>
      <c r="B5408" s="175"/>
      <c r="P5408" s="4"/>
      <c r="Q5408" s="214"/>
    </row>
    <row r="5409" spans="1:17">
      <c r="A5409" s="175"/>
      <c r="B5409" s="175"/>
      <c r="P5409" s="4"/>
      <c r="Q5409" s="214"/>
    </row>
    <row r="5410" spans="1:17">
      <c r="A5410" s="175"/>
      <c r="B5410" s="175"/>
      <c r="P5410" s="4"/>
      <c r="Q5410" s="214"/>
    </row>
    <row r="5411" spans="1:17">
      <c r="A5411" s="175"/>
      <c r="B5411" s="175"/>
      <c r="P5411" s="4"/>
      <c r="Q5411" s="214"/>
    </row>
    <row r="5412" spans="1:17">
      <c r="A5412" s="175"/>
      <c r="B5412" s="175"/>
      <c r="P5412" s="4"/>
      <c r="Q5412" s="214"/>
    </row>
    <row r="5413" spans="1:17">
      <c r="A5413" s="175"/>
      <c r="B5413" s="175"/>
      <c r="P5413" s="4"/>
      <c r="Q5413" s="214"/>
    </row>
    <row r="5414" spans="1:17">
      <c r="A5414" s="175"/>
      <c r="B5414" s="175"/>
      <c r="P5414" s="4"/>
      <c r="Q5414" s="214"/>
    </row>
    <row r="5415" spans="1:17">
      <c r="A5415" s="175"/>
      <c r="B5415" s="175"/>
      <c r="P5415" s="4"/>
      <c r="Q5415" s="214"/>
    </row>
    <row r="5416" spans="1:17">
      <c r="A5416" s="175"/>
      <c r="B5416" s="175"/>
      <c r="P5416" s="4"/>
      <c r="Q5416" s="214"/>
    </row>
    <row r="5417" spans="1:17">
      <c r="A5417" s="175"/>
      <c r="B5417" s="175"/>
      <c r="P5417" s="4"/>
      <c r="Q5417" s="214"/>
    </row>
    <row r="5418" spans="1:17">
      <c r="A5418" s="175"/>
      <c r="B5418" s="175"/>
      <c r="P5418" s="4"/>
      <c r="Q5418" s="214"/>
    </row>
    <row r="5419" spans="1:17">
      <c r="A5419" s="175"/>
      <c r="B5419" s="175"/>
      <c r="P5419" s="4"/>
      <c r="Q5419" s="214"/>
    </row>
    <row r="5420" spans="1:17">
      <c r="A5420" s="175"/>
      <c r="B5420" s="175"/>
      <c r="P5420" s="4"/>
      <c r="Q5420" s="214"/>
    </row>
    <row r="5421" spans="1:17">
      <c r="A5421" s="175"/>
      <c r="B5421" s="175"/>
      <c r="P5421" s="4"/>
      <c r="Q5421" s="214"/>
    </row>
    <row r="5422" spans="1:17">
      <c r="A5422" s="175"/>
      <c r="B5422" s="175"/>
      <c r="P5422" s="4"/>
      <c r="Q5422" s="214"/>
    </row>
    <row r="5423" spans="1:17">
      <c r="A5423" s="175"/>
      <c r="B5423" s="175"/>
      <c r="P5423" s="4"/>
      <c r="Q5423" s="214"/>
    </row>
    <row r="5424" spans="1:17">
      <c r="A5424" s="175"/>
      <c r="B5424" s="175"/>
      <c r="P5424" s="4"/>
      <c r="Q5424" s="214"/>
    </row>
    <row r="5425" spans="1:17">
      <c r="A5425" s="175"/>
      <c r="B5425" s="175"/>
      <c r="P5425" s="4"/>
      <c r="Q5425" s="214"/>
    </row>
    <row r="5426" spans="1:17">
      <c r="A5426" s="175"/>
      <c r="B5426" s="175"/>
      <c r="P5426" s="4"/>
      <c r="Q5426" s="214"/>
    </row>
    <row r="5427" spans="1:17">
      <c r="A5427" s="175"/>
      <c r="B5427" s="175"/>
      <c r="P5427" s="4"/>
      <c r="Q5427" s="214"/>
    </row>
    <row r="5428" spans="1:17">
      <c r="A5428" s="175"/>
      <c r="B5428" s="175"/>
      <c r="P5428" s="4"/>
      <c r="Q5428" s="214"/>
    </row>
    <row r="5429" spans="1:17">
      <c r="A5429" s="175"/>
      <c r="B5429" s="175"/>
      <c r="P5429" s="4"/>
      <c r="Q5429" s="214"/>
    </row>
    <row r="5430" spans="1:17">
      <c r="A5430" s="175"/>
      <c r="B5430" s="175"/>
      <c r="P5430" s="4"/>
      <c r="Q5430" s="214"/>
    </row>
    <row r="5431" spans="1:17">
      <c r="A5431" s="175"/>
      <c r="B5431" s="175"/>
      <c r="P5431" s="4"/>
      <c r="Q5431" s="214"/>
    </row>
    <row r="5432" spans="1:17">
      <c r="A5432" s="175"/>
      <c r="B5432" s="175"/>
      <c r="P5432" s="4"/>
      <c r="Q5432" s="214"/>
    </row>
    <row r="5433" spans="1:17">
      <c r="A5433" s="175"/>
      <c r="B5433" s="175"/>
      <c r="P5433" s="4"/>
      <c r="Q5433" s="214"/>
    </row>
    <row r="5434" spans="1:17">
      <c r="A5434" s="175"/>
      <c r="B5434" s="175"/>
      <c r="P5434" s="4"/>
      <c r="Q5434" s="214"/>
    </row>
    <row r="5435" spans="1:17">
      <c r="A5435" s="175"/>
      <c r="B5435" s="175"/>
      <c r="P5435" s="4"/>
      <c r="Q5435" s="214"/>
    </row>
    <row r="5436" spans="1:17">
      <c r="A5436" s="175"/>
      <c r="B5436" s="175"/>
      <c r="P5436" s="4"/>
      <c r="Q5436" s="214"/>
    </row>
    <row r="5437" spans="1:17">
      <c r="A5437" s="175"/>
      <c r="B5437" s="175"/>
      <c r="P5437" s="4"/>
      <c r="Q5437" s="214"/>
    </row>
    <row r="5438" spans="1:17">
      <c r="A5438" s="175"/>
      <c r="B5438" s="175"/>
      <c r="P5438" s="4"/>
      <c r="Q5438" s="214"/>
    </row>
    <row r="5439" spans="1:17">
      <c r="A5439" s="175"/>
      <c r="B5439" s="175"/>
      <c r="P5439" s="4"/>
      <c r="Q5439" s="214"/>
    </row>
    <row r="5440" spans="1:17">
      <c r="A5440" s="175"/>
      <c r="B5440" s="175"/>
      <c r="P5440" s="4"/>
      <c r="Q5440" s="214"/>
    </row>
    <row r="5441" spans="1:17">
      <c r="A5441" s="175"/>
      <c r="B5441" s="175"/>
      <c r="P5441" s="4"/>
      <c r="Q5441" s="214"/>
    </row>
    <row r="5442" spans="1:17">
      <c r="A5442" s="175"/>
      <c r="B5442" s="175"/>
      <c r="P5442" s="4"/>
      <c r="Q5442" s="214"/>
    </row>
    <row r="5443" spans="1:17">
      <c r="A5443" s="175"/>
      <c r="B5443" s="175"/>
      <c r="P5443" s="4"/>
      <c r="Q5443" s="214"/>
    </row>
    <row r="5444" spans="1:17">
      <c r="A5444" s="175"/>
      <c r="B5444" s="175"/>
      <c r="P5444" s="4"/>
      <c r="Q5444" s="214"/>
    </row>
    <row r="5445" spans="1:17">
      <c r="A5445" s="175"/>
      <c r="B5445" s="175"/>
      <c r="P5445" s="4"/>
      <c r="Q5445" s="214"/>
    </row>
    <row r="5446" spans="1:17">
      <c r="A5446" s="175"/>
      <c r="B5446" s="175"/>
      <c r="P5446" s="4"/>
      <c r="Q5446" s="214"/>
    </row>
    <row r="5447" spans="1:17">
      <c r="A5447" s="175"/>
      <c r="B5447" s="175"/>
      <c r="P5447" s="4"/>
      <c r="Q5447" s="214"/>
    </row>
    <row r="5448" spans="1:17">
      <c r="A5448" s="175"/>
      <c r="B5448" s="175"/>
      <c r="P5448" s="4"/>
      <c r="Q5448" s="214"/>
    </row>
    <row r="5449" spans="1:17">
      <c r="A5449" s="175"/>
      <c r="B5449" s="175"/>
      <c r="P5449" s="4"/>
      <c r="Q5449" s="214"/>
    </row>
    <row r="5450" spans="1:17">
      <c r="A5450" s="175"/>
      <c r="B5450" s="175"/>
      <c r="P5450" s="4"/>
      <c r="Q5450" s="214"/>
    </row>
    <row r="5451" spans="1:17">
      <c r="A5451" s="175"/>
      <c r="B5451" s="175"/>
      <c r="P5451" s="4"/>
      <c r="Q5451" s="214"/>
    </row>
    <row r="5452" spans="1:17">
      <c r="A5452" s="175"/>
      <c r="B5452" s="175"/>
      <c r="P5452" s="4"/>
      <c r="Q5452" s="214"/>
    </row>
    <row r="5453" spans="1:17">
      <c r="A5453" s="175"/>
      <c r="B5453" s="175"/>
      <c r="P5453" s="4"/>
      <c r="Q5453" s="214"/>
    </row>
    <row r="5454" spans="1:17">
      <c r="A5454" s="175"/>
      <c r="B5454" s="175"/>
      <c r="P5454" s="4"/>
      <c r="Q5454" s="214"/>
    </row>
    <row r="5455" spans="1:17">
      <c r="A5455" s="175"/>
      <c r="B5455" s="175"/>
      <c r="P5455" s="4"/>
      <c r="Q5455" s="214"/>
    </row>
    <row r="5456" spans="1:17">
      <c r="A5456" s="175"/>
      <c r="B5456" s="175"/>
      <c r="P5456" s="4"/>
      <c r="Q5456" s="214"/>
    </row>
    <row r="5457" spans="1:17">
      <c r="A5457" s="175"/>
      <c r="B5457" s="175"/>
      <c r="P5457" s="4"/>
      <c r="Q5457" s="214"/>
    </row>
    <row r="5458" spans="1:17">
      <c r="A5458" s="175"/>
      <c r="B5458" s="175"/>
      <c r="P5458" s="4"/>
      <c r="Q5458" s="214"/>
    </row>
    <row r="5459" spans="1:17">
      <c r="A5459" s="175"/>
      <c r="B5459" s="175"/>
      <c r="P5459" s="4"/>
      <c r="Q5459" s="214"/>
    </row>
    <row r="5460" spans="1:17">
      <c r="A5460" s="175"/>
      <c r="B5460" s="175"/>
      <c r="P5460" s="4"/>
      <c r="Q5460" s="214"/>
    </row>
    <row r="5461" spans="1:17">
      <c r="A5461" s="175"/>
      <c r="B5461" s="175"/>
      <c r="P5461" s="4"/>
      <c r="Q5461" s="214"/>
    </row>
    <row r="5462" spans="1:17">
      <c r="A5462" s="175"/>
      <c r="B5462" s="175"/>
      <c r="P5462" s="4"/>
      <c r="Q5462" s="214"/>
    </row>
    <row r="5463" spans="1:17">
      <c r="A5463" s="175"/>
      <c r="B5463" s="175"/>
      <c r="P5463" s="4"/>
      <c r="Q5463" s="214"/>
    </row>
    <row r="5464" spans="1:17">
      <c r="A5464" s="175"/>
      <c r="B5464" s="175"/>
      <c r="P5464" s="4"/>
      <c r="Q5464" s="214"/>
    </row>
    <row r="5465" spans="1:17">
      <c r="A5465" s="175"/>
      <c r="B5465" s="175"/>
      <c r="P5465" s="4"/>
      <c r="Q5465" s="214"/>
    </row>
    <row r="5466" spans="1:17">
      <c r="A5466" s="175"/>
      <c r="B5466" s="175"/>
      <c r="P5466" s="4"/>
      <c r="Q5466" s="214"/>
    </row>
    <row r="5467" spans="1:17">
      <c r="A5467" s="175"/>
      <c r="B5467" s="175"/>
      <c r="P5467" s="4"/>
      <c r="Q5467" s="214"/>
    </row>
    <row r="5468" spans="1:17">
      <c r="A5468" s="175"/>
      <c r="B5468" s="175"/>
      <c r="P5468" s="4"/>
      <c r="Q5468" s="214"/>
    </row>
    <row r="5469" spans="1:17">
      <c r="A5469" s="175"/>
      <c r="B5469" s="175"/>
      <c r="P5469" s="4"/>
      <c r="Q5469" s="214"/>
    </row>
    <row r="5470" spans="1:17">
      <c r="A5470" s="175"/>
      <c r="B5470" s="175"/>
      <c r="P5470" s="4"/>
      <c r="Q5470" s="214"/>
    </row>
    <row r="5471" spans="1:17">
      <c r="A5471" s="175"/>
      <c r="B5471" s="175"/>
      <c r="P5471" s="4"/>
      <c r="Q5471" s="214"/>
    </row>
    <row r="5472" spans="1:17">
      <c r="A5472" s="175"/>
      <c r="B5472" s="175"/>
      <c r="P5472" s="4"/>
      <c r="Q5472" s="214"/>
    </row>
    <row r="5473" spans="1:17">
      <c r="A5473" s="175"/>
      <c r="B5473" s="175"/>
      <c r="P5473" s="4"/>
      <c r="Q5473" s="214"/>
    </row>
    <row r="5474" spans="1:17">
      <c r="A5474" s="175"/>
      <c r="B5474" s="175"/>
      <c r="P5474" s="4"/>
      <c r="Q5474" s="214"/>
    </row>
    <row r="5475" spans="1:17">
      <c r="A5475" s="175"/>
      <c r="B5475" s="175"/>
      <c r="P5475" s="4"/>
      <c r="Q5475" s="214"/>
    </row>
    <row r="5476" spans="1:17">
      <c r="A5476" s="175"/>
      <c r="B5476" s="175"/>
      <c r="P5476" s="4"/>
      <c r="Q5476" s="214"/>
    </row>
    <row r="5477" spans="1:17">
      <c r="A5477" s="175"/>
      <c r="B5477" s="175"/>
      <c r="P5477" s="4"/>
      <c r="Q5477" s="214"/>
    </row>
    <row r="5478" spans="1:17">
      <c r="A5478" s="175"/>
      <c r="B5478" s="175"/>
      <c r="P5478" s="4"/>
      <c r="Q5478" s="214"/>
    </row>
    <row r="5479" spans="1:17">
      <c r="A5479" s="175"/>
      <c r="B5479" s="175"/>
      <c r="P5479" s="4"/>
      <c r="Q5479" s="214"/>
    </row>
    <row r="5480" spans="1:17">
      <c r="A5480" s="175"/>
      <c r="B5480" s="175"/>
      <c r="P5480" s="4"/>
      <c r="Q5480" s="214"/>
    </row>
    <row r="5481" spans="1:17">
      <c r="A5481" s="175"/>
      <c r="B5481" s="175"/>
      <c r="P5481" s="4"/>
      <c r="Q5481" s="214"/>
    </row>
    <row r="5482" spans="1:17">
      <c r="A5482" s="175"/>
      <c r="B5482" s="175"/>
      <c r="P5482" s="4"/>
      <c r="Q5482" s="214"/>
    </row>
    <row r="5483" spans="1:17">
      <c r="A5483" s="175"/>
      <c r="B5483" s="175"/>
      <c r="P5483" s="4"/>
      <c r="Q5483" s="214"/>
    </row>
    <row r="5484" spans="1:17">
      <c r="A5484" s="175"/>
      <c r="B5484" s="175"/>
      <c r="P5484" s="4"/>
      <c r="Q5484" s="214"/>
    </row>
    <row r="5485" spans="1:17">
      <c r="A5485" s="175"/>
      <c r="B5485" s="175"/>
      <c r="P5485" s="4"/>
      <c r="Q5485" s="214"/>
    </row>
    <row r="5486" spans="1:17">
      <c r="A5486" s="175"/>
      <c r="B5486" s="175"/>
      <c r="P5486" s="4"/>
      <c r="Q5486" s="214"/>
    </row>
    <row r="5487" spans="1:17">
      <c r="A5487" s="175"/>
      <c r="B5487" s="175"/>
      <c r="P5487" s="4"/>
      <c r="Q5487" s="214"/>
    </row>
    <row r="5488" spans="1:17">
      <c r="A5488" s="175"/>
      <c r="B5488" s="175"/>
      <c r="P5488" s="4"/>
      <c r="Q5488" s="214"/>
    </row>
    <row r="5489" spans="1:17">
      <c r="A5489" s="175"/>
      <c r="B5489" s="175"/>
      <c r="P5489" s="4"/>
      <c r="Q5489" s="214"/>
    </row>
    <row r="5490" spans="1:17">
      <c r="A5490" s="175"/>
      <c r="B5490" s="175"/>
      <c r="P5490" s="4"/>
      <c r="Q5490" s="214"/>
    </row>
    <row r="5491" spans="1:17">
      <c r="A5491" s="175"/>
      <c r="B5491" s="175"/>
      <c r="P5491" s="4"/>
      <c r="Q5491" s="214"/>
    </row>
    <row r="5492" spans="1:17">
      <c r="A5492" s="175"/>
      <c r="B5492" s="175"/>
      <c r="P5492" s="4"/>
      <c r="Q5492" s="214"/>
    </row>
    <row r="5493" spans="1:17">
      <c r="A5493" s="175"/>
      <c r="B5493" s="175"/>
      <c r="P5493" s="4"/>
      <c r="Q5493" s="214"/>
    </row>
    <row r="5494" spans="1:17">
      <c r="A5494" s="175"/>
      <c r="B5494" s="175"/>
      <c r="P5494" s="4"/>
      <c r="Q5494" s="214"/>
    </row>
    <row r="5495" spans="1:17">
      <c r="A5495" s="175"/>
      <c r="B5495" s="175"/>
      <c r="P5495" s="4"/>
      <c r="Q5495" s="214"/>
    </row>
    <row r="5496" spans="1:17">
      <c r="A5496" s="175"/>
      <c r="B5496" s="175"/>
      <c r="P5496" s="4"/>
      <c r="Q5496" s="214"/>
    </row>
    <row r="5497" spans="1:17">
      <c r="A5497" s="175"/>
      <c r="B5497" s="175"/>
      <c r="P5497" s="4"/>
      <c r="Q5497" s="214"/>
    </row>
    <row r="5498" spans="1:17">
      <c r="A5498" s="175"/>
      <c r="B5498" s="175"/>
      <c r="P5498" s="4"/>
      <c r="Q5498" s="214"/>
    </row>
    <row r="5499" spans="1:17">
      <c r="A5499" s="175"/>
      <c r="B5499" s="175"/>
      <c r="P5499" s="4"/>
      <c r="Q5499" s="214"/>
    </row>
    <row r="5500" spans="1:17">
      <c r="A5500" s="175"/>
      <c r="B5500" s="175"/>
      <c r="P5500" s="4"/>
      <c r="Q5500" s="214"/>
    </row>
    <row r="5501" spans="1:17">
      <c r="A5501" s="175"/>
      <c r="B5501" s="175"/>
      <c r="P5501" s="4"/>
      <c r="Q5501" s="214"/>
    </row>
    <row r="5502" spans="1:17">
      <c r="A5502" s="175"/>
      <c r="B5502" s="175"/>
      <c r="P5502" s="4"/>
      <c r="Q5502" s="214"/>
    </row>
    <row r="5503" spans="1:17">
      <c r="A5503" s="175"/>
      <c r="B5503" s="175"/>
      <c r="P5503" s="4"/>
      <c r="Q5503" s="214"/>
    </row>
    <row r="5504" spans="1:17">
      <c r="A5504" s="175"/>
      <c r="B5504" s="175"/>
      <c r="P5504" s="4"/>
      <c r="Q5504" s="214"/>
    </row>
    <row r="5505" spans="1:17">
      <c r="A5505" s="175"/>
      <c r="B5505" s="175"/>
      <c r="P5505" s="4"/>
      <c r="Q5505" s="214"/>
    </row>
    <row r="5506" spans="1:17">
      <c r="A5506" s="175"/>
      <c r="B5506" s="175"/>
      <c r="P5506" s="4"/>
      <c r="Q5506" s="214"/>
    </row>
    <row r="5507" spans="1:17">
      <c r="A5507" s="175"/>
      <c r="B5507" s="175"/>
      <c r="P5507" s="4"/>
      <c r="Q5507" s="214"/>
    </row>
    <row r="5508" spans="1:17">
      <c r="A5508" s="175"/>
      <c r="B5508" s="175"/>
      <c r="P5508" s="4"/>
      <c r="Q5508" s="214"/>
    </row>
    <row r="5509" spans="1:17">
      <c r="A5509" s="175"/>
      <c r="B5509" s="175"/>
      <c r="P5509" s="4"/>
      <c r="Q5509" s="214"/>
    </row>
    <row r="5510" spans="1:17">
      <c r="A5510" s="175"/>
      <c r="B5510" s="175"/>
      <c r="P5510" s="4"/>
      <c r="Q5510" s="214"/>
    </row>
    <row r="5511" spans="1:17">
      <c r="A5511" s="175"/>
      <c r="B5511" s="175"/>
      <c r="P5511" s="4"/>
      <c r="Q5511" s="214"/>
    </row>
    <row r="5512" spans="1:17">
      <c r="A5512" s="175"/>
      <c r="B5512" s="175"/>
      <c r="P5512" s="4"/>
      <c r="Q5512" s="214"/>
    </row>
    <row r="5513" spans="1:17">
      <c r="A5513" s="175"/>
      <c r="B5513" s="175"/>
      <c r="P5513" s="4"/>
      <c r="Q5513" s="214"/>
    </row>
    <row r="5514" spans="1:17">
      <c r="A5514" s="175"/>
      <c r="B5514" s="175"/>
      <c r="P5514" s="4"/>
      <c r="Q5514" s="214"/>
    </row>
    <row r="5515" spans="1:17">
      <c r="A5515" s="175"/>
      <c r="B5515" s="175"/>
      <c r="P5515" s="4"/>
      <c r="Q5515" s="214"/>
    </row>
    <row r="5516" spans="1:17">
      <c r="A5516" s="175"/>
      <c r="B5516" s="175"/>
      <c r="P5516" s="4"/>
      <c r="Q5516" s="214"/>
    </row>
    <row r="5517" spans="1:17">
      <c r="A5517" s="175"/>
      <c r="B5517" s="175"/>
      <c r="P5517" s="4"/>
      <c r="Q5517" s="214"/>
    </row>
    <row r="5518" spans="1:17">
      <c r="A5518" s="175"/>
      <c r="B5518" s="175"/>
      <c r="P5518" s="4"/>
      <c r="Q5518" s="214"/>
    </row>
    <row r="5519" spans="1:17">
      <c r="A5519" s="175"/>
      <c r="B5519" s="175"/>
      <c r="P5519" s="4"/>
      <c r="Q5519" s="214"/>
    </row>
    <row r="5520" spans="1:17">
      <c r="A5520" s="175"/>
      <c r="B5520" s="175"/>
      <c r="P5520" s="4"/>
      <c r="Q5520" s="214"/>
    </row>
    <row r="5521" spans="1:17">
      <c r="A5521" s="175"/>
      <c r="B5521" s="175"/>
      <c r="P5521" s="4"/>
      <c r="Q5521" s="214"/>
    </row>
    <row r="5522" spans="1:17">
      <c r="A5522" s="175"/>
      <c r="B5522" s="175"/>
      <c r="P5522" s="4"/>
      <c r="Q5522" s="214"/>
    </row>
    <row r="5523" spans="1:17">
      <c r="A5523" s="175"/>
      <c r="B5523" s="175"/>
      <c r="P5523" s="4"/>
      <c r="Q5523" s="214"/>
    </row>
    <row r="5524" spans="1:17">
      <c r="A5524" s="175"/>
      <c r="B5524" s="175"/>
      <c r="P5524" s="4"/>
      <c r="Q5524" s="214"/>
    </row>
    <row r="5525" spans="1:17">
      <c r="A5525" s="175"/>
      <c r="B5525" s="175"/>
      <c r="P5525" s="4"/>
      <c r="Q5525" s="214"/>
    </row>
    <row r="5526" spans="1:17">
      <c r="A5526" s="175"/>
      <c r="B5526" s="175"/>
      <c r="P5526" s="4"/>
      <c r="Q5526" s="214"/>
    </row>
    <row r="5527" spans="1:17">
      <c r="A5527" s="175"/>
      <c r="B5527" s="175"/>
      <c r="P5527" s="4"/>
      <c r="Q5527" s="214"/>
    </row>
    <row r="5528" spans="1:17">
      <c r="A5528" s="175"/>
      <c r="B5528" s="175"/>
      <c r="P5528" s="4"/>
      <c r="Q5528" s="214"/>
    </row>
    <row r="5529" spans="1:17">
      <c r="A5529" s="175"/>
      <c r="B5529" s="175"/>
      <c r="P5529" s="4"/>
      <c r="Q5529" s="214"/>
    </row>
    <row r="5530" spans="1:17">
      <c r="A5530" s="175"/>
      <c r="B5530" s="175"/>
      <c r="P5530" s="4"/>
      <c r="Q5530" s="214"/>
    </row>
    <row r="5531" spans="1:17">
      <c r="A5531" s="175"/>
      <c r="B5531" s="175"/>
      <c r="P5531" s="4"/>
      <c r="Q5531" s="214"/>
    </row>
    <row r="5532" spans="1:17">
      <c r="A5532" s="175"/>
      <c r="B5532" s="175"/>
      <c r="P5532" s="4"/>
      <c r="Q5532" s="214"/>
    </row>
    <row r="5533" spans="1:17">
      <c r="A5533" s="175"/>
      <c r="B5533" s="175"/>
      <c r="P5533" s="4"/>
      <c r="Q5533" s="214"/>
    </row>
    <row r="5534" spans="1:17">
      <c r="A5534" s="175"/>
      <c r="B5534" s="175"/>
      <c r="P5534" s="4"/>
      <c r="Q5534" s="214"/>
    </row>
    <row r="5535" spans="1:17">
      <c r="A5535" s="175"/>
      <c r="B5535" s="175"/>
      <c r="P5535" s="4"/>
      <c r="Q5535" s="214"/>
    </row>
    <row r="5536" spans="1:17">
      <c r="A5536" s="175"/>
      <c r="B5536" s="175"/>
      <c r="P5536" s="4"/>
      <c r="Q5536" s="214"/>
    </row>
    <row r="5537" spans="1:17">
      <c r="A5537" s="175"/>
      <c r="B5537" s="175"/>
      <c r="P5537" s="4"/>
      <c r="Q5537" s="214"/>
    </row>
    <row r="5538" spans="1:17">
      <c r="A5538" s="175"/>
      <c r="B5538" s="175"/>
      <c r="P5538" s="4"/>
      <c r="Q5538" s="214"/>
    </row>
    <row r="5539" spans="1:17">
      <c r="A5539" s="175"/>
      <c r="B5539" s="175"/>
      <c r="P5539" s="4"/>
      <c r="Q5539" s="214"/>
    </row>
    <row r="5540" spans="1:17">
      <c r="A5540" s="175"/>
      <c r="B5540" s="175"/>
      <c r="P5540" s="4"/>
      <c r="Q5540" s="214"/>
    </row>
    <row r="5541" spans="1:17">
      <c r="A5541" s="175"/>
      <c r="B5541" s="175"/>
      <c r="P5541" s="4"/>
      <c r="Q5541" s="214"/>
    </row>
    <row r="5542" spans="1:17">
      <c r="A5542" s="175"/>
      <c r="B5542" s="175"/>
      <c r="P5542" s="4"/>
      <c r="Q5542" s="214"/>
    </row>
    <row r="5543" spans="1:17">
      <c r="A5543" s="175"/>
      <c r="B5543" s="175"/>
      <c r="P5543" s="4"/>
      <c r="Q5543" s="214"/>
    </row>
    <row r="5544" spans="1:17">
      <c r="A5544" s="175"/>
      <c r="B5544" s="175"/>
      <c r="P5544" s="4"/>
      <c r="Q5544" s="214"/>
    </row>
    <row r="5545" spans="1:17">
      <c r="A5545" s="175"/>
      <c r="B5545" s="175"/>
      <c r="P5545" s="4"/>
      <c r="Q5545" s="214"/>
    </row>
    <row r="5546" spans="1:17">
      <c r="A5546" s="175"/>
      <c r="B5546" s="175"/>
      <c r="P5546" s="4"/>
      <c r="Q5546" s="214"/>
    </row>
    <row r="5547" spans="1:17">
      <c r="A5547" s="175"/>
      <c r="B5547" s="175"/>
      <c r="P5547" s="4"/>
      <c r="Q5547" s="214"/>
    </row>
    <row r="5548" spans="1:17">
      <c r="A5548" s="175"/>
      <c r="B5548" s="175"/>
      <c r="P5548" s="4"/>
      <c r="Q5548" s="214"/>
    </row>
    <row r="5549" spans="1:17">
      <c r="A5549" s="175"/>
      <c r="B5549" s="175"/>
      <c r="P5549" s="4"/>
      <c r="Q5549" s="214"/>
    </row>
    <row r="5550" spans="1:17">
      <c r="A5550" s="175"/>
      <c r="B5550" s="175"/>
      <c r="P5550" s="4"/>
      <c r="Q5550" s="214"/>
    </row>
    <row r="5551" spans="1:17">
      <c r="A5551" s="175"/>
      <c r="B5551" s="175"/>
      <c r="P5551" s="4"/>
      <c r="Q5551" s="214"/>
    </row>
    <row r="5552" spans="1:17">
      <c r="A5552" s="175"/>
      <c r="B5552" s="175"/>
      <c r="P5552" s="4"/>
      <c r="Q5552" s="214"/>
    </row>
    <row r="5553" spans="1:17">
      <c r="A5553" s="175"/>
      <c r="B5553" s="175"/>
      <c r="P5553" s="4"/>
      <c r="Q5553" s="214"/>
    </row>
    <row r="5554" spans="1:17">
      <c r="A5554" s="175"/>
      <c r="B5554" s="175"/>
      <c r="P5554" s="4"/>
      <c r="Q5554" s="214"/>
    </row>
    <row r="5555" spans="1:17">
      <c r="A5555" s="175"/>
      <c r="B5555" s="175"/>
      <c r="P5555" s="4"/>
      <c r="Q5555" s="214"/>
    </row>
    <row r="5556" spans="1:17">
      <c r="A5556" s="175"/>
      <c r="B5556" s="175"/>
      <c r="P5556" s="4"/>
      <c r="Q5556" s="214"/>
    </row>
    <row r="5557" spans="1:17">
      <c r="A5557" s="175"/>
      <c r="B5557" s="175"/>
      <c r="P5557" s="4"/>
      <c r="Q5557" s="214"/>
    </row>
    <row r="5558" spans="1:17">
      <c r="A5558" s="175"/>
      <c r="B5558" s="175"/>
      <c r="P5558" s="4"/>
      <c r="Q5558" s="214"/>
    </row>
    <row r="5559" spans="1:17">
      <c r="A5559" s="175"/>
      <c r="B5559" s="175"/>
      <c r="P5559" s="4"/>
      <c r="Q5559" s="214"/>
    </row>
    <row r="5560" spans="1:17">
      <c r="A5560" s="175"/>
      <c r="B5560" s="175"/>
      <c r="P5560" s="4"/>
      <c r="Q5560" s="214"/>
    </row>
    <row r="5561" spans="1:17">
      <c r="A5561" s="175"/>
      <c r="B5561" s="175"/>
      <c r="P5561" s="4"/>
      <c r="Q5561" s="214"/>
    </row>
    <row r="5562" spans="1:17">
      <c r="A5562" s="175"/>
      <c r="B5562" s="175"/>
      <c r="P5562" s="4"/>
      <c r="Q5562" s="214"/>
    </row>
    <row r="5563" spans="1:17">
      <c r="A5563" s="175"/>
      <c r="B5563" s="175"/>
      <c r="P5563" s="4"/>
      <c r="Q5563" s="214"/>
    </row>
    <row r="5564" spans="1:17">
      <c r="A5564" s="175"/>
      <c r="B5564" s="175"/>
      <c r="P5564" s="4"/>
      <c r="Q5564" s="214"/>
    </row>
    <row r="5565" spans="1:17">
      <c r="A5565" s="175"/>
      <c r="B5565" s="175"/>
      <c r="P5565" s="4"/>
      <c r="Q5565" s="214"/>
    </row>
    <row r="5566" spans="1:17">
      <c r="A5566" s="175"/>
      <c r="B5566" s="175"/>
      <c r="P5566" s="4"/>
      <c r="Q5566" s="214"/>
    </row>
    <row r="5567" spans="1:17">
      <c r="A5567" s="175"/>
      <c r="B5567" s="175"/>
      <c r="P5567" s="4"/>
      <c r="Q5567" s="214"/>
    </row>
    <row r="5568" spans="1:17">
      <c r="A5568" s="175"/>
      <c r="B5568" s="175"/>
      <c r="P5568" s="4"/>
      <c r="Q5568" s="214"/>
    </row>
    <row r="5569" spans="1:17">
      <c r="A5569" s="175"/>
      <c r="B5569" s="175"/>
      <c r="P5569" s="4"/>
      <c r="Q5569" s="214"/>
    </row>
    <row r="5570" spans="1:17">
      <c r="A5570" s="175"/>
      <c r="B5570" s="175"/>
      <c r="P5570" s="4"/>
      <c r="Q5570" s="214"/>
    </row>
    <row r="5571" spans="1:17">
      <c r="A5571" s="175"/>
      <c r="B5571" s="175"/>
      <c r="P5571" s="4"/>
      <c r="Q5571" s="214"/>
    </row>
    <row r="5572" spans="1:17">
      <c r="A5572" s="175"/>
      <c r="B5572" s="175"/>
      <c r="P5572" s="4"/>
      <c r="Q5572" s="214"/>
    </row>
    <row r="5573" spans="1:17">
      <c r="A5573" s="175"/>
      <c r="B5573" s="175"/>
      <c r="P5573" s="4"/>
      <c r="Q5573" s="214"/>
    </row>
    <row r="5574" spans="1:17">
      <c r="A5574" s="175"/>
      <c r="B5574" s="175"/>
      <c r="P5574" s="4"/>
      <c r="Q5574" s="214"/>
    </row>
    <row r="5575" spans="1:17">
      <c r="A5575" s="175"/>
      <c r="B5575" s="175"/>
      <c r="P5575" s="4"/>
      <c r="Q5575" s="214"/>
    </row>
    <row r="5576" spans="1:17">
      <c r="A5576" s="175"/>
      <c r="B5576" s="175"/>
      <c r="P5576" s="4"/>
      <c r="Q5576" s="214"/>
    </row>
    <row r="5577" spans="1:17">
      <c r="A5577" s="175"/>
      <c r="B5577" s="175"/>
      <c r="P5577" s="4"/>
      <c r="Q5577" s="214"/>
    </row>
    <row r="5578" spans="1:17">
      <c r="A5578" s="175"/>
      <c r="B5578" s="175"/>
      <c r="P5578" s="4"/>
      <c r="Q5578" s="214"/>
    </row>
    <row r="5579" spans="1:17">
      <c r="A5579" s="175"/>
      <c r="B5579" s="175"/>
      <c r="P5579" s="4"/>
      <c r="Q5579" s="214"/>
    </row>
    <row r="5580" spans="1:17">
      <c r="A5580" s="175"/>
      <c r="B5580" s="175"/>
      <c r="P5580" s="4"/>
      <c r="Q5580" s="214"/>
    </row>
    <row r="5581" spans="1:17">
      <c r="A5581" s="175"/>
      <c r="B5581" s="175"/>
      <c r="P5581" s="4"/>
      <c r="Q5581" s="214"/>
    </row>
    <row r="5582" spans="1:17">
      <c r="A5582" s="175"/>
      <c r="B5582" s="175"/>
      <c r="P5582" s="4"/>
      <c r="Q5582" s="214"/>
    </row>
    <row r="5583" spans="1:17">
      <c r="A5583" s="175"/>
      <c r="B5583" s="175"/>
      <c r="P5583" s="4"/>
      <c r="Q5583" s="214"/>
    </row>
    <row r="5584" spans="1:17">
      <c r="A5584" s="175"/>
      <c r="B5584" s="175"/>
      <c r="P5584" s="4"/>
      <c r="Q5584" s="214"/>
    </row>
    <row r="5585" spans="1:17">
      <c r="A5585" s="175"/>
      <c r="B5585" s="175"/>
      <c r="P5585" s="4"/>
      <c r="Q5585" s="214"/>
    </row>
    <row r="5586" spans="1:17">
      <c r="A5586" s="175"/>
      <c r="B5586" s="175"/>
      <c r="P5586" s="4"/>
      <c r="Q5586" s="214"/>
    </row>
    <row r="5587" spans="1:17">
      <c r="A5587" s="175"/>
      <c r="B5587" s="175"/>
      <c r="P5587" s="4"/>
      <c r="Q5587" s="214"/>
    </row>
    <row r="5588" spans="1:17">
      <c r="A5588" s="175"/>
      <c r="B5588" s="175"/>
      <c r="P5588" s="4"/>
      <c r="Q5588" s="214"/>
    </row>
    <row r="5589" spans="1:17">
      <c r="A5589" s="175"/>
      <c r="B5589" s="175"/>
      <c r="P5589" s="4"/>
      <c r="Q5589" s="214"/>
    </row>
    <row r="5590" spans="1:17">
      <c r="A5590" s="175"/>
      <c r="B5590" s="175"/>
      <c r="P5590" s="4"/>
      <c r="Q5590" s="214"/>
    </row>
    <row r="5591" spans="1:17">
      <c r="A5591" s="175"/>
      <c r="B5591" s="175"/>
      <c r="P5591" s="4"/>
      <c r="Q5591" s="214"/>
    </row>
    <row r="5592" spans="1:17">
      <c r="A5592" s="175"/>
      <c r="B5592" s="175"/>
      <c r="P5592" s="4"/>
      <c r="Q5592" s="214"/>
    </row>
    <row r="5593" spans="1:17">
      <c r="A5593" s="175"/>
      <c r="B5593" s="175"/>
      <c r="P5593" s="4"/>
      <c r="Q5593" s="214"/>
    </row>
    <row r="5594" spans="1:17">
      <c r="A5594" s="175"/>
      <c r="B5594" s="175"/>
      <c r="P5594" s="4"/>
      <c r="Q5594" s="214"/>
    </row>
    <row r="5595" spans="1:17">
      <c r="A5595" s="175"/>
      <c r="B5595" s="175"/>
      <c r="P5595" s="4"/>
      <c r="Q5595" s="214"/>
    </row>
    <row r="5596" spans="1:17">
      <c r="A5596" s="175"/>
      <c r="B5596" s="175"/>
      <c r="P5596" s="4"/>
      <c r="Q5596" s="214"/>
    </row>
    <row r="5597" spans="1:17">
      <c r="A5597" s="175"/>
      <c r="B5597" s="175"/>
      <c r="P5597" s="4"/>
      <c r="Q5597" s="214"/>
    </row>
    <row r="5598" spans="1:17">
      <c r="A5598" s="175"/>
      <c r="B5598" s="175"/>
      <c r="P5598" s="4"/>
      <c r="Q5598" s="214"/>
    </row>
    <row r="5599" spans="1:17">
      <c r="A5599" s="175"/>
      <c r="B5599" s="175"/>
      <c r="P5599" s="4"/>
      <c r="Q5599" s="214"/>
    </row>
    <row r="5600" spans="1:17">
      <c r="A5600" s="175"/>
      <c r="B5600" s="175"/>
      <c r="P5600" s="4"/>
      <c r="Q5600" s="214"/>
    </row>
    <row r="5601" spans="1:17">
      <c r="A5601" s="175"/>
      <c r="B5601" s="175"/>
      <c r="P5601" s="4"/>
      <c r="Q5601" s="214"/>
    </row>
    <row r="5602" spans="1:17">
      <c r="A5602" s="175"/>
      <c r="B5602" s="175"/>
      <c r="P5602" s="4"/>
      <c r="Q5602" s="214"/>
    </row>
    <row r="5603" spans="1:17">
      <c r="A5603" s="175"/>
      <c r="B5603" s="175"/>
      <c r="P5603" s="4"/>
      <c r="Q5603" s="214"/>
    </row>
    <row r="5604" spans="1:17">
      <c r="A5604" s="175"/>
      <c r="B5604" s="175"/>
      <c r="P5604" s="4"/>
      <c r="Q5604" s="214"/>
    </row>
    <row r="5605" spans="1:17">
      <c r="A5605" s="175"/>
      <c r="B5605" s="175"/>
      <c r="P5605" s="4"/>
      <c r="Q5605" s="214"/>
    </row>
    <row r="5606" spans="1:17">
      <c r="A5606" s="175"/>
      <c r="B5606" s="175"/>
      <c r="P5606" s="4"/>
      <c r="Q5606" s="214"/>
    </row>
    <row r="5607" spans="1:17">
      <c r="A5607" s="175"/>
      <c r="B5607" s="175"/>
      <c r="P5607" s="4"/>
      <c r="Q5607" s="214"/>
    </row>
    <row r="5608" spans="1:17">
      <c r="A5608" s="175"/>
      <c r="B5608" s="175"/>
      <c r="P5608" s="4"/>
      <c r="Q5608" s="214"/>
    </row>
    <row r="5609" spans="1:17">
      <c r="A5609" s="175"/>
      <c r="B5609" s="175"/>
      <c r="P5609" s="4"/>
      <c r="Q5609" s="214"/>
    </row>
    <row r="5610" spans="1:17">
      <c r="A5610" s="175"/>
      <c r="B5610" s="175"/>
      <c r="P5610" s="4"/>
      <c r="Q5610" s="214"/>
    </row>
    <row r="5611" spans="1:17">
      <c r="A5611" s="175"/>
      <c r="B5611" s="175"/>
      <c r="P5611" s="4"/>
      <c r="Q5611" s="214"/>
    </row>
    <row r="5612" spans="1:17">
      <c r="A5612" s="175"/>
      <c r="B5612" s="175"/>
      <c r="P5612" s="4"/>
      <c r="Q5612" s="214"/>
    </row>
    <row r="5613" spans="1:17">
      <c r="A5613" s="175"/>
      <c r="B5613" s="175"/>
      <c r="P5613" s="4"/>
      <c r="Q5613" s="214"/>
    </row>
    <row r="5614" spans="1:17">
      <c r="A5614" s="175"/>
      <c r="B5614" s="175"/>
      <c r="P5614" s="4"/>
      <c r="Q5614" s="214"/>
    </row>
    <row r="5615" spans="1:17">
      <c r="A5615" s="175"/>
      <c r="B5615" s="175"/>
      <c r="P5615" s="4"/>
      <c r="Q5615" s="214"/>
    </row>
    <row r="5616" spans="1:17">
      <c r="A5616" s="175"/>
      <c r="B5616" s="175"/>
      <c r="P5616" s="4"/>
      <c r="Q5616" s="214"/>
    </row>
    <row r="5617" spans="1:17">
      <c r="A5617" s="175"/>
      <c r="B5617" s="175"/>
      <c r="P5617" s="4"/>
      <c r="Q5617" s="214"/>
    </row>
    <row r="5618" spans="1:17">
      <c r="A5618" s="175"/>
      <c r="B5618" s="175"/>
      <c r="P5618" s="4"/>
      <c r="Q5618" s="214"/>
    </row>
    <row r="5619" spans="1:17">
      <c r="A5619" s="175"/>
      <c r="B5619" s="175"/>
      <c r="P5619" s="4"/>
      <c r="Q5619" s="214"/>
    </row>
    <row r="5620" spans="1:17">
      <c r="A5620" s="175"/>
      <c r="B5620" s="175"/>
      <c r="P5620" s="4"/>
      <c r="Q5620" s="214"/>
    </row>
    <row r="5621" spans="1:17">
      <c r="A5621" s="175"/>
      <c r="B5621" s="175"/>
      <c r="P5621" s="4"/>
      <c r="Q5621" s="214"/>
    </row>
    <row r="5622" spans="1:17">
      <c r="A5622" s="175"/>
      <c r="B5622" s="175"/>
      <c r="P5622" s="4"/>
      <c r="Q5622" s="214"/>
    </row>
    <row r="5623" spans="1:17">
      <c r="A5623" s="175"/>
      <c r="B5623" s="175"/>
      <c r="P5623" s="4"/>
      <c r="Q5623" s="214"/>
    </row>
    <row r="5624" spans="1:17">
      <c r="A5624" s="175"/>
      <c r="B5624" s="175"/>
      <c r="P5624" s="4"/>
      <c r="Q5624" s="214"/>
    </row>
    <row r="5625" spans="1:17">
      <c r="A5625" s="175"/>
      <c r="B5625" s="175"/>
      <c r="P5625" s="4"/>
      <c r="Q5625" s="214"/>
    </row>
    <row r="5626" spans="1:17">
      <c r="A5626" s="175"/>
      <c r="B5626" s="175"/>
      <c r="P5626" s="4"/>
      <c r="Q5626" s="214"/>
    </row>
    <row r="5627" spans="1:17">
      <c r="A5627" s="175"/>
      <c r="B5627" s="175"/>
      <c r="P5627" s="4"/>
      <c r="Q5627" s="214"/>
    </row>
    <row r="5628" spans="1:17">
      <c r="A5628" s="175"/>
      <c r="B5628" s="175"/>
      <c r="P5628" s="4"/>
      <c r="Q5628" s="214"/>
    </row>
    <row r="5629" spans="1:17">
      <c r="A5629" s="175"/>
      <c r="B5629" s="175"/>
      <c r="P5629" s="4"/>
      <c r="Q5629" s="214"/>
    </row>
    <row r="5630" spans="1:17">
      <c r="A5630" s="175"/>
      <c r="B5630" s="175"/>
      <c r="P5630" s="4"/>
      <c r="Q5630" s="214"/>
    </row>
    <row r="5631" spans="1:17">
      <c r="A5631" s="175"/>
      <c r="B5631" s="175"/>
      <c r="P5631" s="4"/>
      <c r="Q5631" s="214"/>
    </row>
    <row r="5632" spans="1:17">
      <c r="A5632" s="175"/>
      <c r="B5632" s="175"/>
      <c r="P5632" s="4"/>
      <c r="Q5632" s="214"/>
    </row>
    <row r="5633" spans="1:17">
      <c r="A5633" s="175"/>
      <c r="B5633" s="175"/>
      <c r="P5633" s="4"/>
      <c r="Q5633" s="214"/>
    </row>
    <row r="5634" spans="1:17">
      <c r="A5634" s="175"/>
      <c r="B5634" s="175"/>
      <c r="P5634" s="4"/>
      <c r="Q5634" s="214"/>
    </row>
    <row r="5635" spans="1:17">
      <c r="A5635" s="175"/>
      <c r="B5635" s="175"/>
      <c r="P5635" s="4"/>
      <c r="Q5635" s="214"/>
    </row>
    <row r="5636" spans="1:17">
      <c r="A5636" s="175"/>
      <c r="B5636" s="175"/>
      <c r="P5636" s="4"/>
      <c r="Q5636" s="214"/>
    </row>
    <row r="5637" spans="1:17">
      <c r="A5637" s="175"/>
      <c r="B5637" s="175"/>
      <c r="P5637" s="4"/>
      <c r="Q5637" s="214"/>
    </row>
    <row r="5638" spans="1:17">
      <c r="A5638" s="175"/>
      <c r="B5638" s="175"/>
      <c r="P5638" s="4"/>
      <c r="Q5638" s="214"/>
    </row>
    <row r="5639" spans="1:17">
      <c r="A5639" s="175"/>
      <c r="B5639" s="175"/>
      <c r="P5639" s="4"/>
      <c r="Q5639" s="214"/>
    </row>
    <row r="5640" spans="1:17">
      <c r="A5640" s="175"/>
      <c r="B5640" s="175"/>
      <c r="P5640" s="4"/>
      <c r="Q5640" s="214"/>
    </row>
    <row r="5641" spans="1:17">
      <c r="A5641" s="175"/>
      <c r="B5641" s="175"/>
      <c r="P5641" s="4"/>
      <c r="Q5641" s="214"/>
    </row>
    <row r="5642" spans="1:17">
      <c r="A5642" s="175"/>
      <c r="B5642" s="175"/>
      <c r="P5642" s="4"/>
      <c r="Q5642" s="214"/>
    </row>
    <row r="5643" spans="1:17">
      <c r="A5643" s="175"/>
      <c r="B5643" s="175"/>
      <c r="P5643" s="4"/>
      <c r="Q5643" s="214"/>
    </row>
    <row r="5644" spans="1:17">
      <c r="A5644" s="175"/>
      <c r="B5644" s="175"/>
      <c r="P5644" s="4"/>
      <c r="Q5644" s="214"/>
    </row>
    <row r="5645" spans="1:17">
      <c r="A5645" s="175"/>
      <c r="B5645" s="175"/>
      <c r="P5645" s="4"/>
      <c r="Q5645" s="214"/>
    </row>
    <row r="5646" spans="1:17">
      <c r="A5646" s="175"/>
      <c r="B5646" s="175"/>
      <c r="P5646" s="4"/>
      <c r="Q5646" s="214"/>
    </row>
    <row r="5647" spans="1:17">
      <c r="A5647" s="175"/>
      <c r="B5647" s="175"/>
      <c r="P5647" s="4"/>
      <c r="Q5647" s="214"/>
    </row>
    <row r="5648" spans="1:17">
      <c r="A5648" s="175"/>
      <c r="B5648" s="175"/>
      <c r="P5648" s="4"/>
      <c r="Q5648" s="214"/>
    </row>
    <row r="5649" spans="1:17">
      <c r="A5649" s="175"/>
      <c r="B5649" s="175"/>
      <c r="P5649" s="4"/>
      <c r="Q5649" s="214"/>
    </row>
    <row r="5650" spans="1:17">
      <c r="A5650" s="175"/>
      <c r="B5650" s="175"/>
      <c r="P5650" s="4"/>
      <c r="Q5650" s="214"/>
    </row>
    <row r="5651" spans="1:17">
      <c r="A5651" s="175"/>
      <c r="B5651" s="175"/>
      <c r="P5651" s="4"/>
      <c r="Q5651" s="214"/>
    </row>
    <row r="5652" spans="1:17">
      <c r="A5652" s="175"/>
      <c r="B5652" s="175"/>
      <c r="P5652" s="4"/>
      <c r="Q5652" s="214"/>
    </row>
    <row r="5653" spans="1:17">
      <c r="A5653" s="175"/>
      <c r="B5653" s="175"/>
      <c r="P5653" s="4"/>
      <c r="Q5653" s="214"/>
    </row>
    <row r="5654" spans="1:17">
      <c r="A5654" s="175"/>
      <c r="B5654" s="175"/>
      <c r="P5654" s="4"/>
      <c r="Q5654" s="214"/>
    </row>
    <row r="5655" spans="1:17">
      <c r="A5655" s="175"/>
      <c r="B5655" s="175"/>
      <c r="P5655" s="4"/>
      <c r="Q5655" s="214"/>
    </row>
    <row r="5656" spans="1:17">
      <c r="A5656" s="175"/>
      <c r="B5656" s="175"/>
      <c r="P5656" s="4"/>
      <c r="Q5656" s="214"/>
    </row>
    <row r="5657" spans="1:17">
      <c r="A5657" s="175"/>
      <c r="B5657" s="175"/>
      <c r="P5657" s="4"/>
      <c r="Q5657" s="214"/>
    </row>
    <row r="5658" spans="1:17">
      <c r="A5658" s="175"/>
      <c r="B5658" s="175"/>
      <c r="P5658" s="4"/>
      <c r="Q5658" s="214"/>
    </row>
    <row r="5659" spans="1:17">
      <c r="A5659" s="175"/>
      <c r="B5659" s="175"/>
      <c r="P5659" s="4"/>
      <c r="Q5659" s="214"/>
    </row>
    <row r="5660" spans="1:17">
      <c r="A5660" s="175"/>
      <c r="B5660" s="175"/>
      <c r="P5660" s="4"/>
      <c r="Q5660" s="214"/>
    </row>
    <row r="5661" spans="1:17">
      <c r="A5661" s="175"/>
      <c r="B5661" s="175"/>
      <c r="P5661" s="4"/>
      <c r="Q5661" s="214"/>
    </row>
    <row r="5662" spans="1:17">
      <c r="A5662" s="175"/>
      <c r="B5662" s="175"/>
      <c r="P5662" s="4"/>
      <c r="Q5662" s="214"/>
    </row>
    <row r="5663" spans="1:17">
      <c r="A5663" s="175"/>
      <c r="B5663" s="175"/>
      <c r="P5663" s="4"/>
      <c r="Q5663" s="214"/>
    </row>
    <row r="5664" spans="1:17">
      <c r="A5664" s="175"/>
      <c r="B5664" s="175"/>
      <c r="P5664" s="4"/>
      <c r="Q5664" s="214"/>
    </row>
    <row r="5665" spans="1:17">
      <c r="A5665" s="175"/>
      <c r="B5665" s="175"/>
      <c r="P5665" s="4"/>
      <c r="Q5665" s="214"/>
    </row>
    <row r="5666" spans="1:17">
      <c r="A5666" s="175"/>
      <c r="B5666" s="175"/>
      <c r="P5666" s="4"/>
      <c r="Q5666" s="214"/>
    </row>
    <row r="5667" spans="1:17">
      <c r="A5667" s="175"/>
      <c r="B5667" s="175"/>
      <c r="P5667" s="4"/>
      <c r="Q5667" s="214"/>
    </row>
    <row r="5668" spans="1:17">
      <c r="A5668" s="175"/>
      <c r="B5668" s="175"/>
      <c r="P5668" s="4"/>
      <c r="Q5668" s="214"/>
    </row>
    <row r="5669" spans="1:17">
      <c r="A5669" s="175"/>
      <c r="B5669" s="175"/>
      <c r="P5669" s="4"/>
      <c r="Q5669" s="214"/>
    </row>
    <row r="5670" spans="1:17">
      <c r="A5670" s="175"/>
      <c r="B5670" s="175"/>
      <c r="P5670" s="4"/>
      <c r="Q5670" s="214"/>
    </row>
    <row r="5671" spans="1:17">
      <c r="A5671" s="175"/>
      <c r="B5671" s="175"/>
      <c r="P5671" s="4"/>
      <c r="Q5671" s="214"/>
    </row>
    <row r="5672" spans="1:17">
      <c r="A5672" s="175"/>
      <c r="B5672" s="175"/>
      <c r="P5672" s="4"/>
      <c r="Q5672" s="214"/>
    </row>
    <row r="5673" spans="1:17">
      <c r="A5673" s="175"/>
      <c r="B5673" s="175"/>
      <c r="P5673" s="4"/>
      <c r="Q5673" s="214"/>
    </row>
    <row r="5674" spans="1:17">
      <c r="A5674" s="175"/>
      <c r="B5674" s="175"/>
      <c r="P5674" s="4"/>
      <c r="Q5674" s="214"/>
    </row>
    <row r="5675" spans="1:17">
      <c r="A5675" s="175"/>
      <c r="B5675" s="175"/>
      <c r="P5675" s="4"/>
      <c r="Q5675" s="214"/>
    </row>
    <row r="5676" spans="1:17">
      <c r="A5676" s="175"/>
      <c r="B5676" s="175"/>
      <c r="P5676" s="4"/>
      <c r="Q5676" s="214"/>
    </row>
    <row r="5677" spans="1:17">
      <c r="A5677" s="175"/>
      <c r="B5677" s="175"/>
      <c r="P5677" s="4"/>
      <c r="Q5677" s="214"/>
    </row>
    <row r="5678" spans="1:17">
      <c r="A5678" s="175"/>
      <c r="B5678" s="175"/>
      <c r="P5678" s="4"/>
      <c r="Q5678" s="214"/>
    </row>
    <row r="5679" spans="1:17">
      <c r="A5679" s="175"/>
      <c r="B5679" s="175"/>
      <c r="P5679" s="4"/>
      <c r="Q5679" s="214"/>
    </row>
    <row r="5680" spans="1:17">
      <c r="A5680" s="175"/>
      <c r="B5680" s="175"/>
      <c r="P5680" s="4"/>
      <c r="Q5680" s="214"/>
    </row>
    <row r="5681" spans="1:17">
      <c r="A5681" s="175"/>
      <c r="B5681" s="175"/>
      <c r="P5681" s="4"/>
      <c r="Q5681" s="214"/>
    </row>
    <row r="5682" spans="1:17">
      <c r="A5682" s="175"/>
      <c r="B5682" s="175"/>
      <c r="P5682" s="4"/>
      <c r="Q5682" s="214"/>
    </row>
    <row r="5683" spans="1:17">
      <c r="A5683" s="175"/>
      <c r="B5683" s="175"/>
      <c r="P5683" s="4"/>
      <c r="Q5683" s="214"/>
    </row>
    <row r="5684" spans="1:17">
      <c r="A5684" s="175"/>
      <c r="B5684" s="175"/>
      <c r="P5684" s="4"/>
      <c r="Q5684" s="214"/>
    </row>
    <row r="5685" spans="1:17">
      <c r="A5685" s="175"/>
      <c r="B5685" s="175"/>
      <c r="P5685" s="4"/>
      <c r="Q5685" s="214"/>
    </row>
    <row r="5686" spans="1:17">
      <c r="A5686" s="175"/>
      <c r="B5686" s="175"/>
      <c r="P5686" s="4"/>
      <c r="Q5686" s="214"/>
    </row>
    <row r="5687" spans="1:17">
      <c r="A5687" s="175"/>
      <c r="B5687" s="175"/>
      <c r="P5687" s="4"/>
      <c r="Q5687" s="214"/>
    </row>
    <row r="5688" spans="1:17">
      <c r="A5688" s="175"/>
      <c r="B5688" s="175"/>
      <c r="P5688" s="4"/>
      <c r="Q5688" s="214"/>
    </row>
    <row r="5689" spans="1:17">
      <c r="A5689" s="175"/>
      <c r="B5689" s="175"/>
      <c r="P5689" s="4"/>
      <c r="Q5689" s="214"/>
    </row>
    <row r="5690" spans="1:17">
      <c r="A5690" s="175"/>
      <c r="B5690" s="175"/>
      <c r="P5690" s="4"/>
      <c r="Q5690" s="214"/>
    </row>
    <row r="5691" spans="1:17">
      <c r="A5691" s="175"/>
      <c r="B5691" s="175"/>
      <c r="P5691" s="4"/>
      <c r="Q5691" s="214"/>
    </row>
    <row r="5692" spans="1:17">
      <c r="A5692" s="175"/>
      <c r="B5692" s="175"/>
      <c r="P5692" s="4"/>
      <c r="Q5692" s="214"/>
    </row>
    <row r="5693" spans="1:17">
      <c r="A5693" s="175"/>
      <c r="B5693" s="175"/>
      <c r="P5693" s="4"/>
      <c r="Q5693" s="214"/>
    </row>
    <row r="5694" spans="1:17">
      <c r="A5694" s="175"/>
      <c r="B5694" s="175"/>
      <c r="P5694" s="4"/>
      <c r="Q5694" s="214"/>
    </row>
    <row r="5695" spans="1:17">
      <c r="A5695" s="175"/>
      <c r="B5695" s="175"/>
      <c r="P5695" s="4"/>
      <c r="Q5695" s="214"/>
    </row>
    <row r="5696" spans="1:17">
      <c r="A5696" s="175"/>
      <c r="B5696" s="175"/>
      <c r="P5696" s="4"/>
      <c r="Q5696" s="214"/>
    </row>
    <row r="5697" spans="1:17">
      <c r="A5697" s="175"/>
      <c r="B5697" s="175"/>
      <c r="P5697" s="4"/>
      <c r="Q5697" s="214"/>
    </row>
    <row r="5698" spans="1:17">
      <c r="A5698" s="175"/>
      <c r="B5698" s="175"/>
      <c r="P5698" s="4"/>
      <c r="Q5698" s="214"/>
    </row>
    <row r="5699" spans="1:17">
      <c r="A5699" s="175"/>
      <c r="B5699" s="175"/>
      <c r="P5699" s="4"/>
      <c r="Q5699" s="214"/>
    </row>
    <row r="5700" spans="1:17">
      <c r="A5700" s="175"/>
      <c r="B5700" s="175"/>
      <c r="P5700" s="4"/>
      <c r="Q5700" s="214"/>
    </row>
    <row r="5701" spans="1:17">
      <c r="A5701" s="175"/>
      <c r="B5701" s="175"/>
      <c r="P5701" s="4"/>
      <c r="Q5701" s="214"/>
    </row>
    <row r="5702" spans="1:17">
      <c r="A5702" s="175"/>
      <c r="B5702" s="175"/>
      <c r="P5702" s="4"/>
      <c r="Q5702" s="214"/>
    </row>
    <row r="5703" spans="1:17">
      <c r="A5703" s="175"/>
      <c r="B5703" s="175"/>
      <c r="P5703" s="4"/>
      <c r="Q5703" s="214"/>
    </row>
    <row r="5704" spans="1:17">
      <c r="A5704" s="175"/>
      <c r="B5704" s="175"/>
      <c r="P5704" s="4"/>
      <c r="Q5704" s="214"/>
    </row>
    <row r="5705" spans="1:17">
      <c r="A5705" s="175"/>
      <c r="B5705" s="175"/>
      <c r="P5705" s="4"/>
      <c r="Q5705" s="214"/>
    </row>
    <row r="5706" spans="1:17">
      <c r="A5706" s="175"/>
      <c r="B5706" s="175"/>
      <c r="P5706" s="4"/>
      <c r="Q5706" s="214"/>
    </row>
    <row r="5707" spans="1:17">
      <c r="A5707" s="175"/>
      <c r="B5707" s="175"/>
      <c r="P5707" s="4"/>
      <c r="Q5707" s="214"/>
    </row>
    <row r="5708" spans="1:17">
      <c r="A5708" s="175"/>
      <c r="B5708" s="175"/>
      <c r="P5708" s="4"/>
      <c r="Q5708" s="214"/>
    </row>
    <row r="5709" spans="1:17">
      <c r="A5709" s="175"/>
      <c r="B5709" s="175"/>
      <c r="P5709" s="4"/>
      <c r="Q5709" s="214"/>
    </row>
    <row r="5710" spans="1:17">
      <c r="A5710" s="175"/>
      <c r="B5710" s="175"/>
      <c r="P5710" s="4"/>
      <c r="Q5710" s="214"/>
    </row>
    <row r="5711" spans="1:17">
      <c r="A5711" s="175"/>
      <c r="B5711" s="175"/>
      <c r="P5711" s="4"/>
      <c r="Q5711" s="214"/>
    </row>
    <row r="5712" spans="1:17">
      <c r="A5712" s="175"/>
      <c r="B5712" s="175"/>
      <c r="P5712" s="4"/>
      <c r="Q5712" s="214"/>
    </row>
    <row r="5713" spans="1:17">
      <c r="A5713" s="175"/>
      <c r="B5713" s="175"/>
      <c r="P5713" s="4"/>
      <c r="Q5713" s="214"/>
    </row>
    <row r="5714" spans="1:17">
      <c r="A5714" s="175"/>
      <c r="B5714" s="175"/>
      <c r="P5714" s="4"/>
      <c r="Q5714" s="214"/>
    </row>
    <row r="5715" spans="1:17">
      <c r="A5715" s="175"/>
      <c r="B5715" s="175"/>
      <c r="P5715" s="4"/>
      <c r="Q5715" s="214"/>
    </row>
    <row r="5716" spans="1:17">
      <c r="A5716" s="175"/>
      <c r="B5716" s="175"/>
      <c r="P5716" s="4"/>
      <c r="Q5716" s="214"/>
    </row>
    <row r="5717" spans="1:17">
      <c r="A5717" s="175"/>
      <c r="B5717" s="175"/>
      <c r="P5717" s="4"/>
      <c r="Q5717" s="214"/>
    </row>
    <row r="5718" spans="1:17">
      <c r="A5718" s="175"/>
      <c r="B5718" s="175"/>
      <c r="P5718" s="4"/>
      <c r="Q5718" s="214"/>
    </row>
    <row r="5719" spans="1:17">
      <c r="A5719" s="175"/>
      <c r="B5719" s="175"/>
      <c r="P5719" s="4"/>
      <c r="Q5719" s="214"/>
    </row>
    <row r="5720" spans="1:17">
      <c r="A5720" s="175"/>
      <c r="B5720" s="175"/>
      <c r="P5720" s="4"/>
      <c r="Q5720" s="214"/>
    </row>
    <row r="5721" spans="1:17">
      <c r="A5721" s="175"/>
      <c r="B5721" s="175"/>
      <c r="P5721" s="4"/>
      <c r="Q5721" s="214"/>
    </row>
    <row r="5722" spans="1:17">
      <c r="A5722" s="175"/>
      <c r="B5722" s="175"/>
      <c r="P5722" s="4"/>
      <c r="Q5722" s="214"/>
    </row>
    <row r="5723" spans="1:17">
      <c r="A5723" s="175"/>
      <c r="B5723" s="175"/>
      <c r="P5723" s="4"/>
      <c r="Q5723" s="214"/>
    </row>
    <row r="5724" spans="1:17">
      <c r="A5724" s="175"/>
      <c r="B5724" s="175"/>
      <c r="P5724" s="4"/>
      <c r="Q5724" s="214"/>
    </row>
    <row r="5725" spans="1:17">
      <c r="A5725" s="175"/>
      <c r="B5725" s="175"/>
      <c r="P5725" s="4"/>
      <c r="Q5725" s="214"/>
    </row>
    <row r="5726" spans="1:17">
      <c r="A5726" s="175"/>
      <c r="B5726" s="175"/>
      <c r="P5726" s="4"/>
      <c r="Q5726" s="214"/>
    </row>
    <row r="5727" spans="1:17">
      <c r="A5727" s="175"/>
      <c r="B5727" s="175"/>
      <c r="P5727" s="4"/>
      <c r="Q5727" s="214"/>
    </row>
    <row r="5728" spans="1:17">
      <c r="A5728" s="175"/>
      <c r="B5728" s="175"/>
      <c r="P5728" s="4"/>
      <c r="Q5728" s="214"/>
    </row>
    <row r="5729" spans="1:17">
      <c r="A5729" s="175"/>
      <c r="B5729" s="175"/>
      <c r="P5729" s="4"/>
      <c r="Q5729" s="214"/>
    </row>
    <row r="5730" spans="1:17">
      <c r="A5730" s="175"/>
      <c r="B5730" s="175"/>
      <c r="P5730" s="4"/>
      <c r="Q5730" s="214"/>
    </row>
    <row r="5731" spans="1:17">
      <c r="A5731" s="175"/>
      <c r="B5731" s="175"/>
      <c r="P5731" s="4"/>
      <c r="Q5731" s="214"/>
    </row>
    <row r="5732" spans="1:17">
      <c r="A5732" s="175"/>
      <c r="B5732" s="175"/>
      <c r="P5732" s="4"/>
      <c r="Q5732" s="214"/>
    </row>
    <row r="5733" spans="1:17">
      <c r="A5733" s="175"/>
      <c r="B5733" s="175"/>
      <c r="P5733" s="4"/>
      <c r="Q5733" s="214"/>
    </row>
    <row r="5734" spans="1:17">
      <c r="A5734" s="175"/>
      <c r="B5734" s="175"/>
      <c r="P5734" s="4"/>
      <c r="Q5734" s="214"/>
    </row>
    <row r="5735" spans="1:17">
      <c r="A5735" s="175"/>
      <c r="B5735" s="175"/>
      <c r="P5735" s="4"/>
      <c r="Q5735" s="214"/>
    </row>
    <row r="5736" spans="1:17">
      <c r="A5736" s="175"/>
      <c r="B5736" s="175"/>
      <c r="P5736" s="4"/>
      <c r="Q5736" s="214"/>
    </row>
    <row r="5737" spans="1:17">
      <c r="A5737" s="175"/>
      <c r="B5737" s="175"/>
      <c r="P5737" s="4"/>
      <c r="Q5737" s="214"/>
    </row>
    <row r="5738" spans="1:17">
      <c r="A5738" s="175"/>
      <c r="B5738" s="175"/>
      <c r="P5738" s="4"/>
      <c r="Q5738" s="214"/>
    </row>
    <row r="5739" spans="1:17">
      <c r="A5739" s="175"/>
      <c r="B5739" s="175"/>
      <c r="P5739" s="4"/>
      <c r="Q5739" s="214"/>
    </row>
    <row r="5740" spans="1:17">
      <c r="A5740" s="175"/>
      <c r="B5740" s="175"/>
      <c r="P5740" s="4"/>
      <c r="Q5740" s="214"/>
    </row>
    <row r="5741" spans="1:17">
      <c r="A5741" s="175"/>
      <c r="B5741" s="175"/>
      <c r="P5741" s="4"/>
      <c r="Q5741" s="214"/>
    </row>
    <row r="5742" spans="1:17">
      <c r="A5742" s="175"/>
      <c r="B5742" s="175"/>
      <c r="P5742" s="4"/>
      <c r="Q5742" s="214"/>
    </row>
    <row r="5743" spans="1:17">
      <c r="A5743" s="175"/>
      <c r="B5743" s="175"/>
      <c r="P5743" s="4"/>
      <c r="Q5743" s="214"/>
    </row>
    <row r="5744" spans="1:17">
      <c r="A5744" s="175"/>
      <c r="B5744" s="175"/>
      <c r="P5744" s="4"/>
      <c r="Q5744" s="214"/>
    </row>
    <row r="5745" spans="1:17">
      <c r="A5745" s="175"/>
      <c r="B5745" s="175"/>
      <c r="P5745" s="4"/>
      <c r="Q5745" s="214"/>
    </row>
    <row r="5746" spans="1:17">
      <c r="A5746" s="175"/>
      <c r="B5746" s="175"/>
      <c r="P5746" s="4"/>
      <c r="Q5746" s="214"/>
    </row>
    <row r="5747" spans="1:17">
      <c r="A5747" s="175"/>
      <c r="B5747" s="175"/>
      <c r="P5747" s="4"/>
      <c r="Q5747" s="214"/>
    </row>
    <row r="5748" spans="1:17">
      <c r="A5748" s="175"/>
      <c r="B5748" s="175"/>
      <c r="P5748" s="4"/>
      <c r="Q5748" s="214"/>
    </row>
    <row r="5749" spans="1:17">
      <c r="A5749" s="175"/>
      <c r="B5749" s="175"/>
      <c r="P5749" s="4"/>
      <c r="Q5749" s="214"/>
    </row>
    <row r="5750" spans="1:17">
      <c r="A5750" s="175"/>
      <c r="B5750" s="175"/>
      <c r="P5750" s="4"/>
      <c r="Q5750" s="214"/>
    </row>
    <row r="5751" spans="1:17">
      <c r="A5751" s="175"/>
      <c r="B5751" s="175"/>
      <c r="P5751" s="4"/>
      <c r="Q5751" s="214"/>
    </row>
    <row r="5752" spans="1:17">
      <c r="A5752" s="175"/>
      <c r="B5752" s="175"/>
      <c r="P5752" s="4"/>
      <c r="Q5752" s="214"/>
    </row>
    <row r="5753" spans="1:17">
      <c r="A5753" s="175"/>
      <c r="B5753" s="175"/>
      <c r="P5753" s="4"/>
      <c r="Q5753" s="214"/>
    </row>
    <row r="5754" spans="1:17">
      <c r="A5754" s="175"/>
      <c r="B5754" s="175"/>
      <c r="P5754" s="4"/>
      <c r="Q5754" s="214"/>
    </row>
    <row r="5755" spans="1:17">
      <c r="A5755" s="175"/>
      <c r="B5755" s="175"/>
      <c r="P5755" s="4"/>
      <c r="Q5755" s="214"/>
    </row>
    <row r="5756" spans="1:17">
      <c r="A5756" s="175"/>
      <c r="B5756" s="175"/>
      <c r="P5756" s="4"/>
      <c r="Q5756" s="214"/>
    </row>
    <row r="5757" spans="1:17">
      <c r="A5757" s="175"/>
      <c r="B5757" s="175"/>
      <c r="P5757" s="4"/>
      <c r="Q5757" s="214"/>
    </row>
    <row r="5758" spans="1:17">
      <c r="A5758" s="175"/>
      <c r="B5758" s="175"/>
      <c r="P5758" s="4"/>
      <c r="Q5758" s="214"/>
    </row>
    <row r="5759" spans="1:17">
      <c r="A5759" s="175"/>
      <c r="B5759" s="175"/>
      <c r="P5759" s="4"/>
      <c r="Q5759" s="214"/>
    </row>
    <row r="5760" spans="1:17">
      <c r="A5760" s="175"/>
      <c r="B5760" s="175"/>
      <c r="P5760" s="4"/>
      <c r="Q5760" s="214"/>
    </row>
    <row r="5761" spans="1:17">
      <c r="A5761" s="175"/>
      <c r="B5761" s="175"/>
      <c r="P5761" s="4"/>
      <c r="Q5761" s="214"/>
    </row>
    <row r="5762" spans="1:17">
      <c r="A5762" s="175"/>
      <c r="B5762" s="175"/>
      <c r="P5762" s="4"/>
      <c r="Q5762" s="214"/>
    </row>
    <row r="5763" spans="1:17">
      <c r="A5763" s="175"/>
      <c r="B5763" s="175"/>
      <c r="P5763" s="4"/>
      <c r="Q5763" s="214"/>
    </row>
    <row r="5764" spans="1:17">
      <c r="A5764" s="175"/>
      <c r="B5764" s="175"/>
      <c r="P5764" s="4"/>
      <c r="Q5764" s="214"/>
    </row>
    <row r="5765" spans="1:17">
      <c r="A5765" s="175"/>
      <c r="B5765" s="175"/>
      <c r="P5765" s="4"/>
      <c r="Q5765" s="214"/>
    </row>
    <row r="5766" spans="1:17">
      <c r="A5766" s="175"/>
      <c r="B5766" s="175"/>
      <c r="P5766" s="4"/>
      <c r="Q5766" s="214"/>
    </row>
    <row r="5767" spans="1:17">
      <c r="A5767" s="175"/>
      <c r="B5767" s="175"/>
      <c r="P5767" s="4"/>
      <c r="Q5767" s="214"/>
    </row>
    <row r="5768" spans="1:17">
      <c r="A5768" s="175"/>
      <c r="B5768" s="175"/>
      <c r="P5768" s="4"/>
      <c r="Q5768" s="214"/>
    </row>
    <row r="5769" spans="1:17">
      <c r="A5769" s="175"/>
      <c r="B5769" s="175"/>
      <c r="P5769" s="4"/>
      <c r="Q5769" s="214"/>
    </row>
    <row r="5770" spans="1:17">
      <c r="A5770" s="175"/>
      <c r="B5770" s="175"/>
      <c r="P5770" s="4"/>
      <c r="Q5770" s="214"/>
    </row>
    <row r="5771" spans="1:17">
      <c r="A5771" s="175"/>
      <c r="B5771" s="175"/>
      <c r="P5771" s="4"/>
      <c r="Q5771" s="214"/>
    </row>
    <row r="5772" spans="1:17">
      <c r="A5772" s="175"/>
      <c r="B5772" s="175"/>
      <c r="P5772" s="4"/>
      <c r="Q5772" s="214"/>
    </row>
    <row r="5773" spans="1:17">
      <c r="A5773" s="175"/>
      <c r="B5773" s="175"/>
      <c r="P5773" s="4"/>
      <c r="Q5773" s="214"/>
    </row>
    <row r="5774" spans="1:17">
      <c r="A5774" s="175"/>
      <c r="B5774" s="175"/>
      <c r="P5774" s="4"/>
      <c r="Q5774" s="214"/>
    </row>
    <row r="5775" spans="1:17">
      <c r="A5775" s="175"/>
      <c r="B5775" s="175"/>
      <c r="P5775" s="4"/>
      <c r="Q5775" s="214"/>
    </row>
    <row r="5776" spans="1:17">
      <c r="A5776" s="175"/>
      <c r="B5776" s="175"/>
      <c r="P5776" s="4"/>
      <c r="Q5776" s="214"/>
    </row>
    <row r="5777" spans="1:17">
      <c r="A5777" s="175"/>
      <c r="B5777" s="175"/>
      <c r="P5777" s="4"/>
      <c r="Q5777" s="214"/>
    </row>
    <row r="5778" spans="1:17">
      <c r="A5778" s="175"/>
      <c r="B5778" s="175"/>
      <c r="P5778" s="4"/>
      <c r="Q5778" s="214"/>
    </row>
    <row r="5779" spans="1:17">
      <c r="A5779" s="175"/>
      <c r="B5779" s="175"/>
      <c r="P5779" s="4"/>
      <c r="Q5779" s="214"/>
    </row>
    <row r="5780" spans="1:17">
      <c r="A5780" s="175"/>
      <c r="B5780" s="175"/>
      <c r="P5780" s="4"/>
      <c r="Q5780" s="214"/>
    </row>
    <row r="5781" spans="1:17">
      <c r="A5781" s="175"/>
      <c r="B5781" s="175"/>
      <c r="P5781" s="4"/>
      <c r="Q5781" s="214"/>
    </row>
    <row r="5782" spans="1:17">
      <c r="A5782" s="175"/>
      <c r="B5782" s="175"/>
      <c r="P5782" s="4"/>
      <c r="Q5782" s="214"/>
    </row>
    <row r="5783" spans="1:17">
      <c r="A5783" s="175"/>
      <c r="B5783" s="175"/>
      <c r="P5783" s="4"/>
      <c r="Q5783" s="214"/>
    </row>
    <row r="5784" spans="1:17">
      <c r="A5784" s="175"/>
      <c r="B5784" s="175"/>
      <c r="P5784" s="4"/>
      <c r="Q5784" s="214"/>
    </row>
    <row r="5785" spans="1:17">
      <c r="A5785" s="175"/>
      <c r="B5785" s="175"/>
      <c r="P5785" s="4"/>
      <c r="Q5785" s="214"/>
    </row>
    <row r="5786" spans="1:17">
      <c r="A5786" s="175"/>
      <c r="B5786" s="175"/>
      <c r="P5786" s="4"/>
      <c r="Q5786" s="214"/>
    </row>
    <row r="5787" spans="1:17">
      <c r="A5787" s="175"/>
      <c r="B5787" s="175"/>
      <c r="P5787" s="4"/>
      <c r="Q5787" s="214"/>
    </row>
    <row r="5788" spans="1:17">
      <c r="A5788" s="175"/>
      <c r="B5788" s="175"/>
      <c r="P5788" s="4"/>
      <c r="Q5788" s="214"/>
    </row>
    <row r="5789" spans="1:17">
      <c r="A5789" s="175"/>
      <c r="B5789" s="175"/>
      <c r="P5789" s="4"/>
      <c r="Q5789" s="214"/>
    </row>
    <row r="5790" spans="1:17">
      <c r="A5790" s="175"/>
      <c r="B5790" s="175"/>
      <c r="P5790" s="4"/>
      <c r="Q5790" s="214"/>
    </row>
    <row r="5791" spans="1:17">
      <c r="A5791" s="175"/>
      <c r="B5791" s="175"/>
      <c r="P5791" s="4"/>
      <c r="Q5791" s="214"/>
    </row>
    <row r="5792" spans="1:17">
      <c r="A5792" s="175"/>
      <c r="B5792" s="175"/>
      <c r="P5792" s="4"/>
      <c r="Q5792" s="214"/>
    </row>
    <row r="5793" spans="1:17">
      <c r="A5793" s="175"/>
      <c r="B5793" s="175"/>
      <c r="P5793" s="4"/>
      <c r="Q5793" s="214"/>
    </row>
    <row r="5794" spans="1:17">
      <c r="A5794" s="175"/>
      <c r="B5794" s="175"/>
      <c r="P5794" s="4"/>
      <c r="Q5794" s="214"/>
    </row>
    <row r="5795" spans="1:17">
      <c r="A5795" s="175"/>
      <c r="B5795" s="175"/>
      <c r="P5795" s="4"/>
      <c r="Q5795" s="214"/>
    </row>
    <row r="5796" spans="1:17">
      <c r="A5796" s="175"/>
      <c r="B5796" s="175"/>
      <c r="P5796" s="4"/>
      <c r="Q5796" s="214"/>
    </row>
    <row r="5797" spans="1:17">
      <c r="A5797" s="175"/>
      <c r="B5797" s="175"/>
      <c r="P5797" s="4"/>
      <c r="Q5797" s="214"/>
    </row>
    <row r="5798" spans="1:17">
      <c r="A5798" s="175"/>
      <c r="B5798" s="175"/>
      <c r="P5798" s="4"/>
      <c r="Q5798" s="214"/>
    </row>
    <row r="5799" spans="1:17">
      <c r="A5799" s="175"/>
      <c r="B5799" s="175"/>
      <c r="P5799" s="4"/>
      <c r="Q5799" s="214"/>
    </row>
    <row r="5800" spans="1:17">
      <c r="A5800" s="175"/>
      <c r="B5800" s="175"/>
      <c r="P5800" s="4"/>
      <c r="Q5800" s="214"/>
    </row>
    <row r="5801" spans="1:17">
      <c r="A5801" s="175"/>
      <c r="B5801" s="175"/>
      <c r="P5801" s="4"/>
      <c r="Q5801" s="214"/>
    </row>
    <row r="5802" spans="1:17">
      <c r="A5802" s="175"/>
      <c r="B5802" s="175"/>
      <c r="P5802" s="4"/>
      <c r="Q5802" s="214"/>
    </row>
    <row r="5803" spans="1:17">
      <c r="A5803" s="175"/>
      <c r="B5803" s="175"/>
      <c r="P5803" s="4"/>
      <c r="Q5803" s="214"/>
    </row>
    <row r="5804" spans="1:17">
      <c r="A5804" s="175"/>
      <c r="B5804" s="175"/>
      <c r="P5804" s="4"/>
      <c r="Q5804" s="214"/>
    </row>
    <row r="5805" spans="1:17">
      <c r="A5805" s="175"/>
      <c r="B5805" s="175"/>
      <c r="P5805" s="4"/>
      <c r="Q5805" s="214"/>
    </row>
    <row r="5806" spans="1:17">
      <c r="A5806" s="175"/>
      <c r="B5806" s="175"/>
      <c r="P5806" s="4"/>
      <c r="Q5806" s="214"/>
    </row>
    <row r="5807" spans="1:17">
      <c r="A5807" s="175"/>
      <c r="B5807" s="175"/>
      <c r="P5807" s="4"/>
      <c r="Q5807" s="214"/>
    </row>
    <row r="5808" spans="1:17">
      <c r="A5808" s="175"/>
      <c r="B5808" s="175"/>
      <c r="P5808" s="4"/>
      <c r="Q5808" s="214"/>
    </row>
    <row r="5809" spans="1:17">
      <c r="A5809" s="175"/>
      <c r="B5809" s="175"/>
      <c r="P5809" s="4"/>
      <c r="Q5809" s="214"/>
    </row>
    <row r="5810" spans="1:17">
      <c r="A5810" s="175"/>
      <c r="B5810" s="175"/>
      <c r="P5810" s="4"/>
      <c r="Q5810" s="214"/>
    </row>
    <row r="5811" spans="1:17">
      <c r="A5811" s="175"/>
      <c r="B5811" s="175"/>
      <c r="P5811" s="4"/>
      <c r="Q5811" s="214"/>
    </row>
    <row r="5812" spans="1:17">
      <c r="A5812" s="175"/>
      <c r="B5812" s="175"/>
      <c r="P5812" s="4"/>
      <c r="Q5812" s="214"/>
    </row>
    <row r="5813" spans="1:17">
      <c r="A5813" s="175"/>
      <c r="B5813" s="175"/>
      <c r="P5813" s="4"/>
      <c r="Q5813" s="214"/>
    </row>
    <row r="5814" spans="1:17">
      <c r="A5814" s="175"/>
      <c r="B5814" s="175"/>
      <c r="P5814" s="4"/>
      <c r="Q5814" s="214"/>
    </row>
    <row r="5815" spans="1:17">
      <c r="A5815" s="175"/>
      <c r="B5815" s="175"/>
      <c r="P5815" s="4"/>
      <c r="Q5815" s="214"/>
    </row>
    <row r="5816" spans="1:17">
      <c r="A5816" s="175"/>
      <c r="B5816" s="175"/>
      <c r="P5816" s="4"/>
      <c r="Q5816" s="214"/>
    </row>
    <row r="5817" spans="1:17">
      <c r="A5817" s="175"/>
      <c r="B5817" s="175"/>
      <c r="P5817" s="4"/>
      <c r="Q5817" s="214"/>
    </row>
    <row r="5818" spans="1:17">
      <c r="A5818" s="175"/>
      <c r="B5818" s="175"/>
      <c r="P5818" s="4"/>
      <c r="Q5818" s="214"/>
    </row>
    <row r="5819" spans="1:17">
      <c r="A5819" s="175"/>
      <c r="B5819" s="175"/>
      <c r="P5819" s="4"/>
      <c r="Q5819" s="214"/>
    </row>
    <row r="5820" spans="1:17">
      <c r="A5820" s="175"/>
      <c r="B5820" s="175"/>
      <c r="P5820" s="4"/>
      <c r="Q5820" s="214"/>
    </row>
    <row r="5821" spans="1:17">
      <c r="A5821" s="175"/>
      <c r="B5821" s="175"/>
      <c r="P5821" s="4"/>
      <c r="Q5821" s="214"/>
    </row>
    <row r="5822" spans="1:17">
      <c r="A5822" s="175"/>
      <c r="B5822" s="175"/>
      <c r="P5822" s="4"/>
      <c r="Q5822" s="214"/>
    </row>
    <row r="5823" spans="1:17">
      <c r="A5823" s="175"/>
      <c r="B5823" s="175"/>
      <c r="P5823" s="4"/>
      <c r="Q5823" s="214"/>
    </row>
    <row r="5824" spans="1:17">
      <c r="A5824" s="175"/>
      <c r="B5824" s="175"/>
      <c r="P5824" s="4"/>
      <c r="Q5824" s="214"/>
    </row>
    <row r="5825" spans="1:17">
      <c r="A5825" s="175"/>
      <c r="B5825" s="175"/>
      <c r="P5825" s="4"/>
      <c r="Q5825" s="214"/>
    </row>
    <row r="5826" spans="1:17">
      <c r="A5826" s="175"/>
      <c r="B5826" s="175"/>
      <c r="P5826" s="4"/>
      <c r="Q5826" s="214"/>
    </row>
    <row r="5827" spans="1:17">
      <c r="A5827" s="175"/>
      <c r="B5827" s="175"/>
      <c r="P5827" s="4"/>
      <c r="Q5827" s="214"/>
    </row>
    <row r="5828" spans="1:17">
      <c r="A5828" s="175"/>
      <c r="B5828" s="175"/>
      <c r="P5828" s="4"/>
      <c r="Q5828" s="214"/>
    </row>
    <row r="5829" spans="1:17">
      <c r="A5829" s="175"/>
      <c r="B5829" s="175"/>
      <c r="P5829" s="4"/>
      <c r="Q5829" s="214"/>
    </row>
    <row r="5830" spans="1:17">
      <c r="A5830" s="175"/>
      <c r="B5830" s="175"/>
      <c r="P5830" s="4"/>
      <c r="Q5830" s="214"/>
    </row>
    <row r="5831" spans="1:17">
      <c r="A5831" s="175"/>
      <c r="B5831" s="175"/>
      <c r="P5831" s="4"/>
      <c r="Q5831" s="214"/>
    </row>
    <row r="5832" spans="1:17">
      <c r="A5832" s="175"/>
      <c r="B5832" s="175"/>
      <c r="P5832" s="4"/>
      <c r="Q5832" s="214"/>
    </row>
    <row r="5833" spans="1:17">
      <c r="A5833" s="175"/>
      <c r="B5833" s="175"/>
      <c r="P5833" s="4"/>
      <c r="Q5833" s="214"/>
    </row>
    <row r="5834" spans="1:17">
      <c r="A5834" s="175"/>
      <c r="B5834" s="175"/>
      <c r="P5834" s="4"/>
      <c r="Q5834" s="214"/>
    </row>
    <row r="5835" spans="1:17">
      <c r="A5835" s="175"/>
      <c r="B5835" s="175"/>
      <c r="P5835" s="4"/>
      <c r="Q5835" s="214"/>
    </row>
    <row r="5836" spans="1:17">
      <c r="A5836" s="175"/>
      <c r="B5836" s="175"/>
      <c r="P5836" s="4"/>
      <c r="Q5836" s="214"/>
    </row>
    <row r="5837" spans="1:17">
      <c r="A5837" s="175"/>
      <c r="B5837" s="175"/>
      <c r="P5837" s="4"/>
      <c r="Q5837" s="214"/>
    </row>
    <row r="5838" spans="1:17">
      <c r="A5838" s="175"/>
      <c r="B5838" s="175"/>
      <c r="P5838" s="4"/>
      <c r="Q5838" s="214"/>
    </row>
    <row r="5839" spans="1:17">
      <c r="A5839" s="175"/>
      <c r="B5839" s="175"/>
      <c r="P5839" s="4"/>
      <c r="Q5839" s="214"/>
    </row>
    <row r="5840" spans="1:17">
      <c r="A5840" s="175"/>
      <c r="B5840" s="175"/>
      <c r="P5840" s="4"/>
      <c r="Q5840" s="214"/>
    </row>
    <row r="5841" spans="1:17">
      <c r="A5841" s="175"/>
      <c r="B5841" s="175"/>
      <c r="P5841" s="4"/>
      <c r="Q5841" s="214"/>
    </row>
    <row r="5842" spans="1:17">
      <c r="A5842" s="175"/>
      <c r="B5842" s="175"/>
      <c r="P5842" s="4"/>
      <c r="Q5842" s="214"/>
    </row>
    <row r="5843" spans="1:17">
      <c r="A5843" s="175"/>
      <c r="B5843" s="175"/>
      <c r="P5843" s="4"/>
      <c r="Q5843" s="214"/>
    </row>
    <row r="5844" spans="1:17">
      <c r="A5844" s="175"/>
      <c r="B5844" s="175"/>
      <c r="P5844" s="4"/>
      <c r="Q5844" s="214"/>
    </row>
    <row r="5845" spans="1:17">
      <c r="A5845" s="175"/>
      <c r="B5845" s="175"/>
      <c r="P5845" s="4"/>
      <c r="Q5845" s="214"/>
    </row>
    <row r="5846" spans="1:17">
      <c r="A5846" s="175"/>
      <c r="B5846" s="175"/>
      <c r="P5846" s="4"/>
      <c r="Q5846" s="214"/>
    </row>
    <row r="5847" spans="1:17">
      <c r="A5847" s="175"/>
      <c r="B5847" s="175"/>
      <c r="P5847" s="4"/>
      <c r="Q5847" s="214"/>
    </row>
    <row r="5848" spans="1:17">
      <c r="A5848" s="175"/>
      <c r="B5848" s="175"/>
      <c r="P5848" s="4"/>
      <c r="Q5848" s="214"/>
    </row>
    <row r="5849" spans="1:17">
      <c r="A5849" s="175"/>
      <c r="B5849" s="175"/>
      <c r="P5849" s="4"/>
      <c r="Q5849" s="214"/>
    </row>
    <row r="5850" spans="1:17">
      <c r="A5850" s="175"/>
      <c r="B5850" s="175"/>
      <c r="P5850" s="4"/>
      <c r="Q5850" s="214"/>
    </row>
    <row r="5851" spans="1:17">
      <c r="A5851" s="175"/>
      <c r="B5851" s="175"/>
      <c r="P5851" s="4"/>
      <c r="Q5851" s="214"/>
    </row>
    <row r="5852" spans="1:17">
      <c r="A5852" s="175"/>
      <c r="B5852" s="175"/>
      <c r="P5852" s="4"/>
      <c r="Q5852" s="214"/>
    </row>
    <row r="5853" spans="1:17">
      <c r="A5853" s="175"/>
      <c r="B5853" s="175"/>
      <c r="P5853" s="4"/>
      <c r="Q5853" s="214"/>
    </row>
    <row r="5854" spans="1:17">
      <c r="A5854" s="175"/>
      <c r="B5854" s="175"/>
      <c r="P5854" s="4"/>
      <c r="Q5854" s="214"/>
    </row>
    <row r="5855" spans="1:17">
      <c r="A5855" s="175"/>
      <c r="B5855" s="175"/>
      <c r="P5855" s="4"/>
      <c r="Q5855" s="214"/>
    </row>
    <row r="5856" spans="1:17">
      <c r="A5856" s="175"/>
      <c r="B5856" s="175"/>
      <c r="P5856" s="4"/>
      <c r="Q5856" s="214"/>
    </row>
    <row r="5857" spans="1:17">
      <c r="A5857" s="175"/>
      <c r="B5857" s="175"/>
      <c r="P5857" s="4"/>
      <c r="Q5857" s="214"/>
    </row>
    <row r="5858" spans="1:17">
      <c r="A5858" s="175"/>
      <c r="B5858" s="175"/>
      <c r="P5858" s="4"/>
      <c r="Q5858" s="214"/>
    </row>
    <row r="5859" spans="1:17">
      <c r="A5859" s="175"/>
      <c r="B5859" s="175"/>
      <c r="P5859" s="4"/>
      <c r="Q5859" s="214"/>
    </row>
    <row r="5860" spans="1:17">
      <c r="A5860" s="175"/>
      <c r="B5860" s="175"/>
      <c r="P5860" s="4"/>
      <c r="Q5860" s="214"/>
    </row>
    <row r="5861" spans="1:17">
      <c r="A5861" s="175"/>
      <c r="B5861" s="175"/>
      <c r="P5861" s="4"/>
      <c r="Q5861" s="214"/>
    </row>
    <row r="5862" spans="1:17">
      <c r="A5862" s="175"/>
      <c r="B5862" s="175"/>
      <c r="P5862" s="4"/>
      <c r="Q5862" s="214"/>
    </row>
    <row r="5863" spans="1:17">
      <c r="A5863" s="175"/>
      <c r="B5863" s="175"/>
      <c r="P5863" s="4"/>
      <c r="Q5863" s="214"/>
    </row>
    <row r="5864" spans="1:17">
      <c r="A5864" s="175"/>
      <c r="B5864" s="175"/>
      <c r="P5864" s="4"/>
      <c r="Q5864" s="214"/>
    </row>
    <row r="5865" spans="1:17">
      <c r="A5865" s="175"/>
      <c r="B5865" s="175"/>
      <c r="P5865" s="4"/>
      <c r="Q5865" s="214"/>
    </row>
    <row r="5866" spans="1:17">
      <c r="A5866" s="175"/>
      <c r="B5866" s="175"/>
      <c r="P5866" s="4"/>
      <c r="Q5866" s="214"/>
    </row>
    <row r="5867" spans="1:17">
      <c r="A5867" s="175"/>
      <c r="B5867" s="175"/>
      <c r="P5867" s="4"/>
      <c r="Q5867" s="214"/>
    </row>
    <row r="5868" spans="1:17">
      <c r="A5868" s="175"/>
      <c r="B5868" s="175"/>
      <c r="P5868" s="4"/>
      <c r="Q5868" s="214"/>
    </row>
    <row r="5869" spans="1:17">
      <c r="A5869" s="175"/>
      <c r="B5869" s="175"/>
      <c r="P5869" s="4"/>
      <c r="Q5869" s="214"/>
    </row>
    <row r="5870" spans="1:17">
      <c r="A5870" s="175"/>
      <c r="B5870" s="175"/>
      <c r="P5870" s="4"/>
      <c r="Q5870" s="214"/>
    </row>
    <row r="5871" spans="1:17">
      <c r="A5871" s="175"/>
      <c r="B5871" s="175"/>
      <c r="P5871" s="4"/>
      <c r="Q5871" s="214"/>
    </row>
    <row r="5872" spans="1:17">
      <c r="A5872" s="175"/>
      <c r="B5872" s="175"/>
      <c r="P5872" s="4"/>
      <c r="Q5872" s="214"/>
    </row>
    <row r="5873" spans="1:17">
      <c r="A5873" s="175"/>
      <c r="B5873" s="175"/>
      <c r="P5873" s="4"/>
      <c r="Q5873" s="214"/>
    </row>
    <row r="5874" spans="1:17">
      <c r="A5874" s="175"/>
      <c r="B5874" s="175"/>
      <c r="P5874" s="4"/>
      <c r="Q5874" s="214"/>
    </row>
    <row r="5875" spans="1:17">
      <c r="A5875" s="175"/>
      <c r="B5875" s="175"/>
      <c r="P5875" s="4"/>
      <c r="Q5875" s="214"/>
    </row>
    <row r="5876" spans="1:17">
      <c r="A5876" s="175"/>
      <c r="B5876" s="175"/>
      <c r="P5876" s="4"/>
      <c r="Q5876" s="214"/>
    </row>
    <row r="5877" spans="1:17">
      <c r="A5877" s="175"/>
      <c r="B5877" s="175"/>
      <c r="P5877" s="4"/>
      <c r="Q5877" s="214"/>
    </row>
    <row r="5878" spans="1:17">
      <c r="A5878" s="175"/>
      <c r="B5878" s="175"/>
      <c r="P5878" s="4"/>
      <c r="Q5878" s="214"/>
    </row>
    <row r="5879" spans="1:17">
      <c r="A5879" s="175"/>
      <c r="B5879" s="175"/>
      <c r="P5879" s="4"/>
      <c r="Q5879" s="214"/>
    </row>
    <row r="5880" spans="1:17">
      <c r="A5880" s="175"/>
      <c r="B5880" s="175"/>
      <c r="P5880" s="4"/>
      <c r="Q5880" s="214"/>
    </row>
    <row r="5881" spans="1:17">
      <c r="A5881" s="175"/>
      <c r="B5881" s="175"/>
      <c r="P5881" s="4"/>
      <c r="Q5881" s="214"/>
    </row>
    <row r="5882" spans="1:17">
      <c r="A5882" s="175"/>
      <c r="B5882" s="175"/>
      <c r="P5882" s="4"/>
      <c r="Q5882" s="214"/>
    </row>
    <row r="5883" spans="1:17">
      <c r="A5883" s="175"/>
      <c r="B5883" s="175"/>
      <c r="P5883" s="4"/>
      <c r="Q5883" s="214"/>
    </row>
    <row r="5884" spans="1:17">
      <c r="A5884" s="175"/>
      <c r="B5884" s="175"/>
      <c r="P5884" s="4"/>
      <c r="Q5884" s="214"/>
    </row>
    <row r="5885" spans="1:17">
      <c r="A5885" s="175"/>
      <c r="B5885" s="175"/>
      <c r="P5885" s="4"/>
      <c r="Q5885" s="214"/>
    </row>
    <row r="5886" spans="1:17">
      <c r="A5886" s="175"/>
      <c r="B5886" s="175"/>
      <c r="P5886" s="4"/>
      <c r="Q5886" s="214"/>
    </row>
    <row r="5887" spans="1:17">
      <c r="A5887" s="175"/>
      <c r="B5887" s="175"/>
      <c r="P5887" s="4"/>
      <c r="Q5887" s="214"/>
    </row>
    <row r="5888" spans="1:17">
      <c r="A5888" s="175"/>
      <c r="B5888" s="175"/>
      <c r="P5888" s="4"/>
      <c r="Q5888" s="214"/>
    </row>
    <row r="5889" spans="1:17">
      <c r="A5889" s="175"/>
      <c r="B5889" s="175"/>
      <c r="P5889" s="4"/>
      <c r="Q5889" s="214"/>
    </row>
    <row r="5890" spans="1:17">
      <c r="A5890" s="175"/>
      <c r="B5890" s="175"/>
      <c r="P5890" s="4"/>
      <c r="Q5890" s="214"/>
    </row>
    <row r="5891" spans="1:17">
      <c r="A5891" s="175"/>
      <c r="B5891" s="175"/>
      <c r="P5891" s="4"/>
      <c r="Q5891" s="214"/>
    </row>
    <row r="5892" spans="1:17">
      <c r="A5892" s="175"/>
      <c r="B5892" s="175"/>
      <c r="P5892" s="4"/>
      <c r="Q5892" s="214"/>
    </row>
    <row r="5893" spans="1:17">
      <c r="A5893" s="175"/>
      <c r="B5893" s="175"/>
      <c r="P5893" s="4"/>
      <c r="Q5893" s="214"/>
    </row>
    <row r="5894" spans="1:17">
      <c r="A5894" s="175"/>
      <c r="B5894" s="175"/>
      <c r="P5894" s="4"/>
      <c r="Q5894" s="214"/>
    </row>
    <row r="5895" spans="1:17">
      <c r="A5895" s="175"/>
      <c r="B5895" s="175"/>
      <c r="P5895" s="4"/>
      <c r="Q5895" s="214"/>
    </row>
    <row r="5896" spans="1:17">
      <c r="A5896" s="175"/>
      <c r="B5896" s="175"/>
      <c r="P5896" s="4"/>
      <c r="Q5896" s="214"/>
    </row>
    <row r="5897" spans="1:17">
      <c r="A5897" s="175"/>
      <c r="B5897" s="175"/>
      <c r="P5897" s="4"/>
      <c r="Q5897" s="214"/>
    </row>
    <row r="5898" spans="1:17">
      <c r="A5898" s="175"/>
      <c r="B5898" s="175"/>
      <c r="P5898" s="4"/>
      <c r="Q5898" s="214"/>
    </row>
    <row r="5899" spans="1:17">
      <c r="A5899" s="175"/>
      <c r="B5899" s="175"/>
      <c r="P5899" s="4"/>
      <c r="Q5899" s="214"/>
    </row>
    <row r="5900" spans="1:17">
      <c r="A5900" s="175"/>
      <c r="B5900" s="175"/>
      <c r="P5900" s="4"/>
      <c r="Q5900" s="214"/>
    </row>
    <row r="5901" spans="1:17">
      <c r="A5901" s="175"/>
      <c r="B5901" s="175"/>
      <c r="P5901" s="4"/>
      <c r="Q5901" s="214"/>
    </row>
    <row r="5902" spans="1:17">
      <c r="A5902" s="175"/>
      <c r="B5902" s="175"/>
      <c r="P5902" s="4"/>
      <c r="Q5902" s="214"/>
    </row>
    <row r="5903" spans="1:17">
      <c r="A5903" s="175"/>
      <c r="B5903" s="175"/>
      <c r="P5903" s="4"/>
      <c r="Q5903" s="214"/>
    </row>
    <row r="5904" spans="1:17">
      <c r="A5904" s="175"/>
      <c r="B5904" s="175"/>
      <c r="P5904" s="4"/>
      <c r="Q5904" s="214"/>
    </row>
    <row r="5905" spans="1:17">
      <c r="A5905" s="175"/>
      <c r="B5905" s="175"/>
      <c r="P5905" s="4"/>
      <c r="Q5905" s="214"/>
    </row>
    <row r="5906" spans="1:17">
      <c r="A5906" s="175"/>
      <c r="B5906" s="175"/>
      <c r="P5906" s="4"/>
      <c r="Q5906" s="214"/>
    </row>
    <row r="5907" spans="1:17">
      <c r="A5907" s="175"/>
      <c r="B5907" s="175"/>
      <c r="P5907" s="4"/>
      <c r="Q5907" s="214"/>
    </row>
    <row r="5908" spans="1:17">
      <c r="A5908" s="175"/>
      <c r="B5908" s="175"/>
      <c r="P5908" s="4"/>
      <c r="Q5908" s="214"/>
    </row>
    <row r="5909" spans="1:17">
      <c r="A5909" s="175"/>
      <c r="B5909" s="175"/>
      <c r="P5909" s="4"/>
      <c r="Q5909" s="214"/>
    </row>
    <row r="5910" spans="1:17">
      <c r="A5910" s="175"/>
      <c r="B5910" s="175"/>
      <c r="P5910" s="4"/>
      <c r="Q5910" s="214"/>
    </row>
    <row r="5911" spans="1:17">
      <c r="A5911" s="175"/>
      <c r="B5911" s="175"/>
      <c r="P5911" s="4"/>
      <c r="Q5911" s="214"/>
    </row>
    <row r="5912" spans="1:17">
      <c r="A5912" s="175"/>
      <c r="B5912" s="175"/>
      <c r="P5912" s="4"/>
      <c r="Q5912" s="214"/>
    </row>
    <row r="5913" spans="1:17">
      <c r="A5913" s="175"/>
      <c r="B5913" s="175"/>
      <c r="P5913" s="4"/>
      <c r="Q5913" s="214"/>
    </row>
    <row r="5914" spans="1:17">
      <c r="A5914" s="175"/>
      <c r="B5914" s="175"/>
      <c r="P5914" s="4"/>
      <c r="Q5914" s="214"/>
    </row>
    <row r="5915" spans="1:17">
      <c r="A5915" s="175"/>
      <c r="B5915" s="175"/>
      <c r="P5915" s="4"/>
      <c r="Q5915" s="214"/>
    </row>
    <row r="5916" spans="1:17">
      <c r="A5916" s="175"/>
      <c r="B5916" s="175"/>
      <c r="P5916" s="4"/>
      <c r="Q5916" s="214"/>
    </row>
    <row r="5917" spans="1:17">
      <c r="A5917" s="175"/>
      <c r="B5917" s="175"/>
      <c r="P5917" s="4"/>
      <c r="Q5917" s="214"/>
    </row>
    <row r="5918" spans="1:17">
      <c r="A5918" s="175"/>
      <c r="B5918" s="175"/>
      <c r="P5918" s="4"/>
      <c r="Q5918" s="214"/>
    </row>
    <row r="5919" spans="1:17">
      <c r="A5919" s="175"/>
      <c r="B5919" s="175"/>
      <c r="P5919" s="4"/>
      <c r="Q5919" s="214"/>
    </row>
    <row r="5920" spans="1:17">
      <c r="A5920" s="175"/>
      <c r="B5920" s="175"/>
      <c r="P5920" s="4"/>
      <c r="Q5920" s="214"/>
    </row>
    <row r="5921" spans="1:17">
      <c r="A5921" s="175"/>
      <c r="B5921" s="175"/>
      <c r="P5921" s="4"/>
      <c r="Q5921" s="214"/>
    </row>
    <row r="5922" spans="1:17">
      <c r="A5922" s="175"/>
      <c r="B5922" s="175"/>
      <c r="P5922" s="4"/>
      <c r="Q5922" s="214"/>
    </row>
    <row r="5923" spans="1:17">
      <c r="A5923" s="175"/>
      <c r="B5923" s="175"/>
      <c r="P5923" s="4"/>
      <c r="Q5923" s="214"/>
    </row>
    <row r="5924" spans="1:17">
      <c r="A5924" s="175"/>
      <c r="B5924" s="175"/>
      <c r="P5924" s="4"/>
      <c r="Q5924" s="214"/>
    </row>
    <row r="5925" spans="1:17">
      <c r="A5925" s="175"/>
      <c r="B5925" s="175"/>
      <c r="P5925" s="4"/>
      <c r="Q5925" s="214"/>
    </row>
    <row r="5926" spans="1:17">
      <c r="A5926" s="175"/>
      <c r="B5926" s="175"/>
      <c r="P5926" s="4"/>
      <c r="Q5926" s="214"/>
    </row>
    <row r="5927" spans="1:17">
      <c r="A5927" s="175"/>
      <c r="B5927" s="175"/>
      <c r="P5927" s="4"/>
      <c r="Q5927" s="214"/>
    </row>
    <row r="5928" spans="1:17">
      <c r="A5928" s="175"/>
      <c r="B5928" s="175"/>
      <c r="P5928" s="4"/>
      <c r="Q5928" s="214"/>
    </row>
    <row r="5929" spans="1:17">
      <c r="A5929" s="175"/>
      <c r="B5929" s="175"/>
      <c r="P5929" s="4"/>
      <c r="Q5929" s="214"/>
    </row>
    <row r="5930" spans="1:17">
      <c r="A5930" s="175"/>
      <c r="B5930" s="175"/>
      <c r="P5930" s="4"/>
      <c r="Q5930" s="214"/>
    </row>
    <row r="5931" spans="1:17">
      <c r="A5931" s="175"/>
      <c r="B5931" s="175"/>
      <c r="P5931" s="4"/>
      <c r="Q5931" s="214"/>
    </row>
    <row r="5932" spans="1:17">
      <c r="A5932" s="175"/>
      <c r="B5932" s="175"/>
      <c r="P5932" s="4"/>
      <c r="Q5932" s="214"/>
    </row>
    <row r="5933" spans="1:17">
      <c r="A5933" s="175"/>
      <c r="B5933" s="175"/>
      <c r="P5933" s="4"/>
      <c r="Q5933" s="214"/>
    </row>
    <row r="5934" spans="1:17">
      <c r="A5934" s="175"/>
      <c r="B5934" s="175"/>
      <c r="P5934" s="4"/>
      <c r="Q5934" s="214"/>
    </row>
    <row r="5935" spans="1:17">
      <c r="A5935" s="175"/>
      <c r="B5935" s="175"/>
      <c r="P5935" s="4"/>
      <c r="Q5935" s="214"/>
    </row>
    <row r="5936" spans="1:17">
      <c r="A5936" s="175"/>
      <c r="B5936" s="175"/>
      <c r="P5936" s="4"/>
      <c r="Q5936" s="214"/>
    </row>
    <row r="5937" spans="1:17">
      <c r="A5937" s="175"/>
      <c r="B5937" s="175"/>
      <c r="P5937" s="4"/>
      <c r="Q5937" s="214"/>
    </row>
    <row r="5938" spans="1:17">
      <c r="A5938" s="175"/>
      <c r="B5938" s="175"/>
      <c r="P5938" s="4"/>
      <c r="Q5938" s="214"/>
    </row>
    <row r="5939" spans="1:17">
      <c r="A5939" s="175"/>
      <c r="B5939" s="175"/>
      <c r="P5939" s="4"/>
      <c r="Q5939" s="214"/>
    </row>
    <row r="5940" spans="1:17">
      <c r="A5940" s="175"/>
      <c r="B5940" s="175"/>
      <c r="P5940" s="4"/>
      <c r="Q5940" s="214"/>
    </row>
    <row r="5941" spans="1:17">
      <c r="A5941" s="175"/>
      <c r="B5941" s="175"/>
      <c r="P5941" s="4"/>
      <c r="Q5941" s="214"/>
    </row>
    <row r="5942" spans="1:17">
      <c r="A5942" s="175"/>
      <c r="B5942" s="175"/>
      <c r="P5942" s="4"/>
      <c r="Q5942" s="214"/>
    </row>
    <row r="5943" spans="1:17">
      <c r="A5943" s="175"/>
      <c r="B5943" s="175"/>
      <c r="P5943" s="4"/>
      <c r="Q5943" s="214"/>
    </row>
    <row r="5944" spans="1:17">
      <c r="A5944" s="175"/>
      <c r="B5944" s="175"/>
      <c r="P5944" s="4"/>
      <c r="Q5944" s="214"/>
    </row>
    <row r="5945" spans="1:17">
      <c r="A5945" s="175"/>
      <c r="B5945" s="175"/>
      <c r="P5945" s="4"/>
      <c r="Q5945" s="214"/>
    </row>
    <row r="5946" spans="1:17">
      <c r="A5946" s="175"/>
      <c r="B5946" s="175"/>
      <c r="P5946" s="4"/>
      <c r="Q5946" s="214"/>
    </row>
    <row r="5947" spans="1:17">
      <c r="A5947" s="175"/>
      <c r="B5947" s="175"/>
      <c r="P5947" s="4"/>
      <c r="Q5947" s="214"/>
    </row>
    <row r="5948" spans="1:17">
      <c r="A5948" s="175"/>
      <c r="B5948" s="175"/>
      <c r="P5948" s="4"/>
      <c r="Q5948" s="214"/>
    </row>
    <row r="5949" spans="1:17">
      <c r="A5949" s="175"/>
      <c r="B5949" s="175"/>
      <c r="P5949" s="4"/>
      <c r="Q5949" s="214"/>
    </row>
    <row r="5950" spans="1:17">
      <c r="A5950" s="175"/>
      <c r="B5950" s="175"/>
      <c r="P5950" s="4"/>
      <c r="Q5950" s="214"/>
    </row>
    <row r="5951" spans="1:17">
      <c r="A5951" s="175"/>
      <c r="B5951" s="175"/>
      <c r="P5951" s="4"/>
      <c r="Q5951" s="214"/>
    </row>
    <row r="5952" spans="1:17">
      <c r="A5952" s="175"/>
      <c r="B5952" s="175"/>
      <c r="P5952" s="4"/>
      <c r="Q5952" s="214"/>
    </row>
    <row r="5953" spans="1:17">
      <c r="A5953" s="175"/>
      <c r="B5953" s="175"/>
      <c r="P5953" s="4"/>
      <c r="Q5953" s="214"/>
    </row>
    <row r="5954" spans="1:17">
      <c r="A5954" s="175"/>
      <c r="B5954" s="175"/>
      <c r="P5954" s="4"/>
      <c r="Q5954" s="214"/>
    </row>
    <row r="5955" spans="1:17">
      <c r="A5955" s="175"/>
      <c r="B5955" s="175"/>
      <c r="P5955" s="4"/>
      <c r="Q5955" s="214"/>
    </row>
    <row r="5956" spans="1:17">
      <c r="A5956" s="175"/>
      <c r="B5956" s="175"/>
      <c r="P5956" s="4"/>
      <c r="Q5956" s="214"/>
    </row>
    <row r="5957" spans="1:17">
      <c r="A5957" s="175"/>
      <c r="B5957" s="175"/>
      <c r="P5957" s="4"/>
      <c r="Q5957" s="214"/>
    </row>
    <row r="5958" spans="1:17">
      <c r="A5958" s="175"/>
      <c r="B5958" s="175"/>
      <c r="P5958" s="4"/>
      <c r="Q5958" s="214"/>
    </row>
    <row r="5959" spans="1:17">
      <c r="A5959" s="175"/>
      <c r="B5959" s="175"/>
      <c r="P5959" s="4"/>
      <c r="Q5959" s="214"/>
    </row>
    <row r="5960" spans="1:17">
      <c r="A5960" s="175"/>
      <c r="B5960" s="175"/>
      <c r="P5960" s="4"/>
      <c r="Q5960" s="214"/>
    </row>
    <row r="5961" spans="1:17">
      <c r="A5961" s="175"/>
      <c r="B5961" s="175"/>
      <c r="P5961" s="4"/>
      <c r="Q5961" s="214"/>
    </row>
    <row r="5962" spans="1:17">
      <c r="A5962" s="175"/>
      <c r="B5962" s="175"/>
      <c r="P5962" s="4"/>
      <c r="Q5962" s="214"/>
    </row>
    <row r="5963" spans="1:17">
      <c r="A5963" s="175"/>
      <c r="B5963" s="175"/>
      <c r="P5963" s="4"/>
      <c r="Q5963" s="214"/>
    </row>
    <row r="5964" spans="1:17">
      <c r="A5964" s="175"/>
      <c r="B5964" s="175"/>
      <c r="P5964" s="4"/>
      <c r="Q5964" s="214"/>
    </row>
    <row r="5965" spans="1:17">
      <c r="A5965" s="175"/>
      <c r="B5965" s="175"/>
      <c r="P5965" s="4"/>
      <c r="Q5965" s="214"/>
    </row>
    <row r="5966" spans="1:17">
      <c r="A5966" s="175"/>
      <c r="B5966" s="175"/>
      <c r="P5966" s="4"/>
      <c r="Q5966" s="214"/>
    </row>
    <row r="5967" spans="1:17">
      <c r="A5967" s="175"/>
      <c r="B5967" s="175"/>
      <c r="P5967" s="4"/>
      <c r="Q5967" s="214"/>
    </row>
    <row r="5968" spans="1:17">
      <c r="A5968" s="175"/>
      <c r="B5968" s="175"/>
      <c r="P5968" s="4"/>
      <c r="Q5968" s="214"/>
    </row>
    <row r="5969" spans="1:17">
      <c r="A5969" s="175"/>
      <c r="B5969" s="175"/>
      <c r="P5969" s="4"/>
      <c r="Q5969" s="214"/>
    </row>
    <row r="5970" spans="1:17">
      <c r="A5970" s="175"/>
      <c r="B5970" s="175"/>
      <c r="P5970" s="4"/>
      <c r="Q5970" s="214"/>
    </row>
    <row r="5971" spans="1:17">
      <c r="A5971" s="175"/>
      <c r="B5971" s="175"/>
      <c r="P5971" s="4"/>
      <c r="Q5971" s="214"/>
    </row>
    <row r="5972" spans="1:17">
      <c r="A5972" s="175"/>
      <c r="B5972" s="175"/>
      <c r="P5972" s="4"/>
      <c r="Q5972" s="214"/>
    </row>
    <row r="5973" spans="1:17">
      <c r="A5973" s="175"/>
      <c r="B5973" s="175"/>
      <c r="P5973" s="4"/>
      <c r="Q5973" s="214"/>
    </row>
    <row r="5974" spans="1:17">
      <c r="A5974" s="175"/>
      <c r="B5974" s="175"/>
      <c r="P5974" s="4"/>
      <c r="Q5974" s="214"/>
    </row>
    <row r="5975" spans="1:17">
      <c r="A5975" s="175"/>
      <c r="B5975" s="175"/>
      <c r="P5975" s="4"/>
      <c r="Q5975" s="214"/>
    </row>
    <row r="5976" spans="1:17">
      <c r="A5976" s="175"/>
      <c r="B5976" s="175"/>
      <c r="P5976" s="4"/>
      <c r="Q5976" s="214"/>
    </row>
    <row r="5977" spans="1:17">
      <c r="A5977" s="175"/>
      <c r="B5977" s="175"/>
      <c r="P5977" s="4"/>
      <c r="Q5977" s="214"/>
    </row>
    <row r="5978" spans="1:17">
      <c r="A5978" s="175"/>
      <c r="B5978" s="175"/>
      <c r="P5978" s="4"/>
      <c r="Q5978" s="214"/>
    </row>
    <row r="5979" spans="1:17">
      <c r="A5979" s="175"/>
      <c r="B5979" s="175"/>
      <c r="P5979" s="4"/>
      <c r="Q5979" s="214"/>
    </row>
    <row r="5980" spans="1:17">
      <c r="A5980" s="175"/>
      <c r="B5980" s="175"/>
      <c r="P5980" s="4"/>
      <c r="Q5980" s="214"/>
    </row>
    <row r="5981" spans="1:17">
      <c r="A5981" s="175"/>
      <c r="B5981" s="175"/>
      <c r="P5981" s="4"/>
      <c r="Q5981" s="214"/>
    </row>
    <row r="5982" spans="1:17">
      <c r="A5982" s="175"/>
      <c r="B5982" s="175"/>
      <c r="P5982" s="4"/>
      <c r="Q5982" s="214"/>
    </row>
    <row r="5983" spans="1:17">
      <c r="A5983" s="175"/>
      <c r="B5983" s="175"/>
      <c r="P5983" s="4"/>
      <c r="Q5983" s="214"/>
    </row>
    <row r="5984" spans="1:17">
      <c r="A5984" s="175"/>
      <c r="B5984" s="175"/>
      <c r="P5984" s="4"/>
      <c r="Q5984" s="214"/>
    </row>
    <row r="5985" spans="1:17">
      <c r="A5985" s="175"/>
      <c r="B5985" s="175"/>
      <c r="P5985" s="4"/>
      <c r="Q5985" s="214"/>
    </row>
    <row r="5986" spans="1:17">
      <c r="A5986" s="175"/>
      <c r="B5986" s="175"/>
      <c r="P5986" s="4"/>
      <c r="Q5986" s="214"/>
    </row>
    <row r="5987" spans="1:17">
      <c r="A5987" s="175"/>
      <c r="B5987" s="175"/>
      <c r="P5987" s="4"/>
      <c r="Q5987" s="214"/>
    </row>
    <row r="5988" spans="1:17">
      <c r="A5988" s="175"/>
      <c r="B5988" s="175"/>
      <c r="P5988" s="4"/>
      <c r="Q5988" s="214"/>
    </row>
    <row r="5989" spans="1:17">
      <c r="A5989" s="175"/>
      <c r="B5989" s="175"/>
      <c r="P5989" s="4"/>
      <c r="Q5989" s="214"/>
    </row>
    <row r="5990" spans="1:17">
      <c r="A5990" s="175"/>
      <c r="B5990" s="175"/>
      <c r="P5990" s="4"/>
      <c r="Q5990" s="214"/>
    </row>
    <row r="5991" spans="1:17">
      <c r="A5991" s="175"/>
      <c r="B5991" s="175"/>
      <c r="P5991" s="4"/>
      <c r="Q5991" s="214"/>
    </row>
    <row r="5992" spans="1:17">
      <c r="A5992" s="175"/>
      <c r="B5992" s="175"/>
      <c r="P5992" s="4"/>
      <c r="Q5992" s="214"/>
    </row>
    <row r="5993" spans="1:17">
      <c r="A5993" s="175"/>
      <c r="B5993" s="175"/>
      <c r="P5993" s="4"/>
      <c r="Q5993" s="214"/>
    </row>
    <row r="5994" spans="1:17">
      <c r="A5994" s="175"/>
      <c r="B5994" s="175"/>
      <c r="P5994" s="4"/>
      <c r="Q5994" s="214"/>
    </row>
    <row r="5995" spans="1:17">
      <c r="A5995" s="175"/>
      <c r="B5995" s="175"/>
      <c r="P5995" s="4"/>
      <c r="Q5995" s="214"/>
    </row>
    <row r="5996" spans="1:17">
      <c r="A5996" s="175"/>
      <c r="B5996" s="175"/>
      <c r="P5996" s="4"/>
      <c r="Q5996" s="214"/>
    </row>
    <row r="5997" spans="1:17">
      <c r="A5997" s="175"/>
      <c r="B5997" s="175"/>
      <c r="P5997" s="4"/>
      <c r="Q5997" s="214"/>
    </row>
    <row r="5998" spans="1:17">
      <c r="A5998" s="175"/>
      <c r="B5998" s="175"/>
      <c r="P5998" s="4"/>
      <c r="Q5998" s="214"/>
    </row>
    <row r="5999" spans="1:17">
      <c r="A5999" s="175"/>
      <c r="B5999" s="175"/>
      <c r="P5999" s="4"/>
      <c r="Q5999" s="214"/>
    </row>
    <row r="6000" spans="1:17">
      <c r="A6000" s="175"/>
      <c r="B6000" s="175"/>
      <c r="P6000" s="4"/>
      <c r="Q6000" s="214"/>
    </row>
    <row r="6001" spans="1:17">
      <c r="A6001" s="175"/>
      <c r="B6001" s="175"/>
      <c r="P6001" s="4"/>
      <c r="Q6001" s="214"/>
    </row>
    <row r="6002" spans="1:17">
      <c r="A6002" s="175"/>
      <c r="B6002" s="175"/>
      <c r="P6002" s="4"/>
      <c r="Q6002" s="214"/>
    </row>
    <row r="6003" spans="1:17">
      <c r="A6003" s="175"/>
      <c r="B6003" s="175"/>
      <c r="P6003" s="4"/>
      <c r="Q6003" s="214"/>
    </row>
    <row r="6004" spans="1:17">
      <c r="A6004" s="175"/>
      <c r="B6004" s="175"/>
      <c r="P6004" s="4"/>
      <c r="Q6004" s="214"/>
    </row>
    <row r="6005" spans="1:17">
      <c r="A6005" s="175"/>
      <c r="B6005" s="175"/>
      <c r="P6005" s="4"/>
      <c r="Q6005" s="214"/>
    </row>
    <row r="6006" spans="1:17">
      <c r="A6006" s="175"/>
      <c r="B6006" s="175"/>
      <c r="P6006" s="4"/>
      <c r="Q6006" s="214"/>
    </row>
    <row r="6007" spans="1:17">
      <c r="A6007" s="175"/>
      <c r="B6007" s="175"/>
      <c r="P6007" s="4"/>
      <c r="Q6007" s="214"/>
    </row>
    <row r="6008" spans="1:17">
      <c r="A6008" s="175"/>
      <c r="B6008" s="175"/>
      <c r="P6008" s="4"/>
      <c r="Q6008" s="214"/>
    </row>
    <row r="6009" spans="1:17">
      <c r="A6009" s="175"/>
      <c r="B6009" s="175"/>
      <c r="P6009" s="4"/>
      <c r="Q6009" s="214"/>
    </row>
    <row r="6010" spans="1:17">
      <c r="A6010" s="175"/>
      <c r="B6010" s="175"/>
      <c r="P6010" s="4"/>
      <c r="Q6010" s="214"/>
    </row>
    <row r="6011" spans="1:17">
      <c r="A6011" s="175"/>
      <c r="B6011" s="175"/>
      <c r="P6011" s="4"/>
      <c r="Q6011" s="214"/>
    </row>
    <row r="6012" spans="1:17">
      <c r="A6012" s="175"/>
      <c r="B6012" s="175"/>
      <c r="P6012" s="4"/>
      <c r="Q6012" s="214"/>
    </row>
    <row r="6013" spans="1:17">
      <c r="A6013" s="175"/>
      <c r="B6013" s="175"/>
      <c r="P6013" s="4"/>
      <c r="Q6013" s="214"/>
    </row>
    <row r="6014" spans="1:17">
      <c r="A6014" s="175"/>
      <c r="B6014" s="175"/>
      <c r="P6014" s="4"/>
      <c r="Q6014" s="214"/>
    </row>
    <row r="6015" spans="1:17">
      <c r="A6015" s="175"/>
      <c r="B6015" s="175"/>
      <c r="P6015" s="4"/>
      <c r="Q6015" s="214"/>
    </row>
    <row r="6016" spans="1:17">
      <c r="A6016" s="175"/>
      <c r="B6016" s="175"/>
      <c r="P6016" s="4"/>
      <c r="Q6016" s="214"/>
    </row>
    <row r="6017" spans="1:17">
      <c r="A6017" s="175"/>
      <c r="B6017" s="175"/>
      <c r="P6017" s="4"/>
      <c r="Q6017" s="214"/>
    </row>
    <row r="6018" spans="1:17">
      <c r="A6018" s="175"/>
      <c r="B6018" s="175"/>
      <c r="P6018" s="4"/>
      <c r="Q6018" s="214"/>
    </row>
    <row r="6019" spans="1:17">
      <c r="A6019" s="175"/>
      <c r="B6019" s="175"/>
      <c r="P6019" s="4"/>
      <c r="Q6019" s="214"/>
    </row>
    <row r="6020" spans="1:17">
      <c r="A6020" s="175"/>
      <c r="B6020" s="175"/>
      <c r="P6020" s="4"/>
      <c r="Q6020" s="214"/>
    </row>
    <row r="6021" spans="1:17">
      <c r="A6021" s="175"/>
      <c r="B6021" s="175"/>
      <c r="P6021" s="4"/>
      <c r="Q6021" s="214"/>
    </row>
    <row r="6022" spans="1:17">
      <c r="A6022" s="175"/>
      <c r="B6022" s="175"/>
      <c r="P6022" s="4"/>
      <c r="Q6022" s="214"/>
    </row>
    <row r="6023" spans="1:17">
      <c r="A6023" s="175"/>
      <c r="B6023" s="175"/>
      <c r="P6023" s="4"/>
      <c r="Q6023" s="214"/>
    </row>
    <row r="6024" spans="1:17">
      <c r="A6024" s="175"/>
      <c r="B6024" s="175"/>
      <c r="P6024" s="4"/>
      <c r="Q6024" s="214"/>
    </row>
    <row r="6025" spans="1:17">
      <c r="A6025" s="175"/>
      <c r="B6025" s="175"/>
      <c r="P6025" s="4"/>
      <c r="Q6025" s="214"/>
    </row>
    <row r="6026" spans="1:17">
      <c r="A6026" s="175"/>
      <c r="B6026" s="175"/>
      <c r="P6026" s="4"/>
      <c r="Q6026" s="214"/>
    </row>
    <row r="6027" spans="1:17">
      <c r="A6027" s="175"/>
      <c r="B6027" s="175"/>
      <c r="P6027" s="4"/>
      <c r="Q6027" s="214"/>
    </row>
    <row r="6028" spans="1:17">
      <c r="A6028" s="175"/>
      <c r="B6028" s="175"/>
      <c r="P6028" s="4"/>
      <c r="Q6028" s="214"/>
    </row>
    <row r="6029" spans="1:17">
      <c r="A6029" s="175"/>
      <c r="B6029" s="175"/>
      <c r="P6029" s="4"/>
      <c r="Q6029" s="214"/>
    </row>
    <row r="6030" spans="1:17">
      <c r="A6030" s="175"/>
      <c r="B6030" s="175"/>
      <c r="P6030" s="4"/>
      <c r="Q6030" s="214"/>
    </row>
    <row r="6031" spans="1:17">
      <c r="A6031" s="175"/>
      <c r="B6031" s="175"/>
      <c r="P6031" s="4"/>
      <c r="Q6031" s="214"/>
    </row>
    <row r="6032" spans="1:17">
      <c r="A6032" s="175"/>
      <c r="B6032" s="175"/>
      <c r="P6032" s="4"/>
      <c r="Q6032" s="214"/>
    </row>
    <row r="6033" spans="1:17">
      <c r="A6033" s="175"/>
      <c r="B6033" s="175"/>
      <c r="P6033" s="4"/>
      <c r="Q6033" s="214"/>
    </row>
    <row r="6034" spans="1:17">
      <c r="A6034" s="175"/>
      <c r="B6034" s="175"/>
      <c r="P6034" s="4"/>
      <c r="Q6034" s="214"/>
    </row>
    <row r="6035" spans="1:17">
      <c r="A6035" s="175"/>
      <c r="B6035" s="175"/>
      <c r="P6035" s="4"/>
      <c r="Q6035" s="214"/>
    </row>
    <row r="6036" spans="1:17">
      <c r="A6036" s="175"/>
      <c r="B6036" s="175"/>
      <c r="P6036" s="4"/>
      <c r="Q6036" s="214"/>
    </row>
    <row r="6037" spans="1:17">
      <c r="A6037" s="175"/>
      <c r="B6037" s="175"/>
      <c r="P6037" s="4"/>
      <c r="Q6037" s="214"/>
    </row>
    <row r="6038" spans="1:17">
      <c r="A6038" s="175"/>
      <c r="B6038" s="175"/>
      <c r="P6038" s="4"/>
      <c r="Q6038" s="214"/>
    </row>
    <row r="6039" spans="1:17">
      <c r="A6039" s="175"/>
      <c r="B6039" s="175"/>
      <c r="P6039" s="4"/>
      <c r="Q6039" s="214"/>
    </row>
    <row r="6040" spans="1:17">
      <c r="A6040" s="175"/>
      <c r="B6040" s="175"/>
      <c r="P6040" s="4"/>
      <c r="Q6040" s="214"/>
    </row>
    <row r="6041" spans="1:17">
      <c r="A6041" s="175"/>
      <c r="B6041" s="175"/>
      <c r="P6041" s="4"/>
      <c r="Q6041" s="214"/>
    </row>
    <row r="6042" spans="1:17">
      <c r="A6042" s="175"/>
      <c r="B6042" s="175"/>
      <c r="P6042" s="4"/>
      <c r="Q6042" s="214"/>
    </row>
    <row r="6043" spans="1:17">
      <c r="A6043" s="175"/>
      <c r="B6043" s="175"/>
      <c r="P6043" s="4"/>
      <c r="Q6043" s="214"/>
    </row>
    <row r="6044" spans="1:17">
      <c r="A6044" s="175"/>
      <c r="B6044" s="175"/>
      <c r="P6044" s="4"/>
      <c r="Q6044" s="214"/>
    </row>
    <row r="6045" spans="1:17">
      <c r="A6045" s="175"/>
      <c r="B6045" s="175"/>
      <c r="P6045" s="4"/>
      <c r="Q6045" s="214"/>
    </row>
    <row r="6046" spans="1:17">
      <c r="A6046" s="175"/>
      <c r="B6046" s="175"/>
      <c r="P6046" s="4"/>
      <c r="Q6046" s="214"/>
    </row>
    <row r="6047" spans="1:17">
      <c r="A6047" s="175"/>
      <c r="B6047" s="175"/>
      <c r="P6047" s="4"/>
      <c r="Q6047" s="214"/>
    </row>
    <row r="6048" spans="1:17">
      <c r="A6048" s="175"/>
      <c r="B6048" s="175"/>
      <c r="P6048" s="4"/>
      <c r="Q6048" s="214"/>
    </row>
    <row r="6049" spans="1:17">
      <c r="A6049" s="175"/>
      <c r="B6049" s="175"/>
      <c r="P6049" s="4"/>
      <c r="Q6049" s="214"/>
    </row>
    <row r="6050" spans="1:17">
      <c r="A6050" s="175"/>
      <c r="B6050" s="175"/>
      <c r="P6050" s="4"/>
      <c r="Q6050" s="214"/>
    </row>
    <row r="6051" spans="1:17">
      <c r="A6051" s="175"/>
      <c r="B6051" s="175"/>
      <c r="P6051" s="4"/>
      <c r="Q6051" s="214"/>
    </row>
    <row r="6052" spans="1:17">
      <c r="A6052" s="175"/>
      <c r="B6052" s="175"/>
      <c r="P6052" s="4"/>
      <c r="Q6052" s="214"/>
    </row>
    <row r="6053" spans="1:17">
      <c r="A6053" s="175"/>
      <c r="B6053" s="175"/>
      <c r="P6053" s="4"/>
      <c r="Q6053" s="214"/>
    </row>
    <row r="6054" spans="1:17">
      <c r="A6054" s="175"/>
      <c r="B6054" s="175"/>
      <c r="P6054" s="4"/>
      <c r="Q6054" s="214"/>
    </row>
    <row r="6055" spans="1:17">
      <c r="A6055" s="175"/>
      <c r="B6055" s="175"/>
      <c r="P6055" s="4"/>
      <c r="Q6055" s="214"/>
    </row>
    <row r="6056" spans="1:17">
      <c r="A6056" s="175"/>
      <c r="B6056" s="175"/>
      <c r="P6056" s="4"/>
      <c r="Q6056" s="214"/>
    </row>
    <row r="6057" spans="1:17">
      <c r="A6057" s="175"/>
      <c r="B6057" s="175"/>
      <c r="P6057" s="4"/>
      <c r="Q6057" s="214"/>
    </row>
    <row r="6058" spans="1:17">
      <c r="A6058" s="175"/>
      <c r="B6058" s="175"/>
      <c r="P6058" s="4"/>
      <c r="Q6058" s="214"/>
    </row>
    <row r="6059" spans="1:17">
      <c r="A6059" s="175"/>
      <c r="B6059" s="175"/>
      <c r="P6059" s="4"/>
      <c r="Q6059" s="214"/>
    </row>
    <row r="6060" spans="1:17">
      <c r="A6060" s="175"/>
      <c r="B6060" s="175"/>
      <c r="P6060" s="4"/>
      <c r="Q6060" s="214"/>
    </row>
    <row r="6061" spans="1:17">
      <c r="A6061" s="175"/>
      <c r="B6061" s="175"/>
      <c r="P6061" s="4"/>
      <c r="Q6061" s="214"/>
    </row>
    <row r="6062" spans="1:17">
      <c r="A6062" s="175"/>
      <c r="B6062" s="175"/>
      <c r="P6062" s="4"/>
      <c r="Q6062" s="214"/>
    </row>
    <row r="6063" spans="1:17">
      <c r="A6063" s="175"/>
      <c r="B6063" s="175"/>
      <c r="P6063" s="4"/>
      <c r="Q6063" s="214"/>
    </row>
    <row r="6064" spans="1:17">
      <c r="A6064" s="175"/>
      <c r="B6064" s="175"/>
      <c r="P6064" s="4"/>
      <c r="Q6064" s="214"/>
    </row>
    <row r="6065" spans="1:17">
      <c r="A6065" s="175"/>
      <c r="B6065" s="175"/>
      <c r="P6065" s="4"/>
      <c r="Q6065" s="214"/>
    </row>
    <row r="6066" spans="1:17">
      <c r="A6066" s="175"/>
      <c r="B6066" s="175"/>
      <c r="P6066" s="4"/>
      <c r="Q6066" s="214"/>
    </row>
    <row r="6067" spans="1:17">
      <c r="A6067" s="175"/>
      <c r="B6067" s="175"/>
      <c r="P6067" s="4"/>
      <c r="Q6067" s="214"/>
    </row>
    <row r="6068" spans="1:17">
      <c r="A6068" s="175"/>
      <c r="B6068" s="175"/>
      <c r="P6068" s="4"/>
      <c r="Q6068" s="214"/>
    </row>
    <row r="6069" spans="1:17">
      <c r="A6069" s="175"/>
      <c r="B6069" s="175"/>
      <c r="P6069" s="4"/>
      <c r="Q6069" s="214"/>
    </row>
    <row r="6070" spans="1:17">
      <c r="A6070" s="175"/>
      <c r="B6070" s="175"/>
      <c r="P6070" s="4"/>
      <c r="Q6070" s="214"/>
    </row>
    <row r="6071" spans="1:17">
      <c r="A6071" s="175"/>
      <c r="B6071" s="175"/>
      <c r="P6071" s="4"/>
      <c r="Q6071" s="214"/>
    </row>
    <row r="6072" spans="1:17">
      <c r="A6072" s="175"/>
      <c r="B6072" s="175"/>
      <c r="P6072" s="4"/>
      <c r="Q6072" s="214"/>
    </row>
    <row r="6073" spans="1:17">
      <c r="A6073" s="175"/>
      <c r="B6073" s="175"/>
      <c r="P6073" s="4"/>
      <c r="Q6073" s="214"/>
    </row>
    <row r="6074" spans="1:17">
      <c r="A6074" s="175"/>
      <c r="B6074" s="175"/>
      <c r="P6074" s="4"/>
      <c r="Q6074" s="214"/>
    </row>
    <row r="6075" spans="1:17">
      <c r="A6075" s="175"/>
      <c r="B6075" s="175"/>
      <c r="P6075" s="4"/>
      <c r="Q6075" s="214"/>
    </row>
    <row r="6076" spans="1:17">
      <c r="A6076" s="175"/>
      <c r="B6076" s="175"/>
      <c r="P6076" s="4"/>
      <c r="Q6076" s="214"/>
    </row>
    <row r="6077" spans="1:17">
      <c r="A6077" s="175"/>
      <c r="B6077" s="175"/>
      <c r="P6077" s="4"/>
      <c r="Q6077" s="214"/>
    </row>
    <row r="6078" spans="1:17">
      <c r="A6078" s="175"/>
      <c r="B6078" s="175"/>
      <c r="P6078" s="4"/>
      <c r="Q6078" s="214"/>
    </row>
    <row r="6079" spans="1:17">
      <c r="A6079" s="175"/>
      <c r="B6079" s="175"/>
      <c r="P6079" s="4"/>
      <c r="Q6079" s="214"/>
    </row>
    <row r="6080" spans="1:17">
      <c r="A6080" s="175"/>
      <c r="B6080" s="175"/>
      <c r="P6080" s="4"/>
      <c r="Q6080" s="214"/>
    </row>
    <row r="6081" spans="1:17">
      <c r="A6081" s="175"/>
      <c r="B6081" s="175"/>
      <c r="P6081" s="4"/>
      <c r="Q6081" s="214"/>
    </row>
    <row r="6082" spans="1:17">
      <c r="A6082" s="175"/>
      <c r="B6082" s="175"/>
      <c r="P6082" s="4"/>
      <c r="Q6082" s="214"/>
    </row>
    <row r="6083" spans="1:17">
      <c r="A6083" s="175"/>
      <c r="B6083" s="175"/>
      <c r="P6083" s="4"/>
      <c r="Q6083" s="214"/>
    </row>
    <row r="6084" spans="1:17">
      <c r="A6084" s="175"/>
      <c r="B6084" s="175"/>
      <c r="P6084" s="4"/>
      <c r="Q6084" s="214"/>
    </row>
    <row r="6085" spans="1:17">
      <c r="A6085" s="175"/>
      <c r="B6085" s="175"/>
      <c r="P6085" s="4"/>
      <c r="Q6085" s="214"/>
    </row>
    <row r="6086" spans="1:17">
      <c r="A6086" s="175"/>
      <c r="B6086" s="175"/>
      <c r="P6086" s="4"/>
      <c r="Q6086" s="214"/>
    </row>
    <row r="6087" spans="1:17">
      <c r="A6087" s="175"/>
      <c r="B6087" s="175"/>
      <c r="P6087" s="4"/>
      <c r="Q6087" s="214"/>
    </row>
    <row r="6088" spans="1:17">
      <c r="A6088" s="175"/>
      <c r="B6088" s="175"/>
      <c r="P6088" s="4"/>
      <c r="Q6088" s="214"/>
    </row>
    <row r="6089" spans="1:17">
      <c r="A6089" s="175"/>
      <c r="B6089" s="175"/>
      <c r="P6089" s="4"/>
      <c r="Q6089" s="214"/>
    </row>
    <row r="6090" spans="1:17">
      <c r="A6090" s="175"/>
      <c r="B6090" s="175"/>
      <c r="P6090" s="4"/>
      <c r="Q6090" s="214"/>
    </row>
    <row r="6091" spans="1:17">
      <c r="A6091" s="175"/>
      <c r="B6091" s="175"/>
      <c r="P6091" s="4"/>
      <c r="Q6091" s="214"/>
    </row>
    <row r="6092" spans="1:17">
      <c r="A6092" s="175"/>
      <c r="B6092" s="175"/>
      <c r="P6092" s="4"/>
      <c r="Q6092" s="214"/>
    </row>
    <row r="6093" spans="1:17">
      <c r="A6093" s="175"/>
      <c r="B6093" s="175"/>
      <c r="P6093" s="4"/>
      <c r="Q6093" s="214"/>
    </row>
    <row r="6094" spans="1:17">
      <c r="A6094" s="175"/>
      <c r="B6094" s="175"/>
      <c r="P6094" s="4"/>
      <c r="Q6094" s="214"/>
    </row>
    <row r="6095" spans="1:17">
      <c r="A6095" s="175"/>
      <c r="B6095" s="175"/>
      <c r="P6095" s="4"/>
      <c r="Q6095" s="214"/>
    </row>
    <row r="6096" spans="1:17">
      <c r="A6096" s="175"/>
      <c r="B6096" s="175"/>
      <c r="P6096" s="4"/>
      <c r="Q6096" s="214"/>
    </row>
    <row r="6097" spans="1:17">
      <c r="A6097" s="175"/>
      <c r="B6097" s="175"/>
      <c r="P6097" s="4"/>
      <c r="Q6097" s="214"/>
    </row>
    <row r="6098" spans="1:17">
      <c r="A6098" s="175"/>
      <c r="B6098" s="175"/>
      <c r="P6098" s="4"/>
      <c r="Q6098" s="214"/>
    </row>
    <row r="6099" spans="1:17">
      <c r="A6099" s="175"/>
      <c r="B6099" s="175"/>
      <c r="P6099" s="4"/>
      <c r="Q6099" s="214"/>
    </row>
    <row r="6100" spans="1:17">
      <c r="A6100" s="175"/>
      <c r="B6100" s="175"/>
      <c r="P6100" s="4"/>
      <c r="Q6100" s="214"/>
    </row>
    <row r="6101" spans="1:17">
      <c r="A6101" s="175"/>
      <c r="B6101" s="175"/>
      <c r="P6101" s="4"/>
      <c r="Q6101" s="214"/>
    </row>
    <row r="6102" spans="1:17">
      <c r="A6102" s="175"/>
      <c r="B6102" s="175"/>
      <c r="P6102" s="4"/>
      <c r="Q6102" s="214"/>
    </row>
    <row r="6103" spans="1:17">
      <c r="A6103" s="175"/>
      <c r="B6103" s="175"/>
      <c r="P6103" s="4"/>
      <c r="Q6103" s="214"/>
    </row>
    <row r="6104" spans="1:17">
      <c r="A6104" s="175"/>
      <c r="B6104" s="175"/>
      <c r="P6104" s="4"/>
      <c r="Q6104" s="214"/>
    </row>
    <row r="6105" spans="1:17">
      <c r="A6105" s="175"/>
      <c r="B6105" s="175"/>
      <c r="P6105" s="4"/>
      <c r="Q6105" s="214"/>
    </row>
    <row r="6106" spans="1:17">
      <c r="A6106" s="175"/>
      <c r="B6106" s="175"/>
      <c r="P6106" s="4"/>
      <c r="Q6106" s="214"/>
    </row>
    <row r="6107" spans="1:17">
      <c r="A6107" s="175"/>
      <c r="B6107" s="175"/>
      <c r="P6107" s="4"/>
      <c r="Q6107" s="214"/>
    </row>
    <row r="6108" spans="1:17">
      <c r="A6108" s="175"/>
      <c r="B6108" s="175"/>
      <c r="P6108" s="4"/>
      <c r="Q6108" s="214"/>
    </row>
    <row r="6109" spans="1:17">
      <c r="A6109" s="175"/>
      <c r="B6109" s="175"/>
      <c r="P6109" s="4"/>
      <c r="Q6109" s="214"/>
    </row>
    <row r="6110" spans="1:17">
      <c r="A6110" s="175"/>
      <c r="B6110" s="175"/>
      <c r="P6110" s="4"/>
      <c r="Q6110" s="214"/>
    </row>
    <row r="6111" spans="1:17">
      <c r="A6111" s="175"/>
      <c r="B6111" s="175"/>
      <c r="P6111" s="4"/>
      <c r="Q6111" s="214"/>
    </row>
    <row r="6112" spans="1:17">
      <c r="A6112" s="175"/>
      <c r="B6112" s="175"/>
      <c r="P6112" s="4"/>
      <c r="Q6112" s="214"/>
    </row>
    <row r="6113" spans="1:17">
      <c r="A6113" s="175"/>
      <c r="B6113" s="175"/>
      <c r="P6113" s="4"/>
      <c r="Q6113" s="214"/>
    </row>
    <row r="6114" spans="1:17">
      <c r="A6114" s="175"/>
      <c r="B6114" s="175"/>
      <c r="P6114" s="4"/>
      <c r="Q6114" s="214"/>
    </row>
    <row r="6115" spans="1:17">
      <c r="A6115" s="175"/>
      <c r="B6115" s="175"/>
      <c r="P6115" s="4"/>
      <c r="Q6115" s="214"/>
    </row>
    <row r="6116" spans="1:17">
      <c r="A6116" s="175"/>
      <c r="B6116" s="175"/>
      <c r="P6116" s="4"/>
      <c r="Q6116" s="214"/>
    </row>
    <row r="6117" spans="1:17">
      <c r="A6117" s="175"/>
      <c r="B6117" s="175"/>
      <c r="P6117" s="4"/>
      <c r="Q6117" s="214"/>
    </row>
    <row r="6118" spans="1:17">
      <c r="A6118" s="175"/>
      <c r="B6118" s="175"/>
      <c r="P6118" s="4"/>
      <c r="Q6118" s="214"/>
    </row>
    <row r="6119" spans="1:17">
      <c r="A6119" s="175"/>
      <c r="B6119" s="175"/>
      <c r="P6119" s="4"/>
      <c r="Q6119" s="214"/>
    </row>
    <row r="6120" spans="1:17">
      <c r="A6120" s="175"/>
      <c r="B6120" s="175"/>
      <c r="P6120" s="4"/>
      <c r="Q6120" s="214"/>
    </row>
    <row r="6121" spans="1:17">
      <c r="A6121" s="175"/>
      <c r="B6121" s="175"/>
      <c r="P6121" s="4"/>
      <c r="Q6121" s="214"/>
    </row>
    <row r="6122" spans="1:17">
      <c r="A6122" s="175"/>
      <c r="B6122" s="175"/>
      <c r="P6122" s="4"/>
      <c r="Q6122" s="214"/>
    </row>
    <row r="6123" spans="1:17">
      <c r="A6123" s="175"/>
      <c r="B6123" s="175"/>
      <c r="P6123" s="4"/>
      <c r="Q6123" s="214"/>
    </row>
    <row r="6124" spans="1:17">
      <c r="A6124" s="175"/>
      <c r="B6124" s="175"/>
      <c r="P6124" s="4"/>
      <c r="Q6124" s="214"/>
    </row>
    <row r="6125" spans="1:17">
      <c r="A6125" s="175"/>
      <c r="B6125" s="175"/>
      <c r="P6125" s="4"/>
      <c r="Q6125" s="214"/>
    </row>
    <row r="6126" spans="1:17">
      <c r="A6126" s="175"/>
      <c r="B6126" s="175"/>
      <c r="P6126" s="4"/>
      <c r="Q6126" s="214"/>
    </row>
    <row r="6127" spans="1:17">
      <c r="A6127" s="175"/>
      <c r="B6127" s="175"/>
      <c r="P6127" s="4"/>
      <c r="Q6127" s="214"/>
    </row>
    <row r="6128" spans="1:17">
      <c r="A6128" s="175"/>
      <c r="B6128" s="175"/>
      <c r="P6128" s="4"/>
      <c r="Q6128" s="214"/>
    </row>
    <row r="6129" spans="1:17">
      <c r="A6129" s="175"/>
      <c r="B6129" s="175"/>
      <c r="P6129" s="4"/>
      <c r="Q6129" s="214"/>
    </row>
    <row r="6130" spans="1:17">
      <c r="A6130" s="175"/>
      <c r="B6130" s="175"/>
      <c r="P6130" s="4"/>
      <c r="Q6130" s="214"/>
    </row>
    <row r="6131" spans="1:17">
      <c r="A6131" s="175"/>
      <c r="B6131" s="175"/>
      <c r="P6131" s="4"/>
      <c r="Q6131" s="214"/>
    </row>
    <row r="6132" spans="1:17">
      <c r="A6132" s="175"/>
      <c r="B6132" s="175"/>
      <c r="P6132" s="4"/>
      <c r="Q6132" s="214"/>
    </row>
    <row r="6133" spans="1:17">
      <c r="A6133" s="175"/>
      <c r="B6133" s="175"/>
      <c r="P6133" s="4"/>
      <c r="Q6133" s="214"/>
    </row>
    <row r="6134" spans="1:17">
      <c r="A6134" s="175"/>
      <c r="B6134" s="175"/>
      <c r="P6134" s="4"/>
      <c r="Q6134" s="214"/>
    </row>
    <row r="6135" spans="1:17">
      <c r="A6135" s="175"/>
      <c r="B6135" s="175"/>
      <c r="P6135" s="4"/>
      <c r="Q6135" s="214"/>
    </row>
    <row r="6136" spans="1:17">
      <c r="A6136" s="175"/>
      <c r="B6136" s="175"/>
      <c r="P6136" s="4"/>
      <c r="Q6136" s="214"/>
    </row>
    <row r="6137" spans="1:17">
      <c r="A6137" s="175"/>
      <c r="B6137" s="175"/>
      <c r="P6137" s="4"/>
      <c r="Q6137" s="214"/>
    </row>
    <row r="6138" spans="1:17">
      <c r="A6138" s="175"/>
      <c r="B6138" s="175"/>
      <c r="P6138" s="4"/>
      <c r="Q6138" s="214"/>
    </row>
    <row r="6139" spans="1:17">
      <c r="A6139" s="175"/>
      <c r="B6139" s="175"/>
      <c r="P6139" s="4"/>
      <c r="Q6139" s="214"/>
    </row>
    <row r="6140" spans="1:17">
      <c r="A6140" s="175"/>
      <c r="B6140" s="175"/>
      <c r="P6140" s="4"/>
      <c r="Q6140" s="214"/>
    </row>
    <row r="6141" spans="1:17">
      <c r="A6141" s="175"/>
      <c r="B6141" s="175"/>
      <c r="P6141" s="4"/>
      <c r="Q6141" s="214"/>
    </row>
    <row r="6142" spans="1:17">
      <c r="A6142" s="175"/>
      <c r="B6142" s="175"/>
      <c r="P6142" s="4"/>
      <c r="Q6142" s="214"/>
    </row>
    <row r="6143" spans="1:17">
      <c r="A6143" s="175"/>
      <c r="B6143" s="175"/>
      <c r="P6143" s="4"/>
      <c r="Q6143" s="214"/>
    </row>
    <row r="6144" spans="1:17">
      <c r="A6144" s="175"/>
      <c r="B6144" s="175"/>
      <c r="P6144" s="4"/>
      <c r="Q6144" s="214"/>
    </row>
    <row r="6145" spans="1:17">
      <c r="A6145" s="175"/>
      <c r="B6145" s="175"/>
      <c r="P6145" s="4"/>
      <c r="Q6145" s="214"/>
    </row>
    <row r="6146" spans="1:17">
      <c r="A6146" s="175"/>
      <c r="B6146" s="175"/>
      <c r="P6146" s="4"/>
      <c r="Q6146" s="214"/>
    </row>
    <row r="6147" spans="1:17">
      <c r="A6147" s="175"/>
      <c r="B6147" s="175"/>
      <c r="P6147" s="4"/>
      <c r="Q6147" s="214"/>
    </row>
    <row r="6148" spans="1:17">
      <c r="A6148" s="175"/>
      <c r="B6148" s="175"/>
      <c r="P6148" s="4"/>
      <c r="Q6148" s="214"/>
    </row>
    <row r="6149" spans="1:17">
      <c r="A6149" s="175"/>
      <c r="B6149" s="175"/>
      <c r="P6149" s="4"/>
      <c r="Q6149" s="214"/>
    </row>
    <row r="6150" spans="1:17">
      <c r="A6150" s="175"/>
      <c r="B6150" s="175"/>
      <c r="P6150" s="4"/>
      <c r="Q6150" s="214"/>
    </row>
    <row r="6151" spans="1:17">
      <c r="A6151" s="175"/>
      <c r="B6151" s="175"/>
      <c r="P6151" s="4"/>
      <c r="Q6151" s="214"/>
    </row>
    <row r="6152" spans="1:17">
      <c r="A6152" s="175"/>
      <c r="B6152" s="175"/>
      <c r="P6152" s="4"/>
      <c r="Q6152" s="214"/>
    </row>
    <row r="6153" spans="1:17">
      <c r="A6153" s="175"/>
      <c r="B6153" s="175"/>
      <c r="P6153" s="4"/>
      <c r="Q6153" s="214"/>
    </row>
    <row r="6154" spans="1:17">
      <c r="A6154" s="175"/>
      <c r="B6154" s="175"/>
      <c r="P6154" s="4"/>
      <c r="Q6154" s="214"/>
    </row>
    <row r="6155" spans="1:17">
      <c r="A6155" s="175"/>
      <c r="B6155" s="175"/>
      <c r="P6155" s="4"/>
      <c r="Q6155" s="214"/>
    </row>
    <row r="6156" spans="1:17">
      <c r="A6156" s="175"/>
      <c r="B6156" s="175"/>
      <c r="P6156" s="4"/>
      <c r="Q6156" s="214"/>
    </row>
    <row r="6157" spans="1:17">
      <c r="A6157" s="175"/>
      <c r="B6157" s="175"/>
      <c r="P6157" s="4"/>
      <c r="Q6157" s="214"/>
    </row>
    <row r="6158" spans="1:17">
      <c r="A6158" s="175"/>
      <c r="B6158" s="175"/>
      <c r="P6158" s="4"/>
      <c r="Q6158" s="214"/>
    </row>
    <row r="6159" spans="1:17">
      <c r="A6159" s="175"/>
      <c r="B6159" s="175"/>
      <c r="P6159" s="4"/>
      <c r="Q6159" s="214"/>
    </row>
    <row r="6160" spans="1:17">
      <c r="A6160" s="175"/>
      <c r="B6160" s="175"/>
      <c r="P6160" s="4"/>
      <c r="Q6160" s="214"/>
    </row>
    <row r="6161" spans="1:17">
      <c r="A6161" s="175"/>
      <c r="B6161" s="175"/>
      <c r="P6161" s="4"/>
      <c r="Q6161" s="214"/>
    </row>
    <row r="6162" spans="1:17">
      <c r="A6162" s="175"/>
      <c r="B6162" s="175"/>
      <c r="P6162" s="4"/>
      <c r="Q6162" s="214"/>
    </row>
    <row r="6163" spans="1:17">
      <c r="A6163" s="175"/>
      <c r="B6163" s="175"/>
      <c r="P6163" s="4"/>
      <c r="Q6163" s="214"/>
    </row>
    <row r="6164" spans="1:17">
      <c r="A6164" s="175"/>
      <c r="B6164" s="175"/>
      <c r="P6164" s="4"/>
      <c r="Q6164" s="214"/>
    </row>
    <row r="6165" spans="1:17">
      <c r="A6165" s="175"/>
      <c r="B6165" s="175"/>
      <c r="P6165" s="4"/>
      <c r="Q6165" s="214"/>
    </row>
    <row r="6166" spans="1:17">
      <c r="A6166" s="175"/>
      <c r="B6166" s="175"/>
      <c r="P6166" s="4"/>
      <c r="Q6166" s="214"/>
    </row>
    <row r="6167" spans="1:17">
      <c r="A6167" s="175"/>
      <c r="B6167" s="175"/>
      <c r="P6167" s="4"/>
      <c r="Q6167" s="214"/>
    </row>
    <row r="6168" spans="1:17">
      <c r="A6168" s="175"/>
      <c r="B6168" s="175"/>
      <c r="P6168" s="4"/>
      <c r="Q6168" s="214"/>
    </row>
    <row r="6169" spans="1:17">
      <c r="A6169" s="175"/>
      <c r="B6169" s="175"/>
      <c r="P6169" s="4"/>
      <c r="Q6169" s="214"/>
    </row>
    <row r="6170" spans="1:17">
      <c r="A6170" s="175"/>
      <c r="B6170" s="175"/>
      <c r="P6170" s="4"/>
      <c r="Q6170" s="214"/>
    </row>
    <row r="6171" spans="1:17">
      <c r="A6171" s="175"/>
      <c r="B6171" s="175"/>
      <c r="P6171" s="4"/>
      <c r="Q6171" s="214"/>
    </row>
    <row r="6172" spans="1:17">
      <c r="A6172" s="175"/>
      <c r="B6172" s="175"/>
      <c r="P6172" s="4"/>
      <c r="Q6172" s="214"/>
    </row>
    <row r="6173" spans="1:17">
      <c r="A6173" s="175"/>
      <c r="B6173" s="175"/>
      <c r="P6173" s="4"/>
      <c r="Q6173" s="214"/>
    </row>
    <row r="6174" spans="1:17">
      <c r="A6174" s="175"/>
      <c r="B6174" s="175"/>
      <c r="P6174" s="4"/>
      <c r="Q6174" s="214"/>
    </row>
    <row r="6175" spans="1:17">
      <c r="A6175" s="175"/>
      <c r="B6175" s="175"/>
      <c r="P6175" s="4"/>
      <c r="Q6175" s="214"/>
    </row>
    <row r="6176" spans="1:17">
      <c r="A6176" s="175"/>
      <c r="B6176" s="175"/>
      <c r="P6176" s="4"/>
      <c r="Q6176" s="214"/>
    </row>
    <row r="6177" spans="1:17">
      <c r="A6177" s="175"/>
      <c r="B6177" s="175"/>
      <c r="P6177" s="4"/>
      <c r="Q6177" s="214"/>
    </row>
    <row r="6178" spans="1:17">
      <c r="A6178" s="175"/>
      <c r="B6178" s="175"/>
      <c r="P6178" s="4"/>
      <c r="Q6178" s="214"/>
    </row>
    <row r="6179" spans="1:17">
      <c r="A6179" s="175"/>
      <c r="B6179" s="175"/>
      <c r="P6179" s="4"/>
      <c r="Q6179" s="214"/>
    </row>
    <row r="6180" spans="1:17">
      <c r="A6180" s="175"/>
      <c r="B6180" s="175"/>
      <c r="P6180" s="4"/>
      <c r="Q6180" s="214"/>
    </row>
    <row r="6181" spans="1:17">
      <c r="A6181" s="175"/>
      <c r="B6181" s="175"/>
      <c r="P6181" s="4"/>
      <c r="Q6181" s="214"/>
    </row>
    <row r="6182" spans="1:17">
      <c r="A6182" s="175"/>
      <c r="B6182" s="175"/>
      <c r="P6182" s="4"/>
      <c r="Q6182" s="214"/>
    </row>
    <row r="6183" spans="1:17">
      <c r="A6183" s="175"/>
      <c r="B6183" s="175"/>
      <c r="P6183" s="4"/>
      <c r="Q6183" s="214"/>
    </row>
    <row r="6184" spans="1:17">
      <c r="A6184" s="175"/>
      <c r="B6184" s="175"/>
      <c r="P6184" s="4"/>
      <c r="Q6184" s="214"/>
    </row>
    <row r="6185" spans="1:17">
      <c r="A6185" s="175"/>
      <c r="B6185" s="175"/>
      <c r="P6185" s="4"/>
      <c r="Q6185" s="214"/>
    </row>
    <row r="6186" spans="1:17">
      <c r="A6186" s="175"/>
      <c r="B6186" s="175"/>
      <c r="P6186" s="4"/>
      <c r="Q6186" s="214"/>
    </row>
    <row r="6187" spans="1:17">
      <c r="A6187" s="175"/>
      <c r="B6187" s="175"/>
      <c r="P6187" s="4"/>
      <c r="Q6187" s="214"/>
    </row>
    <row r="6188" spans="1:17">
      <c r="A6188" s="175"/>
      <c r="B6188" s="175"/>
      <c r="P6188" s="4"/>
      <c r="Q6188" s="214"/>
    </row>
    <row r="6189" spans="1:17">
      <c r="A6189" s="175"/>
      <c r="B6189" s="175"/>
      <c r="P6189" s="4"/>
      <c r="Q6189" s="214"/>
    </row>
    <row r="6190" spans="1:17">
      <c r="A6190" s="175"/>
      <c r="B6190" s="175"/>
      <c r="P6190" s="4"/>
      <c r="Q6190" s="214"/>
    </row>
    <row r="6191" spans="1:17">
      <c r="A6191" s="175"/>
      <c r="B6191" s="175"/>
      <c r="P6191" s="4"/>
      <c r="Q6191" s="214"/>
    </row>
    <row r="6192" spans="1:17">
      <c r="A6192" s="175"/>
      <c r="B6192" s="175"/>
      <c r="P6192" s="4"/>
      <c r="Q6192" s="214"/>
    </row>
    <row r="6193" spans="1:17">
      <c r="A6193" s="175"/>
      <c r="B6193" s="175"/>
      <c r="P6193" s="4"/>
      <c r="Q6193" s="214"/>
    </row>
    <row r="6194" spans="1:17">
      <c r="A6194" s="175"/>
      <c r="B6194" s="175"/>
      <c r="P6194" s="4"/>
      <c r="Q6194" s="214"/>
    </row>
    <row r="6195" spans="1:17">
      <c r="A6195" s="175"/>
      <c r="B6195" s="175"/>
      <c r="P6195" s="4"/>
      <c r="Q6195" s="214"/>
    </row>
    <row r="6196" spans="1:17">
      <c r="A6196" s="175"/>
      <c r="B6196" s="175"/>
      <c r="P6196" s="4"/>
      <c r="Q6196" s="214"/>
    </row>
    <row r="6197" spans="1:17">
      <c r="A6197" s="175"/>
      <c r="B6197" s="175"/>
      <c r="P6197" s="4"/>
      <c r="Q6197" s="214"/>
    </row>
    <row r="6198" spans="1:17">
      <c r="A6198" s="175"/>
      <c r="B6198" s="175"/>
      <c r="P6198" s="4"/>
      <c r="Q6198" s="214"/>
    </row>
    <row r="6199" spans="1:17">
      <c r="A6199" s="175"/>
      <c r="B6199" s="175"/>
      <c r="P6199" s="4"/>
      <c r="Q6199" s="214"/>
    </row>
    <row r="6200" spans="1:17">
      <c r="A6200" s="175"/>
      <c r="B6200" s="175"/>
      <c r="P6200" s="4"/>
      <c r="Q6200" s="214"/>
    </row>
    <row r="6201" spans="1:17">
      <c r="A6201" s="175"/>
      <c r="B6201" s="175"/>
      <c r="P6201" s="4"/>
      <c r="Q6201" s="214"/>
    </row>
    <row r="6202" spans="1:17">
      <c r="A6202" s="175"/>
      <c r="B6202" s="175"/>
      <c r="P6202" s="4"/>
      <c r="Q6202" s="214"/>
    </row>
    <row r="6203" spans="1:17">
      <c r="A6203" s="175"/>
      <c r="B6203" s="175"/>
      <c r="P6203" s="4"/>
      <c r="Q6203" s="214"/>
    </row>
    <row r="6204" spans="1:17">
      <c r="A6204" s="175"/>
      <c r="B6204" s="175"/>
      <c r="P6204" s="4"/>
      <c r="Q6204" s="214"/>
    </row>
    <row r="6205" spans="1:17">
      <c r="A6205" s="175"/>
      <c r="B6205" s="175"/>
      <c r="P6205" s="4"/>
      <c r="Q6205" s="214"/>
    </row>
    <row r="6206" spans="1:17">
      <c r="A6206" s="175"/>
      <c r="B6206" s="175"/>
      <c r="P6206" s="4"/>
      <c r="Q6206" s="214"/>
    </row>
    <row r="6207" spans="1:17">
      <c r="A6207" s="175"/>
      <c r="B6207" s="175"/>
      <c r="P6207" s="4"/>
      <c r="Q6207" s="214"/>
    </row>
    <row r="6208" spans="1:17">
      <c r="A6208" s="175"/>
      <c r="B6208" s="175"/>
      <c r="P6208" s="4"/>
      <c r="Q6208" s="214"/>
    </row>
    <row r="6209" spans="1:17">
      <c r="A6209" s="175"/>
      <c r="B6209" s="175"/>
      <c r="P6209" s="4"/>
      <c r="Q6209" s="214"/>
    </row>
    <row r="6210" spans="1:17">
      <c r="A6210" s="175"/>
      <c r="B6210" s="175"/>
      <c r="P6210" s="4"/>
      <c r="Q6210" s="214"/>
    </row>
    <row r="6211" spans="1:17">
      <c r="A6211" s="175"/>
      <c r="B6211" s="175"/>
      <c r="P6211" s="4"/>
      <c r="Q6211" s="214"/>
    </row>
    <row r="6212" spans="1:17">
      <c r="A6212" s="175"/>
      <c r="B6212" s="175"/>
      <c r="P6212" s="4"/>
      <c r="Q6212" s="214"/>
    </row>
    <row r="6213" spans="1:17">
      <c r="A6213" s="175"/>
      <c r="B6213" s="175"/>
      <c r="P6213" s="4"/>
      <c r="Q6213" s="214"/>
    </row>
    <row r="6214" spans="1:17">
      <c r="A6214" s="175"/>
      <c r="B6214" s="175"/>
      <c r="P6214" s="4"/>
      <c r="Q6214" s="214"/>
    </row>
    <row r="6215" spans="1:17">
      <c r="A6215" s="175"/>
      <c r="B6215" s="175"/>
      <c r="P6215" s="4"/>
      <c r="Q6215" s="214"/>
    </row>
    <row r="6216" spans="1:17">
      <c r="A6216" s="175"/>
      <c r="B6216" s="175"/>
      <c r="P6216" s="4"/>
      <c r="Q6216" s="214"/>
    </row>
    <row r="6217" spans="1:17">
      <c r="A6217" s="175"/>
      <c r="B6217" s="175"/>
      <c r="P6217" s="4"/>
      <c r="Q6217" s="214"/>
    </row>
    <row r="6218" spans="1:17">
      <c r="A6218" s="175"/>
      <c r="B6218" s="175"/>
      <c r="P6218" s="4"/>
      <c r="Q6218" s="214"/>
    </row>
    <row r="6219" spans="1:17">
      <c r="A6219" s="175"/>
      <c r="B6219" s="175"/>
      <c r="P6219" s="4"/>
      <c r="Q6219" s="214"/>
    </row>
    <row r="6220" spans="1:17">
      <c r="A6220" s="175"/>
      <c r="B6220" s="175"/>
      <c r="P6220" s="4"/>
      <c r="Q6220" s="214"/>
    </row>
    <row r="6221" spans="1:17">
      <c r="A6221" s="175"/>
      <c r="B6221" s="175"/>
      <c r="P6221" s="4"/>
      <c r="Q6221" s="214"/>
    </row>
    <row r="6222" spans="1:17">
      <c r="A6222" s="175"/>
      <c r="B6222" s="175"/>
      <c r="P6222" s="4"/>
      <c r="Q6222" s="214"/>
    </row>
    <row r="6223" spans="1:17">
      <c r="A6223" s="175"/>
      <c r="B6223" s="175"/>
      <c r="P6223" s="4"/>
      <c r="Q6223" s="214"/>
    </row>
    <row r="6224" spans="1:17">
      <c r="A6224" s="175"/>
      <c r="B6224" s="175"/>
      <c r="P6224" s="4"/>
      <c r="Q6224" s="214"/>
    </row>
    <row r="6225" spans="1:17">
      <c r="A6225" s="175"/>
      <c r="B6225" s="175"/>
      <c r="P6225" s="4"/>
      <c r="Q6225" s="214"/>
    </row>
    <row r="6226" spans="1:17">
      <c r="A6226" s="175"/>
      <c r="B6226" s="175"/>
      <c r="P6226" s="4"/>
      <c r="Q6226" s="214"/>
    </row>
    <row r="6227" spans="1:17">
      <c r="A6227" s="175"/>
      <c r="B6227" s="175"/>
      <c r="P6227" s="4"/>
      <c r="Q6227" s="214"/>
    </row>
    <row r="6228" spans="1:17">
      <c r="A6228" s="175"/>
      <c r="B6228" s="175"/>
      <c r="P6228" s="4"/>
      <c r="Q6228" s="214"/>
    </row>
    <row r="6229" spans="1:17">
      <c r="A6229" s="175"/>
      <c r="B6229" s="175"/>
      <c r="P6229" s="4"/>
      <c r="Q6229" s="214"/>
    </row>
    <row r="6230" spans="1:17">
      <c r="A6230" s="175"/>
      <c r="B6230" s="175"/>
      <c r="P6230" s="4"/>
      <c r="Q6230" s="214"/>
    </row>
    <row r="6231" spans="1:17">
      <c r="A6231" s="175"/>
      <c r="B6231" s="175"/>
      <c r="P6231" s="4"/>
      <c r="Q6231" s="214"/>
    </row>
    <row r="6232" spans="1:17">
      <c r="A6232" s="175"/>
      <c r="B6232" s="175"/>
      <c r="P6232" s="4"/>
      <c r="Q6232" s="214"/>
    </row>
    <row r="6233" spans="1:17">
      <c r="A6233" s="175"/>
      <c r="B6233" s="175"/>
      <c r="P6233" s="4"/>
      <c r="Q6233" s="214"/>
    </row>
    <row r="6234" spans="1:17">
      <c r="A6234" s="175"/>
      <c r="B6234" s="175"/>
      <c r="P6234" s="4"/>
      <c r="Q6234" s="214"/>
    </row>
    <row r="6235" spans="1:17">
      <c r="A6235" s="175"/>
      <c r="B6235" s="175"/>
      <c r="P6235" s="4"/>
      <c r="Q6235" s="214"/>
    </row>
    <row r="6236" spans="1:17">
      <c r="A6236" s="175"/>
      <c r="B6236" s="175"/>
      <c r="P6236" s="4"/>
      <c r="Q6236" s="214"/>
    </row>
    <row r="6237" spans="1:17">
      <c r="A6237" s="175"/>
      <c r="B6237" s="175"/>
      <c r="P6237" s="4"/>
      <c r="Q6237" s="214"/>
    </row>
    <row r="6238" spans="1:17">
      <c r="A6238" s="175"/>
      <c r="B6238" s="175"/>
      <c r="P6238" s="4"/>
      <c r="Q6238" s="214"/>
    </row>
    <row r="6239" spans="1:17">
      <c r="A6239" s="175"/>
      <c r="B6239" s="175"/>
      <c r="P6239" s="4"/>
      <c r="Q6239" s="214"/>
    </row>
    <row r="6240" spans="1:17">
      <c r="A6240" s="175"/>
      <c r="B6240" s="175"/>
      <c r="P6240" s="4"/>
      <c r="Q6240" s="214"/>
    </row>
    <row r="6241" spans="1:17">
      <c r="A6241" s="175"/>
      <c r="B6241" s="175"/>
      <c r="P6241" s="4"/>
      <c r="Q6241" s="214"/>
    </row>
    <row r="6242" spans="1:17">
      <c r="A6242" s="175"/>
      <c r="B6242" s="175"/>
      <c r="P6242" s="4"/>
      <c r="Q6242" s="214"/>
    </row>
    <row r="6243" spans="1:17">
      <c r="A6243" s="175"/>
      <c r="B6243" s="175"/>
      <c r="P6243" s="4"/>
      <c r="Q6243" s="214"/>
    </row>
    <row r="6244" spans="1:17">
      <c r="A6244" s="175"/>
      <c r="B6244" s="175"/>
      <c r="P6244" s="4"/>
      <c r="Q6244" s="214"/>
    </row>
    <row r="6245" spans="1:17">
      <c r="A6245" s="175"/>
      <c r="B6245" s="175"/>
      <c r="P6245" s="4"/>
      <c r="Q6245" s="214"/>
    </row>
    <row r="6246" spans="1:17">
      <c r="A6246" s="175"/>
      <c r="B6246" s="175"/>
      <c r="P6246" s="4"/>
      <c r="Q6246" s="214"/>
    </row>
    <row r="6247" spans="1:17">
      <c r="A6247" s="175"/>
      <c r="B6247" s="175"/>
      <c r="P6247" s="4"/>
      <c r="Q6247" s="214"/>
    </row>
    <row r="6248" spans="1:17">
      <c r="A6248" s="175"/>
      <c r="B6248" s="175"/>
      <c r="P6248" s="4"/>
      <c r="Q6248" s="214"/>
    </row>
    <row r="6249" spans="1:17">
      <c r="A6249" s="175"/>
      <c r="B6249" s="175"/>
      <c r="P6249" s="4"/>
      <c r="Q6249" s="214"/>
    </row>
    <row r="6250" spans="1:17">
      <c r="A6250" s="175"/>
      <c r="B6250" s="175"/>
      <c r="P6250" s="4"/>
      <c r="Q6250" s="214"/>
    </row>
    <row r="6251" spans="1:17">
      <c r="A6251" s="175"/>
      <c r="B6251" s="175"/>
      <c r="P6251" s="4"/>
      <c r="Q6251" s="214"/>
    </row>
    <row r="6252" spans="1:17">
      <c r="A6252" s="175"/>
      <c r="B6252" s="175"/>
      <c r="P6252" s="4"/>
      <c r="Q6252" s="214"/>
    </row>
    <row r="6253" spans="1:17">
      <c r="A6253" s="175"/>
      <c r="B6253" s="175"/>
      <c r="P6253" s="4"/>
      <c r="Q6253" s="214"/>
    </row>
    <row r="6254" spans="1:17">
      <c r="A6254" s="175"/>
      <c r="B6254" s="175"/>
      <c r="P6254" s="4"/>
      <c r="Q6254" s="214"/>
    </row>
    <row r="6255" spans="1:17">
      <c r="A6255" s="175"/>
      <c r="B6255" s="175"/>
      <c r="P6255" s="4"/>
      <c r="Q6255" s="214"/>
    </row>
    <row r="6256" spans="1:17">
      <c r="A6256" s="175"/>
      <c r="B6256" s="175"/>
      <c r="P6256" s="4"/>
      <c r="Q6256" s="214"/>
    </row>
    <row r="6257" spans="1:17">
      <c r="A6257" s="175"/>
      <c r="B6257" s="175"/>
      <c r="P6257" s="4"/>
      <c r="Q6257" s="214"/>
    </row>
    <row r="6258" spans="1:17">
      <c r="A6258" s="175"/>
      <c r="B6258" s="175"/>
      <c r="P6258" s="4"/>
      <c r="Q6258" s="214"/>
    </row>
    <row r="6259" spans="1:17">
      <c r="A6259" s="175"/>
      <c r="B6259" s="175"/>
      <c r="P6259" s="4"/>
      <c r="Q6259" s="214"/>
    </row>
    <row r="6260" spans="1:17">
      <c r="A6260" s="175"/>
      <c r="B6260" s="175"/>
      <c r="P6260" s="4"/>
      <c r="Q6260" s="214"/>
    </row>
    <row r="6261" spans="1:17">
      <c r="A6261" s="175"/>
      <c r="B6261" s="175"/>
      <c r="P6261" s="4"/>
      <c r="Q6261" s="214"/>
    </row>
    <row r="6262" spans="1:17">
      <c r="A6262" s="175"/>
      <c r="B6262" s="175"/>
      <c r="P6262" s="4"/>
      <c r="Q6262" s="214"/>
    </row>
    <row r="6263" spans="1:17">
      <c r="A6263" s="175"/>
      <c r="B6263" s="175"/>
      <c r="P6263" s="4"/>
      <c r="Q6263" s="214"/>
    </row>
    <row r="6264" spans="1:17">
      <c r="A6264" s="175"/>
      <c r="B6264" s="175"/>
      <c r="P6264" s="4"/>
      <c r="Q6264" s="214"/>
    </row>
    <row r="6265" spans="1:17">
      <c r="A6265" s="175"/>
      <c r="B6265" s="175"/>
      <c r="P6265" s="4"/>
      <c r="Q6265" s="214"/>
    </row>
    <row r="6266" spans="1:17">
      <c r="A6266" s="175"/>
      <c r="B6266" s="175"/>
      <c r="P6266" s="4"/>
      <c r="Q6266" s="214"/>
    </row>
    <row r="6267" spans="1:17">
      <c r="A6267" s="175"/>
      <c r="B6267" s="175"/>
      <c r="P6267" s="4"/>
      <c r="Q6267" s="214"/>
    </row>
    <row r="6268" spans="1:17">
      <c r="A6268" s="175"/>
      <c r="B6268" s="175"/>
      <c r="P6268" s="4"/>
      <c r="Q6268" s="214"/>
    </row>
    <row r="6269" spans="1:17">
      <c r="A6269" s="175"/>
      <c r="B6269" s="175"/>
      <c r="P6269" s="4"/>
      <c r="Q6269" s="214"/>
    </row>
    <row r="6270" spans="1:17">
      <c r="A6270" s="175"/>
      <c r="B6270" s="175"/>
      <c r="P6270" s="4"/>
      <c r="Q6270" s="214"/>
    </row>
    <row r="6271" spans="1:17">
      <c r="A6271" s="175"/>
      <c r="B6271" s="175"/>
      <c r="P6271" s="4"/>
      <c r="Q6271" s="214"/>
    </row>
    <row r="6272" spans="1:17">
      <c r="A6272" s="175"/>
      <c r="B6272" s="175"/>
      <c r="P6272" s="4"/>
      <c r="Q6272" s="214"/>
    </row>
    <row r="6273" spans="1:17">
      <c r="A6273" s="175"/>
      <c r="B6273" s="175"/>
      <c r="P6273" s="4"/>
      <c r="Q6273" s="214"/>
    </row>
    <row r="6274" spans="1:17">
      <c r="A6274" s="175"/>
      <c r="B6274" s="175"/>
      <c r="P6274" s="4"/>
      <c r="Q6274" s="214"/>
    </row>
    <row r="6275" spans="1:17">
      <c r="A6275" s="175"/>
      <c r="B6275" s="175"/>
      <c r="P6275" s="4"/>
      <c r="Q6275" s="214"/>
    </row>
    <row r="6276" spans="1:17">
      <c r="A6276" s="175"/>
      <c r="B6276" s="175"/>
      <c r="P6276" s="4"/>
      <c r="Q6276" s="214"/>
    </row>
    <row r="6277" spans="1:17">
      <c r="A6277" s="175"/>
      <c r="B6277" s="175"/>
      <c r="P6277" s="4"/>
      <c r="Q6277" s="214"/>
    </row>
    <row r="6278" spans="1:17">
      <c r="A6278" s="175"/>
      <c r="B6278" s="175"/>
      <c r="P6278" s="4"/>
      <c r="Q6278" s="214"/>
    </row>
    <row r="6279" spans="1:17">
      <c r="A6279" s="175"/>
      <c r="B6279" s="175"/>
      <c r="P6279" s="4"/>
      <c r="Q6279" s="214"/>
    </row>
    <row r="6280" spans="1:17">
      <c r="A6280" s="175"/>
      <c r="B6280" s="175"/>
      <c r="P6280" s="4"/>
      <c r="Q6280" s="214"/>
    </row>
    <row r="6281" spans="1:17">
      <c r="A6281" s="175"/>
      <c r="B6281" s="175"/>
      <c r="P6281" s="4"/>
      <c r="Q6281" s="214"/>
    </row>
    <row r="6282" spans="1:17">
      <c r="A6282" s="175"/>
      <c r="B6282" s="175"/>
      <c r="P6282" s="4"/>
      <c r="Q6282" s="214"/>
    </row>
    <row r="6283" spans="1:17">
      <c r="A6283" s="175"/>
      <c r="B6283" s="175"/>
      <c r="P6283" s="4"/>
      <c r="Q6283" s="214"/>
    </row>
    <row r="6284" spans="1:17">
      <c r="A6284" s="175"/>
      <c r="B6284" s="175"/>
      <c r="P6284" s="4"/>
      <c r="Q6284" s="214"/>
    </row>
    <row r="6285" spans="1:17">
      <c r="A6285" s="175"/>
      <c r="B6285" s="175"/>
      <c r="P6285" s="4"/>
      <c r="Q6285" s="214"/>
    </row>
    <row r="6286" spans="1:17">
      <c r="A6286" s="175"/>
      <c r="B6286" s="175"/>
      <c r="P6286" s="4"/>
      <c r="Q6286" s="214"/>
    </row>
    <row r="6287" spans="1:17">
      <c r="A6287" s="175"/>
      <c r="B6287" s="175"/>
      <c r="P6287" s="4"/>
      <c r="Q6287" s="214"/>
    </row>
    <row r="6288" spans="1:17">
      <c r="A6288" s="175"/>
      <c r="B6288" s="175"/>
      <c r="P6288" s="4"/>
      <c r="Q6288" s="214"/>
    </row>
    <row r="6289" spans="1:17">
      <c r="A6289" s="175"/>
      <c r="B6289" s="175"/>
      <c r="P6289" s="4"/>
      <c r="Q6289" s="214"/>
    </row>
    <row r="6290" spans="1:17">
      <c r="A6290" s="175"/>
      <c r="B6290" s="175"/>
      <c r="P6290" s="4"/>
      <c r="Q6290" s="214"/>
    </row>
    <row r="6291" spans="1:17">
      <c r="A6291" s="175"/>
      <c r="B6291" s="175"/>
      <c r="P6291" s="4"/>
      <c r="Q6291" s="214"/>
    </row>
    <row r="6292" spans="1:17">
      <c r="A6292" s="175"/>
      <c r="B6292" s="175"/>
      <c r="P6292" s="4"/>
      <c r="Q6292" s="214"/>
    </row>
    <row r="6293" spans="1:17">
      <c r="A6293" s="175"/>
      <c r="B6293" s="175"/>
      <c r="P6293" s="4"/>
      <c r="Q6293" s="214"/>
    </row>
    <row r="6294" spans="1:17">
      <c r="A6294" s="175"/>
      <c r="B6294" s="175"/>
      <c r="P6294" s="4"/>
      <c r="Q6294" s="214"/>
    </row>
    <row r="6295" spans="1:17">
      <c r="A6295" s="175"/>
      <c r="B6295" s="175"/>
      <c r="P6295" s="4"/>
      <c r="Q6295" s="214"/>
    </row>
    <row r="6296" spans="1:17">
      <c r="A6296" s="175"/>
      <c r="B6296" s="175"/>
      <c r="P6296" s="4"/>
      <c r="Q6296" s="214"/>
    </row>
    <row r="6297" spans="1:17">
      <c r="A6297" s="175"/>
      <c r="B6297" s="175"/>
      <c r="P6297" s="4"/>
      <c r="Q6297" s="214"/>
    </row>
    <row r="6298" spans="1:17">
      <c r="A6298" s="175"/>
      <c r="B6298" s="175"/>
      <c r="P6298" s="4"/>
      <c r="Q6298" s="214"/>
    </row>
    <row r="6299" spans="1:17">
      <c r="A6299" s="175"/>
      <c r="B6299" s="175"/>
      <c r="P6299" s="4"/>
      <c r="Q6299" s="214"/>
    </row>
    <row r="6300" spans="1:17">
      <c r="A6300" s="175"/>
      <c r="B6300" s="175"/>
      <c r="P6300" s="4"/>
      <c r="Q6300" s="214"/>
    </row>
    <row r="6301" spans="1:17">
      <c r="A6301" s="175"/>
      <c r="B6301" s="175"/>
      <c r="P6301" s="4"/>
      <c r="Q6301" s="214"/>
    </row>
    <row r="6302" spans="1:17">
      <c r="A6302" s="175"/>
      <c r="B6302" s="175"/>
      <c r="P6302" s="4"/>
      <c r="Q6302" s="214"/>
    </row>
    <row r="6303" spans="1:17">
      <c r="A6303" s="175"/>
      <c r="B6303" s="175"/>
      <c r="P6303" s="4"/>
      <c r="Q6303" s="214"/>
    </row>
    <row r="6304" spans="1:17">
      <c r="A6304" s="175"/>
      <c r="B6304" s="175"/>
      <c r="P6304" s="4"/>
      <c r="Q6304" s="214"/>
    </row>
    <row r="6305" spans="1:17">
      <c r="A6305" s="175"/>
      <c r="B6305" s="175"/>
      <c r="P6305" s="4"/>
      <c r="Q6305" s="214"/>
    </row>
    <row r="6306" spans="1:17">
      <c r="A6306" s="175"/>
      <c r="B6306" s="175"/>
      <c r="P6306" s="4"/>
      <c r="Q6306" s="214"/>
    </row>
    <row r="6307" spans="1:17">
      <c r="A6307" s="175"/>
      <c r="B6307" s="175"/>
      <c r="P6307" s="4"/>
      <c r="Q6307" s="214"/>
    </row>
    <row r="6308" spans="1:17">
      <c r="A6308" s="175"/>
      <c r="B6308" s="175"/>
      <c r="P6308" s="4"/>
      <c r="Q6308" s="214"/>
    </row>
    <row r="6309" spans="1:17">
      <c r="A6309" s="175"/>
      <c r="B6309" s="175"/>
      <c r="P6309" s="4"/>
      <c r="Q6309" s="214"/>
    </row>
    <row r="6310" spans="1:17">
      <c r="A6310" s="175"/>
      <c r="B6310" s="175"/>
      <c r="P6310" s="4"/>
      <c r="Q6310" s="214"/>
    </row>
    <row r="6311" spans="1:17">
      <c r="A6311" s="175"/>
      <c r="B6311" s="175"/>
      <c r="P6311" s="4"/>
      <c r="Q6311" s="214"/>
    </row>
    <row r="6312" spans="1:17">
      <c r="A6312" s="175"/>
      <c r="B6312" s="175"/>
      <c r="P6312" s="4"/>
      <c r="Q6312" s="214"/>
    </row>
    <row r="6313" spans="1:17">
      <c r="A6313" s="175"/>
      <c r="B6313" s="175"/>
      <c r="P6313" s="4"/>
      <c r="Q6313" s="214"/>
    </row>
    <row r="6314" spans="1:17">
      <c r="A6314" s="175"/>
      <c r="B6314" s="175"/>
      <c r="P6314" s="4"/>
      <c r="Q6314" s="214"/>
    </row>
    <row r="6315" spans="1:17">
      <c r="A6315" s="175"/>
      <c r="B6315" s="175"/>
      <c r="P6315" s="4"/>
      <c r="Q6315" s="214"/>
    </row>
    <row r="6316" spans="1:17">
      <c r="A6316" s="175"/>
      <c r="B6316" s="175"/>
      <c r="P6316" s="4"/>
      <c r="Q6316" s="214"/>
    </row>
    <row r="6317" spans="1:17">
      <c r="A6317" s="175"/>
      <c r="B6317" s="175"/>
      <c r="P6317" s="4"/>
      <c r="Q6317" s="214"/>
    </row>
    <row r="6318" spans="1:17">
      <c r="A6318" s="175"/>
      <c r="B6318" s="175"/>
      <c r="P6318" s="4"/>
      <c r="Q6318" s="214"/>
    </row>
    <row r="6319" spans="1:17">
      <c r="A6319" s="175"/>
      <c r="B6319" s="175"/>
      <c r="P6319" s="4"/>
      <c r="Q6319" s="214"/>
    </row>
    <row r="6320" spans="1:17">
      <c r="A6320" s="175"/>
      <c r="B6320" s="175"/>
      <c r="P6320" s="4"/>
      <c r="Q6320" s="214"/>
    </row>
    <row r="6321" spans="1:17">
      <c r="A6321" s="175"/>
      <c r="B6321" s="175"/>
      <c r="P6321" s="4"/>
      <c r="Q6321" s="214"/>
    </row>
    <row r="6322" spans="1:17">
      <c r="A6322" s="175"/>
      <c r="B6322" s="175"/>
      <c r="P6322" s="4"/>
      <c r="Q6322" s="214"/>
    </row>
    <row r="6323" spans="1:17">
      <c r="A6323" s="175"/>
      <c r="B6323" s="175"/>
      <c r="P6323" s="4"/>
      <c r="Q6323" s="214"/>
    </row>
    <row r="6324" spans="1:17">
      <c r="A6324" s="175"/>
      <c r="B6324" s="175"/>
      <c r="P6324" s="4"/>
      <c r="Q6324" s="214"/>
    </row>
    <row r="6325" spans="1:17">
      <c r="A6325" s="175"/>
      <c r="B6325" s="175"/>
      <c r="P6325" s="4"/>
      <c r="Q6325" s="214"/>
    </row>
    <row r="6326" spans="1:17">
      <c r="A6326" s="175"/>
      <c r="B6326" s="175"/>
      <c r="P6326" s="4"/>
      <c r="Q6326" s="214"/>
    </row>
    <row r="6327" spans="1:17">
      <c r="A6327" s="175"/>
      <c r="B6327" s="175"/>
      <c r="P6327" s="4"/>
      <c r="Q6327" s="214"/>
    </row>
    <row r="6328" spans="1:17">
      <c r="A6328" s="175"/>
      <c r="B6328" s="175"/>
      <c r="P6328" s="4"/>
      <c r="Q6328" s="214"/>
    </row>
    <row r="6329" spans="1:17">
      <c r="A6329" s="175"/>
      <c r="B6329" s="175"/>
      <c r="P6329" s="4"/>
      <c r="Q6329" s="214"/>
    </row>
    <row r="6330" spans="1:17">
      <c r="A6330" s="175"/>
      <c r="B6330" s="175"/>
      <c r="P6330" s="4"/>
      <c r="Q6330" s="214"/>
    </row>
    <row r="6331" spans="1:17">
      <c r="A6331" s="175"/>
      <c r="B6331" s="175"/>
      <c r="P6331" s="4"/>
      <c r="Q6331" s="214"/>
    </row>
    <row r="6332" spans="1:17">
      <c r="A6332" s="175"/>
      <c r="B6332" s="175"/>
      <c r="P6332" s="4"/>
      <c r="Q6332" s="214"/>
    </row>
    <row r="6333" spans="1:17">
      <c r="A6333" s="175"/>
      <c r="B6333" s="175"/>
      <c r="P6333" s="4"/>
      <c r="Q6333" s="214"/>
    </row>
    <row r="6334" spans="1:17">
      <c r="A6334" s="175"/>
      <c r="B6334" s="175"/>
      <c r="P6334" s="4"/>
      <c r="Q6334" s="214"/>
    </row>
    <row r="6335" spans="1:17">
      <c r="A6335" s="175"/>
      <c r="B6335" s="175"/>
      <c r="P6335" s="4"/>
      <c r="Q6335" s="214"/>
    </row>
    <row r="6336" spans="1:17">
      <c r="A6336" s="175"/>
      <c r="B6336" s="175"/>
      <c r="P6336" s="4"/>
      <c r="Q6336" s="214"/>
    </row>
    <row r="6337" spans="1:17">
      <c r="A6337" s="175"/>
      <c r="B6337" s="175"/>
      <c r="P6337" s="4"/>
      <c r="Q6337" s="214"/>
    </row>
    <row r="6338" spans="1:17">
      <c r="A6338" s="175"/>
      <c r="B6338" s="175"/>
      <c r="P6338" s="4"/>
      <c r="Q6338" s="214"/>
    </row>
    <row r="6339" spans="1:17">
      <c r="A6339" s="175"/>
      <c r="B6339" s="175"/>
      <c r="P6339" s="4"/>
      <c r="Q6339" s="214"/>
    </row>
    <row r="6340" spans="1:17">
      <c r="A6340" s="175"/>
      <c r="B6340" s="175"/>
      <c r="P6340" s="4"/>
      <c r="Q6340" s="214"/>
    </row>
    <row r="6341" spans="1:17">
      <c r="A6341" s="175"/>
      <c r="B6341" s="175"/>
      <c r="P6341" s="4"/>
      <c r="Q6341" s="214"/>
    </row>
    <row r="6342" spans="1:17">
      <c r="A6342" s="175"/>
      <c r="B6342" s="175"/>
      <c r="P6342" s="4"/>
      <c r="Q6342" s="214"/>
    </row>
    <row r="6343" spans="1:17">
      <c r="A6343" s="175"/>
      <c r="B6343" s="175"/>
      <c r="P6343" s="4"/>
      <c r="Q6343" s="214"/>
    </row>
    <row r="6344" spans="1:17">
      <c r="A6344" s="175"/>
      <c r="B6344" s="175"/>
      <c r="P6344" s="4"/>
      <c r="Q6344" s="214"/>
    </row>
    <row r="6345" spans="1:17">
      <c r="A6345" s="175"/>
      <c r="B6345" s="175"/>
      <c r="P6345" s="4"/>
      <c r="Q6345" s="214"/>
    </row>
    <row r="6346" spans="1:17">
      <c r="A6346" s="175"/>
      <c r="B6346" s="175"/>
      <c r="P6346" s="4"/>
      <c r="Q6346" s="214"/>
    </row>
    <row r="6347" spans="1:17">
      <c r="A6347" s="175"/>
      <c r="B6347" s="175"/>
      <c r="P6347" s="4"/>
      <c r="Q6347" s="214"/>
    </row>
    <row r="6348" spans="1:17">
      <c r="A6348" s="175"/>
      <c r="B6348" s="175"/>
      <c r="P6348" s="4"/>
      <c r="Q6348" s="214"/>
    </row>
    <row r="6349" spans="1:17">
      <c r="A6349" s="175"/>
      <c r="B6349" s="175"/>
      <c r="P6349" s="4"/>
      <c r="Q6349" s="214"/>
    </row>
    <row r="6350" spans="1:17">
      <c r="A6350" s="175"/>
      <c r="B6350" s="175"/>
      <c r="P6350" s="4"/>
      <c r="Q6350" s="214"/>
    </row>
    <row r="6351" spans="1:17">
      <c r="A6351" s="175"/>
      <c r="B6351" s="175"/>
      <c r="P6351" s="4"/>
      <c r="Q6351" s="214"/>
    </row>
    <row r="6352" spans="1:17">
      <c r="A6352" s="175"/>
      <c r="B6352" s="175"/>
      <c r="P6352" s="4"/>
      <c r="Q6352" s="214"/>
    </row>
    <row r="6353" spans="1:17">
      <c r="A6353" s="175"/>
      <c r="B6353" s="175"/>
      <c r="P6353" s="4"/>
      <c r="Q6353" s="214"/>
    </row>
    <row r="6354" spans="1:17">
      <c r="A6354" s="175"/>
      <c r="B6354" s="175"/>
      <c r="P6354" s="4"/>
      <c r="Q6354" s="214"/>
    </row>
    <row r="6355" spans="1:17">
      <c r="A6355" s="175"/>
      <c r="B6355" s="175"/>
      <c r="P6355" s="4"/>
      <c r="Q6355" s="214"/>
    </row>
    <row r="6356" spans="1:17">
      <c r="A6356" s="175"/>
      <c r="B6356" s="175"/>
      <c r="P6356" s="4"/>
      <c r="Q6356" s="214"/>
    </row>
    <row r="6357" spans="1:17">
      <c r="A6357" s="175"/>
      <c r="B6357" s="175"/>
      <c r="P6357" s="4"/>
      <c r="Q6357" s="214"/>
    </row>
    <row r="6358" spans="1:17">
      <c r="A6358" s="175"/>
      <c r="B6358" s="175"/>
      <c r="P6358" s="4"/>
      <c r="Q6358" s="214"/>
    </row>
    <row r="6359" spans="1:17">
      <c r="A6359" s="175"/>
      <c r="B6359" s="175"/>
      <c r="P6359" s="4"/>
      <c r="Q6359" s="214"/>
    </row>
    <row r="6360" spans="1:17">
      <c r="A6360" s="175"/>
      <c r="B6360" s="175"/>
      <c r="P6360" s="4"/>
      <c r="Q6360" s="214"/>
    </row>
    <row r="6361" spans="1:17">
      <c r="A6361" s="175"/>
      <c r="B6361" s="175"/>
      <c r="P6361" s="4"/>
      <c r="Q6361" s="214"/>
    </row>
    <row r="6362" spans="1:17">
      <c r="A6362" s="175"/>
      <c r="B6362" s="175"/>
      <c r="P6362" s="4"/>
      <c r="Q6362" s="214"/>
    </row>
    <row r="6363" spans="1:17">
      <c r="A6363" s="175"/>
      <c r="B6363" s="175"/>
      <c r="P6363" s="4"/>
      <c r="Q6363" s="214"/>
    </row>
    <row r="6364" spans="1:17">
      <c r="A6364" s="175"/>
      <c r="B6364" s="175"/>
      <c r="P6364" s="4"/>
      <c r="Q6364" s="214"/>
    </row>
    <row r="6365" spans="1:17">
      <c r="A6365" s="175"/>
      <c r="B6365" s="175"/>
      <c r="P6365" s="4"/>
      <c r="Q6365" s="214"/>
    </row>
    <row r="6366" spans="1:17">
      <c r="A6366" s="175"/>
      <c r="B6366" s="175"/>
      <c r="P6366" s="4"/>
      <c r="Q6366" s="214"/>
    </row>
    <row r="6367" spans="1:17">
      <c r="A6367" s="175"/>
      <c r="B6367" s="175"/>
      <c r="P6367" s="4"/>
      <c r="Q6367" s="214"/>
    </row>
    <row r="6368" spans="1:17">
      <c r="A6368" s="175"/>
      <c r="B6368" s="175"/>
      <c r="P6368" s="4"/>
      <c r="Q6368" s="214"/>
    </row>
    <row r="6369" spans="1:17">
      <c r="A6369" s="175"/>
      <c r="B6369" s="175"/>
      <c r="P6369" s="4"/>
      <c r="Q6369" s="214"/>
    </row>
    <row r="6370" spans="1:17">
      <c r="A6370" s="175"/>
      <c r="B6370" s="175"/>
      <c r="P6370" s="4"/>
      <c r="Q6370" s="214"/>
    </row>
    <row r="6371" spans="1:17">
      <c r="A6371" s="175"/>
      <c r="B6371" s="175"/>
      <c r="P6371" s="4"/>
      <c r="Q6371" s="214"/>
    </row>
    <row r="6372" spans="1:17">
      <c r="A6372" s="175"/>
      <c r="B6372" s="175"/>
      <c r="P6372" s="4"/>
      <c r="Q6372" s="214"/>
    </row>
    <row r="6373" spans="1:17">
      <c r="A6373" s="175"/>
      <c r="B6373" s="175"/>
      <c r="P6373" s="4"/>
      <c r="Q6373" s="214"/>
    </row>
    <row r="6374" spans="1:17">
      <c r="A6374" s="175"/>
      <c r="B6374" s="175"/>
      <c r="P6374" s="4"/>
      <c r="Q6374" s="214"/>
    </row>
    <row r="6375" spans="1:17">
      <c r="A6375" s="175"/>
      <c r="B6375" s="175"/>
      <c r="P6375" s="4"/>
      <c r="Q6375" s="214"/>
    </row>
    <row r="6376" spans="1:17">
      <c r="A6376" s="175"/>
      <c r="B6376" s="175"/>
      <c r="P6376" s="4"/>
      <c r="Q6376" s="214"/>
    </row>
    <row r="6377" spans="1:17">
      <c r="A6377" s="175"/>
      <c r="B6377" s="175"/>
      <c r="P6377" s="4"/>
      <c r="Q6377" s="214"/>
    </row>
    <row r="6378" spans="1:17">
      <c r="A6378" s="175"/>
      <c r="B6378" s="175"/>
      <c r="P6378" s="4"/>
      <c r="Q6378" s="214"/>
    </row>
    <row r="6379" spans="1:17">
      <c r="A6379" s="175"/>
      <c r="B6379" s="175"/>
      <c r="P6379" s="4"/>
      <c r="Q6379" s="214"/>
    </row>
    <row r="6380" spans="1:17">
      <c r="A6380" s="175"/>
      <c r="B6380" s="175"/>
      <c r="P6380" s="4"/>
      <c r="Q6380" s="214"/>
    </row>
    <row r="6381" spans="1:17">
      <c r="A6381" s="175"/>
      <c r="B6381" s="175"/>
      <c r="P6381" s="4"/>
      <c r="Q6381" s="214"/>
    </row>
    <row r="6382" spans="1:17">
      <c r="A6382" s="175"/>
      <c r="B6382" s="175"/>
      <c r="P6382" s="4"/>
      <c r="Q6382" s="214"/>
    </row>
    <row r="6383" spans="1:17">
      <c r="A6383" s="175"/>
      <c r="B6383" s="175"/>
      <c r="P6383" s="4"/>
      <c r="Q6383" s="214"/>
    </row>
    <row r="6384" spans="1:17">
      <c r="A6384" s="175"/>
      <c r="B6384" s="175"/>
      <c r="P6384" s="4"/>
      <c r="Q6384" s="214"/>
    </row>
    <row r="6385" spans="1:17">
      <c r="A6385" s="175"/>
      <c r="B6385" s="175"/>
      <c r="P6385" s="4"/>
      <c r="Q6385" s="214"/>
    </row>
    <row r="6386" spans="1:17">
      <c r="A6386" s="175"/>
      <c r="B6386" s="175"/>
      <c r="P6386" s="4"/>
      <c r="Q6386" s="214"/>
    </row>
    <row r="6387" spans="1:17">
      <c r="A6387" s="175"/>
      <c r="B6387" s="175"/>
      <c r="P6387" s="4"/>
      <c r="Q6387" s="214"/>
    </row>
    <row r="6388" spans="1:17">
      <c r="A6388" s="175"/>
      <c r="B6388" s="175"/>
      <c r="P6388" s="4"/>
      <c r="Q6388" s="214"/>
    </row>
    <row r="6389" spans="1:17">
      <c r="A6389" s="175"/>
      <c r="B6389" s="175"/>
      <c r="P6389" s="4"/>
      <c r="Q6389" s="214"/>
    </row>
    <row r="6390" spans="1:17">
      <c r="A6390" s="175"/>
      <c r="B6390" s="175"/>
      <c r="P6390" s="4"/>
      <c r="Q6390" s="214"/>
    </row>
    <row r="6391" spans="1:17">
      <c r="A6391" s="175"/>
      <c r="B6391" s="175"/>
      <c r="P6391" s="4"/>
      <c r="Q6391" s="214"/>
    </row>
    <row r="6392" spans="1:17">
      <c r="A6392" s="175"/>
      <c r="B6392" s="175"/>
      <c r="P6392" s="4"/>
      <c r="Q6392" s="214"/>
    </row>
    <row r="6393" spans="1:17">
      <c r="A6393" s="175"/>
      <c r="B6393" s="175"/>
      <c r="P6393" s="4"/>
      <c r="Q6393" s="214"/>
    </row>
    <row r="6394" spans="1:17">
      <c r="A6394" s="175"/>
      <c r="B6394" s="175"/>
      <c r="P6394" s="4"/>
      <c r="Q6394" s="214"/>
    </row>
    <row r="6395" spans="1:17">
      <c r="A6395" s="175"/>
      <c r="B6395" s="175"/>
      <c r="P6395" s="4"/>
      <c r="Q6395" s="214"/>
    </row>
    <row r="6396" spans="1:17">
      <c r="A6396" s="175"/>
      <c r="B6396" s="175"/>
      <c r="P6396" s="4"/>
      <c r="Q6396" s="214"/>
    </row>
    <row r="6397" spans="1:17">
      <c r="A6397" s="175"/>
      <c r="B6397" s="175"/>
      <c r="P6397" s="4"/>
      <c r="Q6397" s="214"/>
    </row>
    <row r="6398" spans="1:17">
      <c r="A6398" s="175"/>
      <c r="B6398" s="175"/>
      <c r="P6398" s="4"/>
      <c r="Q6398" s="214"/>
    </row>
    <row r="6399" spans="1:17">
      <c r="A6399" s="175"/>
      <c r="B6399" s="175"/>
      <c r="P6399" s="4"/>
      <c r="Q6399" s="214"/>
    </row>
    <row r="6400" spans="1:17">
      <c r="A6400" s="175"/>
      <c r="B6400" s="175"/>
      <c r="P6400" s="4"/>
      <c r="Q6400" s="214"/>
    </row>
    <row r="6401" spans="1:17">
      <c r="A6401" s="175"/>
      <c r="B6401" s="175"/>
      <c r="P6401" s="4"/>
      <c r="Q6401" s="214"/>
    </row>
    <row r="6402" spans="1:17">
      <c r="A6402" s="175"/>
      <c r="B6402" s="175"/>
      <c r="P6402" s="4"/>
      <c r="Q6402" s="214"/>
    </row>
    <row r="6403" spans="1:17">
      <c r="A6403" s="175"/>
      <c r="B6403" s="175"/>
      <c r="P6403" s="4"/>
      <c r="Q6403" s="214"/>
    </row>
    <row r="6404" spans="1:17">
      <c r="A6404" s="175"/>
      <c r="B6404" s="175"/>
      <c r="P6404" s="4"/>
      <c r="Q6404" s="214"/>
    </row>
    <row r="6405" spans="1:17">
      <c r="A6405" s="175"/>
      <c r="B6405" s="175"/>
      <c r="P6405" s="4"/>
      <c r="Q6405" s="214"/>
    </row>
    <row r="6406" spans="1:17">
      <c r="A6406" s="175"/>
      <c r="B6406" s="175"/>
      <c r="P6406" s="4"/>
      <c r="Q6406" s="214"/>
    </row>
    <row r="6407" spans="1:17">
      <c r="A6407" s="175"/>
      <c r="B6407" s="175"/>
      <c r="P6407" s="4"/>
      <c r="Q6407" s="214"/>
    </row>
    <row r="6408" spans="1:17">
      <c r="A6408" s="175"/>
      <c r="B6408" s="175"/>
      <c r="P6408" s="4"/>
      <c r="Q6408" s="214"/>
    </row>
    <row r="6409" spans="1:17">
      <c r="A6409" s="175"/>
      <c r="B6409" s="175"/>
      <c r="P6409" s="4"/>
      <c r="Q6409" s="214"/>
    </row>
    <row r="6410" spans="1:17">
      <c r="A6410" s="175"/>
      <c r="B6410" s="175"/>
      <c r="P6410" s="4"/>
      <c r="Q6410" s="214"/>
    </row>
    <row r="6411" spans="1:17">
      <c r="A6411" s="175"/>
      <c r="B6411" s="175"/>
      <c r="P6411" s="4"/>
      <c r="Q6411" s="214"/>
    </row>
    <row r="6412" spans="1:17">
      <c r="A6412" s="175"/>
      <c r="B6412" s="175"/>
      <c r="P6412" s="4"/>
      <c r="Q6412" s="214"/>
    </row>
    <row r="6413" spans="1:17">
      <c r="A6413" s="175"/>
      <c r="B6413" s="175"/>
      <c r="P6413" s="4"/>
      <c r="Q6413" s="214"/>
    </row>
    <row r="6414" spans="1:17">
      <c r="A6414" s="175"/>
      <c r="B6414" s="175"/>
      <c r="P6414" s="4"/>
      <c r="Q6414" s="214"/>
    </row>
    <row r="6415" spans="1:17">
      <c r="A6415" s="175"/>
      <c r="B6415" s="175"/>
      <c r="P6415" s="4"/>
      <c r="Q6415" s="214"/>
    </row>
    <row r="6416" spans="1:17">
      <c r="A6416" s="175"/>
      <c r="B6416" s="175"/>
      <c r="P6416" s="4"/>
      <c r="Q6416" s="214"/>
    </row>
    <row r="6417" spans="1:17">
      <c r="A6417" s="175"/>
      <c r="B6417" s="175"/>
      <c r="P6417" s="4"/>
      <c r="Q6417" s="214"/>
    </row>
    <row r="6418" spans="1:17">
      <c r="A6418" s="175"/>
      <c r="B6418" s="175"/>
      <c r="P6418" s="4"/>
      <c r="Q6418" s="214"/>
    </row>
    <row r="6419" spans="1:17">
      <c r="A6419" s="175"/>
      <c r="B6419" s="175"/>
      <c r="P6419" s="4"/>
      <c r="Q6419" s="214"/>
    </row>
    <row r="6420" spans="1:17">
      <c r="A6420" s="175"/>
      <c r="B6420" s="175"/>
      <c r="P6420" s="4"/>
      <c r="Q6420" s="214"/>
    </row>
    <row r="6421" spans="1:17">
      <c r="A6421" s="175"/>
      <c r="B6421" s="175"/>
      <c r="P6421" s="4"/>
      <c r="Q6421" s="214"/>
    </row>
    <row r="6422" spans="1:17">
      <c r="A6422" s="175"/>
      <c r="B6422" s="175"/>
      <c r="P6422" s="4"/>
      <c r="Q6422" s="214"/>
    </row>
    <row r="6423" spans="1:17">
      <c r="A6423" s="175"/>
      <c r="B6423" s="175"/>
      <c r="P6423" s="4"/>
      <c r="Q6423" s="214"/>
    </row>
    <row r="6424" spans="1:17">
      <c r="A6424" s="175"/>
      <c r="B6424" s="175"/>
      <c r="P6424" s="4"/>
      <c r="Q6424" s="214"/>
    </row>
    <row r="6425" spans="1:17">
      <c r="A6425" s="175"/>
      <c r="B6425" s="175"/>
      <c r="P6425" s="4"/>
      <c r="Q6425" s="214"/>
    </row>
    <row r="6426" spans="1:17">
      <c r="A6426" s="175"/>
      <c r="B6426" s="175"/>
      <c r="P6426" s="4"/>
      <c r="Q6426" s="214"/>
    </row>
    <row r="6427" spans="1:17">
      <c r="A6427" s="175"/>
      <c r="B6427" s="175"/>
      <c r="P6427" s="4"/>
      <c r="Q6427" s="214"/>
    </row>
    <row r="6428" spans="1:17">
      <c r="A6428" s="175"/>
      <c r="B6428" s="175"/>
      <c r="P6428" s="4"/>
      <c r="Q6428" s="214"/>
    </row>
    <row r="6429" spans="1:17">
      <c r="A6429" s="175"/>
      <c r="B6429" s="175"/>
      <c r="P6429" s="4"/>
      <c r="Q6429" s="214"/>
    </row>
    <row r="6430" spans="1:17">
      <c r="A6430" s="175"/>
      <c r="B6430" s="175"/>
      <c r="P6430" s="4"/>
      <c r="Q6430" s="214"/>
    </row>
    <row r="6431" spans="1:17">
      <c r="A6431" s="175"/>
      <c r="B6431" s="175"/>
      <c r="P6431" s="4"/>
      <c r="Q6431" s="214"/>
    </row>
    <row r="6432" spans="1:17">
      <c r="A6432" s="175"/>
      <c r="B6432" s="175"/>
      <c r="P6432" s="4"/>
      <c r="Q6432" s="214"/>
    </row>
    <row r="6433" spans="1:17">
      <c r="A6433" s="175"/>
      <c r="B6433" s="175"/>
      <c r="P6433" s="4"/>
      <c r="Q6433" s="214"/>
    </row>
    <row r="6434" spans="1:17">
      <c r="A6434" s="175"/>
      <c r="B6434" s="175"/>
      <c r="P6434" s="4"/>
      <c r="Q6434" s="214"/>
    </row>
    <row r="6435" spans="1:17">
      <c r="A6435" s="175"/>
      <c r="B6435" s="175"/>
      <c r="P6435" s="4"/>
      <c r="Q6435" s="214"/>
    </row>
    <row r="6436" spans="1:17">
      <c r="A6436" s="175"/>
      <c r="B6436" s="175"/>
      <c r="P6436" s="4"/>
      <c r="Q6436" s="214"/>
    </row>
    <row r="6437" spans="1:17">
      <c r="A6437" s="175"/>
      <c r="B6437" s="175"/>
      <c r="P6437" s="4"/>
      <c r="Q6437" s="214"/>
    </row>
    <row r="6438" spans="1:17">
      <c r="A6438" s="175"/>
      <c r="B6438" s="175"/>
      <c r="P6438" s="4"/>
      <c r="Q6438" s="214"/>
    </row>
    <row r="6439" spans="1:17">
      <c r="A6439" s="175"/>
      <c r="B6439" s="175"/>
      <c r="P6439" s="4"/>
      <c r="Q6439" s="214"/>
    </row>
    <row r="6440" spans="1:17">
      <c r="A6440" s="175"/>
      <c r="B6440" s="175"/>
      <c r="P6440" s="4"/>
      <c r="Q6440" s="214"/>
    </row>
    <row r="6441" spans="1:17">
      <c r="A6441" s="175"/>
      <c r="B6441" s="175"/>
      <c r="P6441" s="4"/>
      <c r="Q6441" s="214"/>
    </row>
    <row r="6442" spans="1:17">
      <c r="A6442" s="175"/>
      <c r="B6442" s="175"/>
      <c r="P6442" s="4"/>
      <c r="Q6442" s="214"/>
    </row>
    <row r="6443" spans="1:17">
      <c r="A6443" s="175"/>
      <c r="B6443" s="175"/>
      <c r="P6443" s="4"/>
      <c r="Q6443" s="214"/>
    </row>
    <row r="6444" spans="1:17">
      <c r="A6444" s="175"/>
      <c r="B6444" s="175"/>
      <c r="P6444" s="4"/>
      <c r="Q6444" s="214"/>
    </row>
    <row r="6445" spans="1:17">
      <c r="A6445" s="175"/>
      <c r="B6445" s="175"/>
      <c r="P6445" s="4"/>
      <c r="Q6445" s="214"/>
    </row>
    <row r="6446" spans="1:17">
      <c r="A6446" s="175"/>
      <c r="B6446" s="175"/>
      <c r="P6446" s="4"/>
      <c r="Q6446" s="214"/>
    </row>
    <row r="6447" spans="1:17">
      <c r="A6447" s="175"/>
      <c r="B6447" s="175"/>
      <c r="P6447" s="4"/>
      <c r="Q6447" s="214"/>
    </row>
    <row r="6448" spans="1:17">
      <c r="A6448" s="175"/>
      <c r="B6448" s="175"/>
      <c r="P6448" s="4"/>
      <c r="Q6448" s="214"/>
    </row>
    <row r="6449" spans="1:17">
      <c r="A6449" s="175"/>
      <c r="B6449" s="175"/>
      <c r="P6449" s="4"/>
      <c r="Q6449" s="214"/>
    </row>
    <row r="6450" spans="1:17">
      <c r="A6450" s="175"/>
      <c r="B6450" s="175"/>
      <c r="P6450" s="4"/>
      <c r="Q6450" s="214"/>
    </row>
    <row r="6451" spans="1:17">
      <c r="A6451" s="175"/>
      <c r="B6451" s="175"/>
      <c r="P6451" s="4"/>
      <c r="Q6451" s="214"/>
    </row>
    <row r="6452" spans="1:17">
      <c r="A6452" s="175"/>
      <c r="B6452" s="175"/>
      <c r="P6452" s="4"/>
      <c r="Q6452" s="214"/>
    </row>
    <row r="6453" spans="1:17">
      <c r="A6453" s="175"/>
      <c r="B6453" s="175"/>
      <c r="P6453" s="4"/>
      <c r="Q6453" s="214"/>
    </row>
    <row r="6454" spans="1:17">
      <c r="A6454" s="175"/>
      <c r="B6454" s="175"/>
      <c r="P6454" s="4"/>
      <c r="Q6454" s="214"/>
    </row>
    <row r="6455" spans="1:17">
      <c r="A6455" s="175"/>
      <c r="B6455" s="175"/>
      <c r="P6455" s="4"/>
      <c r="Q6455" s="214"/>
    </row>
    <row r="6456" spans="1:17">
      <c r="A6456" s="175"/>
      <c r="B6456" s="175"/>
      <c r="P6456" s="4"/>
      <c r="Q6456" s="214"/>
    </row>
    <row r="6457" spans="1:17">
      <c r="A6457" s="175"/>
      <c r="B6457" s="175"/>
      <c r="P6457" s="4"/>
      <c r="Q6457" s="214"/>
    </row>
    <row r="6458" spans="1:17">
      <c r="A6458" s="175"/>
      <c r="B6458" s="175"/>
      <c r="P6458" s="4"/>
      <c r="Q6458" s="214"/>
    </row>
    <row r="6459" spans="1:17">
      <c r="A6459" s="175"/>
      <c r="B6459" s="175"/>
      <c r="P6459" s="4"/>
      <c r="Q6459" s="214"/>
    </row>
    <row r="6460" spans="1:17">
      <c r="A6460" s="175"/>
      <c r="B6460" s="175"/>
      <c r="P6460" s="4"/>
      <c r="Q6460" s="214"/>
    </row>
    <row r="6461" spans="1:17">
      <c r="A6461" s="175"/>
      <c r="B6461" s="175"/>
      <c r="P6461" s="4"/>
      <c r="Q6461" s="214"/>
    </row>
    <row r="6462" spans="1:17">
      <c r="A6462" s="175"/>
      <c r="B6462" s="175"/>
      <c r="P6462" s="4"/>
      <c r="Q6462" s="214"/>
    </row>
    <row r="6463" spans="1:17">
      <c r="A6463" s="175"/>
      <c r="B6463" s="175"/>
      <c r="P6463" s="4"/>
      <c r="Q6463" s="214"/>
    </row>
    <row r="6464" spans="1:17">
      <c r="A6464" s="175"/>
      <c r="B6464" s="175"/>
      <c r="P6464" s="4"/>
      <c r="Q6464" s="214"/>
    </row>
    <row r="6465" spans="1:17">
      <c r="A6465" s="175"/>
      <c r="B6465" s="175"/>
      <c r="P6465" s="4"/>
      <c r="Q6465" s="214"/>
    </row>
    <row r="6466" spans="1:17">
      <c r="A6466" s="175"/>
      <c r="B6466" s="175"/>
      <c r="P6466" s="4"/>
      <c r="Q6466" s="214"/>
    </row>
    <row r="6467" spans="1:17">
      <c r="A6467" s="175"/>
      <c r="B6467" s="175"/>
      <c r="P6467" s="4"/>
      <c r="Q6467" s="214"/>
    </row>
    <row r="6468" spans="1:17">
      <c r="A6468" s="175"/>
      <c r="B6468" s="175"/>
      <c r="P6468" s="4"/>
      <c r="Q6468" s="214"/>
    </row>
    <row r="6469" spans="1:17">
      <c r="A6469" s="175"/>
      <c r="B6469" s="175"/>
      <c r="P6469" s="4"/>
      <c r="Q6469" s="214"/>
    </row>
    <row r="6470" spans="1:17">
      <c r="A6470" s="175"/>
      <c r="B6470" s="175"/>
      <c r="P6470" s="4"/>
      <c r="Q6470" s="214"/>
    </row>
    <row r="6471" spans="1:17">
      <c r="A6471" s="175"/>
      <c r="B6471" s="175"/>
      <c r="P6471" s="4"/>
      <c r="Q6471" s="214"/>
    </row>
    <row r="6472" spans="1:17">
      <c r="A6472" s="175"/>
      <c r="B6472" s="175"/>
      <c r="P6472" s="4"/>
      <c r="Q6472" s="214"/>
    </row>
    <row r="6473" spans="1:17">
      <c r="A6473" s="175"/>
      <c r="B6473" s="175"/>
      <c r="P6473" s="4"/>
      <c r="Q6473" s="214"/>
    </row>
    <row r="6474" spans="1:17">
      <c r="A6474" s="175"/>
      <c r="B6474" s="175"/>
      <c r="P6474" s="4"/>
      <c r="Q6474" s="214"/>
    </row>
    <row r="6475" spans="1:17">
      <c r="A6475" s="175"/>
      <c r="B6475" s="175"/>
      <c r="P6475" s="4"/>
      <c r="Q6475" s="214"/>
    </row>
    <row r="6476" spans="1:17">
      <c r="A6476" s="175"/>
      <c r="B6476" s="175"/>
      <c r="P6476" s="4"/>
      <c r="Q6476" s="214"/>
    </row>
    <row r="6477" spans="1:17">
      <c r="A6477" s="175"/>
      <c r="B6477" s="175"/>
      <c r="P6477" s="4"/>
      <c r="Q6477" s="214"/>
    </row>
    <row r="6478" spans="1:17">
      <c r="A6478" s="175"/>
      <c r="B6478" s="175"/>
      <c r="P6478" s="4"/>
      <c r="Q6478" s="214"/>
    </row>
    <row r="6479" spans="1:17">
      <c r="A6479" s="175"/>
      <c r="B6479" s="175"/>
      <c r="P6479" s="4"/>
      <c r="Q6479" s="214"/>
    </row>
    <row r="6480" spans="1:17">
      <c r="A6480" s="175"/>
      <c r="B6480" s="175"/>
      <c r="P6480" s="4"/>
      <c r="Q6480" s="214"/>
    </row>
    <row r="6481" spans="1:17">
      <c r="A6481" s="175"/>
      <c r="B6481" s="175"/>
      <c r="P6481" s="4"/>
      <c r="Q6481" s="214"/>
    </row>
    <row r="6482" spans="1:17">
      <c r="A6482" s="175"/>
      <c r="B6482" s="175"/>
      <c r="P6482" s="4"/>
      <c r="Q6482" s="214"/>
    </row>
    <row r="6483" spans="1:17">
      <c r="A6483" s="175"/>
      <c r="B6483" s="175"/>
      <c r="P6483" s="4"/>
      <c r="Q6483" s="214"/>
    </row>
    <row r="6484" spans="1:17">
      <c r="A6484" s="175"/>
      <c r="B6484" s="175"/>
      <c r="P6484" s="4"/>
      <c r="Q6484" s="214"/>
    </row>
    <row r="6485" spans="1:17">
      <c r="A6485" s="175"/>
      <c r="B6485" s="175"/>
      <c r="P6485" s="4"/>
      <c r="Q6485" s="214"/>
    </row>
    <row r="6486" spans="1:17">
      <c r="A6486" s="175"/>
      <c r="B6486" s="175"/>
      <c r="P6486" s="4"/>
      <c r="Q6486" s="214"/>
    </row>
    <row r="6487" spans="1:17">
      <c r="A6487" s="175"/>
      <c r="B6487" s="175"/>
      <c r="P6487" s="4"/>
      <c r="Q6487" s="214"/>
    </row>
    <row r="6488" spans="1:17">
      <c r="A6488" s="175"/>
      <c r="B6488" s="175"/>
      <c r="P6488" s="4"/>
      <c r="Q6488" s="214"/>
    </row>
    <row r="6489" spans="1:17">
      <c r="A6489" s="175"/>
      <c r="B6489" s="175"/>
      <c r="P6489" s="4"/>
      <c r="Q6489" s="214"/>
    </row>
    <row r="6490" spans="1:17">
      <c r="A6490" s="175"/>
      <c r="B6490" s="175"/>
      <c r="P6490" s="4"/>
      <c r="Q6490" s="214"/>
    </row>
    <row r="6491" spans="1:17">
      <c r="A6491" s="175"/>
      <c r="B6491" s="175"/>
      <c r="P6491" s="4"/>
      <c r="Q6491" s="214"/>
    </row>
    <row r="6492" spans="1:17">
      <c r="A6492" s="175"/>
      <c r="B6492" s="175"/>
      <c r="P6492" s="4"/>
      <c r="Q6492" s="214"/>
    </row>
    <row r="6493" spans="1:17">
      <c r="A6493" s="175"/>
      <c r="B6493" s="175"/>
      <c r="P6493" s="4"/>
      <c r="Q6493" s="214"/>
    </row>
    <row r="6494" spans="1:17">
      <c r="A6494" s="175"/>
      <c r="B6494" s="175"/>
      <c r="P6494" s="4"/>
      <c r="Q6494" s="214"/>
    </row>
    <row r="6495" spans="1:17">
      <c r="A6495" s="175"/>
      <c r="B6495" s="175"/>
      <c r="P6495" s="4"/>
      <c r="Q6495" s="214"/>
    </row>
    <row r="6496" spans="1:17">
      <c r="A6496" s="175"/>
      <c r="B6496" s="175"/>
      <c r="P6496" s="4"/>
      <c r="Q6496" s="214"/>
    </row>
    <row r="6497" spans="1:17">
      <c r="A6497" s="175"/>
      <c r="B6497" s="175"/>
      <c r="P6497" s="4"/>
      <c r="Q6497" s="214"/>
    </row>
    <row r="6498" spans="1:17">
      <c r="A6498" s="175"/>
      <c r="B6498" s="175"/>
      <c r="P6498" s="4"/>
      <c r="Q6498" s="214"/>
    </row>
    <row r="6499" spans="1:17">
      <c r="A6499" s="175"/>
      <c r="B6499" s="175"/>
      <c r="P6499" s="4"/>
      <c r="Q6499" s="214"/>
    </row>
    <row r="6500" spans="1:17">
      <c r="A6500" s="175"/>
      <c r="B6500" s="175"/>
      <c r="P6500" s="4"/>
      <c r="Q6500" s="214"/>
    </row>
    <row r="6501" spans="1:17">
      <c r="A6501" s="175"/>
      <c r="B6501" s="175"/>
      <c r="P6501" s="4"/>
      <c r="Q6501" s="214"/>
    </row>
    <row r="6502" spans="1:17">
      <c r="A6502" s="175"/>
      <c r="B6502" s="175"/>
      <c r="P6502" s="4"/>
      <c r="Q6502" s="214"/>
    </row>
    <row r="6503" spans="1:17">
      <c r="A6503" s="175"/>
      <c r="B6503" s="175"/>
      <c r="P6503" s="4"/>
      <c r="Q6503" s="214"/>
    </row>
    <row r="6504" spans="1:17">
      <c r="A6504" s="175"/>
      <c r="B6504" s="175"/>
      <c r="P6504" s="4"/>
      <c r="Q6504" s="214"/>
    </row>
    <row r="6505" spans="1:17">
      <c r="A6505" s="175"/>
      <c r="B6505" s="175"/>
      <c r="P6505" s="4"/>
      <c r="Q6505" s="214"/>
    </row>
    <row r="6506" spans="1:17">
      <c r="A6506" s="175"/>
      <c r="B6506" s="175"/>
      <c r="P6506" s="4"/>
      <c r="Q6506" s="214"/>
    </row>
    <row r="6507" spans="1:17">
      <c r="A6507" s="175"/>
      <c r="B6507" s="175"/>
      <c r="P6507" s="4"/>
      <c r="Q6507" s="214"/>
    </row>
    <row r="6508" spans="1:17">
      <c r="A6508" s="175"/>
      <c r="B6508" s="175"/>
      <c r="P6508" s="4"/>
      <c r="Q6508" s="214"/>
    </row>
    <row r="6509" spans="1:17">
      <c r="A6509" s="175"/>
      <c r="B6509" s="175"/>
      <c r="P6509" s="4"/>
      <c r="Q6509" s="214"/>
    </row>
    <row r="6510" spans="1:17">
      <c r="A6510" s="175"/>
      <c r="B6510" s="175"/>
      <c r="P6510" s="4"/>
      <c r="Q6510" s="214"/>
    </row>
    <row r="6511" spans="1:17">
      <c r="A6511" s="175"/>
      <c r="B6511" s="175"/>
      <c r="P6511" s="4"/>
      <c r="Q6511" s="214"/>
    </row>
    <row r="6512" spans="1:17">
      <c r="A6512" s="175"/>
      <c r="B6512" s="175"/>
      <c r="P6512" s="4"/>
      <c r="Q6512" s="214"/>
    </row>
    <row r="6513" spans="1:17">
      <c r="A6513" s="175"/>
      <c r="B6513" s="175"/>
      <c r="P6513" s="4"/>
      <c r="Q6513" s="214"/>
    </row>
    <row r="6514" spans="1:17">
      <c r="A6514" s="175"/>
      <c r="B6514" s="175"/>
      <c r="P6514" s="4"/>
      <c r="Q6514" s="214"/>
    </row>
    <row r="6515" spans="1:17">
      <c r="A6515" s="175"/>
      <c r="B6515" s="175"/>
      <c r="P6515" s="4"/>
      <c r="Q6515" s="214"/>
    </row>
    <row r="6516" spans="1:17">
      <c r="A6516" s="175"/>
      <c r="B6516" s="175"/>
      <c r="P6516" s="4"/>
      <c r="Q6516" s="214"/>
    </row>
    <row r="6517" spans="1:17">
      <c r="A6517" s="175"/>
      <c r="B6517" s="175"/>
      <c r="P6517" s="4"/>
      <c r="Q6517" s="214"/>
    </row>
    <row r="6518" spans="1:17">
      <c r="A6518" s="175"/>
      <c r="B6518" s="175"/>
      <c r="P6518" s="4"/>
      <c r="Q6518" s="214"/>
    </row>
    <row r="6519" spans="1:17">
      <c r="A6519" s="175"/>
      <c r="B6519" s="175"/>
      <c r="P6519" s="4"/>
      <c r="Q6519" s="214"/>
    </row>
    <row r="6520" spans="1:17">
      <c r="A6520" s="175"/>
      <c r="B6520" s="175"/>
      <c r="P6520" s="4"/>
      <c r="Q6520" s="214"/>
    </row>
    <row r="6521" spans="1:17">
      <c r="A6521" s="175"/>
      <c r="B6521" s="175"/>
      <c r="P6521" s="4"/>
      <c r="Q6521" s="214"/>
    </row>
    <row r="6522" spans="1:17">
      <c r="A6522" s="175"/>
      <c r="B6522" s="175"/>
      <c r="P6522" s="4"/>
      <c r="Q6522" s="214"/>
    </row>
    <row r="6523" spans="1:17">
      <c r="A6523" s="175"/>
      <c r="B6523" s="175"/>
      <c r="P6523" s="4"/>
      <c r="Q6523" s="214"/>
    </row>
    <row r="6524" spans="1:17">
      <c r="A6524" s="175"/>
      <c r="B6524" s="175"/>
      <c r="P6524" s="4"/>
      <c r="Q6524" s="214"/>
    </row>
    <row r="6525" spans="1:17">
      <c r="A6525" s="175"/>
      <c r="B6525" s="175"/>
      <c r="P6525" s="4"/>
      <c r="Q6525" s="214"/>
    </row>
    <row r="6526" spans="1:17">
      <c r="A6526" s="175"/>
      <c r="B6526" s="175"/>
      <c r="P6526" s="4"/>
      <c r="Q6526" s="214"/>
    </row>
    <row r="6527" spans="1:17">
      <c r="A6527" s="175"/>
      <c r="B6527" s="175"/>
      <c r="P6527" s="4"/>
      <c r="Q6527" s="214"/>
    </row>
    <row r="6528" spans="1:17">
      <c r="A6528" s="175"/>
      <c r="B6528" s="175"/>
      <c r="P6528" s="4"/>
      <c r="Q6528" s="214"/>
    </row>
    <row r="6529" spans="1:17">
      <c r="A6529" s="175"/>
      <c r="B6529" s="175"/>
      <c r="P6529" s="4"/>
      <c r="Q6529" s="214"/>
    </row>
    <row r="6530" spans="1:17">
      <c r="A6530" s="175"/>
      <c r="B6530" s="175"/>
      <c r="P6530" s="4"/>
      <c r="Q6530" s="214"/>
    </row>
    <row r="6531" spans="1:17">
      <c r="A6531" s="175"/>
      <c r="B6531" s="175"/>
      <c r="P6531" s="4"/>
      <c r="Q6531" s="214"/>
    </row>
    <row r="6532" spans="1:17">
      <c r="A6532" s="175"/>
      <c r="B6532" s="175"/>
      <c r="P6532" s="4"/>
      <c r="Q6532" s="214"/>
    </row>
    <row r="6533" spans="1:17">
      <c r="A6533" s="175"/>
      <c r="B6533" s="175"/>
      <c r="P6533" s="4"/>
      <c r="Q6533" s="214"/>
    </row>
    <row r="6534" spans="1:17">
      <c r="A6534" s="175"/>
      <c r="B6534" s="175"/>
      <c r="P6534" s="4"/>
      <c r="Q6534" s="214"/>
    </row>
    <row r="6535" spans="1:17">
      <c r="A6535" s="175"/>
      <c r="B6535" s="175"/>
      <c r="P6535" s="4"/>
      <c r="Q6535" s="214"/>
    </row>
    <row r="6536" spans="1:17">
      <c r="A6536" s="175"/>
      <c r="B6536" s="175"/>
      <c r="P6536" s="4"/>
      <c r="Q6536" s="214"/>
    </row>
    <row r="6537" spans="1:17">
      <c r="A6537" s="175"/>
      <c r="B6537" s="175"/>
      <c r="P6537" s="4"/>
      <c r="Q6537" s="214"/>
    </row>
    <row r="6538" spans="1:17">
      <c r="A6538" s="175"/>
      <c r="B6538" s="175"/>
      <c r="P6538" s="4"/>
      <c r="Q6538" s="214"/>
    </row>
    <row r="6539" spans="1:17">
      <c r="A6539" s="175"/>
      <c r="B6539" s="175"/>
      <c r="P6539" s="4"/>
      <c r="Q6539" s="214"/>
    </row>
    <row r="6540" spans="1:17">
      <c r="A6540" s="175"/>
      <c r="B6540" s="175"/>
      <c r="P6540" s="4"/>
      <c r="Q6540" s="214"/>
    </row>
    <row r="6541" spans="1:17">
      <c r="A6541" s="175"/>
      <c r="B6541" s="175"/>
      <c r="P6541" s="4"/>
      <c r="Q6541" s="214"/>
    </row>
    <row r="6542" spans="1:17">
      <c r="A6542" s="175"/>
      <c r="B6542" s="175"/>
      <c r="P6542" s="4"/>
      <c r="Q6542" s="214"/>
    </row>
    <row r="6543" spans="1:17">
      <c r="A6543" s="175"/>
      <c r="B6543" s="175"/>
      <c r="P6543" s="4"/>
      <c r="Q6543" s="214"/>
    </row>
    <row r="6544" spans="1:17">
      <c r="A6544" s="175"/>
      <c r="B6544" s="175"/>
      <c r="P6544" s="4"/>
      <c r="Q6544" s="214"/>
    </row>
    <row r="6545" spans="1:17">
      <c r="A6545" s="175"/>
      <c r="B6545" s="175"/>
      <c r="P6545" s="4"/>
      <c r="Q6545" s="214"/>
    </row>
    <row r="6546" spans="1:17">
      <c r="A6546" s="175"/>
      <c r="B6546" s="175"/>
      <c r="P6546" s="4"/>
      <c r="Q6546" s="214"/>
    </row>
    <row r="6547" spans="1:17">
      <c r="A6547" s="175"/>
      <c r="B6547" s="175"/>
      <c r="P6547" s="4"/>
      <c r="Q6547" s="214"/>
    </row>
    <row r="6548" spans="1:17">
      <c r="A6548" s="175"/>
      <c r="B6548" s="175"/>
      <c r="P6548" s="4"/>
      <c r="Q6548" s="214"/>
    </row>
    <row r="6549" spans="1:17">
      <c r="A6549" s="175"/>
      <c r="B6549" s="175"/>
      <c r="P6549" s="4"/>
      <c r="Q6549" s="214"/>
    </row>
    <row r="6550" spans="1:17">
      <c r="A6550" s="175"/>
      <c r="B6550" s="175"/>
      <c r="P6550" s="4"/>
      <c r="Q6550" s="214"/>
    </row>
    <row r="6551" spans="1:17">
      <c r="A6551" s="175"/>
      <c r="B6551" s="175"/>
      <c r="P6551" s="4"/>
      <c r="Q6551" s="214"/>
    </row>
    <row r="6552" spans="1:17">
      <c r="A6552" s="175"/>
      <c r="B6552" s="175"/>
      <c r="P6552" s="4"/>
      <c r="Q6552" s="214"/>
    </row>
    <row r="6553" spans="1:17">
      <c r="A6553" s="175"/>
      <c r="B6553" s="175"/>
      <c r="P6553" s="4"/>
      <c r="Q6553" s="214"/>
    </row>
    <row r="6554" spans="1:17">
      <c r="A6554" s="175"/>
      <c r="B6554" s="175"/>
      <c r="P6554" s="4"/>
      <c r="Q6554" s="214"/>
    </row>
    <row r="6555" spans="1:17">
      <c r="A6555" s="175"/>
      <c r="B6555" s="175"/>
      <c r="P6555" s="4"/>
      <c r="Q6555" s="214"/>
    </row>
    <row r="6556" spans="1:17">
      <c r="A6556" s="175"/>
      <c r="B6556" s="175"/>
      <c r="P6556" s="4"/>
      <c r="Q6556" s="214"/>
    </row>
    <row r="6557" spans="1:17">
      <c r="A6557" s="175"/>
      <c r="B6557" s="175"/>
      <c r="P6557" s="4"/>
      <c r="Q6557" s="214"/>
    </row>
    <row r="6558" spans="1:17">
      <c r="A6558" s="175"/>
      <c r="B6558" s="175"/>
      <c r="P6558" s="4"/>
      <c r="Q6558" s="214"/>
    </row>
    <row r="6559" spans="1:17">
      <c r="A6559" s="175"/>
      <c r="B6559" s="175"/>
      <c r="P6559" s="4"/>
      <c r="Q6559" s="214"/>
    </row>
    <row r="6560" spans="1:17">
      <c r="A6560" s="175"/>
      <c r="B6560" s="175"/>
      <c r="P6560" s="4"/>
      <c r="Q6560" s="214"/>
    </row>
    <row r="6561" spans="1:17">
      <c r="A6561" s="175"/>
      <c r="B6561" s="175"/>
      <c r="P6561" s="4"/>
      <c r="Q6561" s="214"/>
    </row>
    <row r="6562" spans="1:17">
      <c r="A6562" s="175"/>
      <c r="B6562" s="175"/>
      <c r="P6562" s="4"/>
      <c r="Q6562" s="214"/>
    </row>
    <row r="6563" spans="1:17">
      <c r="A6563" s="175"/>
      <c r="B6563" s="175"/>
      <c r="P6563" s="4"/>
      <c r="Q6563" s="214"/>
    </row>
    <row r="6564" spans="1:17">
      <c r="A6564" s="175"/>
      <c r="B6564" s="175"/>
      <c r="P6564" s="4"/>
      <c r="Q6564" s="214"/>
    </row>
    <row r="6565" spans="1:17">
      <c r="A6565" s="175"/>
      <c r="B6565" s="175"/>
      <c r="P6565" s="4"/>
      <c r="Q6565" s="214"/>
    </row>
    <row r="6566" spans="1:17">
      <c r="A6566" s="175"/>
      <c r="B6566" s="175"/>
      <c r="P6566" s="4"/>
      <c r="Q6566" s="214"/>
    </row>
    <row r="6567" spans="1:17">
      <c r="A6567" s="175"/>
      <c r="B6567" s="175"/>
      <c r="P6567" s="4"/>
      <c r="Q6567" s="214"/>
    </row>
    <row r="6568" spans="1:17">
      <c r="A6568" s="175"/>
      <c r="B6568" s="175"/>
      <c r="P6568" s="4"/>
      <c r="Q6568" s="214"/>
    </row>
    <row r="6569" spans="1:17">
      <c r="A6569" s="175"/>
      <c r="B6569" s="175"/>
      <c r="P6569" s="4"/>
      <c r="Q6569" s="214"/>
    </row>
    <row r="6570" spans="1:17">
      <c r="A6570" s="175"/>
      <c r="B6570" s="175"/>
      <c r="P6570" s="4"/>
      <c r="Q6570" s="214"/>
    </row>
    <row r="6571" spans="1:17">
      <c r="A6571" s="175"/>
      <c r="B6571" s="175"/>
      <c r="P6571" s="4"/>
      <c r="Q6571" s="214"/>
    </row>
    <row r="6572" spans="1:17">
      <c r="A6572" s="175"/>
      <c r="B6572" s="175"/>
      <c r="P6572" s="4"/>
      <c r="Q6572" s="214"/>
    </row>
    <row r="6573" spans="1:17">
      <c r="A6573" s="175"/>
      <c r="B6573" s="175"/>
      <c r="P6573" s="4"/>
      <c r="Q6573" s="214"/>
    </row>
    <row r="6574" spans="1:17">
      <c r="A6574" s="175"/>
      <c r="B6574" s="175"/>
      <c r="P6574" s="4"/>
      <c r="Q6574" s="214"/>
    </row>
    <row r="6575" spans="1:17">
      <c r="A6575" s="175"/>
      <c r="B6575" s="175"/>
      <c r="P6575" s="4"/>
      <c r="Q6575" s="214"/>
    </row>
    <row r="6576" spans="1:17">
      <c r="A6576" s="175"/>
      <c r="B6576" s="175"/>
      <c r="P6576" s="4"/>
      <c r="Q6576" s="214"/>
    </row>
    <row r="6577" spans="1:17">
      <c r="A6577" s="175"/>
      <c r="B6577" s="175"/>
      <c r="P6577" s="4"/>
      <c r="Q6577" s="214"/>
    </row>
    <row r="6578" spans="1:17">
      <c r="A6578" s="175"/>
      <c r="B6578" s="175"/>
      <c r="P6578" s="4"/>
      <c r="Q6578" s="214"/>
    </row>
    <row r="6579" spans="1:17">
      <c r="A6579" s="175"/>
      <c r="B6579" s="175"/>
      <c r="P6579" s="4"/>
      <c r="Q6579" s="214"/>
    </row>
    <row r="6580" spans="1:17">
      <c r="A6580" s="175"/>
      <c r="B6580" s="175"/>
      <c r="P6580" s="4"/>
      <c r="Q6580" s="214"/>
    </row>
    <row r="6581" spans="1:17">
      <c r="A6581" s="175"/>
      <c r="B6581" s="175"/>
      <c r="P6581" s="4"/>
      <c r="Q6581" s="214"/>
    </row>
    <row r="6582" spans="1:17">
      <c r="A6582" s="175"/>
      <c r="B6582" s="175"/>
      <c r="P6582" s="4"/>
      <c r="Q6582" s="214"/>
    </row>
    <row r="6583" spans="1:17">
      <c r="A6583" s="175"/>
      <c r="B6583" s="175"/>
      <c r="P6583" s="4"/>
      <c r="Q6583" s="214"/>
    </row>
    <row r="6584" spans="1:17">
      <c r="A6584" s="175"/>
      <c r="B6584" s="175"/>
      <c r="P6584" s="4"/>
      <c r="Q6584" s="214"/>
    </row>
    <row r="6585" spans="1:17">
      <c r="A6585" s="175"/>
      <c r="B6585" s="175"/>
      <c r="P6585" s="4"/>
      <c r="Q6585" s="214"/>
    </row>
    <row r="6586" spans="1:17">
      <c r="A6586" s="175"/>
      <c r="B6586" s="175"/>
      <c r="P6586" s="4"/>
      <c r="Q6586" s="214"/>
    </row>
    <row r="6587" spans="1:17">
      <c r="A6587" s="175"/>
      <c r="B6587" s="175"/>
      <c r="P6587" s="4"/>
      <c r="Q6587" s="214"/>
    </row>
    <row r="6588" spans="1:17">
      <c r="A6588" s="175"/>
      <c r="B6588" s="175"/>
      <c r="P6588" s="4"/>
      <c r="Q6588" s="214"/>
    </row>
    <row r="6589" spans="1:17">
      <c r="A6589" s="175"/>
      <c r="B6589" s="175"/>
      <c r="P6589" s="4"/>
      <c r="Q6589" s="214"/>
    </row>
    <row r="6590" spans="1:17">
      <c r="A6590" s="175"/>
      <c r="B6590" s="175"/>
      <c r="P6590" s="4"/>
      <c r="Q6590" s="214"/>
    </row>
    <row r="6591" spans="1:17">
      <c r="A6591" s="175"/>
      <c r="B6591" s="175"/>
      <c r="P6591" s="4"/>
      <c r="Q6591" s="214"/>
    </row>
    <row r="6592" spans="1:17">
      <c r="A6592" s="175"/>
      <c r="B6592" s="175"/>
      <c r="P6592" s="4"/>
      <c r="Q6592" s="214"/>
    </row>
    <row r="6593" spans="1:17">
      <c r="A6593" s="175"/>
      <c r="B6593" s="175"/>
      <c r="P6593" s="4"/>
      <c r="Q6593" s="214"/>
    </row>
    <row r="6594" spans="1:17">
      <c r="A6594" s="175"/>
      <c r="B6594" s="175"/>
      <c r="P6594" s="4"/>
      <c r="Q6594" s="214"/>
    </row>
    <row r="6595" spans="1:17">
      <c r="A6595" s="175"/>
      <c r="B6595" s="175"/>
      <c r="P6595" s="4"/>
      <c r="Q6595" s="214"/>
    </row>
    <row r="6596" spans="1:17">
      <c r="A6596" s="175"/>
      <c r="B6596" s="175"/>
      <c r="P6596" s="4"/>
      <c r="Q6596" s="214"/>
    </row>
    <row r="6597" spans="1:17">
      <c r="A6597" s="175"/>
      <c r="B6597" s="175"/>
      <c r="P6597" s="4"/>
      <c r="Q6597" s="214"/>
    </row>
    <row r="6598" spans="1:17">
      <c r="A6598" s="175"/>
      <c r="B6598" s="175"/>
      <c r="P6598" s="4"/>
      <c r="Q6598" s="214"/>
    </row>
    <row r="6599" spans="1:17">
      <c r="A6599" s="175"/>
      <c r="B6599" s="175"/>
      <c r="P6599" s="4"/>
      <c r="Q6599" s="214"/>
    </row>
    <row r="6600" spans="1:17">
      <c r="A6600" s="175"/>
      <c r="B6600" s="175"/>
      <c r="P6600" s="4"/>
      <c r="Q6600" s="214"/>
    </row>
    <row r="6601" spans="1:17">
      <c r="A6601" s="175"/>
      <c r="B6601" s="175"/>
      <c r="P6601" s="4"/>
      <c r="Q6601" s="214"/>
    </row>
    <row r="6602" spans="1:17">
      <c r="A6602" s="175"/>
      <c r="B6602" s="175"/>
      <c r="P6602" s="4"/>
      <c r="Q6602" s="214"/>
    </row>
    <row r="6603" spans="1:17">
      <c r="A6603" s="175"/>
      <c r="B6603" s="175"/>
      <c r="P6603" s="4"/>
      <c r="Q6603" s="214"/>
    </row>
    <row r="6604" spans="1:17">
      <c r="A6604" s="175"/>
      <c r="B6604" s="175"/>
      <c r="P6604" s="4"/>
      <c r="Q6604" s="214"/>
    </row>
    <row r="6605" spans="1:17">
      <c r="A6605" s="175"/>
      <c r="B6605" s="175"/>
      <c r="P6605" s="4"/>
      <c r="Q6605" s="214"/>
    </row>
    <row r="6606" spans="1:17">
      <c r="A6606" s="175"/>
      <c r="B6606" s="175"/>
      <c r="P6606" s="4"/>
      <c r="Q6606" s="214"/>
    </row>
    <row r="6607" spans="1:17">
      <c r="A6607" s="175"/>
      <c r="B6607" s="175"/>
      <c r="P6607" s="4"/>
      <c r="Q6607" s="214"/>
    </row>
    <row r="6608" spans="1:17">
      <c r="A6608" s="175"/>
      <c r="B6608" s="175"/>
      <c r="P6608" s="4"/>
      <c r="Q6608" s="214"/>
    </row>
    <row r="6609" spans="1:17">
      <c r="A6609" s="175"/>
      <c r="B6609" s="175"/>
      <c r="P6609" s="4"/>
      <c r="Q6609" s="214"/>
    </row>
    <row r="6610" spans="1:17">
      <c r="A6610" s="175"/>
      <c r="B6610" s="175"/>
      <c r="P6610" s="4"/>
      <c r="Q6610" s="214"/>
    </row>
    <row r="6611" spans="1:17">
      <c r="A6611" s="175"/>
      <c r="B6611" s="175"/>
      <c r="P6611" s="4"/>
      <c r="Q6611" s="214"/>
    </row>
    <row r="6612" spans="1:17">
      <c r="A6612" s="175"/>
      <c r="B6612" s="175"/>
      <c r="P6612" s="4"/>
      <c r="Q6612" s="214"/>
    </row>
    <row r="6613" spans="1:17">
      <c r="A6613" s="175"/>
      <c r="B6613" s="175"/>
      <c r="P6613" s="4"/>
      <c r="Q6613" s="214"/>
    </row>
    <row r="6614" spans="1:17">
      <c r="A6614" s="175"/>
      <c r="B6614" s="175"/>
      <c r="P6614" s="4"/>
      <c r="Q6614" s="214"/>
    </row>
    <row r="6615" spans="1:17">
      <c r="A6615" s="175"/>
      <c r="B6615" s="175"/>
      <c r="P6615" s="4"/>
      <c r="Q6615" s="214"/>
    </row>
    <row r="6616" spans="1:17">
      <c r="A6616" s="175"/>
      <c r="B6616" s="175"/>
      <c r="P6616" s="4"/>
      <c r="Q6616" s="214"/>
    </row>
    <row r="6617" spans="1:17">
      <c r="A6617" s="175"/>
      <c r="B6617" s="175"/>
      <c r="P6617" s="4"/>
      <c r="Q6617" s="214"/>
    </row>
    <row r="6618" spans="1:17">
      <c r="A6618" s="175"/>
      <c r="B6618" s="175"/>
      <c r="P6618" s="4"/>
      <c r="Q6618" s="214"/>
    </row>
    <row r="6619" spans="1:17">
      <c r="A6619" s="175"/>
      <c r="B6619" s="175"/>
      <c r="P6619" s="4"/>
      <c r="Q6619" s="214"/>
    </row>
    <row r="6620" spans="1:17">
      <c r="A6620" s="175"/>
      <c r="B6620" s="175"/>
      <c r="P6620" s="4"/>
      <c r="Q6620" s="214"/>
    </row>
    <row r="6621" spans="1:17">
      <c r="A6621" s="175"/>
      <c r="B6621" s="175"/>
      <c r="P6621" s="4"/>
      <c r="Q6621" s="214"/>
    </row>
    <row r="6622" spans="1:17">
      <c r="A6622" s="175"/>
      <c r="B6622" s="175"/>
      <c r="P6622" s="4"/>
      <c r="Q6622" s="214"/>
    </row>
    <row r="6623" spans="1:17">
      <c r="A6623" s="175"/>
      <c r="B6623" s="175"/>
      <c r="P6623" s="4"/>
      <c r="Q6623" s="214"/>
    </row>
    <row r="6624" spans="1:17">
      <c r="A6624" s="175"/>
      <c r="B6624" s="175"/>
      <c r="P6624" s="4"/>
      <c r="Q6624" s="214"/>
    </row>
    <row r="6625" spans="1:17">
      <c r="A6625" s="175"/>
      <c r="B6625" s="175"/>
      <c r="P6625" s="4"/>
      <c r="Q6625" s="214"/>
    </row>
    <row r="6626" spans="1:17">
      <c r="A6626" s="175"/>
      <c r="B6626" s="175"/>
      <c r="P6626" s="4"/>
      <c r="Q6626" s="214"/>
    </row>
    <row r="6627" spans="1:17">
      <c r="A6627" s="175"/>
      <c r="B6627" s="175"/>
      <c r="P6627" s="4"/>
      <c r="Q6627" s="214"/>
    </row>
    <row r="6628" spans="1:17">
      <c r="A6628" s="175"/>
      <c r="B6628" s="175"/>
      <c r="P6628" s="4"/>
      <c r="Q6628" s="214"/>
    </row>
    <row r="6629" spans="1:17">
      <c r="A6629" s="175"/>
      <c r="B6629" s="175"/>
      <c r="P6629" s="4"/>
      <c r="Q6629" s="214"/>
    </row>
    <row r="6630" spans="1:17">
      <c r="A6630" s="175"/>
      <c r="B6630" s="175"/>
      <c r="P6630" s="4"/>
      <c r="Q6630" s="214"/>
    </row>
    <row r="6631" spans="1:17">
      <c r="A6631" s="175"/>
      <c r="B6631" s="175"/>
      <c r="P6631" s="4"/>
      <c r="Q6631" s="214"/>
    </row>
    <row r="6632" spans="1:17">
      <c r="A6632" s="175"/>
      <c r="B6632" s="175"/>
      <c r="P6632" s="4"/>
      <c r="Q6632" s="214"/>
    </row>
    <row r="6633" spans="1:17">
      <c r="A6633" s="175"/>
      <c r="B6633" s="175"/>
      <c r="P6633" s="4"/>
      <c r="Q6633" s="214"/>
    </row>
    <row r="6634" spans="1:17">
      <c r="A6634" s="175"/>
      <c r="B6634" s="175"/>
      <c r="P6634" s="4"/>
      <c r="Q6634" s="214"/>
    </row>
    <row r="6635" spans="1:17">
      <c r="A6635" s="175"/>
      <c r="B6635" s="175"/>
      <c r="P6635" s="4"/>
      <c r="Q6635" s="214"/>
    </row>
    <row r="6636" spans="1:17">
      <c r="A6636" s="175"/>
      <c r="B6636" s="175"/>
      <c r="P6636" s="4"/>
      <c r="Q6636" s="214"/>
    </row>
    <row r="6637" spans="1:17">
      <c r="A6637" s="175"/>
      <c r="B6637" s="175"/>
      <c r="P6637" s="4"/>
      <c r="Q6637" s="214"/>
    </row>
    <row r="6638" spans="1:17">
      <c r="A6638" s="175"/>
      <c r="B6638" s="175"/>
      <c r="P6638" s="4"/>
      <c r="Q6638" s="214"/>
    </row>
    <row r="6639" spans="1:17">
      <c r="A6639" s="175"/>
      <c r="B6639" s="175"/>
      <c r="P6639" s="4"/>
      <c r="Q6639" s="214"/>
    </row>
    <row r="6640" spans="1:17">
      <c r="A6640" s="175"/>
      <c r="B6640" s="175"/>
      <c r="P6640" s="4"/>
      <c r="Q6640" s="214"/>
    </row>
    <row r="6641" spans="1:17">
      <c r="A6641" s="175"/>
      <c r="B6641" s="175"/>
      <c r="P6641" s="4"/>
      <c r="Q6641" s="214"/>
    </row>
    <row r="6642" spans="1:17">
      <c r="A6642" s="175"/>
      <c r="B6642" s="175"/>
      <c r="P6642" s="4"/>
      <c r="Q6642" s="214"/>
    </row>
    <row r="6643" spans="1:17">
      <c r="A6643" s="175"/>
      <c r="B6643" s="175"/>
      <c r="P6643" s="4"/>
      <c r="Q6643" s="214"/>
    </row>
    <row r="6644" spans="1:17">
      <c r="A6644" s="175"/>
      <c r="B6644" s="175"/>
      <c r="P6644" s="4"/>
      <c r="Q6644" s="214"/>
    </row>
    <row r="6645" spans="1:17">
      <c r="A6645" s="175"/>
      <c r="B6645" s="175"/>
      <c r="P6645" s="4"/>
      <c r="Q6645" s="214"/>
    </row>
    <row r="6646" spans="1:17">
      <c r="A6646" s="175"/>
      <c r="B6646" s="175"/>
      <c r="P6646" s="4"/>
      <c r="Q6646" s="214"/>
    </row>
    <row r="6647" spans="1:17">
      <c r="A6647" s="175"/>
      <c r="B6647" s="175"/>
      <c r="P6647" s="4"/>
      <c r="Q6647" s="214"/>
    </row>
    <row r="6648" spans="1:17">
      <c r="A6648" s="175"/>
      <c r="B6648" s="175"/>
      <c r="P6648" s="4"/>
      <c r="Q6648" s="214"/>
    </row>
    <row r="6649" spans="1:17">
      <c r="A6649" s="175"/>
      <c r="B6649" s="175"/>
      <c r="P6649" s="4"/>
      <c r="Q6649" s="214"/>
    </row>
    <row r="6650" spans="1:17">
      <c r="A6650" s="175"/>
      <c r="B6650" s="175"/>
      <c r="P6650" s="4"/>
      <c r="Q6650" s="214"/>
    </row>
    <row r="6651" spans="1:17">
      <c r="A6651" s="175"/>
      <c r="B6651" s="175"/>
      <c r="P6651" s="4"/>
      <c r="Q6651" s="214"/>
    </row>
    <row r="6652" spans="1:17">
      <c r="A6652" s="175"/>
      <c r="B6652" s="175"/>
      <c r="P6652" s="4"/>
      <c r="Q6652" s="214"/>
    </row>
    <row r="6653" spans="1:17">
      <c r="A6653" s="175"/>
      <c r="B6653" s="175"/>
      <c r="P6653" s="4"/>
      <c r="Q6653" s="214"/>
    </row>
    <row r="6654" spans="1:17">
      <c r="A6654" s="175"/>
      <c r="B6654" s="175"/>
      <c r="P6654" s="4"/>
      <c r="Q6654" s="214"/>
    </row>
    <row r="6655" spans="1:17">
      <c r="A6655" s="175"/>
      <c r="B6655" s="175"/>
      <c r="P6655" s="4"/>
      <c r="Q6655" s="214"/>
    </row>
    <row r="6656" spans="1:17">
      <c r="A6656" s="175"/>
      <c r="B6656" s="175"/>
      <c r="P6656" s="4"/>
      <c r="Q6656" s="214"/>
    </row>
    <row r="6657" spans="1:17">
      <c r="A6657" s="175"/>
      <c r="B6657" s="175"/>
      <c r="P6657" s="4"/>
      <c r="Q6657" s="214"/>
    </row>
    <row r="6658" spans="1:17">
      <c r="A6658" s="175"/>
      <c r="B6658" s="175"/>
      <c r="P6658" s="4"/>
      <c r="Q6658" s="214"/>
    </row>
    <row r="6659" spans="1:17">
      <c r="A6659" s="175"/>
      <c r="B6659" s="175"/>
      <c r="P6659" s="4"/>
      <c r="Q6659" s="214"/>
    </row>
    <row r="6660" spans="1:17">
      <c r="A6660" s="175"/>
      <c r="B6660" s="175"/>
      <c r="P6660" s="4"/>
      <c r="Q6660" s="214"/>
    </row>
    <row r="6661" spans="1:17">
      <c r="A6661" s="175"/>
      <c r="B6661" s="175"/>
      <c r="P6661" s="4"/>
      <c r="Q6661" s="214"/>
    </row>
    <row r="6662" spans="1:17">
      <c r="A6662" s="175"/>
      <c r="B6662" s="175"/>
      <c r="P6662" s="4"/>
      <c r="Q6662" s="214"/>
    </row>
    <row r="6663" spans="1:17">
      <c r="A6663" s="175"/>
      <c r="B6663" s="175"/>
      <c r="P6663" s="4"/>
      <c r="Q6663" s="214"/>
    </row>
    <row r="6664" spans="1:17">
      <c r="A6664" s="175"/>
      <c r="B6664" s="175"/>
      <c r="P6664" s="4"/>
      <c r="Q6664" s="214"/>
    </row>
    <row r="6665" spans="1:17">
      <c r="A6665" s="175"/>
      <c r="B6665" s="175"/>
      <c r="P6665" s="4"/>
      <c r="Q6665" s="214"/>
    </row>
    <row r="6666" spans="1:17">
      <c r="A6666" s="175"/>
      <c r="B6666" s="175"/>
      <c r="P6666" s="4"/>
      <c r="Q6666" s="214"/>
    </row>
    <row r="6667" spans="1:17">
      <c r="A6667" s="175"/>
      <c r="B6667" s="175"/>
      <c r="P6667" s="4"/>
      <c r="Q6667" s="214"/>
    </row>
    <row r="6668" spans="1:17">
      <c r="A6668" s="175"/>
      <c r="B6668" s="175"/>
      <c r="P6668" s="4"/>
      <c r="Q6668" s="214"/>
    </row>
    <row r="6669" spans="1:17">
      <c r="A6669" s="175"/>
      <c r="B6669" s="175"/>
      <c r="P6669" s="4"/>
      <c r="Q6669" s="214"/>
    </row>
    <row r="6670" spans="1:17">
      <c r="A6670" s="175"/>
      <c r="B6670" s="175"/>
      <c r="P6670" s="4"/>
      <c r="Q6670" s="214"/>
    </row>
    <row r="6671" spans="1:17">
      <c r="A6671" s="175"/>
      <c r="B6671" s="175"/>
      <c r="P6671" s="4"/>
      <c r="Q6671" s="214"/>
    </row>
    <row r="6672" spans="1:17">
      <c r="A6672" s="175"/>
      <c r="B6672" s="175"/>
      <c r="P6672" s="4"/>
      <c r="Q6672" s="214"/>
    </row>
    <row r="6673" spans="1:17">
      <c r="A6673" s="175"/>
      <c r="B6673" s="175"/>
      <c r="P6673" s="4"/>
      <c r="Q6673" s="214"/>
    </row>
    <row r="6674" spans="1:17">
      <c r="A6674" s="175"/>
      <c r="B6674" s="175"/>
      <c r="P6674" s="4"/>
      <c r="Q6674" s="214"/>
    </row>
    <row r="6675" spans="1:17">
      <c r="A6675" s="175"/>
      <c r="B6675" s="175"/>
      <c r="P6675" s="4"/>
      <c r="Q6675" s="214"/>
    </row>
    <row r="6676" spans="1:17">
      <c r="A6676" s="175"/>
      <c r="B6676" s="175"/>
      <c r="P6676" s="4"/>
      <c r="Q6676" s="214"/>
    </row>
    <row r="6677" spans="1:17">
      <c r="A6677" s="175"/>
      <c r="B6677" s="175"/>
      <c r="P6677" s="4"/>
      <c r="Q6677" s="214"/>
    </row>
    <row r="6678" spans="1:17">
      <c r="A6678" s="175"/>
      <c r="B6678" s="175"/>
      <c r="P6678" s="4"/>
      <c r="Q6678" s="214"/>
    </row>
    <row r="6679" spans="1:17">
      <c r="A6679" s="175"/>
      <c r="B6679" s="175"/>
      <c r="P6679" s="4"/>
      <c r="Q6679" s="214"/>
    </row>
    <row r="6680" spans="1:17">
      <c r="A6680" s="175"/>
      <c r="B6680" s="175"/>
      <c r="P6680" s="4"/>
      <c r="Q6680" s="214"/>
    </row>
    <row r="6681" spans="1:17">
      <c r="A6681" s="175"/>
      <c r="B6681" s="175"/>
      <c r="P6681" s="4"/>
      <c r="Q6681" s="214"/>
    </row>
    <row r="6682" spans="1:17">
      <c r="A6682" s="175"/>
      <c r="B6682" s="175"/>
      <c r="P6682" s="4"/>
      <c r="Q6682" s="214"/>
    </row>
    <row r="6683" spans="1:17">
      <c r="A6683" s="175"/>
      <c r="B6683" s="175"/>
      <c r="P6683" s="4"/>
      <c r="Q6683" s="214"/>
    </row>
    <row r="6684" spans="1:17">
      <c r="A6684" s="175"/>
      <c r="B6684" s="175"/>
      <c r="P6684" s="4"/>
      <c r="Q6684" s="214"/>
    </row>
    <row r="6685" spans="1:17">
      <c r="A6685" s="175"/>
      <c r="B6685" s="175"/>
      <c r="P6685" s="4"/>
      <c r="Q6685" s="214"/>
    </row>
    <row r="6686" spans="1:17">
      <c r="A6686" s="175"/>
      <c r="B6686" s="175"/>
      <c r="P6686" s="4"/>
      <c r="Q6686" s="214"/>
    </row>
    <row r="6687" spans="1:17">
      <c r="A6687" s="175"/>
      <c r="B6687" s="175"/>
      <c r="P6687" s="4"/>
      <c r="Q6687" s="214"/>
    </row>
    <row r="6688" spans="1:17">
      <c r="A6688" s="175"/>
      <c r="B6688" s="175"/>
      <c r="P6688" s="4"/>
      <c r="Q6688" s="214"/>
    </row>
    <row r="6689" spans="1:17">
      <c r="A6689" s="175"/>
      <c r="B6689" s="175"/>
      <c r="P6689" s="4"/>
      <c r="Q6689" s="214"/>
    </row>
    <row r="6690" spans="1:17">
      <c r="A6690" s="175"/>
      <c r="B6690" s="175"/>
      <c r="P6690" s="4"/>
      <c r="Q6690" s="214"/>
    </row>
    <row r="6691" spans="1:17">
      <c r="A6691" s="175"/>
      <c r="B6691" s="175"/>
      <c r="P6691" s="4"/>
      <c r="Q6691" s="214"/>
    </row>
    <row r="6692" spans="1:17">
      <c r="A6692" s="175"/>
      <c r="B6692" s="175"/>
      <c r="P6692" s="4"/>
      <c r="Q6692" s="214"/>
    </row>
    <row r="6693" spans="1:17">
      <c r="A6693" s="175"/>
      <c r="B6693" s="175"/>
      <c r="P6693" s="4"/>
      <c r="Q6693" s="214"/>
    </row>
    <row r="6694" spans="1:17">
      <c r="A6694" s="175"/>
      <c r="B6694" s="175"/>
      <c r="P6694" s="4"/>
      <c r="Q6694" s="214"/>
    </row>
    <row r="6695" spans="1:17">
      <c r="A6695" s="175"/>
      <c r="B6695" s="175"/>
      <c r="P6695" s="4"/>
      <c r="Q6695" s="214"/>
    </row>
    <row r="6696" spans="1:17">
      <c r="A6696" s="175"/>
      <c r="B6696" s="175"/>
      <c r="P6696" s="4"/>
      <c r="Q6696" s="214"/>
    </row>
    <row r="6697" spans="1:17">
      <c r="A6697" s="175"/>
      <c r="B6697" s="175"/>
      <c r="P6697" s="4"/>
      <c r="Q6697" s="214"/>
    </row>
    <row r="6698" spans="1:17">
      <c r="A6698" s="175"/>
      <c r="B6698" s="175"/>
      <c r="P6698" s="4"/>
      <c r="Q6698" s="214"/>
    </row>
    <row r="6699" spans="1:17">
      <c r="A6699" s="175"/>
      <c r="B6699" s="175"/>
      <c r="P6699" s="4"/>
      <c r="Q6699" s="214"/>
    </row>
    <row r="6700" spans="1:17">
      <c r="A6700" s="175"/>
      <c r="B6700" s="175"/>
      <c r="P6700" s="4"/>
      <c r="Q6700" s="214"/>
    </row>
    <row r="6701" spans="1:17">
      <c r="A6701" s="175"/>
      <c r="B6701" s="175"/>
      <c r="P6701" s="4"/>
      <c r="Q6701" s="214"/>
    </row>
    <row r="6702" spans="1:17">
      <c r="A6702" s="175"/>
      <c r="B6702" s="175"/>
      <c r="P6702" s="4"/>
      <c r="Q6702" s="214"/>
    </row>
    <row r="6703" spans="1:17">
      <c r="A6703" s="175"/>
      <c r="B6703" s="175"/>
      <c r="P6703" s="4"/>
      <c r="Q6703" s="214"/>
    </row>
    <row r="6704" spans="1:17">
      <c r="A6704" s="175"/>
      <c r="B6704" s="175"/>
      <c r="P6704" s="4"/>
      <c r="Q6704" s="214"/>
    </row>
    <row r="6705" spans="1:17">
      <c r="A6705" s="175"/>
      <c r="B6705" s="175"/>
      <c r="P6705" s="4"/>
      <c r="Q6705" s="214"/>
    </row>
    <row r="6706" spans="1:17">
      <c r="A6706" s="175"/>
      <c r="B6706" s="175"/>
      <c r="P6706" s="4"/>
      <c r="Q6706" s="214"/>
    </row>
    <row r="6707" spans="1:17">
      <c r="A6707" s="175"/>
      <c r="B6707" s="175"/>
      <c r="P6707" s="4"/>
      <c r="Q6707" s="214"/>
    </row>
    <row r="6708" spans="1:17">
      <c r="A6708" s="175"/>
      <c r="B6708" s="175"/>
      <c r="P6708" s="4"/>
      <c r="Q6708" s="214"/>
    </row>
    <row r="6709" spans="1:17">
      <c r="A6709" s="175"/>
      <c r="B6709" s="175"/>
      <c r="P6709" s="4"/>
      <c r="Q6709" s="214"/>
    </row>
    <row r="6710" spans="1:17">
      <c r="A6710" s="175"/>
      <c r="B6710" s="175"/>
      <c r="P6710" s="4"/>
      <c r="Q6710" s="214"/>
    </row>
    <row r="6711" spans="1:17">
      <c r="A6711" s="175"/>
      <c r="B6711" s="175"/>
      <c r="P6711" s="4"/>
      <c r="Q6711" s="214"/>
    </row>
    <row r="6712" spans="1:17">
      <c r="A6712" s="175"/>
      <c r="B6712" s="175"/>
      <c r="P6712" s="4"/>
      <c r="Q6712" s="214"/>
    </row>
    <row r="6713" spans="1:17">
      <c r="A6713" s="175"/>
      <c r="B6713" s="175"/>
      <c r="P6713" s="4"/>
      <c r="Q6713" s="214"/>
    </row>
    <row r="6714" spans="1:17">
      <c r="A6714" s="175"/>
      <c r="B6714" s="175"/>
      <c r="P6714" s="4"/>
      <c r="Q6714" s="214"/>
    </row>
    <row r="6715" spans="1:17">
      <c r="A6715" s="175"/>
      <c r="B6715" s="175"/>
      <c r="P6715" s="4"/>
      <c r="Q6715" s="214"/>
    </row>
    <row r="6716" spans="1:17">
      <c r="A6716" s="175"/>
      <c r="B6716" s="175"/>
      <c r="P6716" s="4"/>
      <c r="Q6716" s="214"/>
    </row>
    <row r="6717" spans="1:17">
      <c r="A6717" s="175"/>
      <c r="B6717" s="175"/>
      <c r="P6717" s="4"/>
      <c r="Q6717" s="214"/>
    </row>
    <row r="6718" spans="1:17">
      <c r="A6718" s="175"/>
      <c r="B6718" s="175"/>
      <c r="P6718" s="4"/>
      <c r="Q6718" s="214"/>
    </row>
    <row r="6719" spans="1:17">
      <c r="A6719" s="175"/>
      <c r="B6719" s="175"/>
      <c r="P6719" s="4"/>
      <c r="Q6719" s="214"/>
    </row>
    <row r="6720" spans="1:17">
      <c r="A6720" s="175"/>
      <c r="B6720" s="175"/>
      <c r="P6720" s="4"/>
      <c r="Q6720" s="214"/>
    </row>
    <row r="6721" spans="1:17">
      <c r="A6721" s="175"/>
      <c r="B6721" s="175"/>
      <c r="P6721" s="4"/>
      <c r="Q6721" s="214"/>
    </row>
    <row r="6722" spans="1:17">
      <c r="A6722" s="175"/>
      <c r="B6722" s="175"/>
      <c r="P6722" s="4"/>
      <c r="Q6722" s="214"/>
    </row>
    <row r="6723" spans="1:17">
      <c r="A6723" s="175"/>
      <c r="B6723" s="175"/>
      <c r="P6723" s="4"/>
      <c r="Q6723" s="214"/>
    </row>
    <row r="6724" spans="1:17">
      <c r="A6724" s="175"/>
      <c r="B6724" s="175"/>
      <c r="P6724" s="4"/>
      <c r="Q6724" s="214"/>
    </row>
    <row r="6725" spans="1:17">
      <c r="A6725" s="175"/>
      <c r="B6725" s="175"/>
      <c r="P6725" s="4"/>
      <c r="Q6725" s="214"/>
    </row>
    <row r="6726" spans="1:17">
      <c r="A6726" s="175"/>
      <c r="B6726" s="175"/>
      <c r="P6726" s="4"/>
      <c r="Q6726" s="214"/>
    </row>
    <row r="6727" spans="1:17">
      <c r="A6727" s="175"/>
      <c r="B6727" s="175"/>
      <c r="P6727" s="4"/>
      <c r="Q6727" s="214"/>
    </row>
    <row r="6728" spans="1:17">
      <c r="A6728" s="175"/>
      <c r="B6728" s="175"/>
      <c r="P6728" s="4"/>
      <c r="Q6728" s="214"/>
    </row>
    <row r="6729" spans="1:17">
      <c r="A6729" s="175"/>
      <c r="B6729" s="175"/>
      <c r="P6729" s="4"/>
      <c r="Q6729" s="214"/>
    </row>
    <row r="6730" spans="1:17">
      <c r="A6730" s="175"/>
      <c r="B6730" s="175"/>
      <c r="P6730" s="4"/>
      <c r="Q6730" s="214"/>
    </row>
    <row r="6731" spans="1:17">
      <c r="A6731" s="175"/>
      <c r="B6731" s="175"/>
      <c r="P6731" s="4"/>
      <c r="Q6731" s="214"/>
    </row>
    <row r="6732" spans="1:17">
      <c r="A6732" s="175"/>
      <c r="B6732" s="175"/>
      <c r="P6732" s="4"/>
      <c r="Q6732" s="214"/>
    </row>
    <row r="6733" spans="1:17">
      <c r="A6733" s="175"/>
      <c r="B6733" s="175"/>
      <c r="P6733" s="4"/>
      <c r="Q6733" s="214"/>
    </row>
    <row r="6734" spans="1:17">
      <c r="A6734" s="175"/>
      <c r="B6734" s="175"/>
      <c r="P6734" s="4"/>
      <c r="Q6734" s="214"/>
    </row>
    <row r="6735" spans="1:17">
      <c r="A6735" s="175"/>
      <c r="B6735" s="175"/>
      <c r="P6735" s="4"/>
      <c r="Q6735" s="214"/>
    </row>
    <row r="6736" spans="1:17">
      <c r="A6736" s="175"/>
      <c r="B6736" s="175"/>
      <c r="P6736" s="4"/>
      <c r="Q6736" s="214"/>
    </row>
    <row r="6737" spans="1:17">
      <c r="A6737" s="175"/>
      <c r="B6737" s="175"/>
      <c r="P6737" s="4"/>
      <c r="Q6737" s="214"/>
    </row>
    <row r="6738" spans="1:17">
      <c r="A6738" s="175"/>
      <c r="B6738" s="175"/>
      <c r="P6738" s="4"/>
      <c r="Q6738" s="214"/>
    </row>
    <row r="6739" spans="1:17">
      <c r="A6739" s="175"/>
      <c r="B6739" s="175"/>
      <c r="P6739" s="4"/>
      <c r="Q6739" s="214"/>
    </row>
    <row r="6740" spans="1:17">
      <c r="A6740" s="175"/>
      <c r="B6740" s="175"/>
      <c r="P6740" s="4"/>
      <c r="Q6740" s="214"/>
    </row>
    <row r="6741" spans="1:17">
      <c r="A6741" s="175"/>
      <c r="B6741" s="175"/>
      <c r="P6741" s="4"/>
      <c r="Q6741" s="214"/>
    </row>
    <row r="6742" spans="1:17">
      <c r="A6742" s="175"/>
      <c r="B6742" s="175"/>
      <c r="P6742" s="4"/>
      <c r="Q6742" s="214"/>
    </row>
    <row r="6743" spans="1:17">
      <c r="A6743" s="175"/>
      <c r="B6743" s="175"/>
      <c r="P6743" s="4"/>
      <c r="Q6743" s="214"/>
    </row>
    <row r="6744" spans="1:17">
      <c r="A6744" s="175"/>
      <c r="B6744" s="175"/>
      <c r="P6744" s="4"/>
      <c r="Q6744" s="214"/>
    </row>
    <row r="6745" spans="1:17">
      <c r="A6745" s="175"/>
      <c r="B6745" s="175"/>
      <c r="P6745" s="4"/>
      <c r="Q6745" s="214"/>
    </row>
    <row r="6746" spans="1:17">
      <c r="A6746" s="175"/>
      <c r="B6746" s="175"/>
      <c r="P6746" s="4"/>
      <c r="Q6746" s="214"/>
    </row>
    <row r="6747" spans="1:17">
      <c r="A6747" s="175"/>
      <c r="B6747" s="175"/>
      <c r="P6747" s="4"/>
      <c r="Q6747" s="214"/>
    </row>
    <row r="6748" spans="1:17">
      <c r="A6748" s="175"/>
      <c r="B6748" s="175"/>
      <c r="P6748" s="4"/>
      <c r="Q6748" s="214"/>
    </row>
    <row r="6749" spans="1:17">
      <c r="A6749" s="175"/>
      <c r="B6749" s="175"/>
      <c r="P6749" s="4"/>
      <c r="Q6749" s="214"/>
    </row>
    <row r="6750" spans="1:17">
      <c r="A6750" s="175"/>
      <c r="B6750" s="175"/>
      <c r="P6750" s="4"/>
      <c r="Q6750" s="214"/>
    </row>
    <row r="6751" spans="1:17">
      <c r="A6751" s="175"/>
      <c r="B6751" s="175"/>
      <c r="P6751" s="4"/>
      <c r="Q6751" s="214"/>
    </row>
    <row r="6752" spans="1:17">
      <c r="A6752" s="175"/>
      <c r="B6752" s="175"/>
      <c r="P6752" s="4"/>
      <c r="Q6752" s="214"/>
    </row>
    <row r="6753" spans="1:17">
      <c r="A6753" s="175"/>
      <c r="B6753" s="175"/>
      <c r="P6753" s="4"/>
      <c r="Q6753" s="214"/>
    </row>
    <row r="6754" spans="1:17">
      <c r="A6754" s="175"/>
      <c r="B6754" s="175"/>
      <c r="P6754" s="4"/>
      <c r="Q6754" s="214"/>
    </row>
    <row r="6755" spans="1:17">
      <c r="A6755" s="175"/>
      <c r="B6755" s="175"/>
      <c r="P6755" s="4"/>
      <c r="Q6755" s="214"/>
    </row>
    <row r="6756" spans="1:17">
      <c r="A6756" s="175"/>
      <c r="B6756" s="175"/>
      <c r="P6756" s="4"/>
      <c r="Q6756" s="214"/>
    </row>
    <row r="6757" spans="1:17">
      <c r="A6757" s="175"/>
      <c r="B6757" s="175"/>
      <c r="P6757" s="4"/>
      <c r="Q6757" s="214"/>
    </row>
    <row r="6758" spans="1:17">
      <c r="A6758" s="175"/>
      <c r="B6758" s="175"/>
      <c r="P6758" s="4"/>
      <c r="Q6758" s="214"/>
    </row>
    <row r="6759" spans="1:17">
      <c r="A6759" s="175"/>
      <c r="B6759" s="175"/>
      <c r="P6759" s="4"/>
      <c r="Q6759" s="214"/>
    </row>
    <row r="6760" spans="1:17">
      <c r="A6760" s="175"/>
      <c r="B6760" s="175"/>
      <c r="P6760" s="4"/>
      <c r="Q6760" s="214"/>
    </row>
    <row r="6761" spans="1:17">
      <c r="A6761" s="175"/>
      <c r="B6761" s="175"/>
      <c r="P6761" s="4"/>
      <c r="Q6761" s="214"/>
    </row>
    <row r="6762" spans="1:17">
      <c r="A6762" s="175"/>
      <c r="B6762" s="175"/>
      <c r="P6762" s="4"/>
      <c r="Q6762" s="214"/>
    </row>
    <row r="6763" spans="1:17">
      <c r="A6763" s="175"/>
      <c r="B6763" s="175"/>
      <c r="P6763" s="4"/>
      <c r="Q6763" s="214"/>
    </row>
    <row r="6764" spans="1:17">
      <c r="A6764" s="175"/>
      <c r="B6764" s="175"/>
      <c r="P6764" s="4"/>
      <c r="Q6764" s="214"/>
    </row>
    <row r="6765" spans="1:17">
      <c r="A6765" s="175"/>
      <c r="B6765" s="175"/>
      <c r="P6765" s="4"/>
      <c r="Q6765" s="214"/>
    </row>
    <row r="6766" spans="1:17">
      <c r="A6766" s="175"/>
      <c r="B6766" s="175"/>
      <c r="P6766" s="4"/>
      <c r="Q6766" s="214"/>
    </row>
    <row r="6767" spans="1:17">
      <c r="A6767" s="175"/>
      <c r="B6767" s="175"/>
      <c r="P6767" s="4"/>
      <c r="Q6767" s="214"/>
    </row>
    <row r="6768" spans="1:17">
      <c r="A6768" s="175"/>
      <c r="B6768" s="175"/>
      <c r="P6768" s="4"/>
      <c r="Q6768" s="214"/>
    </row>
    <row r="6769" spans="1:17">
      <c r="A6769" s="175"/>
      <c r="B6769" s="175"/>
      <c r="P6769" s="4"/>
      <c r="Q6769" s="214"/>
    </row>
    <row r="6770" spans="1:17">
      <c r="A6770" s="175"/>
      <c r="B6770" s="175"/>
      <c r="P6770" s="4"/>
      <c r="Q6770" s="214"/>
    </row>
    <row r="6771" spans="1:17">
      <c r="A6771" s="175"/>
      <c r="B6771" s="175"/>
      <c r="P6771" s="4"/>
      <c r="Q6771" s="214"/>
    </row>
    <row r="6772" spans="1:17">
      <c r="A6772" s="175"/>
      <c r="B6772" s="175"/>
      <c r="P6772" s="4"/>
      <c r="Q6772" s="214"/>
    </row>
    <row r="6773" spans="1:17">
      <c r="A6773" s="175"/>
      <c r="B6773" s="175"/>
      <c r="P6773" s="4"/>
      <c r="Q6773" s="214"/>
    </row>
    <row r="6774" spans="1:17">
      <c r="A6774" s="175"/>
      <c r="B6774" s="175"/>
      <c r="P6774" s="4"/>
      <c r="Q6774" s="214"/>
    </row>
    <row r="6775" spans="1:17">
      <c r="A6775" s="175"/>
      <c r="B6775" s="175"/>
      <c r="P6775" s="4"/>
      <c r="Q6775" s="214"/>
    </row>
    <row r="6776" spans="1:17">
      <c r="A6776" s="175"/>
      <c r="B6776" s="175"/>
      <c r="P6776" s="4"/>
      <c r="Q6776" s="214"/>
    </row>
    <row r="6777" spans="1:17">
      <c r="A6777" s="175"/>
      <c r="B6777" s="175"/>
      <c r="P6777" s="4"/>
      <c r="Q6777" s="214"/>
    </row>
    <row r="6778" spans="1:17">
      <c r="A6778" s="175"/>
      <c r="B6778" s="175"/>
      <c r="P6778" s="4"/>
      <c r="Q6778" s="214"/>
    </row>
    <row r="6779" spans="1:17">
      <c r="A6779" s="175"/>
      <c r="B6779" s="175"/>
      <c r="P6779" s="4"/>
      <c r="Q6779" s="214"/>
    </row>
    <row r="6780" spans="1:17">
      <c r="A6780" s="175"/>
      <c r="B6780" s="175"/>
      <c r="P6780" s="4"/>
      <c r="Q6780" s="214"/>
    </row>
    <row r="6781" spans="1:17">
      <c r="A6781" s="175"/>
      <c r="B6781" s="175"/>
      <c r="P6781" s="4"/>
      <c r="Q6781" s="214"/>
    </row>
    <row r="6782" spans="1:17">
      <c r="A6782" s="175"/>
      <c r="B6782" s="175"/>
      <c r="P6782" s="4"/>
      <c r="Q6782" s="214"/>
    </row>
    <row r="6783" spans="1:17">
      <c r="A6783" s="175"/>
      <c r="B6783" s="175"/>
      <c r="P6783" s="4"/>
      <c r="Q6783" s="214"/>
    </row>
    <row r="6784" spans="1:17">
      <c r="A6784" s="175"/>
      <c r="B6784" s="175"/>
      <c r="P6784" s="4"/>
      <c r="Q6784" s="214"/>
    </row>
    <row r="6785" spans="1:17">
      <c r="A6785" s="175"/>
      <c r="B6785" s="175"/>
      <c r="P6785" s="4"/>
      <c r="Q6785" s="214"/>
    </row>
    <row r="6786" spans="1:17">
      <c r="A6786" s="175"/>
      <c r="B6786" s="175"/>
      <c r="P6786" s="4"/>
      <c r="Q6786" s="214"/>
    </row>
    <row r="6787" spans="1:17">
      <c r="A6787" s="175"/>
      <c r="B6787" s="175"/>
      <c r="P6787" s="4"/>
      <c r="Q6787" s="214"/>
    </row>
    <row r="6788" spans="1:17">
      <c r="A6788" s="175"/>
      <c r="B6788" s="175"/>
      <c r="P6788" s="4"/>
      <c r="Q6788" s="214"/>
    </row>
    <row r="6789" spans="1:17">
      <c r="A6789" s="175"/>
      <c r="B6789" s="175"/>
      <c r="P6789" s="4"/>
      <c r="Q6789" s="214"/>
    </row>
    <row r="6790" spans="1:17">
      <c r="A6790" s="175"/>
      <c r="B6790" s="175"/>
      <c r="P6790" s="4"/>
      <c r="Q6790" s="214"/>
    </row>
    <row r="6791" spans="1:17">
      <c r="A6791" s="175"/>
      <c r="B6791" s="175"/>
      <c r="P6791" s="4"/>
      <c r="Q6791" s="214"/>
    </row>
    <row r="6792" spans="1:17">
      <c r="A6792" s="175"/>
      <c r="B6792" s="175"/>
      <c r="P6792" s="4"/>
      <c r="Q6792" s="214"/>
    </row>
    <row r="6793" spans="1:17">
      <c r="A6793" s="175"/>
      <c r="B6793" s="175"/>
      <c r="P6793" s="4"/>
      <c r="Q6793" s="214"/>
    </row>
    <row r="6794" spans="1:17">
      <c r="A6794" s="175"/>
      <c r="B6794" s="175"/>
      <c r="P6794" s="4"/>
      <c r="Q6794" s="214"/>
    </row>
    <row r="6795" spans="1:17">
      <c r="A6795" s="175"/>
      <c r="B6795" s="175"/>
      <c r="P6795" s="4"/>
      <c r="Q6795" s="214"/>
    </row>
    <row r="6796" spans="1:17">
      <c r="A6796" s="175"/>
      <c r="B6796" s="175"/>
      <c r="P6796" s="4"/>
      <c r="Q6796" s="214"/>
    </row>
    <row r="6797" spans="1:17">
      <c r="A6797" s="175"/>
      <c r="B6797" s="175"/>
      <c r="P6797" s="4"/>
      <c r="Q6797" s="214"/>
    </row>
    <row r="6798" spans="1:17">
      <c r="A6798" s="175"/>
      <c r="B6798" s="175"/>
      <c r="P6798" s="4"/>
      <c r="Q6798" s="214"/>
    </row>
    <row r="6799" spans="1:17">
      <c r="A6799" s="175"/>
      <c r="B6799" s="175"/>
      <c r="P6799" s="4"/>
      <c r="Q6799" s="214"/>
    </row>
    <row r="6800" spans="1:17">
      <c r="A6800" s="175"/>
      <c r="B6800" s="175"/>
      <c r="P6800" s="4"/>
      <c r="Q6800" s="214"/>
    </row>
    <row r="6801" spans="1:17">
      <c r="A6801" s="175"/>
      <c r="B6801" s="175"/>
      <c r="P6801" s="4"/>
      <c r="Q6801" s="214"/>
    </row>
    <row r="6802" spans="1:17">
      <c r="A6802" s="175"/>
      <c r="B6802" s="175"/>
      <c r="P6802" s="4"/>
      <c r="Q6802" s="214"/>
    </row>
    <row r="6803" spans="1:17">
      <c r="A6803" s="175"/>
      <c r="B6803" s="175"/>
      <c r="P6803" s="4"/>
      <c r="Q6803" s="214"/>
    </row>
    <row r="6804" spans="1:17">
      <c r="A6804" s="175"/>
      <c r="B6804" s="175"/>
      <c r="P6804" s="4"/>
      <c r="Q6804" s="214"/>
    </row>
    <row r="6805" spans="1:17">
      <c r="A6805" s="175"/>
      <c r="B6805" s="175"/>
      <c r="P6805" s="4"/>
      <c r="Q6805" s="214"/>
    </row>
    <row r="6806" spans="1:17">
      <c r="A6806" s="175"/>
      <c r="B6806" s="175"/>
      <c r="P6806" s="4"/>
      <c r="Q6806" s="214"/>
    </row>
    <row r="6807" spans="1:17">
      <c r="A6807" s="175"/>
      <c r="B6807" s="175"/>
      <c r="P6807" s="4"/>
      <c r="Q6807" s="214"/>
    </row>
    <row r="6808" spans="1:17">
      <c r="A6808" s="175"/>
      <c r="B6808" s="175"/>
      <c r="P6808" s="4"/>
      <c r="Q6808" s="214"/>
    </row>
    <row r="6809" spans="1:17">
      <c r="A6809" s="175"/>
      <c r="B6809" s="175"/>
      <c r="P6809" s="4"/>
      <c r="Q6809" s="214"/>
    </row>
    <row r="6810" spans="1:17">
      <c r="A6810" s="175"/>
      <c r="B6810" s="175"/>
      <c r="P6810" s="4"/>
      <c r="Q6810" s="214"/>
    </row>
    <row r="6811" spans="1:17">
      <c r="A6811" s="175"/>
      <c r="B6811" s="175"/>
      <c r="P6811" s="4"/>
      <c r="Q6811" s="214"/>
    </row>
    <row r="6812" spans="1:17">
      <c r="A6812" s="175"/>
      <c r="B6812" s="175"/>
      <c r="P6812" s="4"/>
      <c r="Q6812" s="214"/>
    </row>
    <row r="6813" spans="1:17">
      <c r="A6813" s="175"/>
      <c r="B6813" s="175"/>
      <c r="P6813" s="4"/>
      <c r="Q6813" s="214"/>
    </row>
    <row r="6814" spans="1:17">
      <c r="A6814" s="175"/>
      <c r="B6814" s="175"/>
      <c r="P6814" s="4"/>
      <c r="Q6814" s="214"/>
    </row>
    <row r="6815" spans="1:17">
      <c r="A6815" s="175"/>
      <c r="B6815" s="175"/>
      <c r="P6815" s="4"/>
      <c r="Q6815" s="214"/>
    </row>
    <row r="6816" spans="1:17">
      <c r="A6816" s="175"/>
      <c r="B6816" s="175"/>
      <c r="P6816" s="4"/>
      <c r="Q6816" s="214"/>
    </row>
    <row r="6817" spans="1:17">
      <c r="A6817" s="175"/>
      <c r="B6817" s="175"/>
      <c r="P6817" s="4"/>
      <c r="Q6817" s="214"/>
    </row>
    <row r="6818" spans="1:17">
      <c r="A6818" s="175"/>
      <c r="B6818" s="175"/>
      <c r="P6818" s="4"/>
      <c r="Q6818" s="214"/>
    </row>
    <row r="6819" spans="1:17">
      <c r="A6819" s="175"/>
      <c r="B6819" s="175"/>
      <c r="P6819" s="4"/>
      <c r="Q6819" s="214"/>
    </row>
    <row r="6820" spans="1:17">
      <c r="A6820" s="175"/>
      <c r="B6820" s="175"/>
      <c r="P6820" s="4"/>
      <c r="Q6820" s="214"/>
    </row>
    <row r="6821" spans="1:17">
      <c r="A6821" s="175"/>
      <c r="B6821" s="175"/>
      <c r="P6821" s="4"/>
      <c r="Q6821" s="214"/>
    </row>
    <row r="6822" spans="1:17">
      <c r="A6822" s="175"/>
      <c r="B6822" s="175"/>
      <c r="P6822" s="4"/>
      <c r="Q6822" s="214"/>
    </row>
    <row r="6823" spans="1:17">
      <c r="A6823" s="175"/>
      <c r="B6823" s="175"/>
      <c r="P6823" s="4"/>
      <c r="Q6823" s="214"/>
    </row>
    <row r="6824" spans="1:17">
      <c r="A6824" s="175"/>
      <c r="B6824" s="175"/>
      <c r="P6824" s="4"/>
      <c r="Q6824" s="214"/>
    </row>
    <row r="6825" spans="1:17">
      <c r="A6825" s="175"/>
      <c r="B6825" s="175"/>
      <c r="P6825" s="4"/>
      <c r="Q6825" s="214"/>
    </row>
    <row r="6826" spans="1:17">
      <c r="A6826" s="175"/>
      <c r="B6826" s="175"/>
      <c r="P6826" s="4"/>
      <c r="Q6826" s="214"/>
    </row>
    <row r="6827" spans="1:17">
      <c r="A6827" s="175"/>
      <c r="B6827" s="175"/>
      <c r="P6827" s="4"/>
      <c r="Q6827" s="214"/>
    </row>
    <row r="6828" spans="1:17">
      <c r="A6828" s="175"/>
      <c r="B6828" s="175"/>
      <c r="P6828" s="4"/>
      <c r="Q6828" s="214"/>
    </row>
    <row r="6829" spans="1:17">
      <c r="A6829" s="175"/>
      <c r="B6829" s="175"/>
      <c r="P6829" s="4"/>
      <c r="Q6829" s="214"/>
    </row>
    <row r="6830" spans="1:17">
      <c r="A6830" s="175"/>
      <c r="B6830" s="175"/>
      <c r="P6830" s="4"/>
      <c r="Q6830" s="214"/>
    </row>
    <row r="6831" spans="1:17">
      <c r="A6831" s="175"/>
      <c r="B6831" s="175"/>
      <c r="P6831" s="4"/>
      <c r="Q6831" s="214"/>
    </row>
    <row r="6832" spans="1:17">
      <c r="A6832" s="175"/>
      <c r="B6832" s="175"/>
      <c r="P6832" s="4"/>
      <c r="Q6832" s="214"/>
    </row>
    <row r="6833" spans="1:17">
      <c r="A6833" s="175"/>
      <c r="B6833" s="175"/>
      <c r="P6833" s="4"/>
      <c r="Q6833" s="214"/>
    </row>
    <row r="6834" spans="1:17">
      <c r="A6834" s="175"/>
      <c r="B6834" s="175"/>
      <c r="P6834" s="4"/>
      <c r="Q6834" s="214"/>
    </row>
    <row r="6835" spans="1:17">
      <c r="A6835" s="175"/>
      <c r="B6835" s="175"/>
      <c r="P6835" s="4"/>
      <c r="Q6835" s="214"/>
    </row>
    <row r="6836" spans="1:17">
      <c r="A6836" s="175"/>
      <c r="B6836" s="175"/>
      <c r="P6836" s="4"/>
      <c r="Q6836" s="214"/>
    </row>
    <row r="6837" spans="1:17">
      <c r="A6837" s="175"/>
      <c r="B6837" s="175"/>
      <c r="P6837" s="4"/>
      <c r="Q6837" s="214"/>
    </row>
    <row r="6838" spans="1:17">
      <c r="A6838" s="175"/>
      <c r="B6838" s="175"/>
      <c r="P6838" s="4"/>
      <c r="Q6838" s="214"/>
    </row>
    <row r="6839" spans="1:17">
      <c r="A6839" s="175"/>
      <c r="B6839" s="175"/>
      <c r="P6839" s="4"/>
      <c r="Q6839" s="214"/>
    </row>
    <row r="6840" spans="1:17">
      <c r="A6840" s="175"/>
      <c r="B6840" s="175"/>
      <c r="P6840" s="4"/>
      <c r="Q6840" s="214"/>
    </row>
    <row r="6841" spans="1:17">
      <c r="A6841" s="175"/>
      <c r="B6841" s="175"/>
      <c r="P6841" s="4"/>
      <c r="Q6841" s="214"/>
    </row>
    <row r="6842" spans="1:17">
      <c r="A6842" s="175"/>
      <c r="B6842" s="175"/>
      <c r="P6842" s="4"/>
      <c r="Q6842" s="214"/>
    </row>
    <row r="6843" spans="1:17">
      <c r="A6843" s="175"/>
      <c r="B6843" s="175"/>
      <c r="P6843" s="4"/>
      <c r="Q6843" s="214"/>
    </row>
    <row r="6844" spans="1:17">
      <c r="A6844" s="175"/>
      <c r="B6844" s="175"/>
      <c r="P6844" s="4"/>
      <c r="Q6844" s="214"/>
    </row>
    <row r="6845" spans="1:17">
      <c r="A6845" s="175"/>
      <c r="B6845" s="175"/>
      <c r="P6845" s="4"/>
      <c r="Q6845" s="214"/>
    </row>
    <row r="6846" spans="1:17">
      <c r="A6846" s="175"/>
      <c r="B6846" s="175"/>
      <c r="P6846" s="4"/>
      <c r="Q6846" s="214"/>
    </row>
    <row r="6847" spans="1:17">
      <c r="A6847" s="175"/>
      <c r="B6847" s="175"/>
      <c r="P6847" s="4"/>
      <c r="Q6847" s="214"/>
    </row>
    <row r="6848" spans="1:17">
      <c r="A6848" s="175"/>
      <c r="B6848" s="175"/>
      <c r="P6848" s="4"/>
      <c r="Q6848" s="214"/>
    </row>
    <row r="6849" spans="1:17">
      <c r="A6849" s="175"/>
      <c r="B6849" s="175"/>
      <c r="P6849" s="4"/>
      <c r="Q6849" s="214"/>
    </row>
    <row r="6850" spans="1:17">
      <c r="A6850" s="175"/>
      <c r="B6850" s="175"/>
      <c r="P6850" s="4"/>
      <c r="Q6850" s="214"/>
    </row>
    <row r="6851" spans="1:17">
      <c r="A6851" s="175"/>
      <c r="B6851" s="175"/>
      <c r="P6851" s="4"/>
      <c r="Q6851" s="214"/>
    </row>
    <row r="6852" spans="1:17">
      <c r="A6852" s="175"/>
      <c r="B6852" s="175"/>
      <c r="P6852" s="4"/>
      <c r="Q6852" s="214"/>
    </row>
    <row r="6853" spans="1:17">
      <c r="A6853" s="175"/>
      <c r="B6853" s="175"/>
      <c r="P6853" s="4"/>
      <c r="Q6853" s="214"/>
    </row>
    <row r="6854" spans="1:17">
      <c r="A6854" s="175"/>
      <c r="B6854" s="175"/>
      <c r="P6854" s="4"/>
      <c r="Q6854" s="214"/>
    </row>
    <row r="6855" spans="1:17">
      <c r="A6855" s="175"/>
      <c r="B6855" s="175"/>
      <c r="P6855" s="4"/>
      <c r="Q6855" s="214"/>
    </row>
    <row r="6856" spans="1:17">
      <c r="A6856" s="175"/>
      <c r="B6856" s="175"/>
      <c r="P6856" s="4"/>
      <c r="Q6856" s="214"/>
    </row>
    <row r="6857" spans="1:17">
      <c r="A6857" s="175"/>
      <c r="B6857" s="175"/>
      <c r="P6857" s="4"/>
      <c r="Q6857" s="214"/>
    </row>
    <row r="6858" spans="1:17">
      <c r="A6858" s="175"/>
      <c r="B6858" s="175"/>
      <c r="P6858" s="4"/>
      <c r="Q6858" s="214"/>
    </row>
    <row r="6859" spans="1:17">
      <c r="A6859" s="175"/>
      <c r="B6859" s="175"/>
      <c r="P6859" s="4"/>
      <c r="Q6859" s="214"/>
    </row>
    <row r="6860" spans="1:17">
      <c r="A6860" s="175"/>
      <c r="B6860" s="175"/>
      <c r="P6860" s="4"/>
      <c r="Q6860" s="214"/>
    </row>
    <row r="6861" spans="1:17">
      <c r="A6861" s="175"/>
      <c r="B6861" s="175"/>
      <c r="P6861" s="4"/>
      <c r="Q6861" s="214"/>
    </row>
    <row r="6862" spans="1:17">
      <c r="A6862" s="175"/>
      <c r="B6862" s="175"/>
      <c r="P6862" s="4"/>
      <c r="Q6862" s="214"/>
    </row>
    <row r="6863" spans="1:17">
      <c r="A6863" s="175"/>
      <c r="B6863" s="175"/>
      <c r="P6863" s="4"/>
      <c r="Q6863" s="214"/>
    </row>
    <row r="6864" spans="1:17">
      <c r="A6864" s="175"/>
      <c r="B6864" s="175"/>
      <c r="P6864" s="4"/>
      <c r="Q6864" s="214"/>
    </row>
    <row r="6865" spans="1:17">
      <c r="A6865" s="175"/>
      <c r="B6865" s="175"/>
      <c r="P6865" s="4"/>
      <c r="Q6865" s="214"/>
    </row>
    <row r="6866" spans="1:17">
      <c r="A6866" s="175"/>
      <c r="B6866" s="175"/>
      <c r="P6866" s="4"/>
      <c r="Q6866" s="214"/>
    </row>
    <row r="6867" spans="1:17">
      <c r="A6867" s="175"/>
      <c r="B6867" s="175"/>
      <c r="P6867" s="4"/>
      <c r="Q6867" s="214"/>
    </row>
    <row r="6868" spans="1:17">
      <c r="A6868" s="175"/>
      <c r="B6868" s="175"/>
      <c r="P6868" s="4"/>
      <c r="Q6868" s="214"/>
    </row>
    <row r="6869" spans="1:17">
      <c r="A6869" s="175"/>
      <c r="B6869" s="175"/>
      <c r="P6869" s="4"/>
      <c r="Q6869" s="214"/>
    </row>
    <row r="6870" spans="1:17">
      <c r="A6870" s="175"/>
      <c r="B6870" s="175"/>
      <c r="P6870" s="4"/>
      <c r="Q6870" s="214"/>
    </row>
    <row r="6871" spans="1:17">
      <c r="A6871" s="175"/>
      <c r="B6871" s="175"/>
      <c r="P6871" s="4"/>
      <c r="Q6871" s="214"/>
    </row>
    <row r="6872" spans="1:17">
      <c r="A6872" s="175"/>
      <c r="B6872" s="175"/>
      <c r="P6872" s="4"/>
      <c r="Q6872" s="214"/>
    </row>
    <row r="6873" spans="1:17">
      <c r="A6873" s="175"/>
      <c r="B6873" s="175"/>
      <c r="P6873" s="4"/>
      <c r="Q6873" s="214"/>
    </row>
    <row r="6874" spans="1:17">
      <c r="A6874" s="175"/>
      <c r="B6874" s="175"/>
      <c r="P6874" s="4"/>
      <c r="Q6874" s="214"/>
    </row>
    <row r="6875" spans="1:17">
      <c r="A6875" s="175"/>
      <c r="B6875" s="175"/>
      <c r="P6875" s="4"/>
      <c r="Q6875" s="214"/>
    </row>
    <row r="6876" spans="1:17">
      <c r="A6876" s="175"/>
      <c r="B6876" s="175"/>
      <c r="P6876" s="4"/>
      <c r="Q6876" s="214"/>
    </row>
    <row r="6877" spans="1:17">
      <c r="A6877" s="175"/>
      <c r="B6877" s="175"/>
      <c r="P6877" s="4"/>
      <c r="Q6877" s="214"/>
    </row>
    <row r="6878" spans="1:17">
      <c r="A6878" s="175"/>
      <c r="B6878" s="175"/>
      <c r="P6878" s="4"/>
      <c r="Q6878" s="214"/>
    </row>
    <row r="6879" spans="1:17">
      <c r="A6879" s="175"/>
      <c r="B6879" s="175"/>
      <c r="P6879" s="4"/>
      <c r="Q6879" s="214"/>
    </row>
    <row r="6880" spans="1:17">
      <c r="A6880" s="175"/>
      <c r="B6880" s="175"/>
      <c r="P6880" s="4"/>
      <c r="Q6880" s="214"/>
    </row>
    <row r="6881" spans="1:17">
      <c r="A6881" s="175"/>
      <c r="B6881" s="175"/>
      <c r="P6881" s="4"/>
      <c r="Q6881" s="214"/>
    </row>
    <row r="6882" spans="1:17">
      <c r="A6882" s="175"/>
      <c r="B6882" s="175"/>
      <c r="P6882" s="4"/>
      <c r="Q6882" s="214"/>
    </row>
    <row r="6883" spans="1:17">
      <c r="A6883" s="175"/>
      <c r="B6883" s="175"/>
      <c r="P6883" s="4"/>
      <c r="Q6883" s="214"/>
    </row>
    <row r="6884" spans="1:17">
      <c r="A6884" s="175"/>
      <c r="B6884" s="175"/>
      <c r="P6884" s="4"/>
      <c r="Q6884" s="214"/>
    </row>
    <row r="6885" spans="1:17">
      <c r="A6885" s="175"/>
      <c r="B6885" s="175"/>
      <c r="P6885" s="4"/>
      <c r="Q6885" s="214"/>
    </row>
    <row r="6886" spans="1:17">
      <c r="A6886" s="175"/>
      <c r="B6886" s="175"/>
      <c r="P6886" s="4"/>
      <c r="Q6886" s="214"/>
    </row>
    <row r="6887" spans="1:17">
      <c r="A6887" s="175"/>
      <c r="B6887" s="175"/>
      <c r="P6887" s="4"/>
      <c r="Q6887" s="214"/>
    </row>
    <row r="6888" spans="1:17">
      <c r="A6888" s="175"/>
      <c r="B6888" s="175"/>
      <c r="P6888" s="4"/>
      <c r="Q6888" s="214"/>
    </row>
    <row r="6889" spans="1:17">
      <c r="A6889" s="175"/>
      <c r="B6889" s="175"/>
      <c r="P6889" s="4"/>
      <c r="Q6889" s="214"/>
    </row>
    <row r="6890" spans="1:17">
      <c r="A6890" s="175"/>
      <c r="B6890" s="175"/>
      <c r="P6890" s="4"/>
      <c r="Q6890" s="214"/>
    </row>
    <row r="6891" spans="1:17">
      <c r="A6891" s="175"/>
      <c r="B6891" s="175"/>
      <c r="P6891" s="4"/>
      <c r="Q6891" s="214"/>
    </row>
    <row r="6892" spans="1:17">
      <c r="A6892" s="175"/>
      <c r="B6892" s="175"/>
      <c r="P6892" s="4"/>
      <c r="Q6892" s="214"/>
    </row>
    <row r="6893" spans="1:17">
      <c r="A6893" s="175"/>
      <c r="B6893" s="175"/>
      <c r="P6893" s="4"/>
      <c r="Q6893" s="214"/>
    </row>
    <row r="6894" spans="1:17">
      <c r="A6894" s="175"/>
      <c r="B6894" s="175"/>
      <c r="P6894" s="4"/>
      <c r="Q6894" s="214"/>
    </row>
    <row r="6895" spans="1:17">
      <c r="A6895" s="175"/>
      <c r="B6895" s="175"/>
      <c r="P6895" s="4"/>
      <c r="Q6895" s="214"/>
    </row>
    <row r="6896" spans="1:17">
      <c r="A6896" s="175"/>
      <c r="B6896" s="175"/>
      <c r="P6896" s="4"/>
      <c r="Q6896" s="214"/>
    </row>
    <row r="6897" spans="1:17">
      <c r="A6897" s="175"/>
      <c r="B6897" s="175"/>
      <c r="P6897" s="4"/>
      <c r="Q6897" s="214"/>
    </row>
    <row r="6898" spans="1:17">
      <c r="A6898" s="175"/>
      <c r="B6898" s="175"/>
      <c r="P6898" s="4"/>
      <c r="Q6898" s="214"/>
    </row>
    <row r="6899" spans="1:17">
      <c r="A6899" s="175"/>
      <c r="B6899" s="175"/>
      <c r="P6899" s="4"/>
      <c r="Q6899" s="214"/>
    </row>
    <row r="6900" spans="1:17">
      <c r="A6900" s="175"/>
      <c r="B6900" s="175"/>
      <c r="P6900" s="4"/>
      <c r="Q6900" s="214"/>
    </row>
    <row r="6901" spans="1:17">
      <c r="A6901" s="175"/>
      <c r="B6901" s="175"/>
      <c r="P6901" s="4"/>
      <c r="Q6901" s="214"/>
    </row>
    <row r="6902" spans="1:17">
      <c r="A6902" s="175"/>
      <c r="B6902" s="175"/>
      <c r="P6902" s="4"/>
      <c r="Q6902" s="214"/>
    </row>
    <row r="6903" spans="1:17">
      <c r="A6903" s="175"/>
      <c r="B6903" s="175"/>
      <c r="P6903" s="4"/>
      <c r="Q6903" s="214"/>
    </row>
    <row r="6904" spans="1:17">
      <c r="A6904" s="175"/>
      <c r="B6904" s="175"/>
      <c r="P6904" s="4"/>
      <c r="Q6904" s="214"/>
    </row>
    <row r="6905" spans="1:17">
      <c r="A6905" s="175"/>
      <c r="B6905" s="175"/>
      <c r="P6905" s="4"/>
      <c r="Q6905" s="214"/>
    </row>
    <row r="6906" spans="1:17">
      <c r="A6906" s="175"/>
      <c r="B6906" s="175"/>
      <c r="P6906" s="4"/>
      <c r="Q6906" s="214"/>
    </row>
    <row r="6907" spans="1:17">
      <c r="A6907" s="175"/>
      <c r="B6907" s="175"/>
      <c r="P6907" s="4"/>
      <c r="Q6907" s="214"/>
    </row>
    <row r="6908" spans="1:17">
      <c r="A6908" s="175"/>
      <c r="B6908" s="175"/>
      <c r="P6908" s="4"/>
      <c r="Q6908" s="214"/>
    </row>
    <row r="6909" spans="1:17">
      <c r="A6909" s="175"/>
      <c r="B6909" s="175"/>
      <c r="P6909" s="4"/>
      <c r="Q6909" s="214"/>
    </row>
    <row r="6910" spans="1:17">
      <c r="A6910" s="175"/>
      <c r="B6910" s="175"/>
      <c r="P6910" s="4"/>
      <c r="Q6910" s="214"/>
    </row>
    <row r="6911" spans="1:17">
      <c r="A6911" s="175"/>
      <c r="B6911" s="175"/>
      <c r="P6911" s="4"/>
      <c r="Q6911" s="214"/>
    </row>
    <row r="6912" spans="1:17">
      <c r="A6912" s="175"/>
      <c r="B6912" s="175"/>
      <c r="P6912" s="4"/>
      <c r="Q6912" s="214"/>
    </row>
    <row r="6913" spans="1:17">
      <c r="A6913" s="175"/>
      <c r="B6913" s="175"/>
      <c r="P6913" s="4"/>
      <c r="Q6913" s="214"/>
    </row>
    <row r="6914" spans="1:17">
      <c r="A6914" s="175"/>
      <c r="B6914" s="175"/>
      <c r="P6914" s="4"/>
      <c r="Q6914" s="214"/>
    </row>
    <row r="6915" spans="1:17">
      <c r="A6915" s="175"/>
      <c r="B6915" s="175"/>
      <c r="P6915" s="4"/>
      <c r="Q6915" s="214"/>
    </row>
    <row r="6916" spans="1:17">
      <c r="A6916" s="175"/>
      <c r="B6916" s="175"/>
      <c r="P6916" s="4"/>
      <c r="Q6916" s="214"/>
    </row>
    <row r="6917" spans="1:17">
      <c r="A6917" s="175"/>
      <c r="B6917" s="175"/>
      <c r="P6917" s="4"/>
      <c r="Q6917" s="214"/>
    </row>
    <row r="6918" spans="1:17">
      <c r="A6918" s="175"/>
      <c r="B6918" s="175"/>
      <c r="P6918" s="4"/>
      <c r="Q6918" s="214"/>
    </row>
    <row r="6919" spans="1:17">
      <c r="A6919" s="175"/>
      <c r="B6919" s="175"/>
      <c r="P6919" s="4"/>
      <c r="Q6919" s="214"/>
    </row>
    <row r="6920" spans="1:17">
      <c r="A6920" s="175"/>
      <c r="B6920" s="175"/>
      <c r="P6920" s="4"/>
      <c r="Q6920" s="214"/>
    </row>
    <row r="6921" spans="1:17">
      <c r="A6921" s="175"/>
      <c r="B6921" s="175"/>
      <c r="P6921" s="4"/>
      <c r="Q6921" s="214"/>
    </row>
    <row r="6922" spans="1:17">
      <c r="A6922" s="175"/>
      <c r="B6922" s="175"/>
      <c r="P6922" s="4"/>
      <c r="Q6922" s="214"/>
    </row>
    <row r="6923" spans="1:17">
      <c r="A6923" s="175"/>
      <c r="B6923" s="175"/>
      <c r="P6923" s="4"/>
      <c r="Q6923" s="214"/>
    </row>
    <row r="6924" spans="1:17">
      <c r="A6924" s="175"/>
      <c r="B6924" s="175"/>
      <c r="P6924" s="4"/>
      <c r="Q6924" s="214"/>
    </row>
    <row r="6925" spans="1:17">
      <c r="A6925" s="175"/>
      <c r="B6925" s="175"/>
      <c r="P6925" s="4"/>
      <c r="Q6925" s="214"/>
    </row>
    <row r="6926" spans="1:17">
      <c r="A6926" s="175"/>
      <c r="B6926" s="175"/>
      <c r="P6926" s="4"/>
      <c r="Q6926" s="214"/>
    </row>
    <row r="6927" spans="1:17">
      <c r="A6927" s="175"/>
      <c r="B6927" s="175"/>
      <c r="P6927" s="4"/>
      <c r="Q6927" s="214"/>
    </row>
    <row r="6928" spans="1:17">
      <c r="A6928" s="175"/>
      <c r="B6928" s="175"/>
      <c r="P6928" s="4"/>
      <c r="Q6928" s="214"/>
    </row>
    <row r="6929" spans="1:17">
      <c r="A6929" s="175"/>
      <c r="B6929" s="175"/>
      <c r="P6929" s="4"/>
      <c r="Q6929" s="214"/>
    </row>
    <row r="6930" spans="1:17">
      <c r="A6930" s="175"/>
      <c r="B6930" s="175"/>
      <c r="P6930" s="4"/>
      <c r="Q6930" s="214"/>
    </row>
    <row r="6931" spans="1:17">
      <c r="A6931" s="175"/>
      <c r="B6931" s="175"/>
      <c r="P6931" s="4"/>
      <c r="Q6931" s="214"/>
    </row>
    <row r="6932" spans="1:17">
      <c r="A6932" s="175"/>
      <c r="B6932" s="175"/>
      <c r="P6932" s="4"/>
      <c r="Q6932" s="214"/>
    </row>
    <row r="6933" spans="1:17">
      <c r="A6933" s="175"/>
      <c r="B6933" s="175"/>
      <c r="P6933" s="4"/>
      <c r="Q6933" s="214"/>
    </row>
    <row r="6934" spans="1:17">
      <c r="A6934" s="175"/>
      <c r="B6934" s="175"/>
      <c r="P6934" s="4"/>
      <c r="Q6934" s="214"/>
    </row>
    <row r="6935" spans="1:17">
      <c r="A6935" s="175"/>
      <c r="B6935" s="175"/>
      <c r="P6935" s="4"/>
      <c r="Q6935" s="214"/>
    </row>
    <row r="6936" spans="1:17">
      <c r="A6936" s="175"/>
      <c r="B6936" s="175"/>
      <c r="P6936" s="4"/>
      <c r="Q6936" s="214"/>
    </row>
    <row r="6937" spans="1:17">
      <c r="A6937" s="175"/>
      <c r="B6937" s="175"/>
      <c r="P6937" s="4"/>
      <c r="Q6937" s="214"/>
    </row>
    <row r="6938" spans="1:17">
      <c r="A6938" s="175"/>
      <c r="B6938" s="175"/>
      <c r="P6938" s="4"/>
      <c r="Q6938" s="214"/>
    </row>
    <row r="6939" spans="1:17">
      <c r="A6939" s="175"/>
      <c r="B6939" s="175"/>
      <c r="P6939" s="4"/>
      <c r="Q6939" s="214"/>
    </row>
    <row r="6940" spans="1:17">
      <c r="A6940" s="175"/>
      <c r="B6940" s="175"/>
      <c r="P6940" s="4"/>
      <c r="Q6940" s="214"/>
    </row>
    <row r="6941" spans="1:17">
      <c r="A6941" s="175"/>
      <c r="B6941" s="175"/>
      <c r="P6941" s="4"/>
      <c r="Q6941" s="214"/>
    </row>
    <row r="6942" spans="1:17">
      <c r="A6942" s="175"/>
      <c r="B6942" s="175"/>
      <c r="P6942" s="4"/>
      <c r="Q6942" s="214"/>
    </row>
    <row r="6943" spans="1:17">
      <c r="A6943" s="175"/>
      <c r="B6943" s="175"/>
      <c r="P6943" s="4"/>
      <c r="Q6943" s="214"/>
    </row>
    <row r="6944" spans="1:17">
      <c r="A6944" s="175"/>
      <c r="B6944" s="175"/>
      <c r="P6944" s="4"/>
      <c r="Q6944" s="214"/>
    </row>
    <row r="6945" spans="1:17">
      <c r="A6945" s="175"/>
      <c r="B6945" s="175"/>
      <c r="P6945" s="4"/>
      <c r="Q6945" s="214"/>
    </row>
    <row r="6946" spans="1:17">
      <c r="A6946" s="175"/>
      <c r="B6946" s="175"/>
      <c r="P6946" s="4"/>
      <c r="Q6946" s="214"/>
    </row>
    <row r="6947" spans="1:17">
      <c r="A6947" s="175"/>
      <c r="B6947" s="175"/>
      <c r="P6947" s="4"/>
      <c r="Q6947" s="214"/>
    </row>
    <row r="6948" spans="1:17">
      <c r="A6948" s="175"/>
      <c r="B6948" s="175"/>
      <c r="P6948" s="4"/>
      <c r="Q6948" s="214"/>
    </row>
    <row r="6949" spans="1:17">
      <c r="A6949" s="175"/>
      <c r="B6949" s="175"/>
      <c r="P6949" s="4"/>
      <c r="Q6949" s="214"/>
    </row>
    <row r="6950" spans="1:17">
      <c r="A6950" s="175"/>
      <c r="B6950" s="175"/>
      <c r="P6950" s="4"/>
      <c r="Q6950" s="214"/>
    </row>
    <row r="6951" spans="1:17">
      <c r="A6951" s="175"/>
      <c r="B6951" s="175"/>
      <c r="P6951" s="4"/>
      <c r="Q6951" s="214"/>
    </row>
    <row r="6952" spans="1:17">
      <c r="A6952" s="175"/>
      <c r="B6952" s="175"/>
      <c r="P6952" s="4"/>
      <c r="Q6952" s="214"/>
    </row>
    <row r="6953" spans="1:17">
      <c r="A6953" s="175"/>
      <c r="B6953" s="175"/>
      <c r="P6953" s="4"/>
      <c r="Q6953" s="214"/>
    </row>
    <row r="6954" spans="1:17">
      <c r="A6954" s="175"/>
      <c r="B6954" s="175"/>
      <c r="P6954" s="4"/>
      <c r="Q6954" s="214"/>
    </row>
    <row r="6955" spans="1:17">
      <c r="A6955" s="175"/>
      <c r="B6955" s="175"/>
      <c r="P6955" s="4"/>
      <c r="Q6955" s="214"/>
    </row>
    <row r="6956" spans="1:17">
      <c r="A6956" s="175"/>
      <c r="B6956" s="175"/>
      <c r="P6956" s="4"/>
      <c r="Q6956" s="214"/>
    </row>
    <row r="6957" spans="1:17">
      <c r="A6957" s="175"/>
      <c r="B6957" s="175"/>
      <c r="P6957" s="4"/>
      <c r="Q6957" s="214"/>
    </row>
    <row r="6958" spans="1:17">
      <c r="A6958" s="175"/>
      <c r="B6958" s="175"/>
      <c r="P6958" s="4"/>
      <c r="Q6958" s="214"/>
    </row>
    <row r="6959" spans="1:17">
      <c r="A6959" s="175"/>
      <c r="B6959" s="175"/>
      <c r="P6959" s="4"/>
      <c r="Q6959" s="214"/>
    </row>
    <row r="6960" spans="1:17">
      <c r="A6960" s="175"/>
      <c r="B6960" s="175"/>
      <c r="P6960" s="4"/>
      <c r="Q6960" s="214"/>
    </row>
    <row r="6961" spans="1:17">
      <c r="A6961" s="175"/>
      <c r="B6961" s="175"/>
      <c r="P6961" s="4"/>
      <c r="Q6961" s="214"/>
    </row>
    <row r="6962" spans="1:17">
      <c r="A6962" s="175"/>
      <c r="B6962" s="175"/>
      <c r="P6962" s="4"/>
      <c r="Q6962" s="214"/>
    </row>
    <row r="6963" spans="1:17">
      <c r="A6963" s="175"/>
      <c r="B6963" s="175"/>
      <c r="P6963" s="4"/>
      <c r="Q6963" s="214"/>
    </row>
    <row r="6964" spans="1:17">
      <c r="A6964" s="175"/>
      <c r="B6964" s="175"/>
      <c r="P6964" s="4"/>
      <c r="Q6964" s="214"/>
    </row>
    <row r="6965" spans="1:17">
      <c r="A6965" s="175"/>
      <c r="B6965" s="175"/>
      <c r="P6965" s="4"/>
      <c r="Q6965" s="214"/>
    </row>
    <row r="6966" spans="1:17">
      <c r="A6966" s="175"/>
      <c r="B6966" s="175"/>
      <c r="P6966" s="4"/>
      <c r="Q6966" s="214"/>
    </row>
    <row r="6967" spans="1:17">
      <c r="A6967" s="175"/>
      <c r="B6967" s="175"/>
      <c r="P6967" s="4"/>
      <c r="Q6967" s="214"/>
    </row>
    <row r="6968" spans="1:17">
      <c r="A6968" s="175"/>
      <c r="B6968" s="175"/>
      <c r="P6968" s="4"/>
      <c r="Q6968" s="214"/>
    </row>
    <row r="6969" spans="1:17">
      <c r="A6969" s="175"/>
      <c r="B6969" s="175"/>
      <c r="P6969" s="4"/>
      <c r="Q6969" s="214"/>
    </row>
    <row r="6970" spans="1:17">
      <c r="A6970" s="175"/>
      <c r="B6970" s="175"/>
      <c r="P6970" s="4"/>
      <c r="Q6970" s="214"/>
    </row>
    <row r="6971" spans="1:17">
      <c r="A6971" s="175"/>
      <c r="B6971" s="175"/>
      <c r="P6971" s="4"/>
      <c r="Q6971" s="214"/>
    </row>
    <row r="6972" spans="1:17">
      <c r="A6972" s="175"/>
      <c r="B6972" s="175"/>
      <c r="P6972" s="4"/>
      <c r="Q6972" s="214"/>
    </row>
    <row r="6973" spans="1:17">
      <c r="A6973" s="175"/>
      <c r="B6973" s="175"/>
      <c r="P6973" s="4"/>
      <c r="Q6973" s="214"/>
    </row>
    <row r="6974" spans="1:17">
      <c r="A6974" s="175"/>
      <c r="B6974" s="175"/>
      <c r="P6974" s="4"/>
      <c r="Q6974" s="214"/>
    </row>
    <row r="6975" spans="1:17">
      <c r="A6975" s="175"/>
      <c r="B6975" s="175"/>
      <c r="P6975" s="4"/>
      <c r="Q6975" s="214"/>
    </row>
    <row r="6976" spans="1:17">
      <c r="A6976" s="175"/>
      <c r="B6976" s="175"/>
      <c r="P6976" s="4"/>
      <c r="Q6976" s="214"/>
    </row>
    <row r="6977" spans="1:17">
      <c r="A6977" s="175"/>
      <c r="B6977" s="175"/>
      <c r="P6977" s="4"/>
      <c r="Q6977" s="214"/>
    </row>
    <row r="6978" spans="1:17">
      <c r="A6978" s="175"/>
      <c r="B6978" s="175"/>
      <c r="P6978" s="4"/>
      <c r="Q6978" s="214"/>
    </row>
    <row r="6979" spans="1:17">
      <c r="A6979" s="175"/>
      <c r="B6979" s="175"/>
      <c r="P6979" s="4"/>
      <c r="Q6979" s="214"/>
    </row>
    <row r="6980" spans="1:17">
      <c r="A6980" s="175"/>
      <c r="B6980" s="175"/>
      <c r="P6980" s="4"/>
      <c r="Q6980" s="214"/>
    </row>
    <row r="6981" spans="1:17">
      <c r="A6981" s="175"/>
      <c r="B6981" s="175"/>
      <c r="P6981" s="4"/>
      <c r="Q6981" s="214"/>
    </row>
    <row r="6982" spans="1:17">
      <c r="A6982" s="175"/>
      <c r="B6982" s="175"/>
      <c r="P6982" s="4"/>
      <c r="Q6982" s="214"/>
    </row>
    <row r="6983" spans="1:17">
      <c r="A6983" s="175"/>
      <c r="B6983" s="175"/>
      <c r="P6983" s="4"/>
      <c r="Q6983" s="214"/>
    </row>
    <row r="6984" spans="1:17">
      <c r="A6984" s="175"/>
      <c r="B6984" s="175"/>
      <c r="P6984" s="4"/>
      <c r="Q6984" s="214"/>
    </row>
    <row r="6985" spans="1:17">
      <c r="A6985" s="175"/>
      <c r="B6985" s="175"/>
      <c r="P6985" s="4"/>
      <c r="Q6985" s="214"/>
    </row>
    <row r="6986" spans="1:17">
      <c r="A6986" s="175"/>
      <c r="B6986" s="175"/>
      <c r="P6986" s="4"/>
      <c r="Q6986" s="214"/>
    </row>
    <row r="6987" spans="1:17">
      <c r="A6987" s="175"/>
      <c r="B6987" s="175"/>
      <c r="P6987" s="4"/>
      <c r="Q6987" s="214"/>
    </row>
    <row r="6988" spans="1:17">
      <c r="A6988" s="175"/>
      <c r="B6988" s="175"/>
      <c r="P6988" s="4"/>
      <c r="Q6988" s="214"/>
    </row>
    <row r="6989" spans="1:17">
      <c r="A6989" s="175"/>
      <c r="B6989" s="175"/>
      <c r="P6989" s="4"/>
      <c r="Q6989" s="214"/>
    </row>
    <row r="6990" spans="1:17">
      <c r="A6990" s="175"/>
      <c r="B6990" s="175"/>
      <c r="P6990" s="4"/>
      <c r="Q6990" s="214"/>
    </row>
    <row r="6991" spans="1:17">
      <c r="A6991" s="175"/>
      <c r="B6991" s="175"/>
      <c r="P6991" s="4"/>
      <c r="Q6991" s="214"/>
    </row>
    <row r="6992" spans="1:17">
      <c r="A6992" s="175"/>
      <c r="B6992" s="175"/>
      <c r="P6992" s="4"/>
      <c r="Q6992" s="214"/>
    </row>
    <row r="6993" spans="1:17">
      <c r="A6993" s="175"/>
      <c r="B6993" s="175"/>
      <c r="P6993" s="4"/>
      <c r="Q6993" s="214"/>
    </row>
    <row r="6994" spans="1:17">
      <c r="A6994" s="175"/>
      <c r="B6994" s="175"/>
      <c r="P6994" s="4"/>
      <c r="Q6994" s="214"/>
    </row>
    <row r="6995" spans="1:17">
      <c r="A6995" s="175"/>
      <c r="B6995" s="175"/>
      <c r="P6995" s="4"/>
      <c r="Q6995" s="214"/>
    </row>
    <row r="6996" spans="1:17">
      <c r="A6996" s="175"/>
      <c r="B6996" s="175"/>
      <c r="P6996" s="4"/>
      <c r="Q6996" s="214"/>
    </row>
    <row r="6997" spans="1:17">
      <c r="A6997" s="175"/>
      <c r="B6997" s="175"/>
      <c r="P6997" s="4"/>
      <c r="Q6997" s="214"/>
    </row>
    <row r="6998" spans="1:17">
      <c r="A6998" s="175"/>
      <c r="B6998" s="175"/>
      <c r="P6998" s="4"/>
      <c r="Q6998" s="214"/>
    </row>
    <row r="6999" spans="1:17">
      <c r="A6999" s="175"/>
      <c r="B6999" s="175"/>
      <c r="P6999" s="4"/>
      <c r="Q6999" s="214"/>
    </row>
    <row r="7000" spans="1:17">
      <c r="A7000" s="175"/>
      <c r="B7000" s="175"/>
      <c r="P7000" s="4"/>
      <c r="Q7000" s="214"/>
    </row>
    <row r="7001" spans="1:17">
      <c r="A7001" s="175"/>
      <c r="B7001" s="175"/>
      <c r="P7001" s="4"/>
      <c r="Q7001" s="214"/>
    </row>
    <row r="7002" spans="1:17">
      <c r="A7002" s="175"/>
      <c r="B7002" s="175"/>
      <c r="P7002" s="4"/>
      <c r="Q7002" s="214"/>
    </row>
    <row r="7003" spans="1:17">
      <c r="A7003" s="175"/>
      <c r="B7003" s="175"/>
      <c r="P7003" s="4"/>
      <c r="Q7003" s="214"/>
    </row>
    <row r="7004" spans="1:17">
      <c r="A7004" s="175"/>
      <c r="B7004" s="175"/>
      <c r="P7004" s="4"/>
      <c r="Q7004" s="214"/>
    </row>
    <row r="7005" spans="1:17">
      <c r="A7005" s="175"/>
      <c r="B7005" s="175"/>
      <c r="P7005" s="4"/>
      <c r="Q7005" s="214"/>
    </row>
    <row r="7006" spans="1:17">
      <c r="A7006" s="175"/>
      <c r="B7006" s="175"/>
      <c r="P7006" s="4"/>
      <c r="Q7006" s="214"/>
    </row>
    <row r="7007" spans="1:17">
      <c r="A7007" s="175"/>
      <c r="B7007" s="175"/>
      <c r="P7007" s="4"/>
      <c r="Q7007" s="214"/>
    </row>
    <row r="7008" spans="1:17">
      <c r="A7008" s="175"/>
      <c r="B7008" s="175"/>
      <c r="P7008" s="4"/>
      <c r="Q7008" s="214"/>
    </row>
    <row r="7009" spans="1:17">
      <c r="A7009" s="175"/>
      <c r="B7009" s="175"/>
      <c r="P7009" s="4"/>
      <c r="Q7009" s="214"/>
    </row>
    <row r="7010" spans="1:17">
      <c r="A7010" s="175"/>
      <c r="B7010" s="175"/>
      <c r="P7010" s="4"/>
      <c r="Q7010" s="214"/>
    </row>
    <row r="7011" spans="1:17">
      <c r="A7011" s="175"/>
      <c r="B7011" s="175"/>
      <c r="P7011" s="4"/>
      <c r="Q7011" s="214"/>
    </row>
    <row r="7012" spans="1:17">
      <c r="A7012" s="175"/>
      <c r="B7012" s="175"/>
      <c r="P7012" s="4"/>
      <c r="Q7012" s="214"/>
    </row>
    <row r="7013" spans="1:17">
      <c r="A7013" s="175"/>
      <c r="B7013" s="175"/>
      <c r="P7013" s="4"/>
      <c r="Q7013" s="214"/>
    </row>
    <row r="7014" spans="1:17">
      <c r="A7014" s="175"/>
      <c r="B7014" s="175"/>
      <c r="P7014" s="4"/>
      <c r="Q7014" s="214"/>
    </row>
    <row r="7015" spans="1:17">
      <c r="A7015" s="175"/>
      <c r="B7015" s="175"/>
      <c r="P7015" s="4"/>
      <c r="Q7015" s="214"/>
    </row>
    <row r="7016" spans="1:17">
      <c r="A7016" s="175"/>
      <c r="B7016" s="175"/>
      <c r="P7016" s="4"/>
      <c r="Q7016" s="214"/>
    </row>
    <row r="7017" spans="1:17">
      <c r="A7017" s="175"/>
      <c r="B7017" s="175"/>
      <c r="P7017" s="4"/>
      <c r="Q7017" s="214"/>
    </row>
    <row r="7018" spans="1:17">
      <c r="A7018" s="175"/>
      <c r="B7018" s="175"/>
      <c r="P7018" s="4"/>
      <c r="Q7018" s="214"/>
    </row>
    <row r="7019" spans="1:17">
      <c r="A7019" s="175"/>
      <c r="B7019" s="175"/>
      <c r="P7019" s="4"/>
      <c r="Q7019" s="214"/>
    </row>
    <row r="7020" spans="1:17">
      <c r="A7020" s="175"/>
      <c r="B7020" s="175"/>
      <c r="P7020" s="4"/>
      <c r="Q7020" s="214"/>
    </row>
    <row r="7021" spans="1:17">
      <c r="A7021" s="175"/>
      <c r="B7021" s="175"/>
      <c r="P7021" s="4"/>
      <c r="Q7021" s="214"/>
    </row>
    <row r="7022" spans="1:17">
      <c r="A7022" s="175"/>
      <c r="B7022" s="175"/>
      <c r="P7022" s="4"/>
      <c r="Q7022" s="214"/>
    </row>
    <row r="7023" spans="1:17">
      <c r="A7023" s="175"/>
      <c r="B7023" s="175"/>
      <c r="P7023" s="4"/>
      <c r="Q7023" s="214"/>
    </row>
    <row r="7024" spans="1:17">
      <c r="A7024" s="175"/>
      <c r="B7024" s="175"/>
      <c r="P7024" s="4"/>
      <c r="Q7024" s="214"/>
    </row>
    <row r="7025" spans="1:17">
      <c r="A7025" s="175"/>
      <c r="B7025" s="175"/>
      <c r="P7025" s="4"/>
      <c r="Q7025" s="214"/>
    </row>
    <row r="7026" spans="1:17">
      <c r="A7026" s="175"/>
      <c r="B7026" s="175"/>
      <c r="P7026" s="4"/>
      <c r="Q7026" s="214"/>
    </row>
    <row r="7027" spans="1:17">
      <c r="A7027" s="175"/>
      <c r="B7027" s="175"/>
      <c r="P7027" s="4"/>
      <c r="Q7027" s="214"/>
    </row>
    <row r="7028" spans="1:17">
      <c r="A7028" s="175"/>
      <c r="B7028" s="175"/>
      <c r="P7028" s="4"/>
      <c r="Q7028" s="214"/>
    </row>
    <row r="7029" spans="1:17">
      <c r="A7029" s="175"/>
      <c r="B7029" s="175"/>
      <c r="P7029" s="4"/>
      <c r="Q7029" s="214"/>
    </row>
    <row r="7030" spans="1:17">
      <c r="A7030" s="175"/>
      <c r="B7030" s="175"/>
      <c r="P7030" s="4"/>
      <c r="Q7030" s="214"/>
    </row>
    <row r="7031" spans="1:17">
      <c r="A7031" s="175"/>
      <c r="B7031" s="175"/>
      <c r="P7031" s="4"/>
      <c r="Q7031" s="214"/>
    </row>
    <row r="7032" spans="1:17">
      <c r="A7032" s="175"/>
      <c r="B7032" s="175"/>
      <c r="P7032" s="4"/>
      <c r="Q7032" s="214"/>
    </row>
    <row r="7033" spans="1:17">
      <c r="A7033" s="175"/>
      <c r="B7033" s="175"/>
      <c r="P7033" s="4"/>
      <c r="Q7033" s="214"/>
    </row>
    <row r="7034" spans="1:17">
      <c r="A7034" s="175"/>
      <c r="B7034" s="175"/>
      <c r="P7034" s="4"/>
      <c r="Q7034" s="214"/>
    </row>
    <row r="7035" spans="1:17">
      <c r="A7035" s="175"/>
      <c r="B7035" s="175"/>
      <c r="P7035" s="4"/>
      <c r="Q7035" s="214"/>
    </row>
    <row r="7036" spans="1:17">
      <c r="A7036" s="175"/>
      <c r="B7036" s="175"/>
      <c r="P7036" s="4"/>
      <c r="Q7036" s="214"/>
    </row>
    <row r="7037" spans="1:17">
      <c r="A7037" s="175"/>
      <c r="B7037" s="175"/>
      <c r="P7037" s="4"/>
      <c r="Q7037" s="214"/>
    </row>
    <row r="7038" spans="1:17">
      <c r="A7038" s="175"/>
      <c r="B7038" s="175"/>
      <c r="P7038" s="4"/>
      <c r="Q7038" s="214"/>
    </row>
    <row r="7039" spans="1:17">
      <c r="A7039" s="175"/>
      <c r="B7039" s="175"/>
      <c r="P7039" s="4"/>
      <c r="Q7039" s="214"/>
    </row>
    <row r="7040" spans="1:17">
      <c r="A7040" s="175"/>
      <c r="B7040" s="175"/>
      <c r="P7040" s="4"/>
      <c r="Q7040" s="214"/>
    </row>
    <row r="7041" spans="1:17">
      <c r="A7041" s="175"/>
      <c r="B7041" s="175"/>
      <c r="P7041" s="4"/>
      <c r="Q7041" s="214"/>
    </row>
    <row r="7042" spans="1:17">
      <c r="A7042" s="175"/>
      <c r="B7042" s="175"/>
      <c r="P7042" s="4"/>
      <c r="Q7042" s="214"/>
    </row>
    <row r="7043" spans="1:17">
      <c r="A7043" s="175"/>
      <c r="B7043" s="175"/>
      <c r="P7043" s="4"/>
      <c r="Q7043" s="214"/>
    </row>
    <row r="7044" spans="1:17">
      <c r="A7044" s="175"/>
      <c r="B7044" s="175"/>
      <c r="P7044" s="4"/>
      <c r="Q7044" s="214"/>
    </row>
    <row r="7045" spans="1:17">
      <c r="A7045" s="175"/>
      <c r="B7045" s="175"/>
      <c r="P7045" s="4"/>
      <c r="Q7045" s="214"/>
    </row>
    <row r="7046" spans="1:17">
      <c r="A7046" s="175"/>
      <c r="B7046" s="175"/>
      <c r="P7046" s="4"/>
      <c r="Q7046" s="214"/>
    </row>
    <row r="7047" spans="1:17">
      <c r="A7047" s="175"/>
      <c r="B7047" s="175"/>
      <c r="P7047" s="4"/>
      <c r="Q7047" s="214"/>
    </row>
    <row r="7048" spans="1:17">
      <c r="A7048" s="175"/>
      <c r="B7048" s="175"/>
      <c r="P7048" s="4"/>
      <c r="Q7048" s="214"/>
    </row>
    <row r="7049" spans="1:17">
      <c r="A7049" s="175"/>
      <c r="B7049" s="175"/>
      <c r="P7049" s="4"/>
      <c r="Q7049" s="214"/>
    </row>
    <row r="7050" spans="1:17">
      <c r="A7050" s="175"/>
      <c r="B7050" s="175"/>
      <c r="P7050" s="4"/>
      <c r="Q7050" s="214"/>
    </row>
    <row r="7051" spans="1:17">
      <c r="A7051" s="175"/>
      <c r="B7051" s="175"/>
      <c r="P7051" s="4"/>
      <c r="Q7051" s="214"/>
    </row>
    <row r="7052" spans="1:17">
      <c r="A7052" s="175"/>
      <c r="B7052" s="175"/>
      <c r="P7052" s="4"/>
      <c r="Q7052" s="214"/>
    </row>
    <row r="7053" spans="1:17">
      <c r="A7053" s="175"/>
      <c r="B7053" s="175"/>
      <c r="P7053" s="4"/>
      <c r="Q7053" s="214"/>
    </row>
    <row r="7054" spans="1:17">
      <c r="A7054" s="175"/>
      <c r="B7054" s="175"/>
      <c r="P7054" s="4"/>
      <c r="Q7054" s="214"/>
    </row>
    <row r="7055" spans="1:17">
      <c r="A7055" s="175"/>
      <c r="B7055" s="175"/>
      <c r="P7055" s="4"/>
      <c r="Q7055" s="214"/>
    </row>
    <row r="7056" spans="1:17">
      <c r="A7056" s="175"/>
      <c r="B7056" s="175"/>
      <c r="P7056" s="4"/>
      <c r="Q7056" s="214"/>
    </row>
    <row r="7057" spans="1:17">
      <c r="A7057" s="175"/>
      <c r="B7057" s="175"/>
      <c r="P7057" s="4"/>
      <c r="Q7057" s="214"/>
    </row>
    <row r="7058" spans="1:17">
      <c r="A7058" s="175"/>
      <c r="B7058" s="175"/>
      <c r="P7058" s="4"/>
      <c r="Q7058" s="214"/>
    </row>
    <row r="7059" spans="1:17">
      <c r="A7059" s="175"/>
      <c r="B7059" s="175"/>
      <c r="P7059" s="4"/>
      <c r="Q7059" s="214"/>
    </row>
    <row r="7060" spans="1:17">
      <c r="A7060" s="175"/>
      <c r="B7060" s="175"/>
      <c r="P7060" s="4"/>
      <c r="Q7060" s="214"/>
    </row>
    <row r="7061" spans="1:17">
      <c r="A7061" s="175"/>
      <c r="B7061" s="175"/>
      <c r="P7061" s="4"/>
      <c r="Q7061" s="214"/>
    </row>
    <row r="7062" spans="1:17">
      <c r="A7062" s="175"/>
      <c r="B7062" s="175"/>
      <c r="P7062" s="4"/>
      <c r="Q7062" s="214"/>
    </row>
    <row r="7063" spans="1:17">
      <c r="A7063" s="175"/>
      <c r="B7063" s="175"/>
      <c r="P7063" s="4"/>
      <c r="Q7063" s="214"/>
    </row>
    <row r="7064" spans="1:17">
      <c r="A7064" s="175"/>
      <c r="B7064" s="175"/>
      <c r="P7064" s="4"/>
      <c r="Q7064" s="214"/>
    </row>
    <row r="7065" spans="1:17">
      <c r="A7065" s="175"/>
      <c r="B7065" s="175"/>
      <c r="P7065" s="4"/>
      <c r="Q7065" s="214"/>
    </row>
    <row r="7066" spans="1:17">
      <c r="A7066" s="175"/>
      <c r="B7066" s="175"/>
      <c r="P7066" s="4"/>
      <c r="Q7066" s="214"/>
    </row>
    <row r="7067" spans="1:17">
      <c r="A7067" s="175"/>
      <c r="B7067" s="175"/>
      <c r="P7067" s="4"/>
      <c r="Q7067" s="214"/>
    </row>
    <row r="7068" spans="1:17">
      <c r="A7068" s="175"/>
      <c r="B7068" s="175"/>
      <c r="P7068" s="4"/>
      <c r="Q7068" s="214"/>
    </row>
    <row r="7069" spans="1:17">
      <c r="A7069" s="175"/>
      <c r="B7069" s="175"/>
      <c r="P7069" s="4"/>
      <c r="Q7069" s="214"/>
    </row>
    <row r="7070" spans="1:17">
      <c r="A7070" s="175"/>
      <c r="B7070" s="175"/>
      <c r="P7070" s="4"/>
      <c r="Q7070" s="214"/>
    </row>
    <row r="7071" spans="1:17">
      <c r="A7071" s="175"/>
      <c r="B7071" s="175"/>
      <c r="P7071" s="4"/>
      <c r="Q7071" s="214"/>
    </row>
    <row r="7072" spans="1:17">
      <c r="A7072" s="175"/>
      <c r="B7072" s="175"/>
      <c r="P7072" s="4"/>
      <c r="Q7072" s="214"/>
    </row>
    <row r="7073" spans="1:17">
      <c r="A7073" s="175"/>
      <c r="B7073" s="175"/>
      <c r="P7073" s="4"/>
      <c r="Q7073" s="214"/>
    </row>
    <row r="7074" spans="1:17">
      <c r="A7074" s="175"/>
      <c r="B7074" s="175"/>
      <c r="P7074" s="4"/>
      <c r="Q7074" s="214"/>
    </row>
    <row r="7075" spans="1:17">
      <c r="A7075" s="175"/>
      <c r="B7075" s="175"/>
      <c r="P7075" s="4"/>
      <c r="Q7075" s="214"/>
    </row>
    <row r="7076" spans="1:17">
      <c r="A7076" s="175"/>
      <c r="B7076" s="175"/>
      <c r="P7076" s="4"/>
      <c r="Q7076" s="214"/>
    </row>
    <row r="7077" spans="1:17">
      <c r="A7077" s="175"/>
      <c r="B7077" s="175"/>
      <c r="P7077" s="4"/>
      <c r="Q7077" s="214"/>
    </row>
    <row r="7078" spans="1:17">
      <c r="A7078" s="175"/>
      <c r="B7078" s="175"/>
      <c r="P7078" s="4"/>
      <c r="Q7078" s="214"/>
    </row>
    <row r="7079" spans="1:17">
      <c r="A7079" s="175"/>
      <c r="B7079" s="175"/>
      <c r="P7079" s="4"/>
      <c r="Q7079" s="214"/>
    </row>
    <row r="7080" spans="1:17">
      <c r="A7080" s="175"/>
      <c r="B7080" s="175"/>
      <c r="P7080" s="4"/>
      <c r="Q7080" s="214"/>
    </row>
    <row r="7081" spans="1:17">
      <c r="A7081" s="175"/>
      <c r="B7081" s="175"/>
      <c r="P7081" s="4"/>
      <c r="Q7081" s="214"/>
    </row>
    <row r="7082" spans="1:17">
      <c r="A7082" s="175"/>
      <c r="B7082" s="175"/>
      <c r="P7082" s="4"/>
      <c r="Q7082" s="214"/>
    </row>
    <row r="7083" spans="1:17">
      <c r="A7083" s="175"/>
      <c r="B7083" s="175"/>
      <c r="P7083" s="4"/>
      <c r="Q7083" s="214"/>
    </row>
    <row r="7084" spans="1:17">
      <c r="A7084" s="175"/>
      <c r="B7084" s="175"/>
      <c r="P7084" s="4"/>
      <c r="Q7084" s="214"/>
    </row>
    <row r="7085" spans="1:17">
      <c r="A7085" s="175"/>
      <c r="B7085" s="175"/>
      <c r="P7085" s="4"/>
      <c r="Q7085" s="214"/>
    </row>
    <row r="7086" spans="1:17">
      <c r="A7086" s="175"/>
      <c r="B7086" s="175"/>
      <c r="P7086" s="4"/>
      <c r="Q7086" s="214"/>
    </row>
    <row r="7087" spans="1:17">
      <c r="A7087" s="175"/>
      <c r="B7087" s="175"/>
      <c r="P7087" s="4"/>
      <c r="Q7087" s="214"/>
    </row>
    <row r="7088" spans="1:17">
      <c r="A7088" s="175"/>
      <c r="B7088" s="175"/>
      <c r="P7088" s="4"/>
      <c r="Q7088" s="214"/>
    </row>
    <row r="7089" spans="1:17">
      <c r="A7089" s="175"/>
      <c r="B7089" s="175"/>
      <c r="P7089" s="4"/>
      <c r="Q7089" s="214"/>
    </row>
    <row r="7090" spans="1:17">
      <c r="A7090" s="175"/>
      <c r="B7090" s="175"/>
      <c r="P7090" s="4"/>
      <c r="Q7090" s="214"/>
    </row>
    <row r="7091" spans="1:17">
      <c r="A7091" s="175"/>
      <c r="B7091" s="175"/>
      <c r="P7091" s="4"/>
      <c r="Q7091" s="214"/>
    </row>
    <row r="7092" spans="1:17">
      <c r="A7092" s="175"/>
      <c r="B7092" s="175"/>
      <c r="P7092" s="4"/>
      <c r="Q7092" s="214"/>
    </row>
    <row r="7093" spans="1:17">
      <c r="A7093" s="175"/>
      <c r="B7093" s="175"/>
      <c r="P7093" s="4"/>
      <c r="Q7093" s="214"/>
    </row>
    <row r="7094" spans="1:17">
      <c r="A7094" s="175"/>
      <c r="B7094" s="175"/>
      <c r="P7094" s="4"/>
      <c r="Q7094" s="214"/>
    </row>
    <row r="7095" spans="1:17">
      <c r="A7095" s="175"/>
      <c r="B7095" s="175"/>
      <c r="P7095" s="4"/>
      <c r="Q7095" s="214"/>
    </row>
    <row r="7096" spans="1:17">
      <c r="A7096" s="175"/>
      <c r="B7096" s="175"/>
      <c r="P7096" s="4"/>
      <c r="Q7096" s="214"/>
    </row>
    <row r="7097" spans="1:17">
      <c r="A7097" s="175"/>
      <c r="B7097" s="175"/>
      <c r="P7097" s="4"/>
      <c r="Q7097" s="214"/>
    </row>
    <row r="7098" spans="1:17">
      <c r="A7098" s="175"/>
      <c r="B7098" s="175"/>
      <c r="P7098" s="4"/>
      <c r="Q7098" s="214"/>
    </row>
    <row r="7099" spans="1:17">
      <c r="A7099" s="175"/>
      <c r="B7099" s="175"/>
      <c r="P7099" s="4"/>
      <c r="Q7099" s="214"/>
    </row>
    <row r="7100" spans="1:17">
      <c r="A7100" s="175"/>
      <c r="B7100" s="175"/>
      <c r="P7100" s="4"/>
      <c r="Q7100" s="214"/>
    </row>
    <row r="7101" spans="1:17">
      <c r="A7101" s="175"/>
      <c r="B7101" s="175"/>
      <c r="P7101" s="4"/>
      <c r="Q7101" s="214"/>
    </row>
    <row r="7102" spans="1:17">
      <c r="A7102" s="175"/>
      <c r="B7102" s="175"/>
      <c r="P7102" s="4"/>
      <c r="Q7102" s="214"/>
    </row>
    <row r="7103" spans="1:17">
      <c r="A7103" s="175"/>
      <c r="B7103" s="175"/>
      <c r="P7103" s="4"/>
      <c r="Q7103" s="214"/>
    </row>
    <row r="7104" spans="1:17">
      <c r="A7104" s="175"/>
      <c r="B7104" s="175"/>
      <c r="P7104" s="4"/>
      <c r="Q7104" s="214"/>
    </row>
    <row r="7105" spans="1:17">
      <c r="A7105" s="175"/>
      <c r="B7105" s="175"/>
      <c r="P7105" s="4"/>
      <c r="Q7105" s="214"/>
    </row>
    <row r="7106" spans="1:17">
      <c r="A7106" s="175"/>
      <c r="B7106" s="175"/>
      <c r="P7106" s="4"/>
      <c r="Q7106" s="214"/>
    </row>
    <row r="7107" spans="1:17">
      <c r="A7107" s="175"/>
      <c r="B7107" s="175"/>
      <c r="P7107" s="4"/>
      <c r="Q7107" s="214"/>
    </row>
    <row r="7108" spans="1:17">
      <c r="A7108" s="175"/>
      <c r="B7108" s="175"/>
      <c r="P7108" s="4"/>
      <c r="Q7108" s="214"/>
    </row>
    <row r="7109" spans="1:17">
      <c r="A7109" s="175"/>
      <c r="B7109" s="175"/>
      <c r="P7109" s="4"/>
      <c r="Q7109" s="214"/>
    </row>
    <row r="7110" spans="1:17">
      <c r="A7110" s="175"/>
      <c r="B7110" s="175"/>
      <c r="P7110" s="4"/>
      <c r="Q7110" s="214"/>
    </row>
    <row r="7111" spans="1:17">
      <c r="A7111" s="175"/>
      <c r="B7111" s="175"/>
      <c r="P7111" s="4"/>
      <c r="Q7111" s="214"/>
    </row>
    <row r="7112" spans="1:17">
      <c r="A7112" s="175"/>
      <c r="B7112" s="175"/>
      <c r="P7112" s="4"/>
      <c r="Q7112" s="214"/>
    </row>
    <row r="7113" spans="1:17">
      <c r="A7113" s="175"/>
      <c r="B7113" s="175"/>
      <c r="P7113" s="4"/>
      <c r="Q7113" s="214"/>
    </row>
    <row r="7114" spans="1:17">
      <c r="A7114" s="175"/>
      <c r="B7114" s="175"/>
      <c r="P7114" s="4"/>
      <c r="Q7114" s="214"/>
    </row>
    <row r="7115" spans="1:17">
      <c r="A7115" s="175"/>
      <c r="B7115" s="175"/>
      <c r="P7115" s="4"/>
      <c r="Q7115" s="214"/>
    </row>
    <row r="7116" spans="1:17">
      <c r="A7116" s="175"/>
      <c r="B7116" s="175"/>
      <c r="P7116" s="4"/>
      <c r="Q7116" s="214"/>
    </row>
    <row r="7117" spans="1:17">
      <c r="A7117" s="175"/>
      <c r="B7117" s="175"/>
      <c r="P7117" s="4"/>
      <c r="Q7117" s="214"/>
    </row>
    <row r="7118" spans="1:17">
      <c r="A7118" s="175"/>
      <c r="B7118" s="175"/>
      <c r="P7118" s="4"/>
      <c r="Q7118" s="214"/>
    </row>
    <row r="7119" spans="1:17">
      <c r="A7119" s="175"/>
      <c r="B7119" s="175"/>
      <c r="P7119" s="4"/>
      <c r="Q7119" s="214"/>
    </row>
    <row r="7120" spans="1:17">
      <c r="A7120" s="175"/>
      <c r="B7120" s="175"/>
      <c r="P7120" s="4"/>
      <c r="Q7120" s="214"/>
    </row>
    <row r="7121" spans="1:17">
      <c r="A7121" s="175"/>
      <c r="B7121" s="175"/>
      <c r="P7121" s="4"/>
      <c r="Q7121" s="214"/>
    </row>
    <row r="7122" spans="1:17">
      <c r="A7122" s="175"/>
      <c r="B7122" s="175"/>
      <c r="P7122" s="4"/>
      <c r="Q7122" s="214"/>
    </row>
    <row r="7123" spans="1:17">
      <c r="A7123" s="175"/>
      <c r="B7123" s="175"/>
      <c r="P7123" s="4"/>
      <c r="Q7123" s="214"/>
    </row>
    <row r="7124" spans="1:17">
      <c r="A7124" s="175"/>
      <c r="B7124" s="175"/>
      <c r="P7124" s="4"/>
      <c r="Q7124" s="214"/>
    </row>
    <row r="7125" spans="1:17">
      <c r="A7125" s="175"/>
      <c r="B7125" s="175"/>
      <c r="P7125" s="4"/>
      <c r="Q7125" s="214"/>
    </row>
    <row r="7126" spans="1:17">
      <c r="A7126" s="175"/>
      <c r="B7126" s="175"/>
      <c r="P7126" s="4"/>
      <c r="Q7126" s="214"/>
    </row>
    <row r="7127" spans="1:17">
      <c r="A7127" s="175"/>
      <c r="B7127" s="175"/>
      <c r="P7127" s="4"/>
      <c r="Q7127" s="214"/>
    </row>
    <row r="7128" spans="1:17">
      <c r="A7128" s="175"/>
      <c r="B7128" s="175"/>
      <c r="P7128" s="4"/>
      <c r="Q7128" s="214"/>
    </row>
    <row r="7129" spans="1:17">
      <c r="A7129" s="175"/>
      <c r="B7129" s="175"/>
      <c r="P7129" s="4"/>
      <c r="Q7129" s="214"/>
    </row>
    <row r="7130" spans="1:17">
      <c r="A7130" s="175"/>
      <c r="B7130" s="175"/>
      <c r="P7130" s="4"/>
      <c r="Q7130" s="214"/>
    </row>
    <row r="7131" spans="1:17">
      <c r="A7131" s="175"/>
      <c r="B7131" s="175"/>
      <c r="P7131" s="4"/>
      <c r="Q7131" s="214"/>
    </row>
    <row r="7132" spans="1:17">
      <c r="A7132" s="175"/>
      <c r="B7132" s="175"/>
      <c r="P7132" s="4"/>
      <c r="Q7132" s="214"/>
    </row>
    <row r="7133" spans="1:17">
      <c r="A7133" s="175"/>
      <c r="B7133" s="175"/>
      <c r="P7133" s="4"/>
      <c r="Q7133" s="214"/>
    </row>
    <row r="7134" spans="1:17">
      <c r="A7134" s="175"/>
      <c r="B7134" s="175"/>
      <c r="P7134" s="4"/>
      <c r="Q7134" s="214"/>
    </row>
    <row r="7135" spans="1:17">
      <c r="A7135" s="175"/>
      <c r="B7135" s="175"/>
      <c r="P7135" s="4"/>
      <c r="Q7135" s="214"/>
    </row>
    <row r="7136" spans="1:17">
      <c r="A7136" s="175"/>
      <c r="B7136" s="175"/>
      <c r="P7136" s="4"/>
      <c r="Q7136" s="214"/>
    </row>
    <row r="7137" spans="1:17">
      <c r="A7137" s="175"/>
      <c r="B7137" s="175"/>
      <c r="P7137" s="4"/>
      <c r="Q7137" s="214"/>
    </row>
    <row r="7138" spans="1:17">
      <c r="A7138" s="175"/>
      <c r="B7138" s="175"/>
      <c r="P7138" s="4"/>
      <c r="Q7138" s="214"/>
    </row>
    <row r="7139" spans="1:17">
      <c r="A7139" s="175"/>
      <c r="B7139" s="175"/>
      <c r="P7139" s="4"/>
      <c r="Q7139" s="214"/>
    </row>
    <row r="7140" spans="1:17">
      <c r="A7140" s="175"/>
      <c r="B7140" s="175"/>
      <c r="P7140" s="4"/>
      <c r="Q7140" s="214"/>
    </row>
    <row r="7141" spans="1:17">
      <c r="A7141" s="175"/>
      <c r="B7141" s="175"/>
      <c r="P7141" s="4"/>
      <c r="Q7141" s="214"/>
    </row>
    <row r="7142" spans="1:17">
      <c r="A7142" s="175"/>
      <c r="B7142" s="175"/>
      <c r="P7142" s="4"/>
      <c r="Q7142" s="214"/>
    </row>
    <row r="7143" spans="1:17">
      <c r="A7143" s="175"/>
      <c r="B7143" s="175"/>
      <c r="P7143" s="4"/>
      <c r="Q7143" s="214"/>
    </row>
    <row r="7144" spans="1:17">
      <c r="A7144" s="175"/>
      <c r="B7144" s="175"/>
      <c r="P7144" s="4"/>
      <c r="Q7144" s="214"/>
    </row>
    <row r="7145" spans="1:17">
      <c r="A7145" s="175"/>
      <c r="B7145" s="175"/>
      <c r="P7145" s="4"/>
      <c r="Q7145" s="214"/>
    </row>
    <row r="7146" spans="1:17">
      <c r="A7146" s="175"/>
      <c r="B7146" s="175"/>
      <c r="P7146" s="4"/>
      <c r="Q7146" s="214"/>
    </row>
    <row r="7147" spans="1:17">
      <c r="A7147" s="175"/>
      <c r="B7147" s="175"/>
      <c r="P7147" s="4"/>
      <c r="Q7147" s="214"/>
    </row>
    <row r="7148" spans="1:17">
      <c r="A7148" s="175"/>
      <c r="B7148" s="175"/>
      <c r="P7148" s="4"/>
      <c r="Q7148" s="214"/>
    </row>
    <row r="7149" spans="1:17">
      <c r="A7149" s="175"/>
      <c r="B7149" s="175"/>
      <c r="P7149" s="4"/>
      <c r="Q7149" s="214"/>
    </row>
    <row r="7150" spans="1:17">
      <c r="A7150" s="175"/>
      <c r="B7150" s="175"/>
      <c r="P7150" s="4"/>
      <c r="Q7150" s="214"/>
    </row>
    <row r="7151" spans="1:17">
      <c r="A7151" s="175"/>
      <c r="B7151" s="175"/>
      <c r="P7151" s="4"/>
      <c r="Q7151" s="214"/>
    </row>
    <row r="7152" spans="1:17">
      <c r="A7152" s="175"/>
      <c r="B7152" s="175"/>
      <c r="P7152" s="4"/>
      <c r="Q7152" s="214"/>
    </row>
    <row r="7153" spans="1:17">
      <c r="A7153" s="175"/>
      <c r="B7153" s="175"/>
      <c r="P7153" s="4"/>
      <c r="Q7153" s="214"/>
    </row>
    <row r="7154" spans="1:17">
      <c r="A7154" s="175"/>
      <c r="B7154" s="175"/>
      <c r="P7154" s="4"/>
      <c r="Q7154" s="214"/>
    </row>
    <row r="7155" spans="1:17">
      <c r="A7155" s="175"/>
      <c r="B7155" s="175"/>
      <c r="P7155" s="4"/>
      <c r="Q7155" s="214"/>
    </row>
    <row r="7156" spans="1:17">
      <c r="A7156" s="175"/>
      <c r="B7156" s="175"/>
      <c r="P7156" s="4"/>
      <c r="Q7156" s="214"/>
    </row>
    <row r="7157" spans="1:17">
      <c r="A7157" s="175"/>
      <c r="B7157" s="175"/>
      <c r="P7157" s="4"/>
      <c r="Q7157" s="214"/>
    </row>
    <row r="7158" spans="1:17">
      <c r="A7158" s="175"/>
      <c r="B7158" s="175"/>
      <c r="P7158" s="4"/>
      <c r="Q7158" s="214"/>
    </row>
    <row r="7159" spans="1:17">
      <c r="A7159" s="175"/>
      <c r="B7159" s="175"/>
      <c r="P7159" s="4"/>
      <c r="Q7159" s="214"/>
    </row>
    <row r="7160" spans="1:17">
      <c r="A7160" s="175"/>
      <c r="B7160" s="175"/>
      <c r="P7160" s="4"/>
      <c r="Q7160" s="214"/>
    </row>
    <row r="7161" spans="1:17">
      <c r="A7161" s="175"/>
      <c r="B7161" s="175"/>
      <c r="P7161" s="4"/>
      <c r="Q7161" s="214"/>
    </row>
    <row r="7162" spans="1:17">
      <c r="A7162" s="175"/>
      <c r="B7162" s="175"/>
      <c r="P7162" s="4"/>
      <c r="Q7162" s="214"/>
    </row>
    <row r="7163" spans="1:17">
      <c r="A7163" s="175"/>
      <c r="B7163" s="175"/>
      <c r="P7163" s="4"/>
      <c r="Q7163" s="214"/>
    </row>
    <row r="7164" spans="1:17">
      <c r="A7164" s="175"/>
      <c r="B7164" s="175"/>
      <c r="P7164" s="4"/>
      <c r="Q7164" s="214"/>
    </row>
    <row r="7165" spans="1:17">
      <c r="A7165" s="175"/>
      <c r="B7165" s="175"/>
      <c r="P7165" s="4"/>
      <c r="Q7165" s="214"/>
    </row>
    <row r="7166" spans="1:17">
      <c r="A7166" s="175"/>
      <c r="B7166" s="175"/>
      <c r="P7166" s="4"/>
      <c r="Q7166" s="214"/>
    </row>
    <row r="7167" spans="1:17">
      <c r="A7167" s="175"/>
      <c r="B7167" s="175"/>
      <c r="P7167" s="4"/>
      <c r="Q7167" s="214"/>
    </row>
    <row r="7168" spans="1:17">
      <c r="A7168" s="175"/>
      <c r="B7168" s="175"/>
      <c r="P7168" s="4"/>
      <c r="Q7168" s="214"/>
    </row>
    <row r="7169" spans="1:17">
      <c r="A7169" s="175"/>
      <c r="B7169" s="175"/>
      <c r="P7169" s="4"/>
      <c r="Q7169" s="214"/>
    </row>
    <row r="7170" spans="1:17">
      <c r="A7170" s="175"/>
      <c r="B7170" s="175"/>
      <c r="P7170" s="4"/>
      <c r="Q7170" s="214"/>
    </row>
    <row r="7171" spans="1:17">
      <c r="A7171" s="175"/>
      <c r="B7171" s="175"/>
      <c r="P7171" s="4"/>
      <c r="Q7171" s="214"/>
    </row>
    <row r="7172" spans="1:17">
      <c r="A7172" s="175"/>
      <c r="B7172" s="175"/>
      <c r="P7172" s="4"/>
      <c r="Q7172" s="214"/>
    </row>
    <row r="7173" spans="1:17">
      <c r="A7173" s="175"/>
      <c r="B7173" s="175"/>
      <c r="P7173" s="4"/>
      <c r="Q7173" s="214"/>
    </row>
    <row r="7174" spans="1:17">
      <c r="A7174" s="175"/>
      <c r="B7174" s="175"/>
      <c r="P7174" s="4"/>
      <c r="Q7174" s="214"/>
    </row>
    <row r="7175" spans="1:17">
      <c r="A7175" s="175"/>
      <c r="B7175" s="175"/>
      <c r="P7175" s="4"/>
      <c r="Q7175" s="214"/>
    </row>
    <row r="7176" spans="1:17">
      <c r="A7176" s="175"/>
      <c r="B7176" s="175"/>
      <c r="P7176" s="4"/>
      <c r="Q7176" s="214"/>
    </row>
    <row r="7177" spans="1:17">
      <c r="A7177" s="175"/>
      <c r="B7177" s="175"/>
      <c r="P7177" s="4"/>
      <c r="Q7177" s="214"/>
    </row>
    <row r="7178" spans="1:17">
      <c r="A7178" s="175"/>
      <c r="B7178" s="175"/>
      <c r="P7178" s="4"/>
      <c r="Q7178" s="214"/>
    </row>
    <row r="7179" spans="1:17">
      <c r="A7179" s="175"/>
      <c r="B7179" s="175"/>
      <c r="P7179" s="4"/>
      <c r="Q7179" s="214"/>
    </row>
    <row r="7180" spans="1:17">
      <c r="A7180" s="175"/>
      <c r="B7180" s="175"/>
      <c r="P7180" s="4"/>
      <c r="Q7180" s="214"/>
    </row>
    <row r="7181" spans="1:17">
      <c r="A7181" s="175"/>
      <c r="B7181" s="175"/>
      <c r="P7181" s="4"/>
      <c r="Q7181" s="214"/>
    </row>
    <row r="7182" spans="1:17">
      <c r="A7182" s="175"/>
      <c r="B7182" s="175"/>
      <c r="P7182" s="4"/>
      <c r="Q7182" s="214"/>
    </row>
    <row r="7183" spans="1:17">
      <c r="A7183" s="175"/>
      <c r="B7183" s="175"/>
      <c r="P7183" s="4"/>
      <c r="Q7183" s="214"/>
    </row>
    <row r="7184" spans="1:17">
      <c r="A7184" s="175"/>
      <c r="B7184" s="175"/>
      <c r="P7184" s="4"/>
      <c r="Q7184" s="214"/>
    </row>
    <row r="7185" spans="1:17">
      <c r="A7185" s="175"/>
      <c r="B7185" s="175"/>
      <c r="P7185" s="4"/>
      <c r="Q7185" s="214"/>
    </row>
    <row r="7186" spans="1:17">
      <c r="A7186" s="175"/>
      <c r="B7186" s="175"/>
      <c r="P7186" s="4"/>
      <c r="Q7186" s="214"/>
    </row>
    <row r="7187" spans="1:17">
      <c r="A7187" s="175"/>
      <c r="B7187" s="175"/>
      <c r="P7187" s="4"/>
      <c r="Q7187" s="214"/>
    </row>
    <row r="7188" spans="1:17">
      <c r="A7188" s="175"/>
      <c r="B7188" s="175"/>
      <c r="P7188" s="4"/>
      <c r="Q7188" s="214"/>
    </row>
    <row r="7189" spans="1:17">
      <c r="A7189" s="175"/>
      <c r="B7189" s="175"/>
      <c r="P7189" s="4"/>
      <c r="Q7189" s="214"/>
    </row>
    <row r="7190" spans="1:17">
      <c r="A7190" s="175"/>
      <c r="B7190" s="175"/>
      <c r="P7190" s="4"/>
      <c r="Q7190" s="214"/>
    </row>
    <row r="7191" spans="1:17">
      <c r="A7191" s="175"/>
      <c r="B7191" s="175"/>
      <c r="P7191" s="4"/>
      <c r="Q7191" s="214"/>
    </row>
    <row r="7192" spans="1:17">
      <c r="A7192" s="175"/>
      <c r="B7192" s="175"/>
      <c r="P7192" s="4"/>
      <c r="Q7192" s="214"/>
    </row>
    <row r="7193" spans="1:17">
      <c r="A7193" s="175"/>
      <c r="B7193" s="175"/>
      <c r="P7193" s="4"/>
      <c r="Q7193" s="214"/>
    </row>
    <row r="7194" spans="1:17">
      <c r="A7194" s="175"/>
      <c r="B7194" s="175"/>
      <c r="P7194" s="4"/>
      <c r="Q7194" s="214"/>
    </row>
    <row r="7195" spans="1:17">
      <c r="A7195" s="175"/>
      <c r="B7195" s="175"/>
      <c r="P7195" s="4"/>
      <c r="Q7195" s="214"/>
    </row>
    <row r="7196" spans="1:17">
      <c r="A7196" s="175"/>
      <c r="B7196" s="175"/>
      <c r="P7196" s="4"/>
      <c r="Q7196" s="214"/>
    </row>
    <row r="7197" spans="1:17">
      <c r="A7197" s="175"/>
      <c r="B7197" s="175"/>
      <c r="P7197" s="4"/>
      <c r="Q7197" s="214"/>
    </row>
    <row r="7198" spans="1:17">
      <c r="A7198" s="175"/>
      <c r="B7198" s="175"/>
      <c r="P7198" s="4"/>
      <c r="Q7198" s="214"/>
    </row>
    <row r="7199" spans="1:17">
      <c r="A7199" s="175"/>
      <c r="B7199" s="175"/>
      <c r="P7199" s="4"/>
      <c r="Q7199" s="214"/>
    </row>
    <row r="7200" spans="1:17">
      <c r="A7200" s="175"/>
      <c r="B7200" s="175"/>
      <c r="P7200" s="4"/>
      <c r="Q7200" s="214"/>
    </row>
    <row r="7201" spans="1:17">
      <c r="A7201" s="175"/>
      <c r="B7201" s="175"/>
      <c r="P7201" s="4"/>
      <c r="Q7201" s="214"/>
    </row>
    <row r="7202" spans="1:17">
      <c r="A7202" s="175"/>
      <c r="B7202" s="175"/>
      <c r="P7202" s="4"/>
      <c r="Q7202" s="214"/>
    </row>
    <row r="7203" spans="1:17">
      <c r="A7203" s="175"/>
      <c r="B7203" s="175"/>
      <c r="P7203" s="4"/>
      <c r="Q7203" s="214"/>
    </row>
    <row r="7204" spans="1:17">
      <c r="A7204" s="175"/>
      <c r="B7204" s="175"/>
      <c r="P7204" s="4"/>
      <c r="Q7204" s="214"/>
    </row>
    <row r="7205" spans="1:17">
      <c r="A7205" s="175"/>
      <c r="B7205" s="175"/>
      <c r="P7205" s="4"/>
      <c r="Q7205" s="214"/>
    </row>
    <row r="7206" spans="1:17">
      <c r="A7206" s="175"/>
      <c r="B7206" s="175"/>
      <c r="P7206" s="4"/>
      <c r="Q7206" s="214"/>
    </row>
    <row r="7207" spans="1:17">
      <c r="A7207" s="175"/>
      <c r="B7207" s="175"/>
      <c r="P7207" s="4"/>
      <c r="Q7207" s="214"/>
    </row>
    <row r="7208" spans="1:17">
      <c r="A7208" s="175"/>
      <c r="B7208" s="175"/>
      <c r="P7208" s="4"/>
      <c r="Q7208" s="214"/>
    </row>
    <row r="7209" spans="1:17">
      <c r="A7209" s="175"/>
      <c r="B7209" s="175"/>
      <c r="P7209" s="4"/>
      <c r="Q7209" s="214"/>
    </row>
    <row r="7210" spans="1:17">
      <c r="A7210" s="175"/>
      <c r="B7210" s="175"/>
      <c r="P7210" s="4"/>
      <c r="Q7210" s="214"/>
    </row>
    <row r="7211" spans="1:17">
      <c r="A7211" s="175"/>
      <c r="B7211" s="175"/>
      <c r="P7211" s="4"/>
      <c r="Q7211" s="214"/>
    </row>
    <row r="7212" spans="1:17">
      <c r="A7212" s="175"/>
      <c r="B7212" s="175"/>
      <c r="P7212" s="4"/>
      <c r="Q7212" s="214"/>
    </row>
    <row r="7213" spans="1:17">
      <c r="A7213" s="175"/>
      <c r="B7213" s="175"/>
      <c r="P7213" s="4"/>
      <c r="Q7213" s="214"/>
    </row>
    <row r="7214" spans="1:17">
      <c r="A7214" s="175"/>
      <c r="B7214" s="175"/>
      <c r="P7214" s="4"/>
      <c r="Q7214" s="214"/>
    </row>
    <row r="7215" spans="1:17">
      <c r="A7215" s="175"/>
      <c r="B7215" s="175"/>
      <c r="P7215" s="4"/>
      <c r="Q7215" s="214"/>
    </row>
    <row r="7216" spans="1:17">
      <c r="A7216" s="175"/>
      <c r="B7216" s="175"/>
      <c r="P7216" s="4"/>
      <c r="Q7216" s="214"/>
    </row>
    <row r="7217" spans="1:17">
      <c r="A7217" s="175"/>
      <c r="B7217" s="175"/>
      <c r="P7217" s="4"/>
      <c r="Q7217" s="214"/>
    </row>
    <row r="7218" spans="1:17">
      <c r="A7218" s="175"/>
      <c r="B7218" s="175"/>
      <c r="P7218" s="4"/>
      <c r="Q7218" s="214"/>
    </row>
    <row r="7219" spans="1:17">
      <c r="A7219" s="175"/>
      <c r="B7219" s="175"/>
      <c r="P7219" s="4"/>
      <c r="Q7219" s="214"/>
    </row>
    <row r="7220" spans="1:17">
      <c r="A7220" s="175"/>
      <c r="B7220" s="175"/>
      <c r="P7220" s="4"/>
      <c r="Q7220" s="214"/>
    </row>
    <row r="7221" spans="1:17">
      <c r="A7221" s="175"/>
      <c r="B7221" s="175"/>
      <c r="P7221" s="4"/>
      <c r="Q7221" s="214"/>
    </row>
    <row r="7222" spans="1:17">
      <c r="A7222" s="175"/>
      <c r="B7222" s="175"/>
      <c r="P7222" s="4"/>
      <c r="Q7222" s="214"/>
    </row>
    <row r="7223" spans="1:17">
      <c r="A7223" s="175"/>
      <c r="B7223" s="175"/>
      <c r="P7223" s="4"/>
      <c r="Q7223" s="214"/>
    </row>
    <row r="7224" spans="1:17">
      <c r="A7224" s="175"/>
      <c r="B7224" s="175"/>
      <c r="P7224" s="4"/>
      <c r="Q7224" s="214"/>
    </row>
    <row r="7225" spans="1:17">
      <c r="A7225" s="175"/>
      <c r="B7225" s="175"/>
      <c r="P7225" s="4"/>
      <c r="Q7225" s="214"/>
    </row>
    <row r="7226" spans="1:17">
      <c r="A7226" s="175"/>
      <c r="B7226" s="175"/>
      <c r="P7226" s="4"/>
      <c r="Q7226" s="214"/>
    </row>
    <row r="7227" spans="1:17">
      <c r="A7227" s="175"/>
      <c r="B7227" s="175"/>
      <c r="P7227" s="4"/>
      <c r="Q7227" s="214"/>
    </row>
    <row r="7228" spans="1:17">
      <c r="A7228" s="175"/>
      <c r="B7228" s="175"/>
      <c r="P7228" s="4"/>
      <c r="Q7228" s="214"/>
    </row>
    <row r="7229" spans="1:17">
      <c r="A7229" s="175"/>
      <c r="B7229" s="175"/>
      <c r="P7229" s="4"/>
      <c r="Q7229" s="214"/>
    </row>
    <row r="7230" spans="1:17">
      <c r="A7230" s="175"/>
      <c r="B7230" s="175"/>
      <c r="P7230" s="4"/>
      <c r="Q7230" s="214"/>
    </row>
    <row r="7231" spans="1:17">
      <c r="A7231" s="175"/>
      <c r="B7231" s="175"/>
      <c r="P7231" s="4"/>
      <c r="Q7231" s="214"/>
    </row>
    <row r="7232" spans="1:17">
      <c r="A7232" s="175"/>
      <c r="B7232" s="175"/>
      <c r="P7232" s="4"/>
      <c r="Q7232" s="214"/>
    </row>
    <row r="7233" spans="1:17">
      <c r="A7233" s="175"/>
      <c r="B7233" s="175"/>
      <c r="P7233" s="4"/>
      <c r="Q7233" s="214"/>
    </row>
    <row r="7234" spans="1:17">
      <c r="A7234" s="175"/>
      <c r="B7234" s="175"/>
      <c r="P7234" s="4"/>
      <c r="Q7234" s="214"/>
    </row>
    <row r="7235" spans="1:17">
      <c r="A7235" s="175"/>
      <c r="B7235" s="175"/>
      <c r="P7235" s="4"/>
      <c r="Q7235" s="214"/>
    </row>
    <row r="7236" spans="1:17">
      <c r="A7236" s="175"/>
      <c r="B7236" s="175"/>
      <c r="P7236" s="4"/>
      <c r="Q7236" s="214"/>
    </row>
    <row r="7237" spans="1:17">
      <c r="A7237" s="175"/>
      <c r="B7237" s="175"/>
      <c r="P7237" s="4"/>
      <c r="Q7237" s="214"/>
    </row>
    <row r="7238" spans="1:17">
      <c r="A7238" s="175"/>
      <c r="B7238" s="175"/>
      <c r="P7238" s="4"/>
      <c r="Q7238" s="214"/>
    </row>
    <row r="7239" spans="1:17">
      <c r="A7239" s="175"/>
      <c r="B7239" s="175"/>
      <c r="P7239" s="4"/>
      <c r="Q7239" s="214"/>
    </row>
    <row r="7240" spans="1:17">
      <c r="A7240" s="175"/>
      <c r="B7240" s="175"/>
      <c r="P7240" s="4"/>
      <c r="Q7240" s="214"/>
    </row>
    <row r="7241" spans="1:17">
      <c r="A7241" s="175"/>
      <c r="B7241" s="175"/>
      <c r="P7241" s="4"/>
      <c r="Q7241" s="214"/>
    </row>
    <row r="7242" spans="1:17">
      <c r="A7242" s="175"/>
      <c r="B7242" s="175"/>
      <c r="P7242" s="4"/>
      <c r="Q7242" s="214"/>
    </row>
    <row r="7243" spans="1:17">
      <c r="A7243" s="175"/>
      <c r="B7243" s="175"/>
      <c r="P7243" s="4"/>
      <c r="Q7243" s="214"/>
    </row>
    <row r="7244" spans="1:17">
      <c r="A7244" s="175"/>
      <c r="B7244" s="175"/>
      <c r="P7244" s="4"/>
      <c r="Q7244" s="214"/>
    </row>
    <row r="7245" spans="1:17">
      <c r="A7245" s="175"/>
      <c r="B7245" s="175"/>
      <c r="P7245" s="4"/>
      <c r="Q7245" s="214"/>
    </row>
    <row r="7246" spans="1:17">
      <c r="A7246" s="175"/>
      <c r="B7246" s="175"/>
      <c r="P7246" s="4"/>
      <c r="Q7246" s="214"/>
    </row>
    <row r="7247" spans="1:17">
      <c r="A7247" s="175"/>
      <c r="B7247" s="175"/>
      <c r="P7247" s="4"/>
      <c r="Q7247" s="214"/>
    </row>
    <row r="7248" spans="1:17">
      <c r="A7248" s="175"/>
      <c r="B7248" s="175"/>
      <c r="P7248" s="4"/>
      <c r="Q7248" s="214"/>
    </row>
    <row r="7249" spans="1:17">
      <c r="A7249" s="175"/>
      <c r="B7249" s="175"/>
      <c r="P7249" s="4"/>
      <c r="Q7249" s="214"/>
    </row>
    <row r="7250" spans="1:17">
      <c r="A7250" s="175"/>
      <c r="B7250" s="175"/>
      <c r="P7250" s="4"/>
      <c r="Q7250" s="214"/>
    </row>
    <row r="7251" spans="1:17">
      <c r="A7251" s="175"/>
      <c r="B7251" s="175"/>
      <c r="P7251" s="4"/>
      <c r="Q7251" s="214"/>
    </row>
    <row r="7252" spans="1:17">
      <c r="A7252" s="175"/>
      <c r="B7252" s="175"/>
      <c r="P7252" s="4"/>
      <c r="Q7252" s="214"/>
    </row>
    <row r="7253" spans="1:17">
      <c r="A7253" s="175"/>
      <c r="B7253" s="175"/>
      <c r="P7253" s="4"/>
      <c r="Q7253" s="214"/>
    </row>
    <row r="7254" spans="1:17">
      <c r="A7254" s="175"/>
      <c r="B7254" s="175"/>
      <c r="P7254" s="4"/>
      <c r="Q7254" s="214"/>
    </row>
    <row r="7255" spans="1:17">
      <c r="A7255" s="175"/>
      <c r="B7255" s="175"/>
      <c r="P7255" s="4"/>
      <c r="Q7255" s="214"/>
    </row>
    <row r="7256" spans="1:17">
      <c r="A7256" s="175"/>
      <c r="B7256" s="175"/>
      <c r="P7256" s="4"/>
      <c r="Q7256" s="214"/>
    </row>
    <row r="7257" spans="1:17">
      <c r="A7257" s="175"/>
      <c r="B7257" s="175"/>
      <c r="P7257" s="4"/>
      <c r="Q7257" s="214"/>
    </row>
    <row r="7258" spans="1:17">
      <c r="A7258" s="175"/>
      <c r="B7258" s="175"/>
      <c r="P7258" s="4"/>
      <c r="Q7258" s="214"/>
    </row>
    <row r="7259" spans="1:17">
      <c r="A7259" s="175"/>
      <c r="B7259" s="175"/>
      <c r="P7259" s="4"/>
      <c r="Q7259" s="214"/>
    </row>
    <row r="7260" spans="1:17">
      <c r="A7260" s="175"/>
      <c r="B7260" s="175"/>
      <c r="P7260" s="4"/>
      <c r="Q7260" s="214"/>
    </row>
    <row r="7261" spans="1:17">
      <c r="A7261" s="175"/>
      <c r="B7261" s="175"/>
      <c r="P7261" s="4"/>
      <c r="Q7261" s="214"/>
    </row>
    <row r="7262" spans="1:17">
      <c r="A7262" s="175"/>
      <c r="B7262" s="175"/>
      <c r="P7262" s="4"/>
      <c r="Q7262" s="214"/>
    </row>
    <row r="7263" spans="1:17">
      <c r="A7263" s="175"/>
      <c r="B7263" s="175"/>
      <c r="P7263" s="4"/>
      <c r="Q7263" s="214"/>
    </row>
    <row r="7264" spans="1:17">
      <c r="A7264" s="175"/>
      <c r="B7264" s="175"/>
      <c r="P7264" s="4"/>
      <c r="Q7264" s="214"/>
    </row>
    <row r="7265" spans="1:17">
      <c r="A7265" s="175"/>
      <c r="B7265" s="175"/>
      <c r="P7265" s="4"/>
      <c r="Q7265" s="214"/>
    </row>
    <row r="7266" spans="1:17">
      <c r="A7266" s="175"/>
      <c r="B7266" s="175"/>
      <c r="P7266" s="4"/>
      <c r="Q7266" s="214"/>
    </row>
    <row r="7267" spans="1:17">
      <c r="A7267" s="175"/>
      <c r="B7267" s="175"/>
      <c r="P7267" s="4"/>
      <c r="Q7267" s="214"/>
    </row>
    <row r="7268" spans="1:17">
      <c r="A7268" s="175"/>
      <c r="B7268" s="175"/>
      <c r="P7268" s="4"/>
      <c r="Q7268" s="214"/>
    </row>
    <row r="7269" spans="1:17">
      <c r="A7269" s="175"/>
      <c r="B7269" s="175"/>
      <c r="P7269" s="4"/>
      <c r="Q7269" s="214"/>
    </row>
    <row r="7270" spans="1:17">
      <c r="A7270" s="175"/>
      <c r="B7270" s="175"/>
      <c r="P7270" s="4"/>
      <c r="Q7270" s="214"/>
    </row>
    <row r="7271" spans="1:17">
      <c r="A7271" s="175"/>
      <c r="B7271" s="175"/>
      <c r="P7271" s="4"/>
      <c r="Q7271" s="214"/>
    </row>
    <row r="7272" spans="1:17">
      <c r="A7272" s="175"/>
      <c r="B7272" s="175"/>
      <c r="P7272" s="4"/>
      <c r="Q7272" s="214"/>
    </row>
    <row r="7273" spans="1:17">
      <c r="A7273" s="175"/>
      <c r="B7273" s="175"/>
      <c r="P7273" s="4"/>
      <c r="Q7273" s="214"/>
    </row>
    <row r="7274" spans="1:17">
      <c r="A7274" s="175"/>
      <c r="B7274" s="175"/>
      <c r="P7274" s="4"/>
      <c r="Q7274" s="214"/>
    </row>
    <row r="7275" spans="1:17">
      <c r="A7275" s="175"/>
      <c r="B7275" s="175"/>
      <c r="P7275" s="4"/>
      <c r="Q7275" s="214"/>
    </row>
    <row r="7276" spans="1:17">
      <c r="A7276" s="175"/>
      <c r="B7276" s="175"/>
      <c r="P7276" s="4"/>
      <c r="Q7276" s="214"/>
    </row>
    <row r="7277" spans="1:17">
      <c r="A7277" s="175"/>
      <c r="B7277" s="175"/>
      <c r="P7277" s="4"/>
      <c r="Q7277" s="214"/>
    </row>
    <row r="7278" spans="1:17">
      <c r="A7278" s="175"/>
      <c r="B7278" s="175"/>
      <c r="P7278" s="4"/>
      <c r="Q7278" s="214"/>
    </row>
    <row r="7279" spans="1:17">
      <c r="A7279" s="175"/>
      <c r="B7279" s="175"/>
      <c r="P7279" s="4"/>
      <c r="Q7279" s="214"/>
    </row>
    <row r="7280" spans="1:17">
      <c r="A7280" s="175"/>
      <c r="B7280" s="175"/>
      <c r="P7280" s="4"/>
      <c r="Q7280" s="214"/>
    </row>
    <row r="7281" spans="1:17">
      <c r="A7281" s="175"/>
      <c r="B7281" s="175"/>
      <c r="P7281" s="4"/>
      <c r="Q7281" s="214"/>
    </row>
    <row r="7282" spans="1:17">
      <c r="A7282" s="175"/>
      <c r="B7282" s="175"/>
      <c r="P7282" s="4"/>
      <c r="Q7282" s="214"/>
    </row>
    <row r="7283" spans="1:17">
      <c r="A7283" s="175"/>
      <c r="B7283" s="175"/>
      <c r="P7283" s="4"/>
      <c r="Q7283" s="214"/>
    </row>
    <row r="7284" spans="1:17">
      <c r="A7284" s="175"/>
      <c r="B7284" s="175"/>
      <c r="P7284" s="4"/>
      <c r="Q7284" s="214"/>
    </row>
    <row r="7285" spans="1:17">
      <c r="A7285" s="175"/>
      <c r="B7285" s="175"/>
      <c r="P7285" s="4"/>
      <c r="Q7285" s="214"/>
    </row>
    <row r="7286" spans="1:17">
      <c r="A7286" s="175"/>
      <c r="B7286" s="175"/>
      <c r="P7286" s="4"/>
      <c r="Q7286" s="214"/>
    </row>
    <row r="7287" spans="1:17">
      <c r="A7287" s="175"/>
      <c r="B7287" s="175"/>
      <c r="P7287" s="4"/>
      <c r="Q7287" s="214"/>
    </row>
    <row r="7288" spans="1:17">
      <c r="A7288" s="175"/>
      <c r="B7288" s="175"/>
      <c r="P7288" s="4"/>
      <c r="Q7288" s="214"/>
    </row>
    <row r="7289" spans="1:17">
      <c r="A7289" s="175"/>
      <c r="B7289" s="175"/>
      <c r="P7289" s="4"/>
      <c r="Q7289" s="214"/>
    </row>
    <row r="7290" spans="1:17">
      <c r="A7290" s="175"/>
      <c r="B7290" s="175"/>
      <c r="P7290" s="4"/>
      <c r="Q7290" s="214"/>
    </row>
    <row r="7291" spans="1:17">
      <c r="A7291" s="175"/>
      <c r="B7291" s="175"/>
      <c r="P7291" s="4"/>
      <c r="Q7291" s="214"/>
    </row>
    <row r="7292" spans="1:17">
      <c r="A7292" s="175"/>
      <c r="B7292" s="175"/>
      <c r="P7292" s="4"/>
      <c r="Q7292" s="214"/>
    </row>
    <row r="7293" spans="1:17">
      <c r="A7293" s="175"/>
      <c r="B7293" s="175"/>
      <c r="P7293" s="4"/>
      <c r="Q7293" s="214"/>
    </row>
    <row r="7294" spans="1:17">
      <c r="A7294" s="175"/>
      <c r="B7294" s="175"/>
      <c r="P7294" s="4"/>
      <c r="Q7294" s="214"/>
    </row>
    <row r="7295" spans="1:17">
      <c r="A7295" s="175"/>
      <c r="B7295" s="175"/>
      <c r="P7295" s="4"/>
      <c r="Q7295" s="214"/>
    </row>
    <row r="7296" spans="1:17">
      <c r="A7296" s="175"/>
      <c r="B7296" s="175"/>
      <c r="P7296" s="4"/>
      <c r="Q7296" s="214"/>
    </row>
    <row r="7297" spans="1:17">
      <c r="A7297" s="175"/>
      <c r="B7297" s="175"/>
      <c r="P7297" s="4"/>
      <c r="Q7297" s="214"/>
    </row>
    <row r="7298" spans="1:17">
      <c r="A7298" s="175"/>
      <c r="B7298" s="175"/>
      <c r="P7298" s="4"/>
      <c r="Q7298" s="214"/>
    </row>
    <row r="7299" spans="1:17">
      <c r="A7299" s="175"/>
      <c r="B7299" s="175"/>
      <c r="P7299" s="4"/>
      <c r="Q7299" s="214"/>
    </row>
    <row r="7300" spans="1:17">
      <c r="A7300" s="175"/>
      <c r="B7300" s="175"/>
      <c r="P7300" s="4"/>
      <c r="Q7300" s="214"/>
    </row>
    <row r="7301" spans="1:17">
      <c r="A7301" s="175"/>
      <c r="B7301" s="175"/>
      <c r="P7301" s="4"/>
      <c r="Q7301" s="214"/>
    </row>
    <row r="7302" spans="1:17">
      <c r="A7302" s="175"/>
      <c r="B7302" s="175"/>
      <c r="P7302" s="4"/>
      <c r="Q7302" s="214"/>
    </row>
    <row r="7303" spans="1:17">
      <c r="A7303" s="175"/>
      <c r="B7303" s="175"/>
      <c r="P7303" s="4"/>
      <c r="Q7303" s="214"/>
    </row>
    <row r="7304" spans="1:17">
      <c r="A7304" s="175"/>
      <c r="B7304" s="175"/>
      <c r="P7304" s="4"/>
      <c r="Q7304" s="214"/>
    </row>
    <row r="7305" spans="1:17">
      <c r="A7305" s="175"/>
      <c r="B7305" s="175"/>
      <c r="P7305" s="4"/>
      <c r="Q7305" s="214"/>
    </row>
    <row r="7306" spans="1:17">
      <c r="A7306" s="175"/>
      <c r="B7306" s="175"/>
      <c r="P7306" s="4"/>
      <c r="Q7306" s="214"/>
    </row>
    <row r="7307" spans="1:17">
      <c r="A7307" s="175"/>
      <c r="B7307" s="175"/>
      <c r="P7307" s="4"/>
      <c r="Q7307" s="214"/>
    </row>
    <row r="7308" spans="1:17">
      <c r="A7308" s="175"/>
      <c r="B7308" s="175"/>
      <c r="P7308" s="4"/>
      <c r="Q7308" s="214"/>
    </row>
    <row r="7309" spans="1:17">
      <c r="A7309" s="175"/>
      <c r="B7309" s="175"/>
      <c r="P7309" s="4"/>
      <c r="Q7309" s="214"/>
    </row>
    <row r="7310" spans="1:17">
      <c r="A7310" s="175"/>
      <c r="B7310" s="175"/>
      <c r="P7310" s="4"/>
      <c r="Q7310" s="214"/>
    </row>
    <row r="7311" spans="1:17">
      <c r="A7311" s="175"/>
      <c r="B7311" s="175"/>
      <c r="P7311" s="4"/>
      <c r="Q7311" s="214"/>
    </row>
    <row r="7312" spans="1:17">
      <c r="A7312" s="175"/>
      <c r="B7312" s="175"/>
      <c r="P7312" s="4"/>
      <c r="Q7312" s="214"/>
    </row>
    <row r="7313" spans="1:17">
      <c r="A7313" s="175"/>
      <c r="B7313" s="175"/>
      <c r="P7313" s="4"/>
      <c r="Q7313" s="214"/>
    </row>
    <row r="7314" spans="1:17">
      <c r="A7314" s="175"/>
      <c r="B7314" s="175"/>
      <c r="P7314" s="4"/>
      <c r="Q7314" s="214"/>
    </row>
    <row r="7315" spans="1:17">
      <c r="A7315" s="175"/>
      <c r="B7315" s="175"/>
      <c r="P7315" s="4"/>
      <c r="Q7315" s="214"/>
    </row>
    <row r="7316" spans="1:17">
      <c r="A7316" s="175"/>
      <c r="B7316" s="175"/>
      <c r="P7316" s="4"/>
      <c r="Q7316" s="214"/>
    </row>
    <row r="7317" spans="1:17">
      <c r="A7317" s="175"/>
      <c r="B7317" s="175"/>
      <c r="P7317" s="4"/>
      <c r="Q7317" s="214"/>
    </row>
    <row r="7318" spans="1:17">
      <c r="A7318" s="175"/>
      <c r="B7318" s="175"/>
      <c r="P7318" s="4"/>
      <c r="Q7318" s="214"/>
    </row>
    <row r="7319" spans="1:17">
      <c r="A7319" s="175"/>
      <c r="B7319" s="175"/>
      <c r="P7319" s="4"/>
      <c r="Q7319" s="214"/>
    </row>
    <row r="7320" spans="1:17">
      <c r="A7320" s="175"/>
      <c r="B7320" s="175"/>
      <c r="P7320" s="4"/>
      <c r="Q7320" s="214"/>
    </row>
    <row r="7321" spans="1:17">
      <c r="A7321" s="175"/>
      <c r="B7321" s="175"/>
      <c r="P7321" s="4"/>
      <c r="Q7321" s="214"/>
    </row>
    <row r="7322" spans="1:17">
      <c r="A7322" s="175"/>
      <c r="B7322" s="175"/>
      <c r="P7322" s="4"/>
      <c r="Q7322" s="214"/>
    </row>
    <row r="7323" spans="1:17">
      <c r="A7323" s="175"/>
      <c r="B7323" s="175"/>
      <c r="P7323" s="4"/>
      <c r="Q7323" s="214"/>
    </row>
    <row r="7324" spans="1:17">
      <c r="A7324" s="175"/>
      <c r="B7324" s="175"/>
      <c r="P7324" s="4"/>
      <c r="Q7324" s="214"/>
    </row>
    <row r="7325" spans="1:17">
      <c r="A7325" s="175"/>
      <c r="B7325" s="175"/>
      <c r="P7325" s="4"/>
      <c r="Q7325" s="214"/>
    </row>
    <row r="7326" spans="1:17">
      <c r="A7326" s="175"/>
      <c r="B7326" s="175"/>
      <c r="P7326" s="4"/>
      <c r="Q7326" s="214"/>
    </row>
    <row r="7327" spans="1:17">
      <c r="A7327" s="175"/>
      <c r="B7327" s="175"/>
      <c r="P7327" s="4"/>
      <c r="Q7327" s="214"/>
    </row>
    <row r="7328" spans="1:17">
      <c r="A7328" s="175"/>
      <c r="B7328" s="175"/>
      <c r="P7328" s="4"/>
      <c r="Q7328" s="214"/>
    </row>
    <row r="7329" spans="1:17">
      <c r="A7329" s="175"/>
      <c r="B7329" s="175"/>
      <c r="P7329" s="4"/>
      <c r="Q7329" s="214"/>
    </row>
    <row r="7330" spans="1:17">
      <c r="A7330" s="175"/>
      <c r="B7330" s="175"/>
      <c r="P7330" s="4"/>
      <c r="Q7330" s="214"/>
    </row>
    <row r="7331" spans="1:17">
      <c r="A7331" s="175"/>
      <c r="B7331" s="175"/>
      <c r="P7331" s="4"/>
      <c r="Q7331" s="214"/>
    </row>
    <row r="7332" spans="1:17">
      <c r="A7332" s="175"/>
      <c r="B7332" s="175"/>
      <c r="P7332" s="4"/>
      <c r="Q7332" s="214"/>
    </row>
    <row r="7333" spans="1:17">
      <c r="A7333" s="175"/>
      <c r="B7333" s="175"/>
      <c r="P7333" s="4"/>
      <c r="Q7333" s="214"/>
    </row>
    <row r="7334" spans="1:17">
      <c r="A7334" s="175"/>
      <c r="B7334" s="175"/>
      <c r="P7334" s="4"/>
      <c r="Q7334" s="214"/>
    </row>
    <row r="7335" spans="1:17">
      <c r="A7335" s="175"/>
      <c r="B7335" s="175"/>
      <c r="P7335" s="4"/>
      <c r="Q7335" s="214"/>
    </row>
    <row r="7336" spans="1:17">
      <c r="A7336" s="175"/>
      <c r="B7336" s="175"/>
      <c r="P7336" s="4"/>
      <c r="Q7336" s="214"/>
    </row>
    <row r="7337" spans="1:17">
      <c r="A7337" s="175"/>
      <c r="B7337" s="175"/>
      <c r="P7337" s="4"/>
      <c r="Q7337" s="214"/>
    </row>
    <row r="7338" spans="1:17">
      <c r="A7338" s="175"/>
      <c r="B7338" s="175"/>
      <c r="P7338" s="4"/>
      <c r="Q7338" s="214"/>
    </row>
    <row r="7339" spans="1:17">
      <c r="A7339" s="175"/>
      <c r="B7339" s="175"/>
      <c r="P7339" s="4"/>
      <c r="Q7339" s="214"/>
    </row>
    <row r="7340" spans="1:17">
      <c r="A7340" s="175"/>
      <c r="B7340" s="175"/>
      <c r="P7340" s="4"/>
      <c r="Q7340" s="214"/>
    </row>
    <row r="7341" spans="1:17">
      <c r="A7341" s="175"/>
      <c r="B7341" s="175"/>
      <c r="P7341" s="4"/>
      <c r="Q7341" s="214"/>
    </row>
    <row r="7342" spans="1:17">
      <c r="A7342" s="175"/>
      <c r="B7342" s="175"/>
      <c r="P7342" s="4"/>
      <c r="Q7342" s="214"/>
    </row>
    <row r="7343" spans="1:17">
      <c r="A7343" s="175"/>
      <c r="B7343" s="175"/>
      <c r="P7343" s="4"/>
      <c r="Q7343" s="214"/>
    </row>
    <row r="7344" spans="1:17">
      <c r="A7344" s="175"/>
      <c r="B7344" s="175"/>
      <c r="P7344" s="4"/>
      <c r="Q7344" s="214"/>
    </row>
    <row r="7345" spans="1:17">
      <c r="A7345" s="175"/>
      <c r="B7345" s="175"/>
      <c r="P7345" s="4"/>
      <c r="Q7345" s="214"/>
    </row>
    <row r="7346" spans="1:17">
      <c r="A7346" s="175"/>
      <c r="B7346" s="175"/>
      <c r="P7346" s="4"/>
      <c r="Q7346" s="214"/>
    </row>
    <row r="7347" spans="1:17">
      <c r="A7347" s="175"/>
      <c r="B7347" s="175"/>
      <c r="P7347" s="4"/>
      <c r="Q7347" s="214"/>
    </row>
    <row r="7348" spans="1:17">
      <c r="A7348" s="175"/>
      <c r="B7348" s="175"/>
      <c r="P7348" s="4"/>
      <c r="Q7348" s="214"/>
    </row>
    <row r="7349" spans="1:17">
      <c r="A7349" s="175"/>
      <c r="B7349" s="175"/>
      <c r="P7349" s="4"/>
      <c r="Q7349" s="214"/>
    </row>
    <row r="7350" spans="1:17">
      <c r="A7350" s="175"/>
      <c r="B7350" s="175"/>
      <c r="P7350" s="4"/>
      <c r="Q7350" s="214"/>
    </row>
    <row r="7351" spans="1:17">
      <c r="A7351" s="175"/>
      <c r="B7351" s="175"/>
      <c r="P7351" s="4"/>
      <c r="Q7351" s="214"/>
    </row>
    <row r="7352" spans="1:17">
      <c r="A7352" s="175"/>
      <c r="B7352" s="175"/>
      <c r="P7352" s="4"/>
      <c r="Q7352" s="214"/>
    </row>
    <row r="7353" spans="1:17">
      <c r="A7353" s="175"/>
      <c r="B7353" s="175"/>
      <c r="P7353" s="4"/>
      <c r="Q7353" s="214"/>
    </row>
    <row r="7354" spans="1:17">
      <c r="A7354" s="175"/>
      <c r="B7354" s="175"/>
      <c r="P7354" s="4"/>
      <c r="Q7354" s="214"/>
    </row>
    <row r="7355" spans="1:17">
      <c r="A7355" s="175"/>
      <c r="B7355" s="175"/>
      <c r="P7355" s="4"/>
      <c r="Q7355" s="214"/>
    </row>
    <row r="7356" spans="1:17">
      <c r="A7356" s="175"/>
      <c r="B7356" s="175"/>
      <c r="P7356" s="4"/>
      <c r="Q7356" s="214"/>
    </row>
    <row r="7357" spans="1:17">
      <c r="A7357" s="175"/>
      <c r="B7357" s="175"/>
      <c r="P7357" s="4"/>
      <c r="Q7357" s="214"/>
    </row>
    <row r="7358" spans="1:17">
      <c r="A7358" s="175"/>
      <c r="B7358" s="175"/>
      <c r="P7358" s="4"/>
      <c r="Q7358" s="214"/>
    </row>
    <row r="7359" spans="1:17">
      <c r="A7359" s="175"/>
      <c r="B7359" s="175"/>
      <c r="P7359" s="4"/>
      <c r="Q7359" s="214"/>
    </row>
    <row r="7360" spans="1:17">
      <c r="A7360" s="175"/>
      <c r="B7360" s="175"/>
      <c r="P7360" s="4"/>
      <c r="Q7360" s="214"/>
    </row>
    <row r="7361" spans="1:17">
      <c r="A7361" s="175"/>
      <c r="B7361" s="175"/>
      <c r="P7361" s="4"/>
      <c r="Q7361" s="214"/>
    </row>
    <row r="7362" spans="1:17">
      <c r="A7362" s="175"/>
      <c r="B7362" s="175"/>
      <c r="P7362" s="4"/>
      <c r="Q7362" s="214"/>
    </row>
    <row r="7363" spans="1:17">
      <c r="A7363" s="175"/>
      <c r="B7363" s="175"/>
      <c r="P7363" s="4"/>
      <c r="Q7363" s="214"/>
    </row>
    <row r="7364" spans="1:17">
      <c r="A7364" s="175"/>
      <c r="B7364" s="175"/>
      <c r="P7364" s="4"/>
      <c r="Q7364" s="214"/>
    </row>
    <row r="7365" spans="1:17">
      <c r="A7365" s="175"/>
      <c r="B7365" s="175"/>
      <c r="P7365" s="4"/>
      <c r="Q7365" s="214"/>
    </row>
    <row r="7366" spans="1:17">
      <c r="A7366" s="175"/>
      <c r="B7366" s="175"/>
      <c r="P7366" s="4"/>
      <c r="Q7366" s="214"/>
    </row>
    <row r="7367" spans="1:17">
      <c r="A7367" s="175"/>
      <c r="B7367" s="175"/>
      <c r="P7367" s="4"/>
      <c r="Q7367" s="214"/>
    </row>
    <row r="7368" spans="1:17">
      <c r="A7368" s="175"/>
      <c r="B7368" s="175"/>
      <c r="P7368" s="4"/>
      <c r="Q7368" s="214"/>
    </row>
    <row r="7369" spans="1:17">
      <c r="A7369" s="175"/>
      <c r="B7369" s="175"/>
      <c r="P7369" s="4"/>
      <c r="Q7369" s="214"/>
    </row>
    <row r="7370" spans="1:17">
      <c r="A7370" s="175"/>
      <c r="B7370" s="175"/>
      <c r="P7370" s="4"/>
      <c r="Q7370" s="214"/>
    </row>
    <row r="7371" spans="1:17">
      <c r="A7371" s="175"/>
      <c r="B7371" s="175"/>
      <c r="P7371" s="4"/>
      <c r="Q7371" s="214"/>
    </row>
    <row r="7372" spans="1:17">
      <c r="A7372" s="175"/>
      <c r="B7372" s="175"/>
      <c r="P7372" s="4"/>
      <c r="Q7372" s="214"/>
    </row>
    <row r="7373" spans="1:17">
      <c r="A7373" s="175"/>
      <c r="B7373" s="175"/>
      <c r="P7373" s="4"/>
      <c r="Q7373" s="214"/>
    </row>
    <row r="7374" spans="1:17">
      <c r="A7374" s="175"/>
      <c r="B7374" s="175"/>
      <c r="P7374" s="4"/>
      <c r="Q7374" s="214"/>
    </row>
    <row r="7375" spans="1:17">
      <c r="A7375" s="175"/>
      <c r="B7375" s="175"/>
      <c r="P7375" s="4"/>
      <c r="Q7375" s="214"/>
    </row>
    <row r="7376" spans="1:17">
      <c r="A7376" s="175"/>
      <c r="B7376" s="175"/>
      <c r="P7376" s="4"/>
      <c r="Q7376" s="214"/>
    </row>
    <row r="7377" spans="1:17">
      <c r="A7377" s="175"/>
      <c r="B7377" s="175"/>
      <c r="P7377" s="4"/>
      <c r="Q7377" s="214"/>
    </row>
    <row r="7378" spans="1:17">
      <c r="A7378" s="175"/>
      <c r="B7378" s="175"/>
      <c r="P7378" s="4"/>
      <c r="Q7378" s="214"/>
    </row>
    <row r="7379" spans="1:17">
      <c r="A7379" s="175"/>
      <c r="B7379" s="175"/>
      <c r="P7379" s="4"/>
      <c r="Q7379" s="214"/>
    </row>
    <row r="7380" spans="1:17">
      <c r="A7380" s="175"/>
      <c r="B7380" s="175"/>
      <c r="P7380" s="4"/>
      <c r="Q7380" s="214"/>
    </row>
    <row r="7381" spans="1:17">
      <c r="A7381" s="175"/>
      <c r="B7381" s="175"/>
      <c r="P7381" s="4"/>
      <c r="Q7381" s="214"/>
    </row>
    <row r="7382" spans="1:17">
      <c r="A7382" s="175"/>
      <c r="B7382" s="175"/>
      <c r="P7382" s="4"/>
      <c r="Q7382" s="214"/>
    </row>
    <row r="7383" spans="1:17">
      <c r="A7383" s="175"/>
      <c r="B7383" s="175"/>
      <c r="P7383" s="4"/>
      <c r="Q7383" s="214"/>
    </row>
    <row r="7384" spans="1:17">
      <c r="A7384" s="175"/>
      <c r="B7384" s="175"/>
      <c r="P7384" s="4"/>
      <c r="Q7384" s="214"/>
    </row>
    <row r="7385" spans="1:17">
      <c r="A7385" s="175"/>
      <c r="B7385" s="175"/>
      <c r="P7385" s="4"/>
      <c r="Q7385" s="214"/>
    </row>
    <row r="7386" spans="1:17">
      <c r="A7386" s="175"/>
      <c r="B7386" s="175"/>
      <c r="P7386" s="4"/>
      <c r="Q7386" s="214"/>
    </row>
    <row r="7387" spans="1:17">
      <c r="A7387" s="175"/>
      <c r="B7387" s="175"/>
      <c r="P7387" s="4"/>
      <c r="Q7387" s="214"/>
    </row>
    <row r="7388" spans="1:17">
      <c r="A7388" s="175"/>
      <c r="B7388" s="175"/>
      <c r="P7388" s="4"/>
      <c r="Q7388" s="214"/>
    </row>
    <row r="7389" spans="1:17">
      <c r="A7389" s="175"/>
      <c r="B7389" s="175"/>
      <c r="P7389" s="4"/>
      <c r="Q7389" s="214"/>
    </row>
    <row r="7390" spans="1:17">
      <c r="A7390" s="175"/>
      <c r="B7390" s="175"/>
      <c r="P7390" s="4"/>
      <c r="Q7390" s="214"/>
    </row>
    <row r="7391" spans="1:17">
      <c r="A7391" s="175"/>
      <c r="B7391" s="175"/>
      <c r="P7391" s="4"/>
      <c r="Q7391" s="214"/>
    </row>
    <row r="7392" spans="1:17">
      <c r="A7392" s="175"/>
      <c r="B7392" s="175"/>
      <c r="P7392" s="4"/>
      <c r="Q7392" s="214"/>
    </row>
    <row r="7393" spans="1:17">
      <c r="A7393" s="175"/>
      <c r="B7393" s="175"/>
      <c r="P7393" s="4"/>
      <c r="Q7393" s="214"/>
    </row>
    <row r="7394" spans="1:17">
      <c r="A7394" s="175"/>
      <c r="B7394" s="175"/>
      <c r="P7394" s="4"/>
      <c r="Q7394" s="214"/>
    </row>
    <row r="7395" spans="1:17">
      <c r="A7395" s="175"/>
      <c r="B7395" s="175"/>
      <c r="P7395" s="4"/>
      <c r="Q7395" s="214"/>
    </row>
    <row r="7396" spans="1:17">
      <c r="A7396" s="175"/>
      <c r="B7396" s="175"/>
      <c r="P7396" s="4"/>
      <c r="Q7396" s="214"/>
    </row>
    <row r="7397" spans="1:17">
      <c r="A7397" s="175"/>
      <c r="B7397" s="175"/>
      <c r="P7397" s="4"/>
      <c r="Q7397" s="214"/>
    </row>
    <row r="7398" spans="1:17">
      <c r="A7398" s="175"/>
      <c r="B7398" s="175"/>
      <c r="P7398" s="4"/>
      <c r="Q7398" s="214"/>
    </row>
    <row r="7399" spans="1:17">
      <c r="A7399" s="175"/>
      <c r="B7399" s="175"/>
      <c r="P7399" s="4"/>
      <c r="Q7399" s="214"/>
    </row>
    <row r="7400" spans="1:17">
      <c r="A7400" s="175"/>
      <c r="B7400" s="175"/>
      <c r="P7400" s="4"/>
      <c r="Q7400" s="214"/>
    </row>
    <row r="7401" spans="1:17">
      <c r="A7401" s="175"/>
      <c r="B7401" s="175"/>
      <c r="P7401" s="4"/>
      <c r="Q7401" s="214"/>
    </row>
    <row r="7402" spans="1:17">
      <c r="A7402" s="175"/>
      <c r="B7402" s="175"/>
      <c r="P7402" s="4"/>
      <c r="Q7402" s="214"/>
    </row>
    <row r="7403" spans="1:17">
      <c r="A7403" s="175"/>
      <c r="B7403" s="175"/>
      <c r="P7403" s="4"/>
      <c r="Q7403" s="214"/>
    </row>
    <row r="7404" spans="1:17">
      <c r="A7404" s="175"/>
      <c r="B7404" s="175"/>
      <c r="P7404" s="4"/>
      <c r="Q7404" s="214"/>
    </row>
    <row r="7405" spans="1:17">
      <c r="A7405" s="175"/>
      <c r="B7405" s="175"/>
      <c r="P7405" s="4"/>
      <c r="Q7405" s="214"/>
    </row>
    <row r="7406" spans="1:17">
      <c r="A7406" s="175"/>
      <c r="B7406" s="175"/>
      <c r="P7406" s="4"/>
      <c r="Q7406" s="214"/>
    </row>
    <row r="7407" spans="1:17">
      <c r="A7407" s="175"/>
      <c r="B7407" s="175"/>
      <c r="P7407" s="4"/>
      <c r="Q7407" s="214"/>
    </row>
    <row r="7408" spans="1:17">
      <c r="A7408" s="175"/>
      <c r="B7408" s="175"/>
      <c r="P7408" s="4"/>
      <c r="Q7408" s="214"/>
    </row>
    <row r="7409" spans="1:17">
      <c r="A7409" s="175"/>
      <c r="B7409" s="175"/>
      <c r="P7409" s="4"/>
      <c r="Q7409" s="214"/>
    </row>
    <row r="7410" spans="1:17">
      <c r="A7410" s="175"/>
      <c r="B7410" s="175"/>
      <c r="P7410" s="4"/>
      <c r="Q7410" s="214"/>
    </row>
    <row r="7411" spans="1:17">
      <c r="A7411" s="175"/>
      <c r="B7411" s="175"/>
      <c r="P7411" s="4"/>
      <c r="Q7411" s="214"/>
    </row>
    <row r="7412" spans="1:17">
      <c r="A7412" s="175"/>
      <c r="B7412" s="175"/>
      <c r="P7412" s="4"/>
      <c r="Q7412" s="214"/>
    </row>
    <row r="7413" spans="1:17">
      <c r="A7413" s="175"/>
      <c r="B7413" s="175"/>
      <c r="P7413" s="4"/>
      <c r="Q7413" s="214"/>
    </row>
    <row r="7414" spans="1:17">
      <c r="A7414" s="175"/>
      <c r="B7414" s="175"/>
      <c r="P7414" s="4"/>
      <c r="Q7414" s="214"/>
    </row>
    <row r="7415" spans="1:17">
      <c r="A7415" s="175"/>
      <c r="B7415" s="175"/>
      <c r="P7415" s="4"/>
      <c r="Q7415" s="214"/>
    </row>
    <row r="7416" spans="1:17">
      <c r="A7416" s="175"/>
      <c r="B7416" s="175"/>
      <c r="P7416" s="4"/>
      <c r="Q7416" s="214"/>
    </row>
    <row r="7417" spans="1:17">
      <c r="A7417" s="175"/>
      <c r="B7417" s="175"/>
      <c r="P7417" s="4"/>
      <c r="Q7417" s="214"/>
    </row>
    <row r="7418" spans="1:17">
      <c r="A7418" s="175"/>
      <c r="B7418" s="175"/>
      <c r="P7418" s="4"/>
      <c r="Q7418" s="214"/>
    </row>
    <row r="7419" spans="1:17">
      <c r="A7419" s="175"/>
      <c r="B7419" s="175"/>
      <c r="P7419" s="4"/>
      <c r="Q7419" s="214"/>
    </row>
    <row r="7420" spans="1:17">
      <c r="A7420" s="175"/>
      <c r="B7420" s="175"/>
      <c r="P7420" s="4"/>
      <c r="Q7420" s="214"/>
    </row>
    <row r="7421" spans="1:17">
      <c r="A7421" s="175"/>
      <c r="B7421" s="175"/>
      <c r="P7421" s="4"/>
      <c r="Q7421" s="214"/>
    </row>
    <row r="7422" spans="1:17">
      <c r="A7422" s="175"/>
      <c r="B7422" s="175"/>
      <c r="P7422" s="4"/>
      <c r="Q7422" s="214"/>
    </row>
    <row r="7423" spans="1:17">
      <c r="A7423" s="175"/>
      <c r="B7423" s="175"/>
      <c r="P7423" s="4"/>
      <c r="Q7423" s="214"/>
    </row>
    <row r="7424" spans="1:17">
      <c r="A7424" s="175"/>
      <c r="B7424" s="175"/>
      <c r="P7424" s="4"/>
      <c r="Q7424" s="214"/>
    </row>
    <row r="7425" spans="1:17">
      <c r="A7425" s="175"/>
      <c r="B7425" s="175"/>
      <c r="P7425" s="4"/>
      <c r="Q7425" s="214"/>
    </row>
    <row r="7426" spans="1:17">
      <c r="A7426" s="175"/>
      <c r="B7426" s="175"/>
      <c r="P7426" s="4"/>
      <c r="Q7426" s="214"/>
    </row>
    <row r="7427" spans="1:17">
      <c r="A7427" s="175"/>
      <c r="B7427" s="175"/>
      <c r="P7427" s="4"/>
      <c r="Q7427" s="214"/>
    </row>
    <row r="7428" spans="1:17">
      <c r="A7428" s="175"/>
      <c r="B7428" s="175"/>
      <c r="P7428" s="4"/>
      <c r="Q7428" s="214"/>
    </row>
    <row r="7429" spans="1:17">
      <c r="A7429" s="175"/>
      <c r="B7429" s="175"/>
      <c r="P7429" s="4"/>
      <c r="Q7429" s="214"/>
    </row>
    <row r="7430" spans="1:17">
      <c r="A7430" s="175"/>
      <c r="B7430" s="175"/>
      <c r="P7430" s="4"/>
      <c r="Q7430" s="214"/>
    </row>
    <row r="7431" spans="1:17">
      <c r="A7431" s="175"/>
      <c r="B7431" s="175"/>
      <c r="P7431" s="4"/>
      <c r="Q7431" s="214"/>
    </row>
    <row r="7432" spans="1:17">
      <c r="A7432" s="175"/>
      <c r="B7432" s="175"/>
      <c r="P7432" s="4"/>
      <c r="Q7432" s="214"/>
    </row>
    <row r="7433" spans="1:17">
      <c r="A7433" s="175"/>
      <c r="B7433" s="175"/>
      <c r="P7433" s="4"/>
      <c r="Q7433" s="214"/>
    </row>
    <row r="7434" spans="1:17">
      <c r="A7434" s="175"/>
      <c r="B7434" s="175"/>
      <c r="P7434" s="4"/>
      <c r="Q7434" s="214"/>
    </row>
    <row r="7435" spans="1:17">
      <c r="A7435" s="175"/>
      <c r="B7435" s="175"/>
      <c r="P7435" s="4"/>
      <c r="Q7435" s="214"/>
    </row>
    <row r="7436" spans="1:17">
      <c r="A7436" s="175"/>
      <c r="B7436" s="175"/>
      <c r="P7436" s="4"/>
      <c r="Q7436" s="214"/>
    </row>
    <row r="7437" spans="1:17">
      <c r="A7437" s="175"/>
      <c r="B7437" s="175"/>
      <c r="P7437" s="4"/>
      <c r="Q7437" s="214"/>
    </row>
    <row r="7438" spans="1:17">
      <c r="A7438" s="175"/>
      <c r="B7438" s="175"/>
      <c r="P7438" s="4"/>
      <c r="Q7438" s="214"/>
    </row>
    <row r="7439" spans="1:17">
      <c r="A7439" s="175"/>
      <c r="B7439" s="175"/>
      <c r="P7439" s="4"/>
      <c r="Q7439" s="214"/>
    </row>
    <row r="7440" spans="1:17">
      <c r="A7440" s="175"/>
      <c r="B7440" s="175"/>
      <c r="P7440" s="4"/>
      <c r="Q7440" s="214"/>
    </row>
    <row r="7441" spans="1:17">
      <c r="A7441" s="175"/>
      <c r="B7441" s="175"/>
      <c r="P7441" s="4"/>
      <c r="Q7441" s="214"/>
    </row>
    <row r="7442" spans="1:17">
      <c r="A7442" s="175"/>
      <c r="B7442" s="175"/>
      <c r="P7442" s="4"/>
      <c r="Q7442" s="214"/>
    </row>
    <row r="7443" spans="1:17">
      <c r="A7443" s="175"/>
      <c r="B7443" s="175"/>
      <c r="P7443" s="4"/>
      <c r="Q7443" s="214"/>
    </row>
    <row r="7444" spans="1:17">
      <c r="A7444" s="175"/>
      <c r="B7444" s="175"/>
      <c r="P7444" s="4"/>
      <c r="Q7444" s="214"/>
    </row>
    <row r="7445" spans="1:17">
      <c r="A7445" s="175"/>
      <c r="B7445" s="175"/>
      <c r="P7445" s="4"/>
      <c r="Q7445" s="214"/>
    </row>
    <row r="7446" spans="1:17">
      <c r="A7446" s="175"/>
      <c r="B7446" s="175"/>
      <c r="P7446" s="4"/>
      <c r="Q7446" s="214"/>
    </row>
    <row r="7447" spans="1:17">
      <c r="A7447" s="175"/>
      <c r="B7447" s="175"/>
      <c r="P7447" s="4"/>
      <c r="Q7447" s="214"/>
    </row>
    <row r="7448" spans="1:17">
      <c r="A7448" s="175"/>
      <c r="B7448" s="175"/>
      <c r="P7448" s="4"/>
      <c r="Q7448" s="214"/>
    </row>
    <row r="7449" spans="1:17">
      <c r="A7449" s="175"/>
      <c r="B7449" s="175"/>
      <c r="P7449" s="4"/>
      <c r="Q7449" s="214"/>
    </row>
    <row r="7450" spans="1:17">
      <c r="A7450" s="175"/>
      <c r="B7450" s="175"/>
      <c r="P7450" s="4"/>
      <c r="Q7450" s="214"/>
    </row>
    <row r="7451" spans="1:17">
      <c r="A7451" s="175"/>
      <c r="B7451" s="175"/>
      <c r="P7451" s="4"/>
      <c r="Q7451" s="214"/>
    </row>
    <row r="7452" spans="1:17">
      <c r="A7452" s="175"/>
      <c r="B7452" s="175"/>
      <c r="P7452" s="4"/>
      <c r="Q7452" s="214"/>
    </row>
    <row r="7453" spans="1:17">
      <c r="A7453" s="175"/>
      <c r="B7453" s="175"/>
      <c r="P7453" s="4"/>
      <c r="Q7453" s="214"/>
    </row>
    <row r="7454" spans="1:17">
      <c r="A7454" s="175"/>
      <c r="B7454" s="175"/>
      <c r="P7454" s="4"/>
      <c r="Q7454" s="214"/>
    </row>
    <row r="7455" spans="1:17">
      <c r="A7455" s="175"/>
      <c r="B7455" s="175"/>
      <c r="P7455" s="4"/>
      <c r="Q7455" s="214"/>
    </row>
    <row r="7456" spans="1:17">
      <c r="A7456" s="175"/>
      <c r="B7456" s="175"/>
      <c r="P7456" s="4"/>
      <c r="Q7456" s="214"/>
    </row>
    <row r="7457" spans="1:17">
      <c r="A7457" s="175"/>
      <c r="B7457" s="175"/>
      <c r="P7457" s="4"/>
      <c r="Q7457" s="214"/>
    </row>
    <row r="7458" spans="1:17">
      <c r="A7458" s="175"/>
      <c r="B7458" s="175"/>
      <c r="P7458" s="4"/>
      <c r="Q7458" s="214"/>
    </row>
    <row r="7459" spans="1:17">
      <c r="A7459" s="175"/>
      <c r="B7459" s="175"/>
      <c r="P7459" s="4"/>
      <c r="Q7459" s="214"/>
    </row>
    <row r="7460" spans="1:17">
      <c r="A7460" s="175"/>
      <c r="B7460" s="175"/>
      <c r="P7460" s="4"/>
      <c r="Q7460" s="214"/>
    </row>
    <row r="7461" spans="1:17">
      <c r="A7461" s="175"/>
      <c r="B7461" s="175"/>
      <c r="P7461" s="4"/>
      <c r="Q7461" s="214"/>
    </row>
    <row r="7462" spans="1:17">
      <c r="A7462" s="175"/>
      <c r="B7462" s="175"/>
      <c r="P7462" s="4"/>
      <c r="Q7462" s="214"/>
    </row>
    <row r="7463" spans="1:17">
      <c r="A7463" s="175"/>
      <c r="B7463" s="175"/>
      <c r="P7463" s="4"/>
      <c r="Q7463" s="214"/>
    </row>
    <row r="7464" spans="1:17">
      <c r="A7464" s="175"/>
      <c r="B7464" s="175"/>
      <c r="P7464" s="4"/>
      <c r="Q7464" s="214"/>
    </row>
    <row r="7465" spans="1:17">
      <c r="A7465" s="175"/>
      <c r="B7465" s="175"/>
      <c r="P7465" s="4"/>
      <c r="Q7465" s="214"/>
    </row>
    <row r="7466" spans="1:17">
      <c r="A7466" s="175"/>
      <c r="B7466" s="175"/>
      <c r="P7466" s="4"/>
      <c r="Q7466" s="214"/>
    </row>
    <row r="7467" spans="1:17">
      <c r="A7467" s="175"/>
      <c r="B7467" s="175"/>
      <c r="P7467" s="4"/>
      <c r="Q7467" s="214"/>
    </row>
    <row r="7468" spans="1:17">
      <c r="A7468" s="175"/>
      <c r="B7468" s="175"/>
      <c r="P7468" s="4"/>
      <c r="Q7468" s="214"/>
    </row>
    <row r="7469" spans="1:17">
      <c r="A7469" s="175"/>
      <c r="B7469" s="175"/>
      <c r="P7469" s="4"/>
      <c r="Q7469" s="214"/>
    </row>
    <row r="7470" spans="1:17">
      <c r="A7470" s="175"/>
      <c r="B7470" s="175"/>
      <c r="P7470" s="4"/>
      <c r="Q7470" s="214"/>
    </row>
    <row r="7471" spans="1:17">
      <c r="A7471" s="175"/>
      <c r="B7471" s="175"/>
      <c r="P7471" s="4"/>
      <c r="Q7471" s="214"/>
    </row>
    <row r="7472" spans="1:17">
      <c r="A7472" s="175"/>
      <c r="B7472" s="175"/>
      <c r="P7472" s="4"/>
      <c r="Q7472" s="214"/>
    </row>
    <row r="7473" spans="1:17">
      <c r="A7473" s="175"/>
      <c r="B7473" s="175"/>
      <c r="P7473" s="4"/>
      <c r="Q7473" s="214"/>
    </row>
    <row r="7474" spans="1:17">
      <c r="A7474" s="175"/>
      <c r="B7474" s="175"/>
      <c r="P7474" s="4"/>
      <c r="Q7474" s="214"/>
    </row>
    <row r="7475" spans="1:17">
      <c r="A7475" s="175"/>
      <c r="B7475" s="175"/>
      <c r="P7475" s="4"/>
      <c r="Q7475" s="214"/>
    </row>
    <row r="7476" spans="1:17">
      <c r="A7476" s="175"/>
      <c r="B7476" s="175"/>
      <c r="P7476" s="4"/>
      <c r="Q7476" s="214"/>
    </row>
    <row r="7477" spans="1:17">
      <c r="A7477" s="175"/>
      <c r="B7477" s="175"/>
      <c r="P7477" s="4"/>
      <c r="Q7477" s="214"/>
    </row>
    <row r="7478" spans="1:17">
      <c r="A7478" s="175"/>
      <c r="B7478" s="175"/>
      <c r="P7478" s="4"/>
      <c r="Q7478" s="214"/>
    </row>
    <row r="7479" spans="1:17">
      <c r="A7479" s="175"/>
      <c r="B7479" s="175"/>
      <c r="P7479" s="4"/>
      <c r="Q7479" s="214"/>
    </row>
    <row r="7480" spans="1:17">
      <c r="A7480" s="175"/>
      <c r="B7480" s="175"/>
      <c r="P7480" s="4"/>
      <c r="Q7480" s="214"/>
    </row>
    <row r="7481" spans="1:17">
      <c r="A7481" s="175"/>
      <c r="B7481" s="175"/>
      <c r="P7481" s="4"/>
      <c r="Q7481" s="214"/>
    </row>
    <row r="7482" spans="1:17">
      <c r="A7482" s="175"/>
      <c r="B7482" s="175"/>
      <c r="P7482" s="4"/>
      <c r="Q7482" s="214"/>
    </row>
    <row r="7483" spans="1:17">
      <c r="A7483" s="175"/>
      <c r="B7483" s="175"/>
      <c r="P7483" s="4"/>
      <c r="Q7483" s="214"/>
    </row>
    <row r="7484" spans="1:17">
      <c r="A7484" s="175"/>
      <c r="B7484" s="175"/>
      <c r="P7484" s="4"/>
      <c r="Q7484" s="214"/>
    </row>
    <row r="7485" spans="1:17">
      <c r="A7485" s="175"/>
      <c r="B7485" s="175"/>
      <c r="P7485" s="4"/>
      <c r="Q7485" s="214"/>
    </row>
    <row r="7486" spans="1:17">
      <c r="A7486" s="175"/>
      <c r="B7486" s="175"/>
      <c r="P7486" s="4"/>
      <c r="Q7486" s="214"/>
    </row>
    <row r="7487" spans="1:17">
      <c r="A7487" s="175"/>
      <c r="B7487" s="175"/>
      <c r="P7487" s="4"/>
      <c r="Q7487" s="214"/>
    </row>
    <row r="7488" spans="1:17">
      <c r="A7488" s="175"/>
      <c r="B7488" s="175"/>
      <c r="P7488" s="4"/>
      <c r="Q7488" s="214"/>
    </row>
    <row r="7489" spans="1:17">
      <c r="A7489" s="175"/>
      <c r="B7489" s="175"/>
      <c r="P7489" s="4"/>
      <c r="Q7489" s="214"/>
    </row>
    <row r="7490" spans="1:17">
      <c r="A7490" s="175"/>
      <c r="B7490" s="175"/>
      <c r="P7490" s="4"/>
      <c r="Q7490" s="214"/>
    </row>
    <row r="7491" spans="1:17">
      <c r="A7491" s="175"/>
      <c r="B7491" s="175"/>
      <c r="P7491" s="4"/>
      <c r="Q7491" s="214"/>
    </row>
    <row r="7492" spans="1:17">
      <c r="A7492" s="175"/>
      <c r="B7492" s="175"/>
      <c r="P7492" s="4"/>
      <c r="Q7492" s="214"/>
    </row>
    <row r="7493" spans="1:17">
      <c r="A7493" s="175"/>
      <c r="B7493" s="175"/>
      <c r="P7493" s="4"/>
      <c r="Q7493" s="214"/>
    </row>
    <row r="7494" spans="1:17">
      <c r="A7494" s="175"/>
      <c r="B7494" s="175"/>
      <c r="P7494" s="4"/>
      <c r="Q7494" s="214"/>
    </row>
    <row r="7495" spans="1:17">
      <c r="A7495" s="175"/>
      <c r="B7495" s="175"/>
      <c r="P7495" s="4"/>
      <c r="Q7495" s="214"/>
    </row>
    <row r="7496" spans="1:17">
      <c r="A7496" s="175"/>
      <c r="B7496" s="175"/>
      <c r="P7496" s="4"/>
      <c r="Q7496" s="214"/>
    </row>
    <row r="7497" spans="1:17">
      <c r="A7497" s="175"/>
      <c r="B7497" s="175"/>
      <c r="P7497" s="4"/>
      <c r="Q7497" s="214"/>
    </row>
    <row r="7498" spans="1:17">
      <c r="A7498" s="175"/>
      <c r="B7498" s="175"/>
      <c r="P7498" s="4"/>
      <c r="Q7498" s="214"/>
    </row>
    <row r="7499" spans="1:17">
      <c r="A7499" s="175"/>
      <c r="B7499" s="175"/>
      <c r="P7499" s="4"/>
      <c r="Q7499" s="214"/>
    </row>
    <row r="7500" spans="1:17">
      <c r="A7500" s="175"/>
      <c r="B7500" s="175"/>
      <c r="P7500" s="4"/>
      <c r="Q7500" s="214"/>
    </row>
    <row r="7501" spans="1:17">
      <c r="A7501" s="175"/>
      <c r="B7501" s="175"/>
      <c r="P7501" s="4"/>
      <c r="Q7501" s="214"/>
    </row>
    <row r="7502" spans="1:17">
      <c r="A7502" s="175"/>
      <c r="B7502" s="175"/>
      <c r="P7502" s="4"/>
      <c r="Q7502" s="214"/>
    </row>
    <row r="7503" spans="1:17">
      <c r="A7503" s="175"/>
      <c r="B7503" s="175"/>
      <c r="P7503" s="4"/>
      <c r="Q7503" s="214"/>
    </row>
    <row r="7504" spans="1:17">
      <c r="A7504" s="175"/>
      <c r="B7504" s="175"/>
      <c r="P7504" s="4"/>
      <c r="Q7504" s="214"/>
    </row>
    <row r="7505" spans="1:17">
      <c r="A7505" s="175"/>
      <c r="B7505" s="175"/>
      <c r="P7505" s="4"/>
      <c r="Q7505" s="214"/>
    </row>
    <row r="7506" spans="1:17">
      <c r="A7506" s="175"/>
      <c r="B7506" s="175"/>
      <c r="P7506" s="4"/>
      <c r="Q7506" s="214"/>
    </row>
    <row r="7507" spans="1:17">
      <c r="A7507" s="175"/>
      <c r="B7507" s="175"/>
      <c r="P7507" s="4"/>
      <c r="Q7507" s="214"/>
    </row>
    <row r="7508" spans="1:17">
      <c r="A7508" s="175"/>
      <c r="B7508" s="175"/>
      <c r="P7508" s="4"/>
      <c r="Q7508" s="214"/>
    </row>
    <row r="7509" spans="1:17">
      <c r="A7509" s="175"/>
      <c r="B7509" s="175"/>
      <c r="P7509" s="4"/>
      <c r="Q7509" s="214"/>
    </row>
    <row r="7510" spans="1:17">
      <c r="A7510" s="175"/>
      <c r="B7510" s="175"/>
      <c r="P7510" s="4"/>
      <c r="Q7510" s="214"/>
    </row>
    <row r="7511" spans="1:17">
      <c r="A7511" s="175"/>
      <c r="B7511" s="175"/>
      <c r="P7511" s="4"/>
      <c r="Q7511" s="214"/>
    </row>
    <row r="7512" spans="1:17">
      <c r="A7512" s="175"/>
      <c r="B7512" s="175"/>
      <c r="P7512" s="4"/>
      <c r="Q7512" s="214"/>
    </row>
    <row r="7513" spans="1:17">
      <c r="A7513" s="175"/>
      <c r="B7513" s="175"/>
      <c r="P7513" s="4"/>
      <c r="Q7513" s="214"/>
    </row>
    <row r="7514" spans="1:17">
      <c r="A7514" s="175"/>
      <c r="B7514" s="175"/>
      <c r="P7514" s="4"/>
      <c r="Q7514" s="214"/>
    </row>
    <row r="7515" spans="1:17">
      <c r="A7515" s="175"/>
      <c r="B7515" s="175"/>
      <c r="P7515" s="4"/>
      <c r="Q7515" s="214"/>
    </row>
    <row r="7516" spans="1:17">
      <c r="A7516" s="175"/>
      <c r="B7516" s="175"/>
      <c r="P7516" s="4"/>
      <c r="Q7516" s="214"/>
    </row>
    <row r="7517" spans="1:17">
      <c r="A7517" s="175"/>
      <c r="B7517" s="175"/>
      <c r="P7517" s="4"/>
      <c r="Q7517" s="214"/>
    </row>
    <row r="7518" spans="1:17">
      <c r="A7518" s="175"/>
      <c r="B7518" s="175"/>
      <c r="P7518" s="4"/>
      <c r="Q7518" s="214"/>
    </row>
    <row r="7519" spans="1:17">
      <c r="A7519" s="175"/>
      <c r="B7519" s="175"/>
      <c r="P7519" s="4"/>
      <c r="Q7519" s="214"/>
    </row>
    <row r="7520" spans="1:17">
      <c r="A7520" s="175"/>
      <c r="B7520" s="175"/>
      <c r="P7520" s="4"/>
      <c r="Q7520" s="214"/>
    </row>
    <row r="7521" spans="1:17">
      <c r="A7521" s="175"/>
      <c r="B7521" s="175"/>
      <c r="P7521" s="4"/>
      <c r="Q7521" s="214"/>
    </row>
    <row r="7522" spans="1:17">
      <c r="A7522" s="175"/>
      <c r="B7522" s="175"/>
      <c r="P7522" s="4"/>
      <c r="Q7522" s="214"/>
    </row>
    <row r="7523" spans="1:17">
      <c r="A7523" s="175"/>
      <c r="B7523" s="175"/>
      <c r="P7523" s="4"/>
      <c r="Q7523" s="214"/>
    </row>
    <row r="7524" spans="1:17">
      <c r="A7524" s="175"/>
      <c r="B7524" s="175"/>
      <c r="P7524" s="4"/>
      <c r="Q7524" s="214"/>
    </row>
    <row r="7525" spans="1:17">
      <c r="A7525" s="175"/>
      <c r="B7525" s="175"/>
      <c r="P7525" s="4"/>
      <c r="Q7525" s="214"/>
    </row>
    <row r="7526" spans="1:17">
      <c r="A7526" s="175"/>
      <c r="B7526" s="175"/>
      <c r="P7526" s="4"/>
      <c r="Q7526" s="214"/>
    </row>
    <row r="7527" spans="1:17">
      <c r="A7527" s="175"/>
      <c r="B7527" s="175"/>
      <c r="P7527" s="4"/>
      <c r="Q7527" s="214"/>
    </row>
    <row r="7528" spans="1:17">
      <c r="A7528" s="175"/>
      <c r="B7528" s="175"/>
      <c r="P7528" s="4"/>
      <c r="Q7528" s="214"/>
    </row>
    <row r="7529" spans="1:17">
      <c r="A7529" s="175"/>
      <c r="B7529" s="175"/>
      <c r="P7529" s="4"/>
      <c r="Q7529" s="214"/>
    </row>
    <row r="7530" spans="1:17">
      <c r="A7530" s="175"/>
      <c r="B7530" s="175"/>
      <c r="P7530" s="4"/>
      <c r="Q7530" s="214"/>
    </row>
    <row r="7531" spans="1:17">
      <c r="A7531" s="175"/>
      <c r="B7531" s="175"/>
      <c r="P7531" s="4"/>
      <c r="Q7531" s="214"/>
    </row>
    <row r="7532" spans="1:17">
      <c r="A7532" s="175"/>
      <c r="B7532" s="175"/>
      <c r="P7532" s="4"/>
      <c r="Q7532" s="214"/>
    </row>
    <row r="7533" spans="1:17">
      <c r="A7533" s="175"/>
      <c r="B7533" s="175"/>
      <c r="P7533" s="4"/>
      <c r="Q7533" s="214"/>
    </row>
    <row r="7534" spans="1:17">
      <c r="A7534" s="175"/>
      <c r="B7534" s="175"/>
      <c r="P7534" s="4"/>
      <c r="Q7534" s="214"/>
    </row>
    <row r="7535" spans="1:17">
      <c r="A7535" s="175"/>
      <c r="B7535" s="175"/>
      <c r="P7535" s="4"/>
      <c r="Q7535" s="214"/>
    </row>
    <row r="7536" spans="1:17">
      <c r="A7536" s="175"/>
      <c r="B7536" s="175"/>
      <c r="P7536" s="4"/>
      <c r="Q7536" s="214"/>
    </row>
    <row r="7537" spans="1:17">
      <c r="A7537" s="175"/>
      <c r="B7537" s="175"/>
      <c r="P7537" s="4"/>
      <c r="Q7537" s="214"/>
    </row>
    <row r="7538" spans="1:17">
      <c r="A7538" s="175"/>
      <c r="B7538" s="175"/>
      <c r="P7538" s="4"/>
      <c r="Q7538" s="214"/>
    </row>
    <row r="7539" spans="1:17">
      <c r="A7539" s="175"/>
      <c r="B7539" s="175"/>
      <c r="P7539" s="4"/>
      <c r="Q7539" s="214"/>
    </row>
    <row r="7540" spans="1:17">
      <c r="A7540" s="175"/>
      <c r="B7540" s="175"/>
      <c r="P7540" s="4"/>
      <c r="Q7540" s="214"/>
    </row>
    <row r="7541" spans="1:17">
      <c r="A7541" s="175"/>
      <c r="B7541" s="175"/>
      <c r="P7541" s="4"/>
      <c r="Q7541" s="214"/>
    </row>
    <row r="7542" spans="1:17">
      <c r="A7542" s="175"/>
      <c r="B7542" s="175"/>
      <c r="P7542" s="4"/>
      <c r="Q7542" s="214"/>
    </row>
    <row r="7543" spans="1:17">
      <c r="A7543" s="175"/>
      <c r="B7543" s="175"/>
      <c r="P7543" s="4"/>
      <c r="Q7543" s="214"/>
    </row>
    <row r="7544" spans="1:17">
      <c r="A7544" s="175"/>
      <c r="B7544" s="175"/>
      <c r="P7544" s="4"/>
      <c r="Q7544" s="214"/>
    </row>
    <row r="7545" spans="1:17">
      <c r="A7545" s="175"/>
      <c r="B7545" s="175"/>
      <c r="P7545" s="4"/>
      <c r="Q7545" s="214"/>
    </row>
    <row r="7546" spans="1:17">
      <c r="A7546" s="175"/>
      <c r="B7546" s="175"/>
      <c r="P7546" s="4"/>
      <c r="Q7546" s="214"/>
    </row>
    <row r="7547" spans="1:17">
      <c r="A7547" s="175"/>
      <c r="B7547" s="175"/>
      <c r="P7547" s="4"/>
      <c r="Q7547" s="214"/>
    </row>
    <row r="7548" spans="1:17">
      <c r="A7548" s="175"/>
      <c r="B7548" s="175"/>
      <c r="P7548" s="4"/>
      <c r="Q7548" s="214"/>
    </row>
    <row r="7549" spans="1:17">
      <c r="A7549" s="175"/>
      <c r="B7549" s="175"/>
      <c r="P7549" s="4"/>
      <c r="Q7549" s="214"/>
    </row>
    <row r="7550" spans="1:17">
      <c r="A7550" s="175"/>
      <c r="B7550" s="175"/>
      <c r="P7550" s="4"/>
      <c r="Q7550" s="214"/>
    </row>
    <row r="7551" spans="1:17">
      <c r="A7551" s="175"/>
      <c r="B7551" s="175"/>
      <c r="P7551" s="4"/>
      <c r="Q7551" s="214"/>
    </row>
    <row r="7552" spans="1:17">
      <c r="A7552" s="175"/>
      <c r="B7552" s="175"/>
      <c r="P7552" s="4"/>
      <c r="Q7552" s="214"/>
    </row>
    <row r="7553" spans="1:17">
      <c r="A7553" s="175"/>
      <c r="B7553" s="175"/>
      <c r="P7553" s="4"/>
      <c r="Q7553" s="214"/>
    </row>
    <row r="7554" spans="1:17">
      <c r="A7554" s="175"/>
      <c r="B7554" s="175"/>
      <c r="P7554" s="4"/>
      <c r="Q7554" s="214"/>
    </row>
    <row r="7555" spans="1:17">
      <c r="A7555" s="175"/>
      <c r="B7555" s="175"/>
      <c r="P7555" s="4"/>
      <c r="Q7555" s="214"/>
    </row>
    <row r="7556" spans="1:17">
      <c r="A7556" s="175"/>
      <c r="B7556" s="175"/>
      <c r="P7556" s="4"/>
      <c r="Q7556" s="214"/>
    </row>
    <row r="7557" spans="1:17">
      <c r="A7557" s="175"/>
      <c r="B7557" s="175"/>
      <c r="P7557" s="4"/>
      <c r="Q7557" s="214"/>
    </row>
    <row r="7558" spans="1:17">
      <c r="A7558" s="175"/>
      <c r="B7558" s="175"/>
      <c r="P7558" s="4"/>
      <c r="Q7558" s="214"/>
    </row>
    <row r="7559" spans="1:17">
      <c r="A7559" s="175"/>
      <c r="B7559" s="175"/>
      <c r="P7559" s="4"/>
      <c r="Q7559" s="214"/>
    </row>
    <row r="7560" spans="1:17">
      <c r="A7560" s="175"/>
      <c r="B7560" s="175"/>
      <c r="P7560" s="4"/>
      <c r="Q7560" s="214"/>
    </row>
    <row r="7561" spans="1:17">
      <c r="A7561" s="175"/>
      <c r="B7561" s="175"/>
      <c r="P7561" s="4"/>
      <c r="Q7561" s="214"/>
    </row>
    <row r="7562" spans="1:17">
      <c r="A7562" s="175"/>
      <c r="B7562" s="175"/>
      <c r="P7562" s="4"/>
      <c r="Q7562" s="214"/>
    </row>
    <row r="7563" spans="1:17">
      <c r="A7563" s="175"/>
      <c r="B7563" s="175"/>
      <c r="P7563" s="4"/>
      <c r="Q7563" s="214"/>
    </row>
    <row r="7564" spans="1:17">
      <c r="A7564" s="175"/>
      <c r="B7564" s="175"/>
      <c r="P7564" s="4"/>
      <c r="Q7564" s="214"/>
    </row>
    <row r="7565" spans="1:17">
      <c r="A7565" s="175"/>
      <c r="B7565" s="175"/>
      <c r="P7565" s="4"/>
      <c r="Q7565" s="214"/>
    </row>
    <row r="7566" spans="1:17">
      <c r="A7566" s="175"/>
      <c r="B7566" s="175"/>
      <c r="P7566" s="4"/>
      <c r="Q7566" s="214"/>
    </row>
    <row r="7567" spans="1:17">
      <c r="A7567" s="175"/>
      <c r="B7567" s="175"/>
      <c r="P7567" s="4"/>
      <c r="Q7567" s="214"/>
    </row>
    <row r="7568" spans="1:17">
      <c r="A7568" s="175"/>
      <c r="B7568" s="175"/>
      <c r="P7568" s="4"/>
      <c r="Q7568" s="214"/>
    </row>
    <row r="7569" spans="1:17">
      <c r="A7569" s="175"/>
      <c r="B7569" s="175"/>
      <c r="P7569" s="4"/>
      <c r="Q7569" s="214"/>
    </row>
    <row r="7570" spans="1:17">
      <c r="A7570" s="175"/>
      <c r="B7570" s="175"/>
      <c r="P7570" s="4"/>
      <c r="Q7570" s="214"/>
    </row>
    <row r="7571" spans="1:17">
      <c r="A7571" s="175"/>
      <c r="B7571" s="175"/>
      <c r="P7571" s="4"/>
      <c r="Q7571" s="214"/>
    </row>
    <row r="7572" spans="1:17">
      <c r="A7572" s="175"/>
      <c r="B7572" s="175"/>
      <c r="P7572" s="4"/>
      <c r="Q7572" s="214"/>
    </row>
    <row r="7573" spans="1:17">
      <c r="A7573" s="175"/>
      <c r="B7573" s="175"/>
      <c r="P7573" s="4"/>
      <c r="Q7573" s="214"/>
    </row>
    <row r="7574" spans="1:17">
      <c r="A7574" s="175"/>
      <c r="B7574" s="175"/>
      <c r="P7574" s="4"/>
      <c r="Q7574" s="214"/>
    </row>
    <row r="7575" spans="1:17">
      <c r="A7575" s="175"/>
      <c r="B7575" s="175"/>
      <c r="P7575" s="4"/>
      <c r="Q7575" s="214"/>
    </row>
    <row r="7576" spans="1:17">
      <c r="A7576" s="175"/>
      <c r="B7576" s="175"/>
      <c r="P7576" s="4"/>
      <c r="Q7576" s="214"/>
    </row>
    <row r="7577" spans="1:17">
      <c r="A7577" s="175"/>
      <c r="B7577" s="175"/>
      <c r="P7577" s="4"/>
      <c r="Q7577" s="214"/>
    </row>
    <row r="7578" spans="1:17">
      <c r="A7578" s="175"/>
      <c r="B7578" s="175"/>
      <c r="P7578" s="4"/>
      <c r="Q7578" s="214"/>
    </row>
    <row r="7579" spans="1:17">
      <c r="A7579" s="175"/>
      <c r="B7579" s="175"/>
      <c r="P7579" s="4"/>
      <c r="Q7579" s="214"/>
    </row>
    <row r="7580" spans="1:17">
      <c r="A7580" s="175"/>
      <c r="B7580" s="175"/>
      <c r="P7580" s="4"/>
      <c r="Q7580" s="214"/>
    </row>
    <row r="7581" spans="1:17">
      <c r="A7581" s="175"/>
      <c r="B7581" s="175"/>
      <c r="P7581" s="4"/>
      <c r="Q7581" s="214"/>
    </row>
    <row r="7582" spans="1:17">
      <c r="A7582" s="175"/>
      <c r="B7582" s="175"/>
      <c r="P7582" s="4"/>
      <c r="Q7582" s="214"/>
    </row>
    <row r="7583" spans="1:17">
      <c r="A7583" s="175"/>
      <c r="B7583" s="175"/>
      <c r="P7583" s="4"/>
      <c r="Q7583" s="214"/>
    </row>
    <row r="7584" spans="1:17">
      <c r="A7584" s="175"/>
      <c r="B7584" s="175"/>
      <c r="P7584" s="4"/>
      <c r="Q7584" s="214"/>
    </row>
    <row r="7585" spans="1:17">
      <c r="A7585" s="175"/>
      <c r="B7585" s="175"/>
      <c r="P7585" s="4"/>
      <c r="Q7585" s="214"/>
    </row>
    <row r="7586" spans="1:17">
      <c r="A7586" s="175"/>
      <c r="B7586" s="175"/>
      <c r="P7586" s="4"/>
      <c r="Q7586" s="214"/>
    </row>
    <row r="7587" spans="1:17">
      <c r="A7587" s="175"/>
      <c r="B7587" s="175"/>
      <c r="P7587" s="4"/>
      <c r="Q7587" s="214"/>
    </row>
    <row r="7588" spans="1:17">
      <c r="A7588" s="175"/>
      <c r="B7588" s="175"/>
      <c r="P7588" s="4"/>
      <c r="Q7588" s="214"/>
    </row>
    <row r="7589" spans="1:17">
      <c r="A7589" s="175"/>
      <c r="B7589" s="175"/>
      <c r="P7589" s="4"/>
      <c r="Q7589" s="214"/>
    </row>
    <row r="7590" spans="1:17">
      <c r="A7590" s="175"/>
      <c r="B7590" s="175"/>
      <c r="P7590" s="4"/>
      <c r="Q7590" s="214"/>
    </row>
    <row r="7591" spans="1:17">
      <c r="A7591" s="175"/>
      <c r="B7591" s="175"/>
      <c r="P7591" s="4"/>
      <c r="Q7591" s="214"/>
    </row>
    <row r="7592" spans="1:17">
      <c r="A7592" s="175"/>
      <c r="B7592" s="175"/>
      <c r="P7592" s="4"/>
      <c r="Q7592" s="214"/>
    </row>
    <row r="7593" spans="1:17">
      <c r="A7593" s="175"/>
      <c r="B7593" s="175"/>
      <c r="P7593" s="4"/>
      <c r="Q7593" s="214"/>
    </row>
    <row r="7594" spans="1:17">
      <c r="A7594" s="175"/>
      <c r="B7594" s="175"/>
      <c r="P7594" s="4"/>
      <c r="Q7594" s="214"/>
    </row>
    <row r="7595" spans="1:17">
      <c r="A7595" s="175"/>
      <c r="B7595" s="175"/>
      <c r="P7595" s="4"/>
      <c r="Q7595" s="214"/>
    </row>
    <row r="7596" spans="1:17">
      <c r="A7596" s="175"/>
      <c r="B7596" s="175"/>
      <c r="P7596" s="4"/>
      <c r="Q7596" s="214"/>
    </row>
    <row r="7597" spans="1:17">
      <c r="A7597" s="175"/>
      <c r="B7597" s="175"/>
      <c r="P7597" s="4"/>
      <c r="Q7597" s="214"/>
    </row>
    <row r="7598" spans="1:17">
      <c r="A7598" s="175"/>
      <c r="B7598" s="175"/>
      <c r="P7598" s="4"/>
      <c r="Q7598" s="214"/>
    </row>
    <row r="7599" spans="1:17">
      <c r="A7599" s="175"/>
      <c r="B7599" s="175"/>
      <c r="P7599" s="4"/>
      <c r="Q7599" s="214"/>
    </row>
    <row r="7600" spans="1:17">
      <c r="A7600" s="175"/>
      <c r="B7600" s="175"/>
      <c r="P7600" s="4"/>
      <c r="Q7600" s="214"/>
    </row>
    <row r="7601" spans="1:17">
      <c r="A7601" s="175"/>
      <c r="B7601" s="175"/>
      <c r="P7601" s="4"/>
      <c r="Q7601" s="214"/>
    </row>
    <row r="7602" spans="1:17">
      <c r="A7602" s="175"/>
      <c r="B7602" s="175"/>
      <c r="P7602" s="4"/>
      <c r="Q7602" s="214"/>
    </row>
    <row r="7603" spans="1:17">
      <c r="A7603" s="175"/>
      <c r="B7603" s="175"/>
      <c r="P7603" s="4"/>
      <c r="Q7603" s="214"/>
    </row>
    <row r="7604" spans="1:17">
      <c r="A7604" s="175"/>
      <c r="B7604" s="175"/>
      <c r="P7604" s="4"/>
      <c r="Q7604" s="214"/>
    </row>
    <row r="7605" spans="1:17">
      <c r="A7605" s="175"/>
      <c r="B7605" s="175"/>
      <c r="P7605" s="4"/>
      <c r="Q7605" s="214"/>
    </row>
    <row r="7606" spans="1:17">
      <c r="A7606" s="175"/>
      <c r="B7606" s="175"/>
      <c r="P7606" s="4"/>
      <c r="Q7606" s="214"/>
    </row>
    <row r="7607" spans="1:17">
      <c r="A7607" s="175"/>
      <c r="B7607" s="175"/>
      <c r="P7607" s="4"/>
      <c r="Q7607" s="214"/>
    </row>
    <row r="7608" spans="1:17">
      <c r="A7608" s="175"/>
      <c r="B7608" s="175"/>
      <c r="P7608" s="4"/>
      <c r="Q7608" s="214"/>
    </row>
    <row r="7609" spans="1:17">
      <c r="A7609" s="175"/>
      <c r="B7609" s="175"/>
      <c r="P7609" s="4"/>
      <c r="Q7609" s="214"/>
    </row>
    <row r="7610" spans="1:17">
      <c r="A7610" s="175"/>
      <c r="B7610" s="175"/>
      <c r="P7610" s="4"/>
      <c r="Q7610" s="214"/>
    </row>
    <row r="7611" spans="1:17">
      <c r="A7611" s="175"/>
      <c r="B7611" s="175"/>
      <c r="P7611" s="4"/>
      <c r="Q7611" s="214"/>
    </row>
    <row r="7612" spans="1:17">
      <c r="A7612" s="175"/>
      <c r="B7612" s="175"/>
      <c r="P7612" s="4"/>
      <c r="Q7612" s="214"/>
    </row>
    <row r="7613" spans="1:17">
      <c r="A7613" s="175"/>
      <c r="B7613" s="175"/>
      <c r="P7613" s="4"/>
      <c r="Q7613" s="214"/>
    </row>
    <row r="7614" spans="1:17">
      <c r="A7614" s="175"/>
      <c r="B7614" s="175"/>
      <c r="P7614" s="4"/>
      <c r="Q7614" s="214"/>
    </row>
    <row r="7615" spans="1:17">
      <c r="A7615" s="175"/>
      <c r="B7615" s="175"/>
      <c r="P7615" s="4"/>
      <c r="Q7615" s="214"/>
    </row>
    <row r="7616" spans="1:17">
      <c r="A7616" s="175"/>
      <c r="B7616" s="175"/>
      <c r="P7616" s="4"/>
      <c r="Q7616" s="214"/>
    </row>
    <row r="7617" spans="1:17">
      <c r="A7617" s="175"/>
      <c r="B7617" s="175"/>
      <c r="P7617" s="4"/>
      <c r="Q7617" s="214"/>
    </row>
    <row r="7618" spans="1:17">
      <c r="A7618" s="175"/>
      <c r="B7618" s="175"/>
      <c r="P7618" s="4"/>
      <c r="Q7618" s="214"/>
    </row>
    <row r="7619" spans="1:17">
      <c r="A7619" s="175"/>
      <c r="B7619" s="175"/>
      <c r="P7619" s="4"/>
      <c r="Q7619" s="214"/>
    </row>
    <row r="7620" spans="1:17">
      <c r="A7620" s="175"/>
      <c r="B7620" s="175"/>
      <c r="P7620" s="4"/>
      <c r="Q7620" s="214"/>
    </row>
    <row r="7621" spans="1:17">
      <c r="A7621" s="175"/>
      <c r="B7621" s="175"/>
      <c r="P7621" s="4"/>
      <c r="Q7621" s="214"/>
    </row>
    <row r="7622" spans="1:17">
      <c r="A7622" s="175"/>
      <c r="B7622" s="175"/>
      <c r="P7622" s="4"/>
      <c r="Q7622" s="214"/>
    </row>
    <row r="7623" spans="1:17">
      <c r="A7623" s="175"/>
      <c r="B7623" s="175"/>
      <c r="P7623" s="4"/>
      <c r="Q7623" s="214"/>
    </row>
    <row r="7624" spans="1:17">
      <c r="A7624" s="175"/>
      <c r="B7624" s="175"/>
      <c r="P7624" s="4"/>
      <c r="Q7624" s="214"/>
    </row>
    <row r="7625" spans="1:17">
      <c r="A7625" s="175"/>
      <c r="B7625" s="175"/>
      <c r="P7625" s="4"/>
      <c r="Q7625" s="214"/>
    </row>
    <row r="7626" spans="1:17">
      <c r="A7626" s="175"/>
      <c r="B7626" s="175"/>
      <c r="P7626" s="4"/>
      <c r="Q7626" s="214"/>
    </row>
    <row r="7627" spans="1:17">
      <c r="A7627" s="175"/>
      <c r="B7627" s="175"/>
      <c r="P7627" s="4"/>
      <c r="Q7627" s="214"/>
    </row>
    <row r="7628" spans="1:17">
      <c r="A7628" s="175"/>
      <c r="B7628" s="175"/>
      <c r="P7628" s="4"/>
      <c r="Q7628" s="214"/>
    </row>
    <row r="7629" spans="1:17">
      <c r="A7629" s="175"/>
      <c r="B7629" s="175"/>
      <c r="P7629" s="4"/>
      <c r="Q7629" s="214"/>
    </row>
    <row r="7630" spans="1:17">
      <c r="A7630" s="175"/>
      <c r="B7630" s="175"/>
      <c r="P7630" s="4"/>
      <c r="Q7630" s="214"/>
    </row>
    <row r="7631" spans="1:17">
      <c r="A7631" s="175"/>
      <c r="B7631" s="175"/>
      <c r="P7631" s="4"/>
      <c r="Q7631" s="214"/>
    </row>
    <row r="7632" spans="1:17">
      <c r="A7632" s="175"/>
      <c r="B7632" s="175"/>
      <c r="P7632" s="4"/>
      <c r="Q7632" s="214"/>
    </row>
    <row r="7633" spans="1:17">
      <c r="A7633" s="175"/>
      <c r="B7633" s="175"/>
      <c r="P7633" s="4"/>
      <c r="Q7633" s="214"/>
    </row>
    <row r="7634" spans="1:17">
      <c r="A7634" s="175"/>
      <c r="B7634" s="175"/>
      <c r="P7634" s="4"/>
      <c r="Q7634" s="214"/>
    </row>
    <row r="7635" spans="1:17">
      <c r="A7635" s="175"/>
      <c r="B7635" s="175"/>
      <c r="P7635" s="4"/>
      <c r="Q7635" s="214"/>
    </row>
    <row r="7636" spans="1:17">
      <c r="A7636" s="175"/>
      <c r="B7636" s="175"/>
      <c r="P7636" s="4"/>
      <c r="Q7636" s="214"/>
    </row>
    <row r="7637" spans="1:17">
      <c r="A7637" s="175"/>
      <c r="B7637" s="175"/>
      <c r="P7637" s="4"/>
      <c r="Q7637" s="214"/>
    </row>
    <row r="7638" spans="1:17">
      <c r="A7638" s="175"/>
      <c r="B7638" s="175"/>
      <c r="P7638" s="4"/>
      <c r="Q7638" s="214"/>
    </row>
    <row r="7639" spans="1:17">
      <c r="A7639" s="175"/>
      <c r="B7639" s="175"/>
      <c r="P7639" s="4"/>
      <c r="Q7639" s="214"/>
    </row>
    <row r="7640" spans="1:17">
      <c r="A7640" s="175"/>
      <c r="B7640" s="175"/>
      <c r="P7640" s="4"/>
      <c r="Q7640" s="214"/>
    </row>
    <row r="7641" spans="1:17">
      <c r="A7641" s="175"/>
      <c r="B7641" s="175"/>
      <c r="P7641" s="4"/>
      <c r="Q7641" s="214"/>
    </row>
    <row r="7642" spans="1:17">
      <c r="A7642" s="175"/>
      <c r="B7642" s="175"/>
      <c r="P7642" s="4"/>
      <c r="Q7642" s="214"/>
    </row>
    <row r="7643" spans="1:17">
      <c r="A7643" s="175"/>
      <c r="B7643" s="175"/>
      <c r="P7643" s="4"/>
      <c r="Q7643" s="214"/>
    </row>
    <row r="7644" spans="1:17">
      <c r="A7644" s="175"/>
      <c r="B7644" s="175"/>
      <c r="P7644" s="4"/>
      <c r="Q7644" s="214"/>
    </row>
    <row r="7645" spans="1:17">
      <c r="A7645" s="175"/>
      <c r="B7645" s="175"/>
      <c r="P7645" s="4"/>
      <c r="Q7645" s="214"/>
    </row>
    <row r="7646" spans="1:17">
      <c r="A7646" s="175"/>
      <c r="B7646" s="175"/>
      <c r="P7646" s="4"/>
      <c r="Q7646" s="214"/>
    </row>
    <row r="7647" spans="1:17">
      <c r="A7647" s="175"/>
      <c r="B7647" s="175"/>
      <c r="P7647" s="4"/>
      <c r="Q7647" s="214"/>
    </row>
    <row r="7648" spans="1:17">
      <c r="A7648" s="175"/>
      <c r="B7648" s="175"/>
      <c r="P7648" s="4"/>
      <c r="Q7648" s="214"/>
    </row>
    <row r="7649" spans="1:17">
      <c r="A7649" s="175"/>
      <c r="B7649" s="175"/>
      <c r="P7649" s="4"/>
      <c r="Q7649" s="214"/>
    </row>
    <row r="7650" spans="1:17">
      <c r="A7650" s="175"/>
      <c r="B7650" s="175"/>
      <c r="P7650" s="4"/>
      <c r="Q7650" s="214"/>
    </row>
    <row r="7651" spans="1:17">
      <c r="A7651" s="175"/>
      <c r="B7651" s="175"/>
      <c r="P7651" s="4"/>
      <c r="Q7651" s="214"/>
    </row>
    <row r="7652" spans="1:17">
      <c r="A7652" s="175"/>
      <c r="B7652" s="175"/>
      <c r="P7652" s="4"/>
      <c r="Q7652" s="214"/>
    </row>
    <row r="7653" spans="1:17">
      <c r="A7653" s="175"/>
      <c r="B7653" s="175"/>
      <c r="P7653" s="4"/>
      <c r="Q7653" s="214"/>
    </row>
    <row r="7654" spans="1:17">
      <c r="A7654" s="175"/>
      <c r="B7654" s="175"/>
      <c r="P7654" s="4"/>
      <c r="Q7654" s="214"/>
    </row>
    <row r="7655" spans="1:17">
      <c r="A7655" s="175"/>
      <c r="B7655" s="175"/>
      <c r="P7655" s="4"/>
      <c r="Q7655" s="214"/>
    </row>
    <row r="7656" spans="1:17">
      <c r="A7656" s="175"/>
      <c r="B7656" s="175"/>
      <c r="P7656" s="4"/>
      <c r="Q7656" s="214"/>
    </row>
    <row r="7657" spans="1:17">
      <c r="A7657" s="175"/>
      <c r="B7657" s="175"/>
      <c r="P7657" s="4"/>
      <c r="Q7657" s="214"/>
    </row>
    <row r="7658" spans="1:17">
      <c r="A7658" s="175"/>
      <c r="B7658" s="175"/>
      <c r="P7658" s="4"/>
      <c r="Q7658" s="214"/>
    </row>
    <row r="7659" spans="1:17">
      <c r="A7659" s="175"/>
      <c r="B7659" s="175"/>
      <c r="P7659" s="4"/>
      <c r="Q7659" s="214"/>
    </row>
    <row r="7660" spans="1:17">
      <c r="A7660" s="175"/>
      <c r="B7660" s="175"/>
      <c r="P7660" s="4"/>
      <c r="Q7660" s="214"/>
    </row>
    <row r="7661" spans="1:17">
      <c r="A7661" s="175"/>
      <c r="B7661" s="175"/>
      <c r="P7661" s="4"/>
      <c r="Q7661" s="214"/>
    </row>
    <row r="7662" spans="1:17">
      <c r="A7662" s="175"/>
      <c r="B7662" s="175"/>
      <c r="P7662" s="4"/>
      <c r="Q7662" s="214"/>
    </row>
    <row r="7663" spans="1:17">
      <c r="A7663" s="175"/>
      <c r="B7663" s="175"/>
      <c r="P7663" s="4"/>
      <c r="Q7663" s="214"/>
    </row>
    <row r="7664" spans="1:17">
      <c r="A7664" s="175"/>
      <c r="B7664" s="175"/>
      <c r="P7664" s="4"/>
      <c r="Q7664" s="214"/>
    </row>
    <row r="7665" spans="1:17">
      <c r="A7665" s="175"/>
      <c r="B7665" s="175"/>
      <c r="P7665" s="4"/>
      <c r="Q7665" s="214"/>
    </row>
    <row r="7666" spans="1:17">
      <c r="A7666" s="175"/>
      <c r="B7666" s="175"/>
      <c r="P7666" s="4"/>
      <c r="Q7666" s="214"/>
    </row>
    <row r="7667" spans="1:17">
      <c r="A7667" s="175"/>
      <c r="B7667" s="175"/>
      <c r="P7667" s="4"/>
      <c r="Q7667" s="214"/>
    </row>
    <row r="7668" spans="1:17">
      <c r="A7668" s="175"/>
      <c r="B7668" s="175"/>
      <c r="P7668" s="4"/>
      <c r="Q7668" s="214"/>
    </row>
    <row r="7669" spans="1:17">
      <c r="A7669" s="175"/>
      <c r="B7669" s="175"/>
      <c r="P7669" s="4"/>
      <c r="Q7669" s="214"/>
    </row>
    <row r="7670" spans="1:17">
      <c r="A7670" s="175"/>
      <c r="B7670" s="175"/>
      <c r="P7670" s="4"/>
      <c r="Q7670" s="214"/>
    </row>
    <row r="7671" spans="1:17">
      <c r="A7671" s="175"/>
      <c r="B7671" s="175"/>
      <c r="P7671" s="4"/>
      <c r="Q7671" s="214"/>
    </row>
    <row r="7672" spans="1:17">
      <c r="A7672" s="175"/>
      <c r="B7672" s="175"/>
      <c r="P7672" s="4"/>
      <c r="Q7672" s="214"/>
    </row>
    <row r="7673" spans="1:17">
      <c r="A7673" s="175"/>
      <c r="B7673" s="175"/>
      <c r="P7673" s="4"/>
      <c r="Q7673" s="214"/>
    </row>
    <row r="7674" spans="1:17">
      <c r="A7674" s="175"/>
      <c r="B7674" s="175"/>
      <c r="P7674" s="4"/>
      <c r="Q7674" s="214"/>
    </row>
    <row r="7675" spans="1:17">
      <c r="A7675" s="175"/>
      <c r="B7675" s="175"/>
      <c r="P7675" s="4"/>
      <c r="Q7675" s="214"/>
    </row>
    <row r="7676" spans="1:17">
      <c r="A7676" s="175"/>
      <c r="B7676" s="175"/>
      <c r="P7676" s="4"/>
      <c r="Q7676" s="214"/>
    </row>
    <row r="7677" spans="1:17">
      <c r="A7677" s="175"/>
      <c r="B7677" s="175"/>
      <c r="P7677" s="4"/>
      <c r="Q7677" s="214"/>
    </row>
    <row r="7678" spans="1:17">
      <c r="A7678" s="175"/>
      <c r="B7678" s="175"/>
      <c r="P7678" s="4"/>
      <c r="Q7678" s="214"/>
    </row>
    <row r="7679" spans="1:17">
      <c r="A7679" s="175"/>
      <c r="B7679" s="175"/>
      <c r="P7679" s="4"/>
      <c r="Q7679" s="214"/>
    </row>
    <row r="7680" spans="1:17">
      <c r="A7680" s="175"/>
      <c r="B7680" s="175"/>
      <c r="P7680" s="4"/>
      <c r="Q7680" s="214"/>
    </row>
    <row r="7681" spans="1:17">
      <c r="A7681" s="175"/>
      <c r="B7681" s="175"/>
      <c r="P7681" s="4"/>
      <c r="Q7681" s="214"/>
    </row>
    <row r="7682" spans="1:17">
      <c r="A7682" s="175"/>
      <c r="B7682" s="175"/>
      <c r="P7682" s="4"/>
      <c r="Q7682" s="214"/>
    </row>
    <row r="7683" spans="1:17">
      <c r="A7683" s="175"/>
      <c r="B7683" s="175"/>
      <c r="P7683" s="4"/>
      <c r="Q7683" s="214"/>
    </row>
    <row r="7684" spans="1:17">
      <c r="A7684" s="175"/>
      <c r="B7684" s="175"/>
      <c r="P7684" s="4"/>
      <c r="Q7684" s="214"/>
    </row>
    <row r="7685" spans="1:17">
      <c r="A7685" s="175"/>
      <c r="B7685" s="175"/>
      <c r="P7685" s="4"/>
      <c r="Q7685" s="214"/>
    </row>
    <row r="7686" spans="1:17">
      <c r="A7686" s="175"/>
      <c r="B7686" s="175"/>
      <c r="P7686" s="4"/>
      <c r="Q7686" s="214"/>
    </row>
    <row r="7687" spans="1:17">
      <c r="A7687" s="175"/>
      <c r="B7687" s="175"/>
      <c r="P7687" s="4"/>
      <c r="Q7687" s="214"/>
    </row>
    <row r="7688" spans="1:17">
      <c r="A7688" s="175"/>
      <c r="B7688" s="175"/>
      <c r="P7688" s="4"/>
      <c r="Q7688" s="214"/>
    </row>
    <row r="7689" spans="1:17">
      <c r="A7689" s="175"/>
      <c r="B7689" s="175"/>
      <c r="P7689" s="4"/>
      <c r="Q7689" s="214"/>
    </row>
    <row r="7690" spans="1:17">
      <c r="A7690" s="175"/>
      <c r="B7690" s="175"/>
      <c r="P7690" s="4"/>
      <c r="Q7690" s="214"/>
    </row>
    <row r="7691" spans="1:17">
      <c r="A7691" s="175"/>
      <c r="B7691" s="175"/>
      <c r="P7691" s="4"/>
      <c r="Q7691" s="214"/>
    </row>
    <row r="7692" spans="1:17">
      <c r="A7692" s="175"/>
      <c r="B7692" s="175"/>
      <c r="P7692" s="4"/>
      <c r="Q7692" s="214"/>
    </row>
    <row r="7693" spans="1:17">
      <c r="A7693" s="175"/>
      <c r="B7693" s="175"/>
      <c r="P7693" s="4"/>
      <c r="Q7693" s="214"/>
    </row>
    <row r="7694" spans="1:17">
      <c r="A7694" s="175"/>
      <c r="B7694" s="175"/>
      <c r="P7694" s="4"/>
      <c r="Q7694" s="214"/>
    </row>
    <row r="7695" spans="1:17">
      <c r="A7695" s="175"/>
      <c r="B7695" s="175"/>
      <c r="P7695" s="4"/>
      <c r="Q7695" s="214"/>
    </row>
    <row r="7696" spans="1:17">
      <c r="A7696" s="175"/>
      <c r="B7696" s="175"/>
      <c r="P7696" s="4"/>
      <c r="Q7696" s="214"/>
    </row>
    <row r="7697" spans="1:17">
      <c r="A7697" s="175"/>
      <c r="B7697" s="175"/>
      <c r="P7697" s="4"/>
      <c r="Q7697" s="214"/>
    </row>
    <row r="7698" spans="1:17">
      <c r="A7698" s="175"/>
      <c r="B7698" s="175"/>
      <c r="P7698" s="4"/>
      <c r="Q7698" s="214"/>
    </row>
    <row r="7699" spans="1:17">
      <c r="A7699" s="175"/>
      <c r="B7699" s="175"/>
      <c r="P7699" s="4"/>
      <c r="Q7699" s="214"/>
    </row>
    <row r="7700" spans="1:17">
      <c r="A7700" s="175"/>
      <c r="B7700" s="175"/>
      <c r="P7700" s="4"/>
      <c r="Q7700" s="214"/>
    </row>
    <row r="7701" spans="1:17">
      <c r="A7701" s="175"/>
      <c r="B7701" s="175"/>
      <c r="P7701" s="4"/>
      <c r="Q7701" s="214"/>
    </row>
    <row r="7702" spans="1:17">
      <c r="A7702" s="175"/>
      <c r="B7702" s="175"/>
      <c r="P7702" s="4"/>
      <c r="Q7702" s="214"/>
    </row>
    <row r="7703" spans="1:17">
      <c r="A7703" s="175"/>
      <c r="B7703" s="175"/>
      <c r="P7703" s="4"/>
      <c r="Q7703" s="214"/>
    </row>
    <row r="7704" spans="1:17">
      <c r="A7704" s="175"/>
      <c r="B7704" s="175"/>
      <c r="P7704" s="4"/>
      <c r="Q7704" s="214"/>
    </row>
    <row r="7705" spans="1:17">
      <c r="A7705" s="175"/>
      <c r="B7705" s="175"/>
      <c r="P7705" s="4"/>
      <c r="Q7705" s="214"/>
    </row>
    <row r="7706" spans="1:17">
      <c r="A7706" s="175"/>
      <c r="B7706" s="175"/>
      <c r="P7706" s="4"/>
      <c r="Q7706" s="214"/>
    </row>
    <row r="7707" spans="1:17">
      <c r="A7707" s="175"/>
      <c r="B7707" s="175"/>
      <c r="P7707" s="4"/>
      <c r="Q7707" s="214"/>
    </row>
    <row r="7708" spans="1:17">
      <c r="A7708" s="175"/>
      <c r="B7708" s="175"/>
      <c r="P7708" s="4"/>
      <c r="Q7708" s="214"/>
    </row>
    <row r="7709" spans="1:17">
      <c r="A7709" s="175"/>
      <c r="B7709" s="175"/>
      <c r="P7709" s="4"/>
      <c r="Q7709" s="214"/>
    </row>
    <row r="7710" spans="1:17">
      <c r="A7710" s="175"/>
      <c r="B7710" s="175"/>
      <c r="P7710" s="4"/>
      <c r="Q7710" s="214"/>
    </row>
    <row r="7711" spans="1:17">
      <c r="A7711" s="175"/>
      <c r="B7711" s="175"/>
      <c r="P7711" s="4"/>
      <c r="Q7711" s="214"/>
    </row>
    <row r="7712" spans="1:17">
      <c r="A7712" s="175"/>
      <c r="B7712" s="175"/>
      <c r="P7712" s="4"/>
      <c r="Q7712" s="214"/>
    </row>
    <row r="7713" spans="1:17">
      <c r="A7713" s="175"/>
      <c r="B7713" s="175"/>
      <c r="P7713" s="4"/>
      <c r="Q7713" s="214"/>
    </row>
    <row r="7714" spans="1:17">
      <c r="A7714" s="175"/>
      <c r="B7714" s="175"/>
      <c r="P7714" s="4"/>
      <c r="Q7714" s="214"/>
    </row>
    <row r="7715" spans="1:17">
      <c r="A7715" s="175"/>
      <c r="B7715" s="175"/>
      <c r="P7715" s="4"/>
      <c r="Q7715" s="214"/>
    </row>
    <row r="7716" spans="1:17">
      <c r="A7716" s="175"/>
      <c r="B7716" s="175"/>
      <c r="P7716" s="4"/>
      <c r="Q7716" s="214"/>
    </row>
    <row r="7717" spans="1:17">
      <c r="A7717" s="175"/>
      <c r="B7717" s="175"/>
      <c r="P7717" s="4"/>
      <c r="Q7717" s="214"/>
    </row>
    <row r="7718" spans="1:17">
      <c r="A7718" s="175"/>
      <c r="B7718" s="175"/>
      <c r="P7718" s="4"/>
      <c r="Q7718" s="214"/>
    </row>
    <row r="7719" spans="1:17">
      <c r="A7719" s="175"/>
      <c r="B7719" s="175"/>
      <c r="P7719" s="4"/>
      <c r="Q7719" s="214"/>
    </row>
    <row r="7720" spans="1:17">
      <c r="A7720" s="175"/>
      <c r="B7720" s="175"/>
      <c r="P7720" s="4"/>
      <c r="Q7720" s="214"/>
    </row>
    <row r="7721" spans="1:17">
      <c r="A7721" s="175"/>
      <c r="B7721" s="175"/>
      <c r="P7721" s="4"/>
      <c r="Q7721" s="214"/>
    </row>
    <row r="7722" spans="1:17">
      <c r="A7722" s="175"/>
      <c r="B7722" s="175"/>
      <c r="P7722" s="4"/>
      <c r="Q7722" s="214"/>
    </row>
    <row r="7723" spans="1:17">
      <c r="A7723" s="175"/>
      <c r="B7723" s="175"/>
      <c r="P7723" s="4"/>
      <c r="Q7723" s="214"/>
    </row>
    <row r="7724" spans="1:17">
      <c r="A7724" s="175"/>
      <c r="B7724" s="175"/>
      <c r="P7724" s="4"/>
      <c r="Q7724" s="214"/>
    </row>
    <row r="7725" spans="1:17">
      <c r="A7725" s="175"/>
      <c r="B7725" s="175"/>
      <c r="P7725" s="4"/>
      <c r="Q7725" s="214"/>
    </row>
    <row r="7726" spans="1:17">
      <c r="A7726" s="175"/>
      <c r="B7726" s="175"/>
      <c r="P7726" s="4"/>
      <c r="Q7726" s="214"/>
    </row>
    <row r="7727" spans="1:17">
      <c r="A7727" s="175"/>
      <c r="B7727" s="175"/>
      <c r="P7727" s="4"/>
      <c r="Q7727" s="214"/>
    </row>
    <row r="7728" spans="1:17">
      <c r="A7728" s="175"/>
      <c r="B7728" s="175"/>
      <c r="P7728" s="4"/>
      <c r="Q7728" s="214"/>
    </row>
    <row r="7729" spans="1:17">
      <c r="A7729" s="175"/>
      <c r="B7729" s="175"/>
      <c r="P7729" s="4"/>
      <c r="Q7729" s="214"/>
    </row>
    <row r="7730" spans="1:17">
      <c r="A7730" s="175"/>
      <c r="B7730" s="175"/>
      <c r="P7730" s="4"/>
      <c r="Q7730" s="214"/>
    </row>
    <row r="7731" spans="1:17">
      <c r="A7731" s="175"/>
      <c r="B7731" s="175"/>
      <c r="P7731" s="4"/>
      <c r="Q7731" s="214"/>
    </row>
    <row r="7732" spans="1:17">
      <c r="A7732" s="175"/>
      <c r="B7732" s="175"/>
      <c r="P7732" s="4"/>
      <c r="Q7732" s="214"/>
    </row>
    <row r="7733" spans="1:17">
      <c r="A7733" s="175"/>
      <c r="B7733" s="175"/>
      <c r="P7733" s="4"/>
      <c r="Q7733" s="214"/>
    </row>
    <row r="7734" spans="1:17">
      <c r="A7734" s="175"/>
      <c r="B7734" s="175"/>
      <c r="P7734" s="4"/>
      <c r="Q7734" s="214"/>
    </row>
    <row r="7735" spans="1:17">
      <c r="A7735" s="175"/>
      <c r="B7735" s="175"/>
      <c r="P7735" s="4"/>
      <c r="Q7735" s="214"/>
    </row>
    <row r="7736" spans="1:17">
      <c r="A7736" s="175"/>
      <c r="B7736" s="175"/>
      <c r="P7736" s="4"/>
      <c r="Q7736" s="214"/>
    </row>
    <row r="7737" spans="1:17">
      <c r="A7737" s="175"/>
      <c r="B7737" s="175"/>
      <c r="P7737" s="4"/>
      <c r="Q7737" s="214"/>
    </row>
    <row r="7738" spans="1:17">
      <c r="A7738" s="175"/>
      <c r="B7738" s="175"/>
      <c r="P7738" s="4"/>
      <c r="Q7738" s="214"/>
    </row>
    <row r="7739" spans="1:17">
      <c r="A7739" s="175"/>
      <c r="B7739" s="175"/>
      <c r="P7739" s="4"/>
      <c r="Q7739" s="214"/>
    </row>
    <row r="7740" spans="1:17">
      <c r="A7740" s="175"/>
      <c r="B7740" s="175"/>
      <c r="P7740" s="4"/>
      <c r="Q7740" s="214"/>
    </row>
    <row r="7741" spans="1:17">
      <c r="A7741" s="175"/>
      <c r="B7741" s="175"/>
      <c r="P7741" s="4"/>
      <c r="Q7741" s="214"/>
    </row>
    <row r="7742" spans="1:17">
      <c r="A7742" s="175"/>
      <c r="B7742" s="175"/>
      <c r="P7742" s="4"/>
      <c r="Q7742" s="214"/>
    </row>
    <row r="7743" spans="1:17">
      <c r="A7743" s="175"/>
      <c r="B7743" s="175"/>
      <c r="P7743" s="4"/>
      <c r="Q7743" s="214"/>
    </row>
    <row r="7744" spans="1:17">
      <c r="A7744" s="175"/>
      <c r="B7744" s="175"/>
      <c r="P7744" s="4"/>
      <c r="Q7744" s="214"/>
    </row>
    <row r="7745" spans="1:17">
      <c r="A7745" s="175"/>
      <c r="B7745" s="175"/>
      <c r="P7745" s="4"/>
      <c r="Q7745" s="214"/>
    </row>
    <row r="7746" spans="1:17">
      <c r="A7746" s="175"/>
      <c r="B7746" s="175"/>
      <c r="P7746" s="4"/>
      <c r="Q7746" s="214"/>
    </row>
    <row r="7747" spans="1:17">
      <c r="A7747" s="175"/>
      <c r="B7747" s="175"/>
      <c r="P7747" s="4"/>
      <c r="Q7747" s="214"/>
    </row>
    <row r="7748" spans="1:17">
      <c r="A7748" s="175"/>
      <c r="B7748" s="175"/>
      <c r="P7748" s="4"/>
      <c r="Q7748" s="214"/>
    </row>
    <row r="7749" spans="1:17">
      <c r="A7749" s="175"/>
      <c r="B7749" s="175"/>
      <c r="P7749" s="4"/>
      <c r="Q7749" s="214"/>
    </row>
    <row r="7750" spans="1:17">
      <c r="A7750" s="175"/>
      <c r="B7750" s="175"/>
      <c r="P7750" s="4"/>
      <c r="Q7750" s="214"/>
    </row>
    <row r="7751" spans="1:17">
      <c r="A7751" s="175"/>
      <c r="B7751" s="175"/>
      <c r="P7751" s="4"/>
      <c r="Q7751" s="214"/>
    </row>
    <row r="7752" spans="1:17">
      <c r="A7752" s="175"/>
      <c r="B7752" s="175"/>
      <c r="P7752" s="4"/>
      <c r="Q7752" s="214"/>
    </row>
    <row r="7753" spans="1:17">
      <c r="A7753" s="175"/>
      <c r="B7753" s="175"/>
      <c r="P7753" s="4"/>
      <c r="Q7753" s="214"/>
    </row>
    <row r="7754" spans="1:17">
      <c r="A7754" s="175"/>
      <c r="B7754" s="175"/>
      <c r="P7754" s="4"/>
      <c r="Q7754" s="214"/>
    </row>
    <row r="7755" spans="1:17">
      <c r="A7755" s="175"/>
      <c r="B7755" s="175"/>
      <c r="P7755" s="4"/>
      <c r="Q7755" s="214"/>
    </row>
    <row r="7756" spans="1:17">
      <c r="A7756" s="175"/>
      <c r="B7756" s="175"/>
      <c r="P7756" s="4"/>
      <c r="Q7756" s="214"/>
    </row>
    <row r="7757" spans="1:17">
      <c r="A7757" s="175"/>
      <c r="B7757" s="175"/>
      <c r="P7757" s="4"/>
      <c r="Q7757" s="214"/>
    </row>
    <row r="7758" spans="1:17">
      <c r="A7758" s="175"/>
      <c r="B7758" s="175"/>
      <c r="P7758" s="4"/>
      <c r="Q7758" s="214"/>
    </row>
    <row r="7759" spans="1:17">
      <c r="A7759" s="175"/>
      <c r="B7759" s="175"/>
      <c r="P7759" s="4"/>
      <c r="Q7759" s="214"/>
    </row>
    <row r="7760" spans="1:17">
      <c r="A7760" s="175"/>
      <c r="B7760" s="175"/>
      <c r="P7760" s="4"/>
      <c r="Q7760" s="214"/>
    </row>
    <row r="7761" spans="1:17">
      <c r="A7761" s="175"/>
      <c r="B7761" s="175"/>
      <c r="P7761" s="4"/>
      <c r="Q7761" s="214"/>
    </row>
    <row r="7762" spans="1:17">
      <c r="A7762" s="175"/>
      <c r="B7762" s="175"/>
      <c r="P7762" s="4"/>
      <c r="Q7762" s="214"/>
    </row>
    <row r="7763" spans="1:17">
      <c r="A7763" s="175"/>
      <c r="B7763" s="175"/>
      <c r="P7763" s="4"/>
      <c r="Q7763" s="214"/>
    </row>
    <row r="7764" spans="1:17">
      <c r="A7764" s="175"/>
      <c r="B7764" s="175"/>
      <c r="P7764" s="4"/>
      <c r="Q7764" s="214"/>
    </row>
    <row r="7765" spans="1:17">
      <c r="A7765" s="175"/>
      <c r="B7765" s="175"/>
      <c r="P7765" s="4"/>
      <c r="Q7765" s="214"/>
    </row>
    <row r="7766" spans="1:17">
      <c r="A7766" s="175"/>
      <c r="B7766" s="175"/>
      <c r="P7766" s="4"/>
      <c r="Q7766" s="214"/>
    </row>
    <row r="7767" spans="1:17">
      <c r="A7767" s="175"/>
      <c r="B7767" s="175"/>
      <c r="P7767" s="4"/>
      <c r="Q7767" s="214"/>
    </row>
    <row r="7768" spans="1:17">
      <c r="A7768" s="175"/>
      <c r="B7768" s="175"/>
      <c r="P7768" s="4"/>
      <c r="Q7768" s="214"/>
    </row>
    <row r="7769" spans="1:17">
      <c r="A7769" s="175"/>
      <c r="B7769" s="175"/>
      <c r="P7769" s="4"/>
      <c r="Q7769" s="214"/>
    </row>
    <row r="7770" spans="1:17">
      <c r="A7770" s="175"/>
      <c r="B7770" s="175"/>
      <c r="P7770" s="4"/>
      <c r="Q7770" s="214"/>
    </row>
    <row r="7771" spans="1:17">
      <c r="A7771" s="175"/>
      <c r="B7771" s="175"/>
      <c r="P7771" s="4"/>
      <c r="Q7771" s="214"/>
    </row>
    <row r="7772" spans="1:17">
      <c r="A7772" s="175"/>
      <c r="B7772" s="175"/>
      <c r="P7772" s="4"/>
      <c r="Q7772" s="214"/>
    </row>
    <row r="7773" spans="1:17">
      <c r="A7773" s="175"/>
      <c r="B7773" s="175"/>
      <c r="P7773" s="4"/>
      <c r="Q7773" s="214"/>
    </row>
    <row r="7774" spans="1:17">
      <c r="A7774" s="175"/>
      <c r="B7774" s="175"/>
      <c r="P7774" s="4"/>
      <c r="Q7774" s="214"/>
    </row>
    <row r="7775" spans="1:17">
      <c r="A7775" s="175"/>
      <c r="B7775" s="175"/>
      <c r="P7775" s="4"/>
      <c r="Q7775" s="214"/>
    </row>
    <row r="7776" spans="1:17">
      <c r="A7776" s="175"/>
      <c r="B7776" s="175"/>
      <c r="P7776" s="4"/>
      <c r="Q7776" s="214"/>
    </row>
    <row r="7777" spans="1:17">
      <c r="A7777" s="175"/>
      <c r="B7777" s="175"/>
      <c r="P7777" s="4"/>
      <c r="Q7777" s="214"/>
    </row>
    <row r="7778" spans="1:17">
      <c r="A7778" s="175"/>
      <c r="B7778" s="175"/>
      <c r="P7778" s="4"/>
      <c r="Q7778" s="214"/>
    </row>
    <row r="7779" spans="1:17">
      <c r="A7779" s="175"/>
      <c r="B7779" s="175"/>
      <c r="P7779" s="4"/>
      <c r="Q7779" s="214"/>
    </row>
    <row r="7780" spans="1:17">
      <c r="A7780" s="175"/>
      <c r="B7780" s="175"/>
      <c r="P7780" s="4"/>
      <c r="Q7780" s="214"/>
    </row>
    <row r="7781" spans="1:17">
      <c r="A7781" s="175"/>
      <c r="B7781" s="175"/>
      <c r="P7781" s="4"/>
      <c r="Q7781" s="214"/>
    </row>
    <row r="7782" spans="1:17">
      <c r="A7782" s="175"/>
      <c r="B7782" s="175"/>
      <c r="P7782" s="4"/>
      <c r="Q7782" s="214"/>
    </row>
    <row r="7783" spans="1:17">
      <c r="A7783" s="175"/>
      <c r="B7783" s="175"/>
      <c r="P7783" s="4"/>
      <c r="Q7783" s="214"/>
    </row>
    <row r="7784" spans="1:17">
      <c r="A7784" s="175"/>
      <c r="B7784" s="175"/>
      <c r="P7784" s="4"/>
      <c r="Q7784" s="214"/>
    </row>
    <row r="7785" spans="1:17">
      <c r="A7785" s="175"/>
      <c r="B7785" s="175"/>
      <c r="P7785" s="4"/>
      <c r="Q7785" s="214"/>
    </row>
    <row r="7786" spans="1:17">
      <c r="A7786" s="175"/>
      <c r="B7786" s="175"/>
      <c r="P7786" s="4"/>
      <c r="Q7786" s="214"/>
    </row>
    <row r="7787" spans="1:17">
      <c r="A7787" s="175"/>
      <c r="B7787" s="175"/>
      <c r="P7787" s="4"/>
      <c r="Q7787" s="214"/>
    </row>
    <row r="7788" spans="1:17">
      <c r="A7788" s="175"/>
      <c r="B7788" s="175"/>
      <c r="P7788" s="4"/>
      <c r="Q7788" s="214"/>
    </row>
    <row r="7789" spans="1:17">
      <c r="A7789" s="175"/>
      <c r="B7789" s="175"/>
      <c r="P7789" s="4"/>
      <c r="Q7789" s="214"/>
    </row>
    <row r="7790" spans="1:17">
      <c r="A7790" s="175"/>
      <c r="B7790" s="175"/>
      <c r="P7790" s="4"/>
      <c r="Q7790" s="214"/>
    </row>
    <row r="7791" spans="1:17">
      <c r="A7791" s="175"/>
      <c r="B7791" s="175"/>
      <c r="P7791" s="4"/>
      <c r="Q7791" s="214"/>
    </row>
    <row r="7792" spans="1:17">
      <c r="A7792" s="175"/>
      <c r="B7792" s="175"/>
      <c r="P7792" s="4"/>
      <c r="Q7792" s="214"/>
    </row>
    <row r="7793" spans="1:17">
      <c r="A7793" s="175"/>
      <c r="B7793" s="175"/>
      <c r="P7793" s="4"/>
      <c r="Q7793" s="214"/>
    </row>
    <row r="7794" spans="1:17">
      <c r="A7794" s="175"/>
      <c r="B7794" s="175"/>
      <c r="P7794" s="4"/>
      <c r="Q7794" s="214"/>
    </row>
    <row r="7795" spans="1:17">
      <c r="A7795" s="175"/>
      <c r="B7795" s="175"/>
      <c r="P7795" s="4"/>
      <c r="Q7795" s="214"/>
    </row>
    <row r="7796" spans="1:17">
      <c r="A7796" s="175"/>
      <c r="B7796" s="175"/>
      <c r="P7796" s="4"/>
      <c r="Q7796" s="214"/>
    </row>
    <row r="7797" spans="1:17">
      <c r="A7797" s="175"/>
      <c r="B7797" s="175"/>
      <c r="P7797" s="4"/>
      <c r="Q7797" s="214"/>
    </row>
    <row r="7798" spans="1:17">
      <c r="A7798" s="175"/>
      <c r="B7798" s="175"/>
      <c r="P7798" s="4"/>
      <c r="Q7798" s="214"/>
    </row>
    <row r="7799" spans="1:17">
      <c r="A7799" s="175"/>
      <c r="B7799" s="175"/>
      <c r="P7799" s="4"/>
      <c r="Q7799" s="214"/>
    </row>
    <row r="7800" spans="1:17">
      <c r="A7800" s="175"/>
      <c r="B7800" s="175"/>
      <c r="P7800" s="4"/>
      <c r="Q7800" s="214"/>
    </row>
    <row r="7801" spans="1:17">
      <c r="A7801" s="175"/>
      <c r="B7801" s="175"/>
      <c r="P7801" s="4"/>
      <c r="Q7801" s="214"/>
    </row>
    <row r="7802" spans="1:17">
      <c r="A7802" s="175"/>
      <c r="B7802" s="175"/>
      <c r="P7802" s="4"/>
      <c r="Q7802" s="214"/>
    </row>
    <row r="7803" spans="1:17">
      <c r="A7803" s="175"/>
      <c r="B7803" s="175"/>
      <c r="P7803" s="4"/>
      <c r="Q7803" s="214"/>
    </row>
    <row r="7804" spans="1:17">
      <c r="A7804" s="175"/>
      <c r="B7804" s="175"/>
      <c r="P7804" s="4"/>
      <c r="Q7804" s="214"/>
    </row>
    <row r="7805" spans="1:17">
      <c r="A7805" s="175"/>
      <c r="B7805" s="175"/>
      <c r="P7805" s="4"/>
      <c r="Q7805" s="214"/>
    </row>
    <row r="7806" spans="1:17">
      <c r="A7806" s="175"/>
      <c r="B7806" s="175"/>
      <c r="P7806" s="4"/>
      <c r="Q7806" s="214"/>
    </row>
    <row r="7807" spans="1:17">
      <c r="A7807" s="175"/>
      <c r="B7807" s="175"/>
      <c r="P7807" s="4"/>
      <c r="Q7807" s="214"/>
    </row>
    <row r="7808" spans="1:17">
      <c r="A7808" s="175"/>
      <c r="B7808" s="175"/>
      <c r="P7808" s="4"/>
      <c r="Q7808" s="214"/>
    </row>
    <row r="7809" spans="1:17">
      <c r="A7809" s="175"/>
      <c r="B7809" s="175"/>
      <c r="P7809" s="4"/>
      <c r="Q7809" s="214"/>
    </row>
    <row r="7810" spans="1:17">
      <c r="A7810" s="175"/>
      <c r="B7810" s="175"/>
      <c r="P7810" s="4"/>
      <c r="Q7810" s="214"/>
    </row>
    <row r="7811" spans="1:17">
      <c r="A7811" s="175"/>
      <c r="B7811" s="175"/>
      <c r="P7811" s="4"/>
      <c r="Q7811" s="214"/>
    </row>
    <row r="7812" spans="1:17">
      <c r="A7812" s="175"/>
      <c r="B7812" s="175"/>
      <c r="P7812" s="4"/>
      <c r="Q7812" s="214"/>
    </row>
    <row r="7813" spans="1:17">
      <c r="A7813" s="175"/>
      <c r="B7813" s="175"/>
      <c r="P7813" s="4"/>
      <c r="Q7813" s="214"/>
    </row>
    <row r="7814" spans="1:17">
      <c r="A7814" s="175"/>
      <c r="B7814" s="175"/>
      <c r="P7814" s="4"/>
      <c r="Q7814" s="214"/>
    </row>
    <row r="7815" spans="1:17">
      <c r="A7815" s="175"/>
      <c r="B7815" s="175"/>
      <c r="P7815" s="4"/>
      <c r="Q7815" s="214"/>
    </row>
    <row r="7816" spans="1:17">
      <c r="A7816" s="175"/>
      <c r="B7816" s="175"/>
      <c r="P7816" s="4"/>
      <c r="Q7816" s="214"/>
    </row>
    <row r="7817" spans="1:17">
      <c r="A7817" s="175"/>
      <c r="B7817" s="175"/>
      <c r="P7817" s="4"/>
      <c r="Q7817" s="214"/>
    </row>
    <row r="7818" spans="1:17">
      <c r="A7818" s="175"/>
      <c r="B7818" s="175"/>
      <c r="P7818" s="4"/>
      <c r="Q7818" s="214"/>
    </row>
    <row r="7819" spans="1:17">
      <c r="A7819" s="175"/>
      <c r="B7819" s="175"/>
      <c r="P7819" s="4"/>
      <c r="Q7819" s="214"/>
    </row>
    <row r="7820" spans="1:17">
      <c r="A7820" s="175"/>
      <c r="B7820" s="175"/>
      <c r="P7820" s="4"/>
      <c r="Q7820" s="214"/>
    </row>
    <row r="7821" spans="1:17">
      <c r="A7821" s="175"/>
      <c r="B7821" s="175"/>
      <c r="P7821" s="4"/>
      <c r="Q7821" s="214"/>
    </row>
    <row r="7822" spans="1:17">
      <c r="A7822" s="175"/>
      <c r="B7822" s="175"/>
      <c r="P7822" s="4"/>
      <c r="Q7822" s="214"/>
    </row>
    <row r="7823" spans="1:17">
      <c r="A7823" s="175"/>
      <c r="B7823" s="175"/>
      <c r="P7823" s="4"/>
      <c r="Q7823" s="214"/>
    </row>
    <row r="7824" spans="1:17">
      <c r="A7824" s="175"/>
      <c r="B7824" s="175"/>
      <c r="P7824" s="4"/>
      <c r="Q7824" s="214"/>
    </row>
    <row r="7825" spans="1:17">
      <c r="A7825" s="175"/>
      <c r="B7825" s="175"/>
      <c r="P7825" s="4"/>
      <c r="Q7825" s="214"/>
    </row>
    <row r="7826" spans="1:17">
      <c r="A7826" s="175"/>
      <c r="B7826" s="175"/>
      <c r="P7826" s="4"/>
      <c r="Q7826" s="214"/>
    </row>
    <row r="7827" spans="1:17">
      <c r="A7827" s="175"/>
      <c r="B7827" s="175"/>
      <c r="P7827" s="4"/>
      <c r="Q7827" s="214"/>
    </row>
    <row r="7828" spans="1:17">
      <c r="A7828" s="175"/>
      <c r="B7828" s="175"/>
      <c r="P7828" s="4"/>
      <c r="Q7828" s="214"/>
    </row>
    <row r="7829" spans="1:17">
      <c r="A7829" s="175"/>
      <c r="B7829" s="175"/>
      <c r="P7829" s="4"/>
      <c r="Q7829" s="214"/>
    </row>
    <row r="7830" spans="1:17">
      <c r="A7830" s="175"/>
      <c r="B7830" s="175"/>
      <c r="P7830" s="4"/>
      <c r="Q7830" s="214"/>
    </row>
    <row r="7831" spans="1:17">
      <c r="A7831" s="175"/>
      <c r="B7831" s="175"/>
      <c r="P7831" s="4"/>
      <c r="Q7831" s="214"/>
    </row>
    <row r="7832" spans="1:17">
      <c r="A7832" s="175"/>
      <c r="B7832" s="175"/>
      <c r="P7832" s="4"/>
      <c r="Q7832" s="214"/>
    </row>
    <row r="7833" spans="1:17">
      <c r="A7833" s="175"/>
      <c r="B7833" s="175"/>
      <c r="P7833" s="4"/>
      <c r="Q7833" s="214"/>
    </row>
    <row r="7834" spans="1:17">
      <c r="A7834" s="175"/>
      <c r="B7834" s="175"/>
      <c r="P7834" s="4"/>
      <c r="Q7834" s="214"/>
    </row>
    <row r="7835" spans="1:17">
      <c r="A7835" s="175"/>
      <c r="B7835" s="175"/>
      <c r="P7835" s="4"/>
      <c r="Q7835" s="214"/>
    </row>
    <row r="7836" spans="1:17">
      <c r="A7836" s="175"/>
      <c r="B7836" s="175"/>
      <c r="P7836" s="4"/>
      <c r="Q7836" s="214"/>
    </row>
    <row r="7837" spans="1:17">
      <c r="A7837" s="175"/>
      <c r="B7837" s="175"/>
      <c r="P7837" s="4"/>
      <c r="Q7837" s="214"/>
    </row>
    <row r="7838" spans="1:17">
      <c r="A7838" s="175"/>
      <c r="B7838" s="175"/>
      <c r="P7838" s="4"/>
      <c r="Q7838" s="214"/>
    </row>
    <row r="7839" spans="1:17">
      <c r="A7839" s="175"/>
      <c r="B7839" s="175"/>
      <c r="P7839" s="4"/>
      <c r="Q7839" s="214"/>
    </row>
    <row r="7840" spans="1:17">
      <c r="A7840" s="175"/>
      <c r="B7840" s="175"/>
      <c r="P7840" s="4"/>
      <c r="Q7840" s="214"/>
    </row>
    <row r="7841" spans="1:17">
      <c r="A7841" s="175"/>
      <c r="B7841" s="175"/>
      <c r="P7841" s="4"/>
      <c r="Q7841" s="214"/>
    </row>
    <row r="7842" spans="1:17">
      <c r="A7842" s="175"/>
      <c r="B7842" s="175"/>
      <c r="P7842" s="4"/>
      <c r="Q7842" s="214"/>
    </row>
    <row r="7843" spans="1:17">
      <c r="A7843" s="175"/>
      <c r="B7843" s="175"/>
      <c r="P7843" s="4"/>
      <c r="Q7843" s="214"/>
    </row>
    <row r="7844" spans="1:17">
      <c r="A7844" s="175"/>
      <c r="B7844" s="175"/>
      <c r="P7844" s="4"/>
      <c r="Q7844" s="214"/>
    </row>
    <row r="7845" spans="1:17">
      <c r="A7845" s="175"/>
      <c r="B7845" s="175"/>
      <c r="P7845" s="4"/>
      <c r="Q7845" s="214"/>
    </row>
    <row r="7846" spans="1:17">
      <c r="A7846" s="175"/>
      <c r="B7846" s="175"/>
      <c r="P7846" s="4"/>
      <c r="Q7846" s="214"/>
    </row>
    <row r="7847" spans="1:17">
      <c r="A7847" s="175"/>
      <c r="B7847" s="175"/>
      <c r="P7847" s="4"/>
      <c r="Q7847" s="214"/>
    </row>
    <row r="7848" spans="1:17">
      <c r="A7848" s="175"/>
      <c r="B7848" s="175"/>
      <c r="P7848" s="4"/>
      <c r="Q7848" s="214"/>
    </row>
    <row r="7849" spans="1:17">
      <c r="A7849" s="175"/>
      <c r="B7849" s="175"/>
      <c r="P7849" s="4"/>
      <c r="Q7849" s="214"/>
    </row>
    <row r="7850" spans="1:17">
      <c r="A7850" s="175"/>
      <c r="B7850" s="175"/>
      <c r="P7850" s="4"/>
      <c r="Q7850" s="214"/>
    </row>
    <row r="7851" spans="1:17">
      <c r="A7851" s="175"/>
      <c r="B7851" s="175"/>
      <c r="P7851" s="4"/>
      <c r="Q7851" s="214"/>
    </row>
    <row r="7852" spans="1:17">
      <c r="A7852" s="175"/>
      <c r="B7852" s="175"/>
      <c r="P7852" s="4"/>
      <c r="Q7852" s="214"/>
    </row>
    <row r="7853" spans="1:17">
      <c r="A7853" s="175"/>
      <c r="B7853" s="175"/>
      <c r="P7853" s="4"/>
      <c r="Q7853" s="214"/>
    </row>
    <row r="7854" spans="1:17">
      <c r="A7854" s="175"/>
      <c r="B7854" s="175"/>
      <c r="P7854" s="4"/>
      <c r="Q7854" s="214"/>
    </row>
    <row r="7855" spans="1:17">
      <c r="A7855" s="175"/>
      <c r="B7855" s="175"/>
      <c r="P7855" s="4"/>
      <c r="Q7855" s="214"/>
    </row>
    <row r="7856" spans="1:17">
      <c r="A7856" s="175"/>
      <c r="B7856" s="175"/>
      <c r="P7856" s="4"/>
      <c r="Q7856" s="214"/>
    </row>
    <row r="7857" spans="1:17">
      <c r="A7857" s="175"/>
      <c r="B7857" s="175"/>
      <c r="P7857" s="4"/>
      <c r="Q7857" s="214"/>
    </row>
    <row r="7858" spans="1:17">
      <c r="A7858" s="175"/>
      <c r="B7858" s="175"/>
      <c r="P7858" s="4"/>
      <c r="Q7858" s="214"/>
    </row>
    <row r="7859" spans="1:17">
      <c r="A7859" s="175"/>
      <c r="B7859" s="175"/>
      <c r="P7859" s="4"/>
      <c r="Q7859" s="214"/>
    </row>
    <row r="7860" spans="1:17">
      <c r="A7860" s="175"/>
      <c r="B7860" s="175"/>
      <c r="P7860" s="4"/>
      <c r="Q7860" s="214"/>
    </row>
    <row r="7861" spans="1:17">
      <c r="A7861" s="175"/>
      <c r="B7861" s="175"/>
      <c r="P7861" s="4"/>
      <c r="Q7861" s="214"/>
    </row>
    <row r="7862" spans="1:17">
      <c r="A7862" s="175"/>
      <c r="B7862" s="175"/>
      <c r="P7862" s="4"/>
      <c r="Q7862" s="214"/>
    </row>
    <row r="7863" spans="1:17">
      <c r="A7863" s="175"/>
      <c r="B7863" s="175"/>
      <c r="P7863" s="4"/>
      <c r="Q7863" s="214"/>
    </row>
    <row r="7864" spans="1:17">
      <c r="A7864" s="175"/>
      <c r="B7864" s="175"/>
      <c r="P7864" s="4"/>
      <c r="Q7864" s="214"/>
    </row>
    <row r="7865" spans="1:17">
      <c r="A7865" s="175"/>
      <c r="B7865" s="175"/>
      <c r="P7865" s="4"/>
      <c r="Q7865" s="214"/>
    </row>
    <row r="7866" spans="1:17">
      <c r="A7866" s="175"/>
      <c r="B7866" s="175"/>
      <c r="P7866" s="4"/>
      <c r="Q7866" s="214"/>
    </row>
    <row r="7867" spans="1:17">
      <c r="A7867" s="175"/>
      <c r="B7867" s="175"/>
      <c r="P7867" s="4"/>
      <c r="Q7867" s="214"/>
    </row>
    <row r="7868" spans="1:17">
      <c r="A7868" s="175"/>
      <c r="B7868" s="175"/>
      <c r="P7868" s="4"/>
      <c r="Q7868" s="214"/>
    </row>
    <row r="7869" spans="1:17">
      <c r="A7869" s="175"/>
      <c r="B7869" s="175"/>
      <c r="P7869" s="4"/>
      <c r="Q7869" s="214"/>
    </row>
    <row r="7870" spans="1:17">
      <c r="A7870" s="175"/>
      <c r="B7870" s="175"/>
      <c r="P7870" s="4"/>
      <c r="Q7870" s="214"/>
    </row>
    <row r="7871" spans="1:17">
      <c r="A7871" s="175"/>
      <c r="B7871" s="175"/>
      <c r="P7871" s="4"/>
      <c r="Q7871" s="214"/>
    </row>
    <row r="7872" spans="1:17">
      <c r="A7872" s="175"/>
      <c r="B7872" s="175"/>
      <c r="P7872" s="4"/>
      <c r="Q7872" s="214"/>
    </row>
    <row r="7873" spans="1:17">
      <c r="A7873" s="175"/>
      <c r="B7873" s="175"/>
      <c r="P7873" s="4"/>
      <c r="Q7873" s="214"/>
    </row>
    <row r="7874" spans="1:17">
      <c r="A7874" s="175"/>
      <c r="B7874" s="175"/>
      <c r="P7874" s="4"/>
      <c r="Q7874" s="214"/>
    </row>
    <row r="7875" spans="1:17">
      <c r="A7875" s="175"/>
      <c r="B7875" s="175"/>
      <c r="P7875" s="4"/>
      <c r="Q7875" s="214"/>
    </row>
    <row r="7876" spans="1:17">
      <c r="A7876" s="175"/>
      <c r="B7876" s="175"/>
      <c r="P7876" s="4"/>
      <c r="Q7876" s="214"/>
    </row>
    <row r="7877" spans="1:17">
      <c r="A7877" s="175"/>
      <c r="B7877" s="175"/>
      <c r="P7877" s="4"/>
      <c r="Q7877" s="214"/>
    </row>
    <row r="7878" spans="1:17">
      <c r="A7878" s="175"/>
      <c r="B7878" s="175"/>
      <c r="P7878" s="4"/>
      <c r="Q7878" s="214"/>
    </row>
    <row r="7879" spans="1:17">
      <c r="A7879" s="175"/>
      <c r="B7879" s="175"/>
      <c r="P7879" s="4"/>
      <c r="Q7879" s="214"/>
    </row>
    <row r="7880" spans="1:17">
      <c r="A7880" s="175"/>
      <c r="B7880" s="175"/>
      <c r="P7880" s="4"/>
      <c r="Q7880" s="214"/>
    </row>
    <row r="7881" spans="1:17">
      <c r="A7881" s="175"/>
      <c r="B7881" s="175"/>
      <c r="P7881" s="4"/>
      <c r="Q7881" s="214"/>
    </row>
    <row r="7882" spans="1:17">
      <c r="A7882" s="175"/>
      <c r="B7882" s="175"/>
      <c r="P7882" s="4"/>
      <c r="Q7882" s="214"/>
    </row>
    <row r="7883" spans="1:17">
      <c r="A7883" s="175"/>
      <c r="B7883" s="175"/>
      <c r="P7883" s="4"/>
      <c r="Q7883" s="214"/>
    </row>
    <row r="7884" spans="1:17">
      <c r="A7884" s="175"/>
      <c r="B7884" s="175"/>
      <c r="P7884" s="4"/>
      <c r="Q7884" s="214"/>
    </row>
    <row r="7885" spans="1:17">
      <c r="A7885" s="175"/>
      <c r="B7885" s="175"/>
      <c r="P7885" s="4"/>
      <c r="Q7885" s="214"/>
    </row>
    <row r="7886" spans="1:17">
      <c r="A7886" s="175"/>
      <c r="B7886" s="175"/>
      <c r="P7886" s="4"/>
      <c r="Q7886" s="214"/>
    </row>
    <row r="7887" spans="1:17">
      <c r="A7887" s="175"/>
      <c r="B7887" s="175"/>
      <c r="P7887" s="4"/>
      <c r="Q7887" s="214"/>
    </row>
    <row r="7888" spans="1:17">
      <c r="A7888" s="175"/>
      <c r="B7888" s="175"/>
      <c r="P7888" s="4"/>
      <c r="Q7888" s="214"/>
    </row>
    <row r="7889" spans="1:17">
      <c r="A7889" s="175"/>
      <c r="B7889" s="175"/>
      <c r="P7889" s="4"/>
      <c r="Q7889" s="214"/>
    </row>
    <row r="7890" spans="1:17">
      <c r="A7890" s="175"/>
      <c r="B7890" s="175"/>
      <c r="P7890" s="4"/>
      <c r="Q7890" s="214"/>
    </row>
    <row r="7891" spans="1:17">
      <c r="A7891" s="175"/>
      <c r="B7891" s="175"/>
      <c r="P7891" s="4"/>
      <c r="Q7891" s="214"/>
    </row>
    <row r="7892" spans="1:17">
      <c r="A7892" s="175"/>
      <c r="B7892" s="175"/>
      <c r="P7892" s="4"/>
      <c r="Q7892" s="214"/>
    </row>
    <row r="7893" spans="1:17">
      <c r="A7893" s="175"/>
      <c r="B7893" s="175"/>
      <c r="P7893" s="4"/>
      <c r="Q7893" s="214"/>
    </row>
    <row r="7894" spans="1:17">
      <c r="A7894" s="175"/>
      <c r="B7894" s="175"/>
      <c r="P7894" s="4"/>
      <c r="Q7894" s="214"/>
    </row>
    <row r="7895" spans="1:17">
      <c r="A7895" s="175"/>
      <c r="B7895" s="175"/>
      <c r="P7895" s="4"/>
      <c r="Q7895" s="214"/>
    </row>
    <row r="7896" spans="1:17">
      <c r="A7896" s="175"/>
      <c r="B7896" s="175"/>
      <c r="P7896" s="4"/>
      <c r="Q7896" s="214"/>
    </row>
    <row r="7897" spans="1:17">
      <c r="A7897" s="175"/>
      <c r="B7897" s="175"/>
      <c r="P7897" s="4"/>
      <c r="Q7897" s="214"/>
    </row>
    <row r="7898" spans="1:17">
      <c r="A7898" s="175"/>
      <c r="B7898" s="175"/>
      <c r="P7898" s="4"/>
      <c r="Q7898" s="214"/>
    </row>
    <row r="7899" spans="1:17">
      <c r="A7899" s="175"/>
      <c r="B7899" s="175"/>
      <c r="P7899" s="4"/>
      <c r="Q7899" s="214"/>
    </row>
    <row r="7900" spans="1:17">
      <c r="A7900" s="175"/>
      <c r="B7900" s="175"/>
      <c r="P7900" s="4"/>
      <c r="Q7900" s="214"/>
    </row>
    <row r="7901" spans="1:17">
      <c r="A7901" s="175"/>
      <c r="B7901" s="175"/>
      <c r="P7901" s="4"/>
      <c r="Q7901" s="214"/>
    </row>
    <row r="7902" spans="1:17">
      <c r="A7902" s="175"/>
      <c r="B7902" s="175"/>
      <c r="P7902" s="4"/>
      <c r="Q7902" s="214"/>
    </row>
    <row r="7903" spans="1:17">
      <c r="A7903" s="175"/>
      <c r="B7903" s="175"/>
      <c r="P7903" s="4"/>
      <c r="Q7903" s="214"/>
    </row>
    <row r="7904" spans="1:17">
      <c r="A7904" s="175"/>
      <c r="B7904" s="175"/>
      <c r="P7904" s="4"/>
      <c r="Q7904" s="214"/>
    </row>
    <row r="7905" spans="1:17">
      <c r="A7905" s="175"/>
      <c r="B7905" s="175"/>
      <c r="P7905" s="4"/>
      <c r="Q7905" s="214"/>
    </row>
    <row r="7906" spans="1:17">
      <c r="A7906" s="175"/>
      <c r="B7906" s="175"/>
      <c r="P7906" s="4"/>
      <c r="Q7906" s="214"/>
    </row>
    <row r="7907" spans="1:17">
      <c r="A7907" s="175"/>
      <c r="B7907" s="175"/>
      <c r="P7907" s="4"/>
      <c r="Q7907" s="214"/>
    </row>
    <row r="7908" spans="1:17">
      <c r="A7908" s="175"/>
      <c r="B7908" s="175"/>
      <c r="P7908" s="4"/>
      <c r="Q7908" s="214"/>
    </row>
    <row r="7909" spans="1:17">
      <c r="A7909" s="175"/>
      <c r="B7909" s="175"/>
      <c r="P7909" s="4"/>
      <c r="Q7909" s="214"/>
    </row>
    <row r="7910" spans="1:17">
      <c r="A7910" s="175"/>
      <c r="B7910" s="175"/>
      <c r="P7910" s="4"/>
      <c r="Q7910" s="214"/>
    </row>
    <row r="7911" spans="1:17">
      <c r="A7911" s="175"/>
      <c r="B7911" s="175"/>
      <c r="P7911" s="4"/>
      <c r="Q7911" s="214"/>
    </row>
    <row r="7912" spans="1:17">
      <c r="A7912" s="175"/>
      <c r="B7912" s="175"/>
      <c r="P7912" s="4"/>
      <c r="Q7912" s="214"/>
    </row>
    <row r="7913" spans="1:17">
      <c r="A7913" s="175"/>
      <c r="B7913" s="175"/>
      <c r="P7913" s="4"/>
      <c r="Q7913" s="214"/>
    </row>
    <row r="7914" spans="1:17">
      <c r="A7914" s="175"/>
      <c r="B7914" s="175"/>
      <c r="P7914" s="4"/>
      <c r="Q7914" s="214"/>
    </row>
    <row r="7915" spans="1:17">
      <c r="A7915" s="175"/>
      <c r="B7915" s="175"/>
      <c r="P7915" s="4"/>
      <c r="Q7915" s="214"/>
    </row>
    <row r="7916" spans="1:17">
      <c r="A7916" s="175"/>
      <c r="B7916" s="175"/>
      <c r="P7916" s="4"/>
      <c r="Q7916" s="214"/>
    </row>
    <row r="7917" spans="1:17">
      <c r="A7917" s="175"/>
      <c r="B7917" s="175"/>
      <c r="P7917" s="4"/>
      <c r="Q7917" s="214"/>
    </row>
    <row r="7918" spans="1:17">
      <c r="A7918" s="175"/>
      <c r="B7918" s="175"/>
      <c r="P7918" s="4"/>
      <c r="Q7918" s="214"/>
    </row>
    <row r="7919" spans="1:17">
      <c r="A7919" s="175"/>
      <c r="B7919" s="175"/>
      <c r="P7919" s="4"/>
      <c r="Q7919" s="214"/>
    </row>
    <row r="7920" spans="1:17">
      <c r="A7920" s="175"/>
      <c r="B7920" s="175"/>
      <c r="P7920" s="4"/>
      <c r="Q7920" s="214"/>
    </row>
    <row r="7921" spans="1:17">
      <c r="A7921" s="175"/>
      <c r="B7921" s="175"/>
      <c r="P7921" s="4"/>
      <c r="Q7921" s="214"/>
    </row>
    <row r="7922" spans="1:17">
      <c r="A7922" s="175"/>
      <c r="B7922" s="175"/>
      <c r="P7922" s="4"/>
      <c r="Q7922" s="214"/>
    </row>
    <row r="7923" spans="1:17">
      <c r="A7923" s="175"/>
      <c r="B7923" s="175"/>
      <c r="P7923" s="4"/>
      <c r="Q7923" s="214"/>
    </row>
    <row r="7924" spans="1:17">
      <c r="A7924" s="175"/>
      <c r="B7924" s="175"/>
      <c r="P7924" s="4"/>
      <c r="Q7924" s="214"/>
    </row>
    <row r="7925" spans="1:17">
      <c r="A7925" s="175"/>
      <c r="B7925" s="175"/>
      <c r="P7925" s="4"/>
      <c r="Q7925" s="214"/>
    </row>
    <row r="7926" spans="1:17">
      <c r="A7926" s="175"/>
      <c r="B7926" s="175"/>
      <c r="P7926" s="4"/>
      <c r="Q7926" s="214"/>
    </row>
    <row r="7927" spans="1:17">
      <c r="A7927" s="175"/>
      <c r="B7927" s="175"/>
      <c r="P7927" s="4"/>
      <c r="Q7927" s="214"/>
    </row>
    <row r="7928" spans="1:17">
      <c r="A7928" s="175"/>
      <c r="B7928" s="175"/>
      <c r="P7928" s="4"/>
      <c r="Q7928" s="214"/>
    </row>
    <row r="7929" spans="1:17">
      <c r="A7929" s="175"/>
      <c r="B7929" s="175"/>
      <c r="P7929" s="4"/>
      <c r="Q7929" s="214"/>
    </row>
    <row r="7930" spans="1:17">
      <c r="A7930" s="175"/>
      <c r="B7930" s="175"/>
      <c r="P7930" s="4"/>
      <c r="Q7930" s="214"/>
    </row>
    <row r="7931" spans="1:17">
      <c r="A7931" s="175"/>
      <c r="B7931" s="175"/>
      <c r="P7931" s="4"/>
      <c r="Q7931" s="214"/>
    </row>
    <row r="7932" spans="1:17">
      <c r="A7932" s="175"/>
      <c r="B7932" s="175"/>
      <c r="P7932" s="4"/>
      <c r="Q7932" s="214"/>
    </row>
    <row r="7933" spans="1:17">
      <c r="A7933" s="175"/>
      <c r="B7933" s="175"/>
      <c r="P7933" s="4"/>
      <c r="Q7933" s="214"/>
    </row>
    <row r="7934" spans="1:17">
      <c r="A7934" s="175"/>
      <c r="B7934" s="175"/>
      <c r="P7934" s="4"/>
      <c r="Q7934" s="214"/>
    </row>
    <row r="7935" spans="1:17">
      <c r="A7935" s="175"/>
      <c r="B7935" s="175"/>
      <c r="P7935" s="4"/>
      <c r="Q7935" s="214"/>
    </row>
    <row r="7936" spans="1:17">
      <c r="A7936" s="175"/>
      <c r="B7936" s="175"/>
      <c r="P7936" s="4"/>
      <c r="Q7936" s="214"/>
    </row>
    <row r="7937" spans="1:17">
      <c r="A7937" s="175"/>
      <c r="B7937" s="175"/>
      <c r="P7937" s="4"/>
      <c r="Q7937" s="214"/>
    </row>
    <row r="7938" spans="1:17">
      <c r="A7938" s="175"/>
      <c r="B7938" s="175"/>
      <c r="P7938" s="4"/>
      <c r="Q7938" s="214"/>
    </row>
    <row r="7939" spans="1:17">
      <c r="A7939" s="175"/>
      <c r="B7939" s="175"/>
      <c r="P7939" s="4"/>
      <c r="Q7939" s="214"/>
    </row>
    <row r="7940" spans="1:17">
      <c r="A7940" s="175"/>
      <c r="B7940" s="175"/>
      <c r="P7940" s="4"/>
      <c r="Q7940" s="214"/>
    </row>
    <row r="7941" spans="1:17">
      <c r="A7941" s="175"/>
      <c r="B7941" s="175"/>
      <c r="P7941" s="4"/>
      <c r="Q7941" s="214"/>
    </row>
    <row r="7942" spans="1:17">
      <c r="A7942" s="175"/>
      <c r="B7942" s="175"/>
      <c r="P7942" s="4"/>
      <c r="Q7942" s="214"/>
    </row>
    <row r="7943" spans="1:17">
      <c r="A7943" s="175"/>
      <c r="B7943" s="175"/>
      <c r="P7943" s="4"/>
      <c r="Q7943" s="214"/>
    </row>
    <row r="7944" spans="1:17">
      <c r="A7944" s="175"/>
      <c r="B7944" s="175"/>
      <c r="P7944" s="4"/>
      <c r="Q7944" s="214"/>
    </row>
    <row r="7945" spans="1:17">
      <c r="A7945" s="175"/>
      <c r="B7945" s="175"/>
      <c r="P7945" s="4"/>
      <c r="Q7945" s="214"/>
    </row>
    <row r="7946" spans="1:17">
      <c r="A7946" s="175"/>
      <c r="B7946" s="175"/>
      <c r="P7946" s="4"/>
      <c r="Q7946" s="214"/>
    </row>
    <row r="7947" spans="1:17">
      <c r="A7947" s="175"/>
      <c r="B7947" s="175"/>
      <c r="P7947" s="4"/>
      <c r="Q7947" s="214"/>
    </row>
    <row r="7948" spans="1:17">
      <c r="A7948" s="175"/>
      <c r="B7948" s="175"/>
      <c r="P7948" s="4"/>
      <c r="Q7948" s="214"/>
    </row>
    <row r="7949" spans="1:17">
      <c r="A7949" s="175"/>
      <c r="B7949" s="175"/>
      <c r="P7949" s="4"/>
      <c r="Q7949" s="214"/>
    </row>
    <row r="7950" spans="1:17">
      <c r="A7950" s="175"/>
      <c r="B7950" s="175"/>
      <c r="P7950" s="4"/>
      <c r="Q7950" s="214"/>
    </row>
    <row r="7951" spans="1:17">
      <c r="A7951" s="175"/>
      <c r="B7951" s="175"/>
      <c r="P7951" s="4"/>
      <c r="Q7951" s="214"/>
    </row>
    <row r="7952" spans="1:17">
      <c r="A7952" s="175"/>
      <c r="B7952" s="175"/>
      <c r="P7952" s="4"/>
      <c r="Q7952" s="214"/>
    </row>
    <row r="7953" spans="1:17">
      <c r="A7953" s="175"/>
      <c r="B7953" s="175"/>
      <c r="P7953" s="4"/>
      <c r="Q7953" s="214"/>
    </row>
    <row r="7954" spans="1:17">
      <c r="A7954" s="175"/>
      <c r="B7954" s="175"/>
      <c r="P7954" s="4"/>
      <c r="Q7954" s="214"/>
    </row>
    <row r="7955" spans="1:17">
      <c r="A7955" s="175"/>
      <c r="B7955" s="175"/>
      <c r="P7955" s="4"/>
      <c r="Q7955" s="214"/>
    </row>
    <row r="7956" spans="1:17">
      <c r="A7956" s="175"/>
      <c r="B7956" s="175"/>
      <c r="P7956" s="4"/>
      <c r="Q7956" s="214"/>
    </row>
    <row r="7957" spans="1:17">
      <c r="A7957" s="175"/>
      <c r="B7957" s="175"/>
      <c r="P7957" s="4"/>
      <c r="Q7957" s="214"/>
    </row>
    <row r="7958" spans="1:17">
      <c r="A7958" s="175"/>
      <c r="B7958" s="175"/>
      <c r="P7958" s="4"/>
      <c r="Q7958" s="214"/>
    </row>
    <row r="7959" spans="1:17">
      <c r="A7959" s="175"/>
      <c r="B7959" s="175"/>
      <c r="P7959" s="4"/>
      <c r="Q7959" s="214"/>
    </row>
    <row r="7960" spans="1:17">
      <c r="A7960" s="175"/>
      <c r="B7960" s="175"/>
      <c r="P7960" s="4"/>
      <c r="Q7960" s="214"/>
    </row>
    <row r="7961" spans="1:17">
      <c r="A7961" s="175"/>
      <c r="B7961" s="175"/>
      <c r="P7961" s="4"/>
      <c r="Q7961" s="214"/>
    </row>
    <row r="7962" spans="1:17">
      <c r="A7962" s="175"/>
      <c r="B7962" s="175"/>
      <c r="P7962" s="4"/>
      <c r="Q7962" s="214"/>
    </row>
    <row r="7963" spans="1:17">
      <c r="A7963" s="175"/>
      <c r="B7963" s="175"/>
      <c r="P7963" s="4"/>
      <c r="Q7963" s="214"/>
    </row>
    <row r="7964" spans="1:17">
      <c r="A7964" s="175"/>
      <c r="B7964" s="175"/>
      <c r="P7964" s="4"/>
      <c r="Q7964" s="214"/>
    </row>
    <row r="7965" spans="1:17">
      <c r="A7965" s="175"/>
      <c r="B7965" s="175"/>
      <c r="P7965" s="4"/>
      <c r="Q7965" s="214"/>
    </row>
    <row r="7966" spans="1:17">
      <c r="A7966" s="175"/>
      <c r="B7966" s="175"/>
      <c r="P7966" s="4"/>
      <c r="Q7966" s="214"/>
    </row>
    <row r="7967" spans="1:17">
      <c r="A7967" s="175"/>
      <c r="B7967" s="175"/>
      <c r="P7967" s="4"/>
      <c r="Q7967" s="214"/>
    </row>
    <row r="7968" spans="1:17">
      <c r="A7968" s="175"/>
      <c r="B7968" s="175"/>
      <c r="P7968" s="4"/>
      <c r="Q7968" s="214"/>
    </row>
    <row r="7969" spans="1:17">
      <c r="A7969" s="175"/>
      <c r="B7969" s="175"/>
      <c r="P7969" s="4"/>
      <c r="Q7969" s="214"/>
    </row>
    <row r="7970" spans="1:17">
      <c r="A7970" s="175"/>
      <c r="B7970" s="175"/>
      <c r="P7970" s="4"/>
      <c r="Q7970" s="214"/>
    </row>
    <row r="7971" spans="1:17">
      <c r="A7971" s="175"/>
      <c r="B7971" s="175"/>
      <c r="P7971" s="4"/>
      <c r="Q7971" s="214"/>
    </row>
    <row r="7972" spans="1:17">
      <c r="A7972" s="175"/>
      <c r="B7972" s="175"/>
      <c r="P7972" s="4"/>
      <c r="Q7972" s="214"/>
    </row>
    <row r="7973" spans="1:17">
      <c r="A7973" s="175"/>
      <c r="B7973" s="175"/>
      <c r="P7973" s="4"/>
      <c r="Q7973" s="214"/>
    </row>
    <row r="7974" spans="1:17">
      <c r="A7974" s="175"/>
      <c r="B7974" s="175"/>
      <c r="P7974" s="4"/>
      <c r="Q7974" s="214"/>
    </row>
    <row r="7975" spans="1:17">
      <c r="A7975" s="175"/>
      <c r="B7975" s="175"/>
      <c r="P7975" s="4"/>
      <c r="Q7975" s="214"/>
    </row>
    <row r="7976" spans="1:17">
      <c r="A7976" s="175"/>
      <c r="B7976" s="175"/>
      <c r="P7976" s="4"/>
      <c r="Q7976" s="214"/>
    </row>
    <row r="7977" spans="1:17">
      <c r="A7977" s="175"/>
      <c r="B7977" s="175"/>
      <c r="P7977" s="4"/>
      <c r="Q7977" s="214"/>
    </row>
    <row r="7978" spans="1:17">
      <c r="A7978" s="175"/>
      <c r="B7978" s="175"/>
      <c r="P7978" s="4"/>
      <c r="Q7978" s="214"/>
    </row>
    <row r="7979" spans="1:17">
      <c r="A7979" s="175"/>
      <c r="B7979" s="175"/>
      <c r="P7979" s="4"/>
      <c r="Q7979" s="214"/>
    </row>
    <row r="7980" spans="1:17">
      <c r="A7980" s="175"/>
      <c r="B7980" s="175"/>
      <c r="P7980" s="4"/>
      <c r="Q7980" s="214"/>
    </row>
    <row r="7981" spans="1:17">
      <c r="A7981" s="175"/>
      <c r="B7981" s="175"/>
      <c r="P7981" s="4"/>
      <c r="Q7981" s="214"/>
    </row>
    <row r="7982" spans="1:17">
      <c r="A7982" s="175"/>
      <c r="B7982" s="175"/>
      <c r="P7982" s="4"/>
      <c r="Q7982" s="214"/>
    </row>
    <row r="7983" spans="1:17">
      <c r="A7983" s="175"/>
      <c r="B7983" s="175"/>
      <c r="P7983" s="4"/>
      <c r="Q7983" s="214"/>
    </row>
    <row r="7984" spans="1:17">
      <c r="A7984" s="175"/>
      <c r="B7984" s="175"/>
      <c r="P7984" s="4"/>
      <c r="Q7984" s="214"/>
    </row>
    <row r="7985" spans="1:17">
      <c r="A7985" s="175"/>
      <c r="B7985" s="175"/>
      <c r="P7985" s="4"/>
      <c r="Q7985" s="214"/>
    </row>
    <row r="7986" spans="1:17">
      <c r="A7986" s="175"/>
      <c r="B7986" s="175"/>
      <c r="P7986" s="4"/>
      <c r="Q7986" s="214"/>
    </row>
    <row r="7987" spans="1:17">
      <c r="A7987" s="175"/>
      <c r="B7987" s="175"/>
      <c r="P7987" s="4"/>
      <c r="Q7987" s="214"/>
    </row>
    <row r="7988" spans="1:17">
      <c r="A7988" s="175"/>
      <c r="B7988" s="175"/>
      <c r="P7988" s="4"/>
      <c r="Q7988" s="214"/>
    </row>
    <row r="7989" spans="1:17">
      <c r="A7989" s="175"/>
      <c r="B7989" s="175"/>
      <c r="P7989" s="4"/>
      <c r="Q7989" s="214"/>
    </row>
    <row r="7990" spans="1:17">
      <c r="A7990" s="175"/>
      <c r="B7990" s="175"/>
      <c r="P7990" s="4"/>
      <c r="Q7990" s="214"/>
    </row>
    <row r="7991" spans="1:17">
      <c r="A7991" s="175"/>
      <c r="B7991" s="175"/>
      <c r="P7991" s="4"/>
      <c r="Q7991" s="214"/>
    </row>
    <row r="7992" spans="1:17">
      <c r="A7992" s="175"/>
      <c r="B7992" s="175"/>
      <c r="P7992" s="4"/>
      <c r="Q7992" s="214"/>
    </row>
    <row r="7993" spans="1:17">
      <c r="A7993" s="175"/>
      <c r="B7993" s="175"/>
      <c r="P7993" s="4"/>
      <c r="Q7993" s="214"/>
    </row>
    <row r="7994" spans="1:17">
      <c r="A7994" s="175"/>
      <c r="B7994" s="175"/>
      <c r="P7994" s="4"/>
      <c r="Q7994" s="214"/>
    </row>
    <row r="7995" spans="1:17">
      <c r="A7995" s="175"/>
      <c r="B7995" s="175"/>
      <c r="P7995" s="4"/>
      <c r="Q7995" s="214"/>
    </row>
    <row r="7996" spans="1:17">
      <c r="A7996" s="175"/>
      <c r="B7996" s="175"/>
      <c r="P7996" s="4"/>
      <c r="Q7996" s="214"/>
    </row>
    <row r="7997" spans="1:17">
      <c r="A7997" s="175"/>
      <c r="B7997" s="175"/>
      <c r="P7997" s="4"/>
      <c r="Q7997" s="214"/>
    </row>
    <row r="7998" spans="1:17">
      <c r="A7998" s="175"/>
      <c r="B7998" s="175"/>
      <c r="P7998" s="4"/>
      <c r="Q7998" s="214"/>
    </row>
    <row r="7999" spans="1:17">
      <c r="A7999" s="175"/>
      <c r="B7999" s="175"/>
      <c r="P7999" s="4"/>
      <c r="Q7999" s="214"/>
    </row>
    <row r="8000" spans="1:17">
      <c r="A8000" s="175"/>
      <c r="B8000" s="175"/>
      <c r="P8000" s="4"/>
      <c r="Q8000" s="214"/>
    </row>
    <row r="8001" spans="1:17">
      <c r="A8001" s="175"/>
      <c r="B8001" s="175"/>
      <c r="P8001" s="4"/>
      <c r="Q8001" s="214"/>
    </row>
    <row r="8002" spans="1:17">
      <c r="A8002" s="175"/>
      <c r="B8002" s="175"/>
      <c r="P8002" s="4"/>
      <c r="Q8002" s="214"/>
    </row>
    <row r="8003" spans="1:17">
      <c r="A8003" s="175"/>
      <c r="B8003" s="175"/>
      <c r="P8003" s="4"/>
      <c r="Q8003" s="214"/>
    </row>
    <row r="8004" spans="1:17">
      <c r="A8004" s="175"/>
      <c r="B8004" s="175"/>
      <c r="P8004" s="4"/>
      <c r="Q8004" s="214"/>
    </row>
    <row r="8005" spans="1:17">
      <c r="A8005" s="175"/>
      <c r="B8005" s="175"/>
      <c r="P8005" s="4"/>
      <c r="Q8005" s="214"/>
    </row>
    <row r="8006" spans="1:17">
      <c r="A8006" s="175"/>
      <c r="B8006" s="175"/>
      <c r="P8006" s="4"/>
      <c r="Q8006" s="214"/>
    </row>
    <row r="8007" spans="1:17">
      <c r="A8007" s="175"/>
      <c r="B8007" s="175"/>
      <c r="P8007" s="4"/>
      <c r="Q8007" s="214"/>
    </row>
    <row r="8008" spans="1:17">
      <c r="A8008" s="175"/>
      <c r="B8008" s="175"/>
      <c r="P8008" s="4"/>
      <c r="Q8008" s="214"/>
    </row>
    <row r="8009" spans="1:17">
      <c r="A8009" s="175"/>
      <c r="B8009" s="175"/>
      <c r="P8009" s="4"/>
      <c r="Q8009" s="214"/>
    </row>
    <row r="8010" spans="1:17">
      <c r="A8010" s="175"/>
      <c r="B8010" s="175"/>
      <c r="P8010" s="4"/>
      <c r="Q8010" s="214"/>
    </row>
    <row r="8011" spans="1:17">
      <c r="A8011" s="175"/>
      <c r="B8011" s="175"/>
      <c r="P8011" s="4"/>
      <c r="Q8011" s="214"/>
    </row>
    <row r="8012" spans="1:17">
      <c r="A8012" s="175"/>
      <c r="B8012" s="175"/>
      <c r="P8012" s="4"/>
      <c r="Q8012" s="214"/>
    </row>
    <row r="8013" spans="1:17">
      <c r="A8013" s="175"/>
      <c r="B8013" s="175"/>
      <c r="P8013" s="4"/>
      <c r="Q8013" s="214"/>
    </row>
    <row r="8014" spans="1:17">
      <c r="A8014" s="175"/>
      <c r="B8014" s="175"/>
      <c r="P8014" s="4"/>
      <c r="Q8014" s="214"/>
    </row>
    <row r="8015" spans="1:17">
      <c r="A8015" s="175"/>
      <c r="B8015" s="175"/>
      <c r="P8015" s="4"/>
      <c r="Q8015" s="214"/>
    </row>
    <row r="8016" spans="1:17">
      <c r="A8016" s="175"/>
      <c r="B8016" s="175"/>
      <c r="P8016" s="4"/>
      <c r="Q8016" s="214"/>
    </row>
    <row r="8017" spans="1:17">
      <c r="A8017" s="175"/>
      <c r="B8017" s="175"/>
      <c r="P8017" s="4"/>
      <c r="Q8017" s="214"/>
    </row>
    <row r="8018" spans="1:17">
      <c r="A8018" s="175"/>
      <c r="B8018" s="175"/>
      <c r="P8018" s="4"/>
      <c r="Q8018" s="214"/>
    </row>
    <row r="8019" spans="1:17">
      <c r="A8019" s="175"/>
      <c r="B8019" s="175"/>
      <c r="P8019" s="4"/>
      <c r="Q8019" s="214"/>
    </row>
    <row r="8020" spans="1:17">
      <c r="A8020" s="175"/>
      <c r="B8020" s="175"/>
      <c r="P8020" s="4"/>
      <c r="Q8020" s="214"/>
    </row>
    <row r="8021" spans="1:17">
      <c r="A8021" s="175"/>
      <c r="B8021" s="175"/>
      <c r="P8021" s="4"/>
      <c r="Q8021" s="214"/>
    </row>
    <row r="8022" spans="1:17">
      <c r="A8022" s="175"/>
      <c r="B8022" s="175"/>
      <c r="P8022" s="4"/>
      <c r="Q8022" s="214"/>
    </row>
    <row r="8023" spans="1:17">
      <c r="A8023" s="175"/>
      <c r="B8023" s="175"/>
      <c r="P8023" s="4"/>
      <c r="Q8023" s="214"/>
    </row>
    <row r="8024" spans="1:17">
      <c r="A8024" s="175"/>
      <c r="B8024" s="175"/>
      <c r="P8024" s="4"/>
      <c r="Q8024" s="214"/>
    </row>
    <row r="8025" spans="1:17">
      <c r="A8025" s="175"/>
      <c r="B8025" s="175"/>
      <c r="P8025" s="4"/>
      <c r="Q8025" s="214"/>
    </row>
    <row r="8026" spans="1:17">
      <c r="A8026" s="175"/>
      <c r="B8026" s="175"/>
      <c r="P8026" s="4"/>
      <c r="Q8026" s="214"/>
    </row>
    <row r="8027" spans="1:17">
      <c r="A8027" s="175"/>
      <c r="B8027" s="175"/>
      <c r="P8027" s="4"/>
      <c r="Q8027" s="214"/>
    </row>
    <row r="8028" spans="1:17">
      <c r="A8028" s="175"/>
      <c r="B8028" s="175"/>
      <c r="P8028" s="4"/>
      <c r="Q8028" s="214"/>
    </row>
    <row r="8029" spans="1:17">
      <c r="A8029" s="175"/>
      <c r="B8029" s="175"/>
      <c r="P8029" s="4"/>
      <c r="Q8029" s="214"/>
    </row>
    <row r="8030" spans="1:17">
      <c r="A8030" s="175"/>
      <c r="B8030" s="175"/>
      <c r="P8030" s="4"/>
      <c r="Q8030" s="214"/>
    </row>
    <row r="8031" spans="1:17">
      <c r="A8031" s="175"/>
      <c r="B8031" s="175"/>
      <c r="P8031" s="4"/>
      <c r="Q8031" s="214"/>
    </row>
    <row r="8032" spans="1:17">
      <c r="A8032" s="175"/>
      <c r="B8032" s="175"/>
      <c r="P8032" s="4"/>
      <c r="Q8032" s="214"/>
    </row>
    <row r="8033" spans="1:17">
      <c r="A8033" s="175"/>
      <c r="B8033" s="175"/>
      <c r="P8033" s="4"/>
      <c r="Q8033" s="214"/>
    </row>
    <row r="8034" spans="1:17">
      <c r="A8034" s="175"/>
      <c r="B8034" s="175"/>
      <c r="P8034" s="4"/>
      <c r="Q8034" s="214"/>
    </row>
    <row r="8035" spans="1:17">
      <c r="A8035" s="175"/>
      <c r="B8035" s="175"/>
      <c r="P8035" s="4"/>
      <c r="Q8035" s="214"/>
    </row>
    <row r="8036" spans="1:17">
      <c r="A8036" s="175"/>
      <c r="B8036" s="175"/>
      <c r="P8036" s="4"/>
      <c r="Q8036" s="214"/>
    </row>
    <row r="8037" spans="1:17">
      <c r="A8037" s="175"/>
      <c r="B8037" s="175"/>
      <c r="P8037" s="4"/>
      <c r="Q8037" s="214"/>
    </row>
    <row r="8038" spans="1:17">
      <c r="A8038" s="175"/>
      <c r="B8038" s="175"/>
      <c r="P8038" s="4"/>
      <c r="Q8038" s="214"/>
    </row>
    <row r="8039" spans="1:17">
      <c r="A8039" s="175"/>
      <c r="B8039" s="175"/>
      <c r="P8039" s="4"/>
      <c r="Q8039" s="214"/>
    </row>
    <row r="8040" spans="1:17">
      <c r="A8040" s="175"/>
      <c r="B8040" s="175"/>
      <c r="P8040" s="4"/>
      <c r="Q8040" s="214"/>
    </row>
    <row r="8041" spans="1:17">
      <c r="A8041" s="175"/>
      <c r="B8041" s="175"/>
      <c r="P8041" s="4"/>
      <c r="Q8041" s="214"/>
    </row>
    <row r="8042" spans="1:17">
      <c r="A8042" s="175"/>
      <c r="B8042" s="175"/>
      <c r="P8042" s="4"/>
      <c r="Q8042" s="214"/>
    </row>
    <row r="8043" spans="1:17">
      <c r="A8043" s="175"/>
      <c r="B8043" s="175"/>
      <c r="P8043" s="4"/>
      <c r="Q8043" s="214"/>
    </row>
    <row r="8044" spans="1:17">
      <c r="A8044" s="175"/>
      <c r="B8044" s="175"/>
      <c r="P8044" s="4"/>
      <c r="Q8044" s="214"/>
    </row>
    <row r="8045" spans="1:17">
      <c r="A8045" s="175"/>
      <c r="B8045" s="175"/>
      <c r="P8045" s="4"/>
      <c r="Q8045" s="214"/>
    </row>
    <row r="8046" spans="1:17">
      <c r="A8046" s="175"/>
      <c r="B8046" s="175"/>
      <c r="P8046" s="4"/>
      <c r="Q8046" s="214"/>
    </row>
    <row r="8047" spans="1:17">
      <c r="A8047" s="175"/>
      <c r="B8047" s="175"/>
      <c r="P8047" s="4"/>
      <c r="Q8047" s="214"/>
    </row>
    <row r="8048" spans="1:17">
      <c r="A8048" s="175"/>
      <c r="B8048" s="175"/>
      <c r="P8048" s="4"/>
      <c r="Q8048" s="214"/>
    </row>
    <row r="8049" spans="1:17">
      <c r="A8049" s="175"/>
      <c r="B8049" s="175"/>
      <c r="P8049" s="4"/>
      <c r="Q8049" s="214"/>
    </row>
    <row r="8050" spans="1:17">
      <c r="A8050" s="175"/>
      <c r="B8050" s="175"/>
      <c r="P8050" s="4"/>
      <c r="Q8050" s="214"/>
    </row>
    <row r="8051" spans="1:17">
      <c r="A8051" s="175"/>
      <c r="B8051" s="175"/>
      <c r="P8051" s="4"/>
      <c r="Q8051" s="214"/>
    </row>
    <row r="8052" spans="1:17">
      <c r="A8052" s="175"/>
      <c r="B8052" s="175"/>
      <c r="P8052" s="4"/>
      <c r="Q8052" s="214"/>
    </row>
    <row r="8053" spans="1:17">
      <c r="A8053" s="175"/>
      <c r="B8053" s="175"/>
      <c r="P8053" s="4"/>
      <c r="Q8053" s="214"/>
    </row>
    <row r="8054" spans="1:17">
      <c r="A8054" s="175"/>
      <c r="B8054" s="175"/>
      <c r="P8054" s="4"/>
      <c r="Q8054" s="214"/>
    </row>
    <row r="8055" spans="1:17">
      <c r="A8055" s="175"/>
      <c r="B8055" s="175"/>
      <c r="P8055" s="4"/>
      <c r="Q8055" s="214"/>
    </row>
    <row r="8056" spans="1:17">
      <c r="A8056" s="175"/>
      <c r="B8056" s="175"/>
      <c r="P8056" s="4"/>
      <c r="Q8056" s="214"/>
    </row>
    <row r="8057" spans="1:17">
      <c r="A8057" s="175"/>
      <c r="B8057" s="175"/>
      <c r="P8057" s="4"/>
      <c r="Q8057" s="214"/>
    </row>
    <row r="8058" spans="1:17">
      <c r="A8058" s="175"/>
      <c r="B8058" s="175"/>
      <c r="P8058" s="4"/>
      <c r="Q8058" s="214"/>
    </row>
    <row r="8059" spans="1:17">
      <c r="A8059" s="175"/>
      <c r="B8059" s="175"/>
      <c r="P8059" s="4"/>
      <c r="Q8059" s="214"/>
    </row>
    <row r="8060" spans="1:17">
      <c r="A8060" s="175"/>
      <c r="B8060" s="175"/>
      <c r="P8060" s="4"/>
      <c r="Q8060" s="214"/>
    </row>
    <row r="8061" spans="1:17">
      <c r="A8061" s="175"/>
      <c r="B8061" s="175"/>
      <c r="P8061" s="4"/>
      <c r="Q8061" s="214"/>
    </row>
    <row r="8062" spans="1:17">
      <c r="A8062" s="175"/>
      <c r="B8062" s="175"/>
      <c r="P8062" s="4"/>
      <c r="Q8062" s="214"/>
    </row>
    <row r="8063" spans="1:17">
      <c r="A8063" s="175"/>
      <c r="B8063" s="175"/>
      <c r="P8063" s="4"/>
      <c r="Q8063" s="214"/>
    </row>
    <row r="8064" spans="1:17">
      <c r="A8064" s="175"/>
      <c r="B8064" s="175"/>
      <c r="P8064" s="4"/>
      <c r="Q8064" s="214"/>
    </row>
    <row r="8065" spans="1:17">
      <c r="A8065" s="175"/>
      <c r="B8065" s="175"/>
      <c r="P8065" s="4"/>
      <c r="Q8065" s="214"/>
    </row>
    <row r="8066" spans="1:17">
      <c r="A8066" s="175"/>
      <c r="B8066" s="175"/>
      <c r="P8066" s="4"/>
      <c r="Q8066" s="214"/>
    </row>
    <row r="8067" spans="1:17">
      <c r="A8067" s="175"/>
      <c r="B8067" s="175"/>
      <c r="P8067" s="4"/>
      <c r="Q8067" s="214"/>
    </row>
    <row r="8068" spans="1:17">
      <c r="A8068" s="175"/>
      <c r="B8068" s="175"/>
      <c r="P8068" s="4"/>
      <c r="Q8068" s="214"/>
    </row>
    <row r="8069" spans="1:17">
      <c r="A8069" s="175"/>
      <c r="B8069" s="175"/>
      <c r="P8069" s="4"/>
      <c r="Q8069" s="214"/>
    </row>
    <row r="8070" spans="1:17">
      <c r="A8070" s="175"/>
      <c r="B8070" s="175"/>
      <c r="P8070" s="4"/>
      <c r="Q8070" s="214"/>
    </row>
    <row r="8071" spans="1:17">
      <c r="A8071" s="175"/>
      <c r="B8071" s="175"/>
      <c r="P8071" s="4"/>
      <c r="Q8071" s="214"/>
    </row>
    <row r="8072" spans="1:17">
      <c r="A8072" s="175"/>
      <c r="B8072" s="175"/>
      <c r="P8072" s="4"/>
      <c r="Q8072" s="214"/>
    </row>
    <row r="8073" spans="1:17">
      <c r="A8073" s="175"/>
      <c r="B8073" s="175"/>
      <c r="P8073" s="4"/>
      <c r="Q8073" s="214"/>
    </row>
    <row r="8074" spans="1:17">
      <c r="A8074" s="175"/>
      <c r="B8074" s="175"/>
      <c r="P8074" s="4"/>
      <c r="Q8074" s="214"/>
    </row>
    <row r="8075" spans="1:17">
      <c r="A8075" s="175"/>
      <c r="B8075" s="175"/>
      <c r="P8075" s="4"/>
      <c r="Q8075" s="214"/>
    </row>
    <row r="8076" spans="1:17">
      <c r="A8076" s="175"/>
      <c r="B8076" s="175"/>
      <c r="P8076" s="4"/>
      <c r="Q8076" s="214"/>
    </row>
    <row r="8077" spans="1:17">
      <c r="A8077" s="175"/>
      <c r="B8077" s="175"/>
      <c r="P8077" s="4"/>
      <c r="Q8077" s="214"/>
    </row>
    <row r="8078" spans="1:17">
      <c r="A8078" s="175"/>
      <c r="B8078" s="175"/>
      <c r="P8078" s="4"/>
      <c r="Q8078" s="214"/>
    </row>
    <row r="8079" spans="1:17">
      <c r="A8079" s="175"/>
      <c r="B8079" s="175"/>
      <c r="P8079" s="4"/>
      <c r="Q8079" s="214"/>
    </row>
    <row r="8080" spans="1:17">
      <c r="A8080" s="175"/>
      <c r="B8080" s="175"/>
      <c r="P8080" s="4"/>
      <c r="Q8080" s="214"/>
    </row>
    <row r="8081" spans="1:17">
      <c r="A8081" s="175"/>
      <c r="B8081" s="175"/>
      <c r="P8081" s="4"/>
      <c r="Q8081" s="214"/>
    </row>
    <row r="8082" spans="1:17">
      <c r="A8082" s="175"/>
      <c r="B8082" s="175"/>
      <c r="P8082" s="4"/>
      <c r="Q8082" s="214"/>
    </row>
    <row r="8083" spans="1:17">
      <c r="A8083" s="175"/>
      <c r="B8083" s="175"/>
      <c r="P8083" s="4"/>
      <c r="Q8083" s="214"/>
    </row>
    <row r="8084" spans="1:17">
      <c r="A8084" s="175"/>
      <c r="B8084" s="175"/>
      <c r="P8084" s="4"/>
      <c r="Q8084" s="214"/>
    </row>
    <row r="8085" spans="1:17">
      <c r="A8085" s="175"/>
      <c r="B8085" s="175"/>
      <c r="P8085" s="4"/>
      <c r="Q8085" s="214"/>
    </row>
    <row r="8086" spans="1:17">
      <c r="A8086" s="175"/>
      <c r="B8086" s="175"/>
      <c r="P8086" s="4"/>
      <c r="Q8086" s="214"/>
    </row>
    <row r="8087" spans="1:17">
      <c r="A8087" s="175"/>
      <c r="B8087" s="175"/>
      <c r="P8087" s="4"/>
      <c r="Q8087" s="214"/>
    </row>
    <row r="8088" spans="1:17">
      <c r="A8088" s="175"/>
      <c r="B8088" s="175"/>
      <c r="P8088" s="4"/>
      <c r="Q8088" s="214"/>
    </row>
    <row r="8089" spans="1:17">
      <c r="A8089" s="175"/>
      <c r="B8089" s="175"/>
      <c r="P8089" s="4"/>
      <c r="Q8089" s="214"/>
    </row>
    <row r="8090" spans="1:17">
      <c r="A8090" s="175"/>
      <c r="B8090" s="175"/>
      <c r="P8090" s="4"/>
      <c r="Q8090" s="214"/>
    </row>
    <row r="8091" spans="1:17">
      <c r="A8091" s="175"/>
      <c r="B8091" s="175"/>
      <c r="P8091" s="4"/>
      <c r="Q8091" s="214"/>
    </row>
    <row r="8092" spans="1:17">
      <c r="A8092" s="175"/>
      <c r="B8092" s="175"/>
      <c r="P8092" s="4"/>
      <c r="Q8092" s="214"/>
    </row>
    <row r="8093" spans="1:17">
      <c r="A8093" s="175"/>
      <c r="B8093" s="175"/>
      <c r="P8093" s="4"/>
      <c r="Q8093" s="214"/>
    </row>
    <row r="8094" spans="1:17">
      <c r="A8094" s="175"/>
      <c r="B8094" s="175"/>
      <c r="P8094" s="4"/>
      <c r="Q8094" s="214"/>
    </row>
    <row r="8095" spans="1:17">
      <c r="A8095" s="175"/>
      <c r="B8095" s="175"/>
      <c r="P8095" s="4"/>
      <c r="Q8095" s="214"/>
    </row>
    <row r="8096" spans="1:17">
      <c r="A8096" s="175"/>
      <c r="B8096" s="175"/>
      <c r="P8096" s="4"/>
      <c r="Q8096" s="214"/>
    </row>
    <row r="8097" spans="1:17">
      <c r="A8097" s="175"/>
      <c r="B8097" s="175"/>
      <c r="P8097" s="4"/>
      <c r="Q8097" s="214"/>
    </row>
    <row r="8098" spans="1:17">
      <c r="A8098" s="175"/>
      <c r="B8098" s="175"/>
      <c r="P8098" s="4"/>
      <c r="Q8098" s="214"/>
    </row>
    <row r="8099" spans="1:17">
      <c r="A8099" s="175"/>
      <c r="B8099" s="175"/>
      <c r="P8099" s="4"/>
      <c r="Q8099" s="214"/>
    </row>
    <row r="8100" spans="1:17">
      <c r="A8100" s="175"/>
      <c r="B8100" s="175"/>
      <c r="P8100" s="4"/>
      <c r="Q8100" s="214"/>
    </row>
    <row r="8101" spans="1:17">
      <c r="A8101" s="175"/>
      <c r="B8101" s="175"/>
      <c r="P8101" s="4"/>
      <c r="Q8101" s="214"/>
    </row>
    <row r="8102" spans="1:17">
      <c r="A8102" s="175"/>
      <c r="B8102" s="175"/>
      <c r="P8102" s="4"/>
      <c r="Q8102" s="214"/>
    </row>
    <row r="8103" spans="1:17">
      <c r="A8103" s="175"/>
      <c r="B8103" s="175"/>
      <c r="P8103" s="4"/>
      <c r="Q8103" s="214"/>
    </row>
    <row r="8104" spans="1:17">
      <c r="A8104" s="175"/>
      <c r="B8104" s="175"/>
      <c r="P8104" s="4"/>
      <c r="Q8104" s="214"/>
    </row>
    <row r="8105" spans="1:17">
      <c r="A8105" s="175"/>
      <c r="B8105" s="175"/>
      <c r="P8105" s="4"/>
      <c r="Q8105" s="214"/>
    </row>
    <row r="8106" spans="1:17">
      <c r="A8106" s="175"/>
      <c r="B8106" s="175"/>
      <c r="P8106" s="4"/>
      <c r="Q8106" s="214"/>
    </row>
    <row r="8107" spans="1:17">
      <c r="A8107" s="175"/>
      <c r="B8107" s="175"/>
      <c r="P8107" s="4"/>
      <c r="Q8107" s="214"/>
    </row>
    <row r="8108" spans="1:17">
      <c r="A8108" s="175"/>
      <c r="B8108" s="175"/>
      <c r="P8108" s="4"/>
      <c r="Q8108" s="214"/>
    </row>
    <row r="8109" spans="1:17">
      <c r="A8109" s="175"/>
      <c r="B8109" s="175"/>
      <c r="P8109" s="4"/>
      <c r="Q8109" s="214"/>
    </row>
    <row r="8110" spans="1:17">
      <c r="A8110" s="175"/>
      <c r="B8110" s="175"/>
      <c r="P8110" s="4"/>
      <c r="Q8110" s="214"/>
    </row>
    <row r="8111" spans="1:17">
      <c r="A8111" s="175"/>
      <c r="B8111" s="175"/>
      <c r="P8111" s="4"/>
      <c r="Q8111" s="214"/>
    </row>
    <row r="8112" spans="1:17">
      <c r="A8112" s="175"/>
      <c r="B8112" s="175"/>
      <c r="P8112" s="4"/>
      <c r="Q8112" s="214"/>
    </row>
    <row r="8113" spans="1:17">
      <c r="A8113" s="175"/>
      <c r="B8113" s="175"/>
      <c r="P8113" s="4"/>
      <c r="Q8113" s="214"/>
    </row>
    <row r="8114" spans="1:17">
      <c r="A8114" s="175"/>
      <c r="B8114" s="175"/>
      <c r="P8114" s="4"/>
      <c r="Q8114" s="214"/>
    </row>
    <row r="8115" spans="1:17">
      <c r="A8115" s="175"/>
      <c r="B8115" s="175"/>
      <c r="P8115" s="4"/>
      <c r="Q8115" s="214"/>
    </row>
    <row r="8116" spans="1:17">
      <c r="A8116" s="175"/>
      <c r="B8116" s="175"/>
      <c r="P8116" s="4"/>
      <c r="Q8116" s="214"/>
    </row>
    <row r="8117" spans="1:17">
      <c r="A8117" s="175"/>
      <c r="B8117" s="175"/>
      <c r="P8117" s="4"/>
      <c r="Q8117" s="214"/>
    </row>
    <row r="8118" spans="1:17">
      <c r="A8118" s="175"/>
      <c r="B8118" s="175"/>
      <c r="P8118" s="4"/>
      <c r="Q8118" s="214"/>
    </row>
    <row r="8119" spans="1:17">
      <c r="A8119" s="175"/>
      <c r="B8119" s="175"/>
      <c r="P8119" s="4"/>
      <c r="Q8119" s="214"/>
    </row>
    <row r="8120" spans="1:17">
      <c r="A8120" s="175"/>
      <c r="B8120" s="175"/>
      <c r="P8120" s="4"/>
      <c r="Q8120" s="214"/>
    </row>
    <row r="8121" spans="1:17">
      <c r="A8121" s="175"/>
      <c r="B8121" s="175"/>
      <c r="P8121" s="4"/>
      <c r="Q8121" s="214"/>
    </row>
    <row r="8122" spans="1:17">
      <c r="A8122" s="175"/>
      <c r="B8122" s="175"/>
      <c r="P8122" s="4"/>
      <c r="Q8122" s="214"/>
    </row>
    <row r="8123" spans="1:17">
      <c r="A8123" s="175"/>
      <c r="B8123" s="175"/>
      <c r="P8123" s="4"/>
      <c r="Q8123" s="214"/>
    </row>
    <row r="8124" spans="1:17">
      <c r="A8124" s="175"/>
      <c r="B8124" s="175"/>
      <c r="P8124" s="4"/>
      <c r="Q8124" s="214"/>
    </row>
    <row r="8125" spans="1:17">
      <c r="A8125" s="175"/>
      <c r="B8125" s="175"/>
      <c r="P8125" s="4"/>
      <c r="Q8125" s="214"/>
    </row>
    <row r="8126" spans="1:17">
      <c r="A8126" s="175"/>
      <c r="B8126" s="175"/>
      <c r="P8126" s="4"/>
      <c r="Q8126" s="214"/>
    </row>
    <row r="8127" spans="1:17">
      <c r="A8127" s="175"/>
      <c r="B8127" s="175"/>
      <c r="P8127" s="4"/>
      <c r="Q8127" s="214"/>
    </row>
    <row r="8128" spans="1:17">
      <c r="A8128" s="175"/>
      <c r="B8128" s="175"/>
      <c r="P8128" s="4"/>
      <c r="Q8128" s="214"/>
    </row>
    <row r="8129" spans="1:17">
      <c r="A8129" s="175"/>
      <c r="B8129" s="175"/>
      <c r="P8129" s="4"/>
      <c r="Q8129" s="214"/>
    </row>
    <row r="8130" spans="1:17">
      <c r="A8130" s="175"/>
      <c r="B8130" s="175"/>
      <c r="P8130" s="4"/>
      <c r="Q8130" s="214"/>
    </row>
    <row r="8131" spans="1:17">
      <c r="A8131" s="175"/>
      <c r="B8131" s="175"/>
      <c r="P8131" s="4"/>
      <c r="Q8131" s="214"/>
    </row>
    <row r="8132" spans="1:17">
      <c r="A8132" s="175"/>
      <c r="B8132" s="175"/>
      <c r="P8132" s="4"/>
      <c r="Q8132" s="214"/>
    </row>
    <row r="8133" spans="1:17">
      <c r="A8133" s="175"/>
      <c r="B8133" s="175"/>
      <c r="P8133" s="4"/>
      <c r="Q8133" s="214"/>
    </row>
    <row r="8134" spans="1:17">
      <c r="A8134" s="175"/>
      <c r="B8134" s="175"/>
      <c r="P8134" s="4"/>
      <c r="Q8134" s="214"/>
    </row>
    <row r="8135" spans="1:17">
      <c r="A8135" s="175"/>
      <c r="B8135" s="175"/>
      <c r="P8135" s="4"/>
      <c r="Q8135" s="214"/>
    </row>
    <row r="8136" spans="1:17">
      <c r="A8136" s="175"/>
      <c r="B8136" s="175"/>
      <c r="P8136" s="4"/>
      <c r="Q8136" s="214"/>
    </row>
    <row r="8137" spans="1:17">
      <c r="A8137" s="175"/>
      <c r="B8137" s="175"/>
      <c r="P8137" s="4"/>
      <c r="Q8137" s="214"/>
    </row>
    <row r="8138" spans="1:17">
      <c r="A8138" s="175"/>
      <c r="B8138" s="175"/>
      <c r="P8138" s="4"/>
      <c r="Q8138" s="214"/>
    </row>
    <row r="8139" spans="1:17">
      <c r="A8139" s="175"/>
      <c r="B8139" s="175"/>
      <c r="P8139" s="4"/>
      <c r="Q8139" s="214"/>
    </row>
    <row r="8140" spans="1:17">
      <c r="A8140" s="175"/>
      <c r="B8140" s="175"/>
      <c r="P8140" s="4"/>
      <c r="Q8140" s="214"/>
    </row>
    <row r="8141" spans="1:17">
      <c r="A8141" s="175"/>
      <c r="B8141" s="175"/>
      <c r="P8141" s="4"/>
      <c r="Q8141" s="214"/>
    </row>
    <row r="8142" spans="1:17">
      <c r="A8142" s="175"/>
      <c r="B8142" s="175"/>
      <c r="P8142" s="4"/>
      <c r="Q8142" s="214"/>
    </row>
    <row r="8143" spans="1:17">
      <c r="A8143" s="175"/>
      <c r="B8143" s="175"/>
      <c r="P8143" s="4"/>
      <c r="Q8143" s="214"/>
    </row>
    <row r="8144" spans="1:17">
      <c r="A8144" s="175"/>
      <c r="B8144" s="175"/>
      <c r="P8144" s="4"/>
      <c r="Q8144" s="214"/>
    </row>
    <row r="8145" spans="1:17">
      <c r="A8145" s="175"/>
      <c r="B8145" s="175"/>
      <c r="P8145" s="4"/>
      <c r="Q8145" s="214"/>
    </row>
    <row r="8146" spans="1:17">
      <c r="A8146" s="175"/>
      <c r="B8146" s="175"/>
      <c r="P8146" s="4"/>
      <c r="Q8146" s="214"/>
    </row>
    <row r="8147" spans="1:17">
      <c r="A8147" s="175"/>
      <c r="B8147" s="175"/>
      <c r="P8147" s="4"/>
      <c r="Q8147" s="214"/>
    </row>
    <row r="8148" spans="1:17">
      <c r="A8148" s="175"/>
      <c r="B8148" s="175"/>
      <c r="P8148" s="4"/>
      <c r="Q8148" s="214"/>
    </row>
    <row r="8149" spans="1:17">
      <c r="A8149" s="175"/>
      <c r="B8149" s="175"/>
      <c r="P8149" s="4"/>
      <c r="Q8149" s="214"/>
    </row>
    <row r="8150" spans="1:17">
      <c r="A8150" s="175"/>
      <c r="B8150" s="175"/>
      <c r="P8150" s="4"/>
      <c r="Q8150" s="214"/>
    </row>
    <row r="8151" spans="1:17">
      <c r="A8151" s="175"/>
      <c r="B8151" s="175"/>
      <c r="P8151" s="4"/>
      <c r="Q8151" s="214"/>
    </row>
    <row r="8152" spans="1:17">
      <c r="A8152" s="175"/>
      <c r="B8152" s="175"/>
      <c r="P8152" s="4"/>
      <c r="Q8152" s="214"/>
    </row>
    <row r="8153" spans="1:17">
      <c r="A8153" s="175"/>
      <c r="B8153" s="175"/>
      <c r="P8153" s="4"/>
      <c r="Q8153" s="214"/>
    </row>
    <row r="8154" spans="1:17">
      <c r="A8154" s="175"/>
      <c r="B8154" s="175"/>
      <c r="P8154" s="4"/>
      <c r="Q8154" s="214"/>
    </row>
    <row r="8155" spans="1:17">
      <c r="A8155" s="175"/>
      <c r="B8155" s="175"/>
      <c r="P8155" s="4"/>
      <c r="Q8155" s="214"/>
    </row>
    <row r="8156" spans="1:17">
      <c r="A8156" s="175"/>
      <c r="B8156" s="175"/>
      <c r="P8156" s="4"/>
      <c r="Q8156" s="214"/>
    </row>
    <row r="8157" spans="1:17">
      <c r="A8157" s="175"/>
      <c r="B8157" s="175"/>
      <c r="P8157" s="4"/>
      <c r="Q8157" s="214"/>
    </row>
    <row r="8158" spans="1:17">
      <c r="A8158" s="175"/>
      <c r="B8158" s="175"/>
      <c r="P8158" s="4"/>
      <c r="Q8158" s="214"/>
    </row>
    <row r="8159" spans="1:17">
      <c r="A8159" s="175"/>
      <c r="B8159" s="175"/>
      <c r="P8159" s="4"/>
      <c r="Q8159" s="214"/>
    </row>
    <row r="8160" spans="1:17">
      <c r="A8160" s="175"/>
      <c r="B8160" s="175"/>
      <c r="P8160" s="4"/>
      <c r="Q8160" s="214"/>
    </row>
    <row r="8161" spans="1:17">
      <c r="A8161" s="175"/>
      <c r="B8161" s="175"/>
      <c r="P8161" s="4"/>
      <c r="Q8161" s="214"/>
    </row>
    <row r="8162" spans="1:17">
      <c r="A8162" s="175"/>
      <c r="B8162" s="175"/>
      <c r="P8162" s="4"/>
      <c r="Q8162" s="214"/>
    </row>
    <row r="8163" spans="1:17">
      <c r="A8163" s="175"/>
      <c r="B8163" s="175"/>
      <c r="P8163" s="4"/>
      <c r="Q8163" s="214"/>
    </row>
    <row r="8164" spans="1:17">
      <c r="A8164" s="175"/>
      <c r="B8164" s="175"/>
      <c r="P8164" s="4"/>
      <c r="Q8164" s="214"/>
    </row>
    <row r="8165" spans="1:17">
      <c r="A8165" s="175"/>
      <c r="B8165" s="175"/>
      <c r="P8165" s="4"/>
      <c r="Q8165" s="214"/>
    </row>
    <row r="8166" spans="1:17">
      <c r="A8166" s="175"/>
      <c r="B8166" s="175"/>
      <c r="P8166" s="4"/>
      <c r="Q8166" s="214"/>
    </row>
    <row r="8167" spans="1:17">
      <c r="A8167" s="175"/>
      <c r="B8167" s="175"/>
      <c r="P8167" s="4"/>
      <c r="Q8167" s="214"/>
    </row>
    <row r="8168" spans="1:17">
      <c r="A8168" s="175"/>
      <c r="B8168" s="175"/>
      <c r="P8168" s="4"/>
      <c r="Q8168" s="214"/>
    </row>
    <row r="8169" spans="1:17">
      <c r="A8169" s="175"/>
      <c r="B8169" s="175"/>
      <c r="P8169" s="4"/>
      <c r="Q8169" s="214"/>
    </row>
    <row r="8170" spans="1:17">
      <c r="A8170" s="175"/>
      <c r="B8170" s="175"/>
      <c r="P8170" s="4"/>
      <c r="Q8170" s="214"/>
    </row>
    <row r="8171" spans="1:17">
      <c r="A8171" s="175"/>
      <c r="B8171" s="175"/>
      <c r="P8171" s="4"/>
      <c r="Q8171" s="214"/>
    </row>
    <row r="8172" spans="1:17">
      <c r="A8172" s="175"/>
      <c r="B8172" s="175"/>
      <c r="P8172" s="4"/>
      <c r="Q8172" s="214"/>
    </row>
    <row r="8173" spans="1:17">
      <c r="A8173" s="175"/>
      <c r="B8173" s="175"/>
      <c r="P8173" s="4"/>
      <c r="Q8173" s="214"/>
    </row>
    <row r="8174" spans="1:17">
      <c r="A8174" s="175"/>
      <c r="B8174" s="175"/>
      <c r="P8174" s="4"/>
      <c r="Q8174" s="214"/>
    </row>
    <row r="8175" spans="1:17">
      <c r="A8175" s="175"/>
      <c r="B8175" s="175"/>
      <c r="P8175" s="4"/>
      <c r="Q8175" s="214"/>
    </row>
    <row r="8176" spans="1:17">
      <c r="A8176" s="175"/>
      <c r="B8176" s="175"/>
      <c r="P8176" s="4"/>
      <c r="Q8176" s="214"/>
    </row>
    <row r="8177" spans="1:17">
      <c r="A8177" s="175"/>
      <c r="B8177" s="175"/>
      <c r="P8177" s="4"/>
      <c r="Q8177" s="214"/>
    </row>
    <row r="8178" spans="1:17">
      <c r="A8178" s="175"/>
      <c r="B8178" s="175"/>
      <c r="P8178" s="4"/>
      <c r="Q8178" s="214"/>
    </row>
    <row r="8179" spans="1:17">
      <c r="A8179" s="175"/>
      <c r="B8179" s="175"/>
      <c r="P8179" s="4"/>
      <c r="Q8179" s="214"/>
    </row>
    <row r="8180" spans="1:17">
      <c r="A8180" s="175"/>
      <c r="B8180" s="175"/>
      <c r="P8180" s="4"/>
      <c r="Q8180" s="214"/>
    </row>
    <row r="8181" spans="1:17">
      <c r="A8181" s="175"/>
      <c r="B8181" s="175"/>
      <c r="P8181" s="4"/>
      <c r="Q8181" s="214"/>
    </row>
    <row r="8182" spans="1:17">
      <c r="A8182" s="175"/>
      <c r="B8182" s="175"/>
      <c r="P8182" s="4"/>
      <c r="Q8182" s="214"/>
    </row>
    <row r="8183" spans="1:17">
      <c r="A8183" s="175"/>
      <c r="B8183" s="175"/>
      <c r="P8183" s="4"/>
      <c r="Q8183" s="214"/>
    </row>
    <row r="8184" spans="1:17">
      <c r="A8184" s="175"/>
      <c r="B8184" s="175"/>
      <c r="P8184" s="4"/>
      <c r="Q8184" s="214"/>
    </row>
    <row r="8185" spans="1:17">
      <c r="A8185" s="175"/>
      <c r="B8185" s="175"/>
      <c r="P8185" s="4"/>
      <c r="Q8185" s="214"/>
    </row>
    <row r="8186" spans="1:17">
      <c r="A8186" s="175"/>
      <c r="B8186" s="175"/>
      <c r="P8186" s="4"/>
      <c r="Q8186" s="214"/>
    </row>
    <row r="8187" spans="1:17">
      <c r="A8187" s="175"/>
      <c r="B8187" s="175"/>
      <c r="P8187" s="4"/>
      <c r="Q8187" s="214"/>
    </row>
    <row r="8188" spans="1:17">
      <c r="A8188" s="175"/>
      <c r="B8188" s="175"/>
      <c r="P8188" s="4"/>
      <c r="Q8188" s="214"/>
    </row>
    <row r="8189" spans="1:17">
      <c r="A8189" s="175"/>
      <c r="B8189" s="175"/>
      <c r="P8189" s="4"/>
      <c r="Q8189" s="214"/>
    </row>
    <row r="8190" spans="1:17">
      <c r="A8190" s="175"/>
      <c r="B8190" s="175"/>
      <c r="P8190" s="4"/>
      <c r="Q8190" s="214"/>
    </row>
    <row r="8191" spans="1:17">
      <c r="A8191" s="175"/>
      <c r="B8191" s="175"/>
      <c r="P8191" s="4"/>
      <c r="Q8191" s="214"/>
    </row>
    <row r="8192" spans="1:17">
      <c r="A8192" s="175"/>
      <c r="B8192" s="175"/>
      <c r="P8192" s="4"/>
      <c r="Q8192" s="214"/>
    </row>
    <row r="8193" spans="1:17">
      <c r="A8193" s="175"/>
      <c r="B8193" s="175"/>
      <c r="P8193" s="4"/>
      <c r="Q8193" s="214"/>
    </row>
    <row r="8194" spans="1:17">
      <c r="A8194" s="175"/>
      <c r="B8194" s="175"/>
      <c r="P8194" s="4"/>
      <c r="Q8194" s="214"/>
    </row>
    <row r="8195" spans="1:17">
      <c r="A8195" s="175"/>
      <c r="B8195" s="175"/>
      <c r="P8195" s="4"/>
      <c r="Q8195" s="214"/>
    </row>
    <row r="8196" spans="1:17">
      <c r="A8196" s="175"/>
      <c r="B8196" s="175"/>
      <c r="P8196" s="4"/>
      <c r="Q8196" s="214"/>
    </row>
    <row r="8197" spans="1:17">
      <c r="A8197" s="175"/>
      <c r="B8197" s="175"/>
      <c r="P8197" s="4"/>
      <c r="Q8197" s="214"/>
    </row>
    <row r="8198" spans="1:17">
      <c r="A8198" s="175"/>
      <c r="B8198" s="175"/>
      <c r="P8198" s="4"/>
      <c r="Q8198" s="214"/>
    </row>
    <row r="8199" spans="1:17">
      <c r="A8199" s="175"/>
      <c r="B8199" s="175"/>
      <c r="P8199" s="4"/>
      <c r="Q8199" s="214"/>
    </row>
    <row r="8200" spans="1:17">
      <c r="A8200" s="175"/>
      <c r="B8200" s="175"/>
      <c r="P8200" s="4"/>
      <c r="Q8200" s="214"/>
    </row>
    <row r="8201" spans="1:17">
      <c r="A8201" s="175"/>
      <c r="B8201" s="175"/>
      <c r="P8201" s="4"/>
      <c r="Q8201" s="214"/>
    </row>
    <row r="8202" spans="1:17">
      <c r="A8202" s="175"/>
      <c r="B8202" s="175"/>
      <c r="P8202" s="4"/>
      <c r="Q8202" s="214"/>
    </row>
    <row r="8203" spans="1:17">
      <c r="A8203" s="175"/>
      <c r="B8203" s="175"/>
      <c r="P8203" s="4"/>
      <c r="Q8203" s="214"/>
    </row>
    <row r="8204" spans="1:17">
      <c r="A8204" s="175"/>
      <c r="B8204" s="175"/>
      <c r="P8204" s="4"/>
      <c r="Q8204" s="214"/>
    </row>
    <row r="8205" spans="1:17">
      <c r="A8205" s="175"/>
      <c r="B8205" s="175"/>
      <c r="P8205" s="4"/>
      <c r="Q8205" s="214"/>
    </row>
    <row r="8206" spans="1:17">
      <c r="A8206" s="175"/>
      <c r="B8206" s="175"/>
      <c r="P8206" s="4"/>
      <c r="Q8206" s="214"/>
    </row>
    <row r="8207" spans="1:17">
      <c r="A8207" s="175"/>
      <c r="B8207" s="175"/>
      <c r="P8207" s="4"/>
      <c r="Q8207" s="214"/>
    </row>
    <row r="8208" spans="1:17">
      <c r="A8208" s="175"/>
      <c r="B8208" s="175"/>
      <c r="P8208" s="4"/>
      <c r="Q8208" s="214"/>
    </row>
    <row r="8209" spans="1:17">
      <c r="A8209" s="175"/>
      <c r="B8209" s="175"/>
      <c r="P8209" s="4"/>
      <c r="Q8209" s="214"/>
    </row>
    <row r="8210" spans="1:17">
      <c r="A8210" s="175"/>
      <c r="B8210" s="175"/>
      <c r="P8210" s="4"/>
      <c r="Q8210" s="214"/>
    </row>
    <row r="8211" spans="1:17">
      <c r="A8211" s="175"/>
      <c r="B8211" s="175"/>
      <c r="P8211" s="4"/>
      <c r="Q8211" s="214"/>
    </row>
    <row r="8212" spans="1:17">
      <c r="A8212" s="175"/>
      <c r="B8212" s="175"/>
      <c r="P8212" s="4"/>
      <c r="Q8212" s="214"/>
    </row>
    <row r="8213" spans="1:17">
      <c r="A8213" s="175"/>
      <c r="B8213" s="175"/>
      <c r="P8213" s="4"/>
      <c r="Q8213" s="214"/>
    </row>
    <row r="8214" spans="1:17">
      <c r="A8214" s="175"/>
      <c r="B8214" s="175"/>
      <c r="P8214" s="4"/>
      <c r="Q8214" s="214"/>
    </row>
    <row r="8215" spans="1:17">
      <c r="A8215" s="175"/>
      <c r="B8215" s="175"/>
      <c r="P8215" s="4"/>
      <c r="Q8215" s="214"/>
    </row>
    <row r="8216" spans="1:17">
      <c r="A8216" s="175"/>
      <c r="B8216" s="175"/>
      <c r="P8216" s="4"/>
      <c r="Q8216" s="214"/>
    </row>
    <row r="8217" spans="1:17">
      <c r="A8217" s="175"/>
      <c r="B8217" s="175"/>
      <c r="P8217" s="4"/>
      <c r="Q8217" s="214"/>
    </row>
    <row r="8218" spans="1:17">
      <c r="A8218" s="175"/>
      <c r="B8218" s="175"/>
      <c r="P8218" s="4"/>
      <c r="Q8218" s="214"/>
    </row>
    <row r="8219" spans="1:17">
      <c r="A8219" s="175"/>
      <c r="B8219" s="175"/>
      <c r="P8219" s="4"/>
      <c r="Q8219" s="214"/>
    </row>
    <row r="8220" spans="1:17">
      <c r="A8220" s="175"/>
      <c r="B8220" s="175"/>
      <c r="P8220" s="4"/>
      <c r="Q8220" s="214"/>
    </row>
    <row r="8221" spans="1:17">
      <c r="A8221" s="175"/>
      <c r="B8221" s="175"/>
      <c r="P8221" s="4"/>
      <c r="Q8221" s="214"/>
    </row>
    <row r="8222" spans="1:17">
      <c r="A8222" s="175"/>
      <c r="B8222" s="175"/>
      <c r="P8222" s="4"/>
      <c r="Q8222" s="214"/>
    </row>
    <row r="8223" spans="1:17">
      <c r="A8223" s="175"/>
      <c r="B8223" s="175"/>
      <c r="P8223" s="4"/>
      <c r="Q8223" s="214"/>
    </row>
    <row r="8224" spans="1:17">
      <c r="A8224" s="175"/>
      <c r="B8224" s="175"/>
      <c r="P8224" s="4"/>
      <c r="Q8224" s="214"/>
    </row>
    <row r="8225" spans="1:17">
      <c r="A8225" s="175"/>
      <c r="B8225" s="175"/>
      <c r="P8225" s="4"/>
      <c r="Q8225" s="214"/>
    </row>
    <row r="8226" spans="1:17">
      <c r="A8226" s="175"/>
      <c r="B8226" s="175"/>
      <c r="P8226" s="4"/>
      <c r="Q8226" s="214"/>
    </row>
    <row r="8227" spans="1:17">
      <c r="A8227" s="175"/>
      <c r="B8227" s="175"/>
      <c r="P8227" s="4"/>
      <c r="Q8227" s="214"/>
    </row>
    <row r="8228" spans="1:17">
      <c r="A8228" s="175"/>
      <c r="B8228" s="175"/>
      <c r="P8228" s="4"/>
      <c r="Q8228" s="214"/>
    </row>
    <row r="8229" spans="1:17">
      <c r="A8229" s="175"/>
      <c r="B8229" s="175"/>
      <c r="P8229" s="4"/>
      <c r="Q8229" s="214"/>
    </row>
    <row r="8230" spans="1:17">
      <c r="A8230" s="175"/>
      <c r="B8230" s="175"/>
      <c r="P8230" s="4"/>
      <c r="Q8230" s="214"/>
    </row>
    <row r="8231" spans="1:17">
      <c r="A8231" s="175"/>
      <c r="B8231" s="175"/>
      <c r="P8231" s="4"/>
      <c r="Q8231" s="214"/>
    </row>
    <row r="8232" spans="1:17">
      <c r="A8232" s="175"/>
      <c r="B8232" s="175"/>
      <c r="P8232" s="4"/>
      <c r="Q8232" s="214"/>
    </row>
    <row r="8233" spans="1:17">
      <c r="A8233" s="175"/>
      <c r="B8233" s="175"/>
      <c r="P8233" s="4"/>
      <c r="Q8233" s="214"/>
    </row>
    <row r="8234" spans="1:17">
      <c r="A8234" s="175"/>
      <c r="B8234" s="175"/>
      <c r="P8234" s="4"/>
      <c r="Q8234" s="214"/>
    </row>
    <row r="8235" spans="1:17">
      <c r="A8235" s="175"/>
      <c r="B8235" s="175"/>
      <c r="P8235" s="4"/>
      <c r="Q8235" s="214"/>
    </row>
    <row r="8236" spans="1:17">
      <c r="A8236" s="175"/>
      <c r="B8236" s="175"/>
      <c r="P8236" s="4"/>
      <c r="Q8236" s="214"/>
    </row>
    <row r="8237" spans="1:17">
      <c r="A8237" s="175"/>
      <c r="B8237" s="175"/>
      <c r="P8237" s="4"/>
      <c r="Q8237" s="214"/>
    </row>
    <row r="8238" spans="1:17">
      <c r="A8238" s="175"/>
      <c r="B8238" s="175"/>
      <c r="P8238" s="4"/>
      <c r="Q8238" s="214"/>
    </row>
    <row r="8239" spans="1:17">
      <c r="A8239" s="175"/>
      <c r="B8239" s="175"/>
      <c r="P8239" s="4"/>
      <c r="Q8239" s="214"/>
    </row>
    <row r="8240" spans="1:17">
      <c r="A8240" s="175"/>
      <c r="B8240" s="175"/>
      <c r="P8240" s="4"/>
      <c r="Q8240" s="214"/>
    </row>
    <row r="8241" spans="1:17">
      <c r="A8241" s="175"/>
      <c r="B8241" s="175"/>
      <c r="P8241" s="4"/>
      <c r="Q8241" s="214"/>
    </row>
    <row r="8242" spans="1:17">
      <c r="A8242" s="175"/>
      <c r="B8242" s="175"/>
      <c r="P8242" s="4"/>
      <c r="Q8242" s="214"/>
    </row>
    <row r="8243" spans="1:17">
      <c r="A8243" s="175"/>
      <c r="B8243" s="175"/>
      <c r="P8243" s="4"/>
      <c r="Q8243" s="214"/>
    </row>
    <row r="8244" spans="1:17">
      <c r="A8244" s="175"/>
      <c r="B8244" s="175"/>
      <c r="P8244" s="4"/>
      <c r="Q8244" s="214"/>
    </row>
    <row r="8245" spans="1:17">
      <c r="A8245" s="175"/>
      <c r="B8245" s="175"/>
      <c r="P8245" s="4"/>
      <c r="Q8245" s="214"/>
    </row>
    <row r="8246" spans="1:17">
      <c r="A8246" s="175"/>
      <c r="B8246" s="175"/>
      <c r="P8246" s="4"/>
      <c r="Q8246" s="214"/>
    </row>
    <row r="8247" spans="1:17">
      <c r="A8247" s="175"/>
      <c r="B8247" s="175"/>
      <c r="P8247" s="4"/>
      <c r="Q8247" s="214"/>
    </row>
    <row r="8248" spans="1:17">
      <c r="A8248" s="175"/>
      <c r="B8248" s="175"/>
      <c r="P8248" s="4"/>
      <c r="Q8248" s="214"/>
    </row>
    <row r="8249" spans="1:17">
      <c r="A8249" s="175"/>
      <c r="B8249" s="175"/>
      <c r="P8249" s="4"/>
      <c r="Q8249" s="214"/>
    </row>
    <row r="8250" spans="1:17">
      <c r="A8250" s="175"/>
      <c r="B8250" s="175"/>
      <c r="P8250" s="4"/>
      <c r="Q8250" s="214"/>
    </row>
    <row r="8251" spans="1:17">
      <c r="A8251" s="175"/>
      <c r="B8251" s="175"/>
      <c r="P8251" s="4"/>
      <c r="Q8251" s="214"/>
    </row>
    <row r="8252" spans="1:17">
      <c r="A8252" s="175"/>
      <c r="B8252" s="175"/>
      <c r="P8252" s="4"/>
      <c r="Q8252" s="214"/>
    </row>
    <row r="8253" spans="1:17">
      <c r="A8253" s="175"/>
      <c r="B8253" s="175"/>
      <c r="P8253" s="4"/>
      <c r="Q8253" s="214"/>
    </row>
    <row r="8254" spans="1:17">
      <c r="A8254" s="175"/>
      <c r="B8254" s="175"/>
      <c r="P8254" s="4"/>
      <c r="Q8254" s="214"/>
    </row>
    <row r="8255" spans="1:17">
      <c r="A8255" s="175"/>
      <c r="B8255" s="175"/>
      <c r="P8255" s="4"/>
      <c r="Q8255" s="214"/>
    </row>
    <row r="8256" spans="1:17">
      <c r="A8256" s="175"/>
      <c r="B8256" s="175"/>
      <c r="P8256" s="4"/>
      <c r="Q8256" s="214"/>
    </row>
    <row r="8257" spans="1:17">
      <c r="A8257" s="175"/>
      <c r="B8257" s="175"/>
      <c r="P8257" s="4"/>
      <c r="Q8257" s="214"/>
    </row>
    <row r="8258" spans="1:17">
      <c r="A8258" s="175"/>
      <c r="B8258" s="175"/>
      <c r="P8258" s="4"/>
      <c r="Q8258" s="214"/>
    </row>
    <row r="8259" spans="1:17">
      <c r="A8259" s="175"/>
      <c r="B8259" s="175"/>
      <c r="P8259" s="4"/>
      <c r="Q8259" s="214"/>
    </row>
    <row r="8260" spans="1:17">
      <c r="A8260" s="175"/>
      <c r="B8260" s="175"/>
      <c r="P8260" s="4"/>
      <c r="Q8260" s="214"/>
    </row>
    <row r="8261" spans="1:17">
      <c r="A8261" s="175"/>
      <c r="B8261" s="175"/>
      <c r="P8261" s="4"/>
      <c r="Q8261" s="214"/>
    </row>
    <row r="8262" spans="1:17">
      <c r="A8262" s="175"/>
      <c r="B8262" s="175"/>
      <c r="P8262" s="4"/>
      <c r="Q8262" s="214"/>
    </row>
    <row r="8263" spans="1:17">
      <c r="A8263" s="175"/>
      <c r="B8263" s="175"/>
      <c r="P8263" s="4"/>
      <c r="Q8263" s="214"/>
    </row>
    <row r="8264" spans="1:17">
      <c r="A8264" s="175"/>
      <c r="B8264" s="175"/>
      <c r="P8264" s="4"/>
      <c r="Q8264" s="214"/>
    </row>
    <row r="8265" spans="1:17">
      <c r="A8265" s="175"/>
      <c r="B8265" s="175"/>
      <c r="P8265" s="4"/>
      <c r="Q8265" s="214"/>
    </row>
    <row r="8266" spans="1:17">
      <c r="A8266" s="175"/>
      <c r="B8266" s="175"/>
      <c r="P8266" s="4"/>
      <c r="Q8266" s="214"/>
    </row>
    <row r="8267" spans="1:17">
      <c r="A8267" s="175"/>
      <c r="B8267" s="175"/>
      <c r="P8267" s="4"/>
      <c r="Q8267" s="214"/>
    </row>
    <row r="8268" spans="1:17">
      <c r="A8268" s="175"/>
      <c r="B8268" s="175"/>
      <c r="P8268" s="4"/>
      <c r="Q8268" s="214"/>
    </row>
    <row r="8269" spans="1:17">
      <c r="A8269" s="175"/>
      <c r="B8269" s="175"/>
      <c r="P8269" s="4"/>
      <c r="Q8269" s="214"/>
    </row>
    <row r="8270" spans="1:17">
      <c r="A8270" s="175"/>
      <c r="B8270" s="175"/>
      <c r="P8270" s="4"/>
      <c r="Q8270" s="214"/>
    </row>
    <row r="8271" spans="1:17">
      <c r="A8271" s="175"/>
      <c r="B8271" s="175"/>
      <c r="P8271" s="4"/>
      <c r="Q8271" s="214"/>
    </row>
    <row r="8272" spans="1:17">
      <c r="A8272" s="175"/>
      <c r="B8272" s="175"/>
      <c r="P8272" s="4"/>
      <c r="Q8272" s="214"/>
    </row>
    <row r="8273" spans="1:17">
      <c r="A8273" s="175"/>
      <c r="B8273" s="175"/>
      <c r="P8273" s="4"/>
      <c r="Q8273" s="214"/>
    </row>
    <row r="8274" spans="1:17">
      <c r="A8274" s="175"/>
      <c r="B8274" s="175"/>
      <c r="P8274" s="4"/>
      <c r="Q8274" s="214"/>
    </row>
    <row r="8275" spans="1:17">
      <c r="A8275" s="175"/>
      <c r="B8275" s="175"/>
      <c r="P8275" s="4"/>
      <c r="Q8275" s="214"/>
    </row>
    <row r="8276" spans="1:17">
      <c r="A8276" s="175"/>
      <c r="B8276" s="175"/>
      <c r="P8276" s="4"/>
      <c r="Q8276" s="214"/>
    </row>
    <row r="8277" spans="1:17">
      <c r="A8277" s="175"/>
      <c r="B8277" s="175"/>
      <c r="P8277" s="4"/>
      <c r="Q8277" s="214"/>
    </row>
    <row r="8278" spans="1:17">
      <c r="A8278" s="175"/>
      <c r="B8278" s="175"/>
      <c r="P8278" s="4"/>
      <c r="Q8278" s="214"/>
    </row>
    <row r="8279" spans="1:17">
      <c r="A8279" s="175"/>
      <c r="B8279" s="175"/>
      <c r="P8279" s="4"/>
      <c r="Q8279" s="214"/>
    </row>
    <row r="8280" spans="1:17">
      <c r="A8280" s="175"/>
      <c r="B8280" s="175"/>
      <c r="P8280" s="4"/>
      <c r="Q8280" s="214"/>
    </row>
    <row r="8281" spans="1:17">
      <c r="A8281" s="175"/>
      <c r="B8281" s="175"/>
      <c r="P8281" s="4"/>
      <c r="Q8281" s="214"/>
    </row>
    <row r="8282" spans="1:17">
      <c r="A8282" s="175"/>
      <c r="B8282" s="175"/>
      <c r="P8282" s="4"/>
      <c r="Q8282" s="214"/>
    </row>
    <row r="8283" spans="1:17">
      <c r="A8283" s="175"/>
      <c r="B8283" s="175"/>
      <c r="P8283" s="4"/>
      <c r="Q8283" s="214"/>
    </row>
    <row r="8284" spans="1:17">
      <c r="A8284" s="175"/>
      <c r="B8284" s="175"/>
      <c r="P8284" s="4"/>
      <c r="Q8284" s="214"/>
    </row>
    <row r="8285" spans="1:17">
      <c r="A8285" s="175"/>
      <c r="B8285" s="175"/>
      <c r="P8285" s="4"/>
      <c r="Q8285" s="214"/>
    </row>
    <row r="8286" spans="1:17">
      <c r="A8286" s="175"/>
      <c r="B8286" s="175"/>
      <c r="P8286" s="4"/>
      <c r="Q8286" s="214"/>
    </row>
    <row r="8287" spans="1:17">
      <c r="A8287" s="175"/>
      <c r="B8287" s="175"/>
      <c r="P8287" s="4"/>
      <c r="Q8287" s="214"/>
    </row>
    <row r="8288" spans="1:17">
      <c r="A8288" s="175"/>
      <c r="B8288" s="175"/>
      <c r="P8288" s="4"/>
      <c r="Q8288" s="214"/>
    </row>
    <row r="8289" spans="1:17">
      <c r="A8289" s="175"/>
      <c r="B8289" s="175"/>
      <c r="P8289" s="4"/>
      <c r="Q8289" s="214"/>
    </row>
    <row r="8290" spans="1:17">
      <c r="A8290" s="175"/>
      <c r="B8290" s="175"/>
      <c r="P8290" s="4"/>
      <c r="Q8290" s="214"/>
    </row>
    <row r="8291" spans="1:17">
      <c r="A8291" s="175"/>
      <c r="B8291" s="175"/>
      <c r="P8291" s="4"/>
      <c r="Q8291" s="214"/>
    </row>
    <row r="8292" spans="1:17">
      <c r="A8292" s="175"/>
      <c r="B8292" s="175"/>
      <c r="P8292" s="4"/>
      <c r="Q8292" s="214"/>
    </row>
    <row r="8293" spans="1:17">
      <c r="A8293" s="175"/>
      <c r="B8293" s="175"/>
      <c r="P8293" s="4"/>
      <c r="Q8293" s="214"/>
    </row>
    <row r="8294" spans="1:17">
      <c r="A8294" s="175"/>
      <c r="B8294" s="175"/>
      <c r="P8294" s="4"/>
      <c r="Q8294" s="214"/>
    </row>
    <row r="8295" spans="1:17">
      <c r="A8295" s="175"/>
      <c r="B8295" s="175"/>
      <c r="P8295" s="4"/>
      <c r="Q8295" s="214"/>
    </row>
    <row r="8296" spans="1:17">
      <c r="A8296" s="175"/>
      <c r="B8296" s="175"/>
      <c r="P8296" s="4"/>
      <c r="Q8296" s="214"/>
    </row>
    <row r="8297" spans="1:17">
      <c r="A8297" s="175"/>
      <c r="B8297" s="175"/>
      <c r="P8297" s="4"/>
      <c r="Q8297" s="214"/>
    </row>
    <row r="8298" spans="1:17">
      <c r="A8298" s="175"/>
      <c r="B8298" s="175"/>
      <c r="P8298" s="4"/>
      <c r="Q8298" s="214"/>
    </row>
    <row r="8299" spans="1:17">
      <c r="A8299" s="175"/>
      <c r="B8299" s="175"/>
      <c r="P8299" s="4"/>
      <c r="Q8299" s="214"/>
    </row>
    <row r="8300" spans="1:17">
      <c r="A8300" s="175"/>
      <c r="B8300" s="175"/>
      <c r="P8300" s="4"/>
      <c r="Q8300" s="214"/>
    </row>
    <row r="8301" spans="1:17">
      <c r="A8301" s="175"/>
      <c r="B8301" s="175"/>
      <c r="P8301" s="4"/>
      <c r="Q8301" s="214"/>
    </row>
    <row r="8302" spans="1:17">
      <c r="A8302" s="175"/>
      <c r="B8302" s="175"/>
      <c r="P8302" s="4"/>
      <c r="Q8302" s="214"/>
    </row>
    <row r="8303" spans="1:17">
      <c r="A8303" s="175"/>
      <c r="B8303" s="175"/>
      <c r="P8303" s="4"/>
      <c r="Q8303" s="214"/>
    </row>
    <row r="8304" spans="1:17">
      <c r="A8304" s="175"/>
      <c r="B8304" s="175"/>
      <c r="P8304" s="4"/>
      <c r="Q8304" s="214"/>
    </row>
    <row r="8305" spans="1:17">
      <c r="A8305" s="175"/>
      <c r="B8305" s="175"/>
      <c r="P8305" s="4"/>
      <c r="Q8305" s="214"/>
    </row>
    <row r="8306" spans="1:17">
      <c r="A8306" s="175"/>
      <c r="B8306" s="175"/>
      <c r="P8306" s="4"/>
      <c r="Q8306" s="214"/>
    </row>
    <row r="8307" spans="1:17">
      <c r="A8307" s="175"/>
      <c r="B8307" s="175"/>
      <c r="P8307" s="4"/>
      <c r="Q8307" s="214"/>
    </row>
    <row r="8308" spans="1:17">
      <c r="A8308" s="175"/>
      <c r="B8308" s="175"/>
      <c r="P8308" s="4"/>
      <c r="Q8308" s="214"/>
    </row>
    <row r="8309" spans="1:17">
      <c r="A8309" s="175"/>
      <c r="B8309" s="175"/>
      <c r="P8309" s="4"/>
      <c r="Q8309" s="214"/>
    </row>
    <row r="8310" spans="1:17">
      <c r="A8310" s="175"/>
      <c r="B8310" s="175"/>
      <c r="P8310" s="4"/>
      <c r="Q8310" s="214"/>
    </row>
    <row r="8311" spans="1:17">
      <c r="A8311" s="175"/>
      <c r="B8311" s="175"/>
      <c r="P8311" s="4"/>
      <c r="Q8311" s="214"/>
    </row>
    <row r="8312" spans="1:17">
      <c r="A8312" s="175"/>
      <c r="B8312" s="175"/>
      <c r="P8312" s="4"/>
      <c r="Q8312" s="214"/>
    </row>
    <row r="8313" spans="1:17">
      <c r="A8313" s="175"/>
      <c r="B8313" s="175"/>
      <c r="P8313" s="4"/>
      <c r="Q8313" s="214"/>
    </row>
    <row r="8314" spans="1:17">
      <c r="A8314" s="175"/>
      <c r="B8314" s="175"/>
      <c r="P8314" s="4"/>
      <c r="Q8314" s="214"/>
    </row>
    <row r="8315" spans="1:17">
      <c r="A8315" s="175"/>
      <c r="B8315" s="175"/>
      <c r="P8315" s="4"/>
      <c r="Q8315" s="214"/>
    </row>
    <row r="8316" spans="1:17">
      <c r="A8316" s="175"/>
      <c r="B8316" s="175"/>
      <c r="P8316" s="4"/>
      <c r="Q8316" s="214"/>
    </row>
    <row r="8317" spans="1:17">
      <c r="A8317" s="175"/>
      <c r="B8317" s="175"/>
      <c r="P8317" s="4"/>
      <c r="Q8317" s="214"/>
    </row>
    <row r="8318" spans="1:17">
      <c r="A8318" s="175"/>
      <c r="B8318" s="175"/>
      <c r="P8318" s="4"/>
      <c r="Q8318" s="214"/>
    </row>
    <row r="8319" spans="1:17">
      <c r="A8319" s="175"/>
      <c r="B8319" s="175"/>
      <c r="P8319" s="4"/>
      <c r="Q8319" s="214"/>
    </row>
    <row r="8320" spans="1:17">
      <c r="A8320" s="175"/>
      <c r="B8320" s="175"/>
      <c r="P8320" s="4"/>
      <c r="Q8320" s="214"/>
    </row>
    <row r="8321" spans="1:17">
      <c r="A8321" s="175"/>
      <c r="B8321" s="175"/>
      <c r="P8321" s="4"/>
      <c r="Q8321" s="214"/>
    </row>
    <row r="8322" spans="1:17">
      <c r="A8322" s="175"/>
      <c r="B8322" s="175"/>
      <c r="P8322" s="4"/>
      <c r="Q8322" s="214"/>
    </row>
    <row r="8323" spans="1:17">
      <c r="A8323" s="175"/>
      <c r="B8323" s="175"/>
      <c r="P8323" s="4"/>
      <c r="Q8323" s="214"/>
    </row>
    <row r="8324" spans="1:17">
      <c r="A8324" s="175"/>
      <c r="B8324" s="175"/>
      <c r="P8324" s="4"/>
      <c r="Q8324" s="214"/>
    </row>
    <row r="8325" spans="1:17">
      <c r="A8325" s="175"/>
      <c r="B8325" s="175"/>
      <c r="P8325" s="4"/>
      <c r="Q8325" s="214"/>
    </row>
    <row r="8326" spans="1:17">
      <c r="A8326" s="175"/>
      <c r="B8326" s="175"/>
      <c r="P8326" s="4"/>
      <c r="Q8326" s="214"/>
    </row>
    <row r="8327" spans="1:17">
      <c r="A8327" s="175"/>
      <c r="B8327" s="175"/>
      <c r="P8327" s="4"/>
      <c r="Q8327" s="214"/>
    </row>
    <row r="8328" spans="1:17">
      <c r="A8328" s="175"/>
      <c r="B8328" s="175"/>
      <c r="P8328" s="4"/>
      <c r="Q8328" s="214"/>
    </row>
    <row r="8329" spans="1:17">
      <c r="A8329" s="175"/>
      <c r="B8329" s="175"/>
      <c r="P8329" s="4"/>
      <c r="Q8329" s="214"/>
    </row>
    <row r="8330" spans="1:17">
      <c r="A8330" s="175"/>
      <c r="B8330" s="175"/>
      <c r="P8330" s="4"/>
      <c r="Q8330" s="214"/>
    </row>
    <row r="8331" spans="1:17">
      <c r="A8331" s="175"/>
      <c r="B8331" s="175"/>
      <c r="P8331" s="4"/>
      <c r="Q8331" s="214"/>
    </row>
    <row r="8332" spans="1:17">
      <c r="A8332" s="175"/>
      <c r="B8332" s="175"/>
      <c r="P8332" s="4"/>
      <c r="Q8332" s="214"/>
    </row>
    <row r="8333" spans="1:17">
      <c r="A8333" s="175"/>
      <c r="B8333" s="175"/>
      <c r="P8333" s="4"/>
      <c r="Q8333" s="214"/>
    </row>
    <row r="8334" spans="1:17">
      <c r="A8334" s="175"/>
      <c r="B8334" s="175"/>
      <c r="P8334" s="4"/>
      <c r="Q8334" s="214"/>
    </row>
    <row r="8335" spans="1:17">
      <c r="A8335" s="175"/>
      <c r="B8335" s="175"/>
      <c r="P8335" s="4"/>
      <c r="Q8335" s="214"/>
    </row>
    <row r="8336" spans="1:17">
      <c r="A8336" s="175"/>
      <c r="B8336" s="175"/>
      <c r="P8336" s="4"/>
      <c r="Q8336" s="214"/>
    </row>
    <row r="8337" spans="1:17">
      <c r="A8337" s="175"/>
      <c r="B8337" s="175"/>
      <c r="P8337" s="4"/>
      <c r="Q8337" s="214"/>
    </row>
    <row r="8338" spans="1:17">
      <c r="A8338" s="175"/>
      <c r="B8338" s="175"/>
      <c r="P8338" s="4"/>
      <c r="Q8338" s="214"/>
    </row>
    <row r="8339" spans="1:17">
      <c r="A8339" s="175"/>
      <c r="B8339" s="175"/>
      <c r="P8339" s="4"/>
      <c r="Q8339" s="214"/>
    </row>
    <row r="8340" spans="1:17">
      <c r="A8340" s="175"/>
      <c r="B8340" s="175"/>
      <c r="P8340" s="4"/>
      <c r="Q8340" s="214"/>
    </row>
    <row r="8341" spans="1:17">
      <c r="A8341" s="175"/>
      <c r="B8341" s="175"/>
      <c r="P8341" s="4"/>
      <c r="Q8341" s="214"/>
    </row>
    <row r="8342" spans="1:17">
      <c r="A8342" s="175"/>
      <c r="B8342" s="175"/>
      <c r="P8342" s="4"/>
      <c r="Q8342" s="214"/>
    </row>
    <row r="8343" spans="1:17">
      <c r="A8343" s="175"/>
      <c r="B8343" s="175"/>
      <c r="P8343" s="4"/>
      <c r="Q8343" s="214"/>
    </row>
    <row r="8344" spans="1:17">
      <c r="A8344" s="175"/>
      <c r="B8344" s="175"/>
      <c r="P8344" s="4"/>
      <c r="Q8344" s="214"/>
    </row>
    <row r="8345" spans="1:17">
      <c r="A8345" s="175"/>
      <c r="B8345" s="175"/>
      <c r="P8345" s="4"/>
      <c r="Q8345" s="214"/>
    </row>
    <row r="8346" spans="1:17">
      <c r="A8346" s="175"/>
      <c r="B8346" s="175"/>
      <c r="P8346" s="4"/>
      <c r="Q8346" s="214"/>
    </row>
    <row r="8347" spans="1:17">
      <c r="A8347" s="175"/>
      <c r="B8347" s="175"/>
      <c r="P8347" s="4"/>
      <c r="Q8347" s="214"/>
    </row>
    <row r="8348" spans="1:17">
      <c r="A8348" s="175"/>
      <c r="B8348" s="175"/>
      <c r="P8348" s="4"/>
      <c r="Q8348" s="214"/>
    </row>
    <row r="8349" spans="1:17">
      <c r="A8349" s="175"/>
      <c r="B8349" s="175"/>
      <c r="P8349" s="4"/>
      <c r="Q8349" s="214"/>
    </row>
    <row r="8350" spans="1:17">
      <c r="A8350" s="175"/>
      <c r="B8350" s="175"/>
      <c r="P8350" s="4"/>
      <c r="Q8350" s="214"/>
    </row>
    <row r="8351" spans="1:17">
      <c r="A8351" s="175"/>
      <c r="B8351" s="175"/>
      <c r="P8351" s="4"/>
      <c r="Q8351" s="214"/>
    </row>
    <row r="8352" spans="1:17">
      <c r="A8352" s="175"/>
      <c r="B8352" s="175"/>
      <c r="P8352" s="4"/>
      <c r="Q8352" s="214"/>
    </row>
    <row r="8353" spans="1:17">
      <c r="A8353" s="175"/>
      <c r="B8353" s="175"/>
      <c r="P8353" s="4"/>
      <c r="Q8353" s="214"/>
    </row>
    <row r="8354" spans="1:17">
      <c r="A8354" s="175"/>
      <c r="B8354" s="175"/>
      <c r="P8354" s="4"/>
      <c r="Q8354" s="214"/>
    </row>
    <row r="8355" spans="1:17">
      <c r="A8355" s="175"/>
      <c r="B8355" s="175"/>
      <c r="P8355" s="4"/>
      <c r="Q8355" s="214"/>
    </row>
    <row r="8356" spans="1:17">
      <c r="A8356" s="175"/>
      <c r="B8356" s="175"/>
      <c r="P8356" s="4"/>
      <c r="Q8356" s="214"/>
    </row>
    <row r="8357" spans="1:17">
      <c r="A8357" s="175"/>
      <c r="B8357" s="175"/>
      <c r="P8357" s="4"/>
      <c r="Q8357" s="214"/>
    </row>
    <row r="8358" spans="1:17">
      <c r="A8358" s="175"/>
      <c r="B8358" s="175"/>
      <c r="P8358" s="4"/>
      <c r="Q8358" s="214"/>
    </row>
    <row r="8359" spans="1:17">
      <c r="A8359" s="175"/>
      <c r="B8359" s="175"/>
      <c r="P8359" s="4"/>
      <c r="Q8359" s="214"/>
    </row>
    <row r="8360" spans="1:17">
      <c r="A8360" s="175"/>
      <c r="B8360" s="175"/>
      <c r="P8360" s="4"/>
      <c r="Q8360" s="214"/>
    </row>
    <row r="8361" spans="1:17">
      <c r="A8361" s="175"/>
      <c r="B8361" s="175"/>
      <c r="P8361" s="4"/>
      <c r="Q8361" s="214"/>
    </row>
    <row r="8362" spans="1:17">
      <c r="A8362" s="175"/>
      <c r="B8362" s="175"/>
      <c r="P8362" s="4"/>
      <c r="Q8362" s="214"/>
    </row>
    <row r="8363" spans="1:17">
      <c r="A8363" s="175"/>
      <c r="B8363" s="175"/>
      <c r="P8363" s="4"/>
      <c r="Q8363" s="214"/>
    </row>
    <row r="8364" spans="1:17">
      <c r="A8364" s="175"/>
      <c r="B8364" s="175"/>
      <c r="P8364" s="4"/>
      <c r="Q8364" s="214"/>
    </row>
    <row r="8365" spans="1:17">
      <c r="A8365" s="175"/>
      <c r="B8365" s="175"/>
      <c r="P8365" s="4"/>
      <c r="Q8365" s="214"/>
    </row>
    <row r="8366" spans="1:17">
      <c r="A8366" s="175"/>
      <c r="B8366" s="175"/>
      <c r="P8366" s="4"/>
      <c r="Q8366" s="214"/>
    </row>
    <row r="8367" spans="1:17">
      <c r="A8367" s="175"/>
      <c r="B8367" s="175"/>
      <c r="P8367" s="4"/>
      <c r="Q8367" s="214"/>
    </row>
    <row r="8368" spans="1:17">
      <c r="A8368" s="175"/>
      <c r="B8368" s="175"/>
      <c r="P8368" s="4"/>
      <c r="Q8368" s="214"/>
    </row>
    <row r="8369" spans="1:17">
      <c r="A8369" s="175"/>
      <c r="B8369" s="175"/>
      <c r="P8369" s="4"/>
      <c r="Q8369" s="214"/>
    </row>
    <row r="8370" spans="1:17">
      <c r="A8370" s="175"/>
      <c r="B8370" s="175"/>
      <c r="P8370" s="4"/>
      <c r="Q8370" s="214"/>
    </row>
    <row r="8371" spans="1:17">
      <c r="A8371" s="175"/>
      <c r="B8371" s="175"/>
      <c r="P8371" s="4"/>
      <c r="Q8371" s="214"/>
    </row>
    <row r="8372" spans="1:17">
      <c r="A8372" s="175"/>
      <c r="B8372" s="175"/>
      <c r="P8372" s="4"/>
      <c r="Q8372" s="214"/>
    </row>
    <row r="8373" spans="1:17">
      <c r="A8373" s="175"/>
      <c r="B8373" s="175"/>
      <c r="P8373" s="4"/>
      <c r="Q8373" s="214"/>
    </row>
    <row r="8374" spans="1:17">
      <c r="A8374" s="175"/>
      <c r="B8374" s="175"/>
      <c r="P8374" s="4"/>
      <c r="Q8374" s="214"/>
    </row>
    <row r="8375" spans="1:17">
      <c r="A8375" s="175"/>
      <c r="B8375" s="175"/>
      <c r="P8375" s="4"/>
      <c r="Q8375" s="214"/>
    </row>
    <row r="8376" spans="1:17">
      <c r="A8376" s="175"/>
      <c r="B8376" s="175"/>
      <c r="P8376" s="4"/>
      <c r="Q8376" s="214"/>
    </row>
    <row r="8377" spans="1:17">
      <c r="A8377" s="175"/>
      <c r="B8377" s="175"/>
      <c r="P8377" s="4"/>
      <c r="Q8377" s="214"/>
    </row>
    <row r="8378" spans="1:17">
      <c r="A8378" s="175"/>
      <c r="B8378" s="175"/>
      <c r="P8378" s="4"/>
      <c r="Q8378" s="214"/>
    </row>
    <row r="8379" spans="1:17">
      <c r="A8379" s="175"/>
      <c r="B8379" s="175"/>
      <c r="P8379" s="4"/>
      <c r="Q8379" s="214"/>
    </row>
    <row r="8380" spans="1:17">
      <c r="A8380" s="175"/>
      <c r="B8380" s="175"/>
      <c r="P8380" s="4"/>
      <c r="Q8380" s="214"/>
    </row>
    <row r="8381" spans="1:17">
      <c r="A8381" s="175"/>
      <c r="B8381" s="175"/>
      <c r="P8381" s="4"/>
      <c r="Q8381" s="214"/>
    </row>
    <row r="8382" spans="1:17">
      <c r="A8382" s="175"/>
      <c r="B8382" s="175"/>
      <c r="P8382" s="4"/>
      <c r="Q8382" s="214"/>
    </row>
    <row r="8383" spans="1:17">
      <c r="A8383" s="175"/>
      <c r="B8383" s="175"/>
      <c r="P8383" s="4"/>
      <c r="Q8383" s="214"/>
    </row>
    <row r="8384" spans="1:17">
      <c r="A8384" s="175"/>
      <c r="B8384" s="175"/>
      <c r="P8384" s="4"/>
      <c r="Q8384" s="214"/>
    </row>
    <row r="8385" spans="1:17">
      <c r="A8385" s="175"/>
      <c r="B8385" s="175"/>
      <c r="P8385" s="4"/>
      <c r="Q8385" s="214"/>
    </row>
    <row r="8386" spans="1:17">
      <c r="A8386" s="175"/>
      <c r="B8386" s="175"/>
      <c r="P8386" s="4"/>
      <c r="Q8386" s="214"/>
    </row>
    <row r="8387" spans="1:17">
      <c r="A8387" s="175"/>
      <c r="B8387" s="175"/>
      <c r="P8387" s="4"/>
      <c r="Q8387" s="214"/>
    </row>
    <row r="8388" spans="1:17">
      <c r="A8388" s="175"/>
      <c r="B8388" s="175"/>
      <c r="P8388" s="4"/>
      <c r="Q8388" s="214"/>
    </row>
    <row r="8389" spans="1:17">
      <c r="A8389" s="175"/>
      <c r="B8389" s="175"/>
      <c r="P8389" s="4"/>
      <c r="Q8389" s="214"/>
    </row>
    <row r="8390" spans="1:17">
      <c r="A8390" s="175"/>
      <c r="B8390" s="175"/>
      <c r="P8390" s="4"/>
      <c r="Q8390" s="214"/>
    </row>
    <row r="8391" spans="1:17">
      <c r="A8391" s="175"/>
      <c r="B8391" s="175"/>
      <c r="P8391" s="4"/>
      <c r="Q8391" s="214"/>
    </row>
    <row r="8392" spans="1:17">
      <c r="A8392" s="175"/>
      <c r="B8392" s="175"/>
      <c r="P8392" s="4"/>
      <c r="Q8392" s="214"/>
    </row>
    <row r="8393" spans="1:17">
      <c r="A8393" s="175"/>
      <c r="B8393" s="175"/>
      <c r="P8393" s="4"/>
      <c r="Q8393" s="214"/>
    </row>
    <row r="8394" spans="1:17">
      <c r="A8394" s="175"/>
      <c r="B8394" s="175"/>
      <c r="P8394" s="4"/>
      <c r="Q8394" s="214"/>
    </row>
    <row r="8395" spans="1:17">
      <c r="A8395" s="175"/>
      <c r="B8395" s="175"/>
      <c r="P8395" s="4"/>
      <c r="Q8395" s="214"/>
    </row>
    <row r="8396" spans="1:17">
      <c r="A8396" s="175"/>
      <c r="B8396" s="175"/>
      <c r="P8396" s="4"/>
      <c r="Q8396" s="214"/>
    </row>
    <row r="8397" spans="1:17">
      <c r="A8397" s="175"/>
      <c r="B8397" s="175"/>
      <c r="P8397" s="4"/>
      <c r="Q8397" s="214"/>
    </row>
    <row r="8398" spans="1:17">
      <c r="A8398" s="175"/>
      <c r="B8398" s="175"/>
      <c r="P8398" s="4"/>
      <c r="Q8398" s="214"/>
    </row>
    <row r="8399" spans="1:17">
      <c r="A8399" s="175"/>
      <c r="B8399" s="175"/>
      <c r="P8399" s="4"/>
      <c r="Q8399" s="214"/>
    </row>
    <row r="8400" spans="1:17">
      <c r="A8400" s="175"/>
      <c r="B8400" s="175"/>
      <c r="P8400" s="4"/>
      <c r="Q8400" s="214"/>
    </row>
    <row r="8401" spans="1:17">
      <c r="A8401" s="175"/>
      <c r="B8401" s="175"/>
      <c r="P8401" s="4"/>
      <c r="Q8401" s="214"/>
    </row>
    <row r="8402" spans="1:17">
      <c r="A8402" s="175"/>
      <c r="B8402" s="175"/>
      <c r="P8402" s="4"/>
      <c r="Q8402" s="214"/>
    </row>
    <row r="8403" spans="1:17">
      <c r="A8403" s="175"/>
      <c r="B8403" s="175"/>
      <c r="P8403" s="4"/>
      <c r="Q8403" s="214"/>
    </row>
    <row r="8404" spans="1:17">
      <c r="A8404" s="175"/>
      <c r="B8404" s="175"/>
      <c r="P8404" s="4"/>
      <c r="Q8404" s="214"/>
    </row>
    <row r="8405" spans="1:17">
      <c r="A8405" s="175"/>
      <c r="B8405" s="175"/>
      <c r="P8405" s="4"/>
      <c r="Q8405" s="214"/>
    </row>
    <row r="8406" spans="1:17">
      <c r="A8406" s="175"/>
      <c r="B8406" s="175"/>
      <c r="P8406" s="4"/>
      <c r="Q8406" s="214"/>
    </row>
    <row r="8407" spans="1:17">
      <c r="A8407" s="175"/>
      <c r="B8407" s="175"/>
      <c r="P8407" s="4"/>
      <c r="Q8407" s="214"/>
    </row>
    <row r="8408" spans="1:17">
      <c r="A8408" s="175"/>
      <c r="B8408" s="175"/>
      <c r="P8408" s="4"/>
      <c r="Q8408" s="214"/>
    </row>
    <row r="8409" spans="1:17">
      <c r="A8409" s="175"/>
      <c r="B8409" s="175"/>
      <c r="P8409" s="4"/>
      <c r="Q8409" s="214"/>
    </row>
    <row r="8410" spans="1:17">
      <c r="A8410" s="175"/>
      <c r="B8410" s="175"/>
      <c r="P8410" s="4"/>
      <c r="Q8410" s="214"/>
    </row>
    <row r="8411" spans="1:17">
      <c r="A8411" s="175"/>
      <c r="B8411" s="175"/>
      <c r="P8411" s="4"/>
      <c r="Q8411" s="214"/>
    </row>
    <row r="8412" spans="1:17">
      <c r="A8412" s="175"/>
      <c r="B8412" s="175"/>
      <c r="P8412" s="4"/>
      <c r="Q8412" s="214"/>
    </row>
    <row r="8413" spans="1:17">
      <c r="A8413" s="175"/>
      <c r="B8413" s="175"/>
      <c r="P8413" s="4"/>
      <c r="Q8413" s="214"/>
    </row>
    <row r="8414" spans="1:17">
      <c r="A8414" s="175"/>
      <c r="B8414" s="175"/>
      <c r="P8414" s="4"/>
      <c r="Q8414" s="214"/>
    </row>
    <row r="8415" spans="1:17">
      <c r="A8415" s="175"/>
      <c r="B8415" s="175"/>
      <c r="P8415" s="4"/>
      <c r="Q8415" s="214"/>
    </row>
    <row r="8416" spans="1:17">
      <c r="A8416" s="175"/>
      <c r="B8416" s="175"/>
      <c r="P8416" s="4"/>
      <c r="Q8416" s="214"/>
    </row>
    <row r="8417" spans="1:17">
      <c r="A8417" s="175"/>
      <c r="B8417" s="175"/>
      <c r="P8417" s="4"/>
      <c r="Q8417" s="214"/>
    </row>
    <row r="8418" spans="1:17">
      <c r="A8418" s="175"/>
      <c r="B8418" s="175"/>
      <c r="P8418" s="4"/>
      <c r="Q8418" s="214"/>
    </row>
    <row r="8419" spans="1:17">
      <c r="A8419" s="175"/>
      <c r="B8419" s="175"/>
      <c r="P8419" s="4"/>
      <c r="Q8419" s="214"/>
    </row>
    <row r="8420" spans="1:17">
      <c r="A8420" s="175"/>
      <c r="B8420" s="175"/>
      <c r="P8420" s="4"/>
      <c r="Q8420" s="214"/>
    </row>
    <row r="8421" spans="1:17">
      <c r="A8421" s="175"/>
      <c r="B8421" s="175"/>
      <c r="P8421" s="4"/>
      <c r="Q8421" s="214"/>
    </row>
    <row r="8422" spans="1:17">
      <c r="A8422" s="175"/>
      <c r="B8422" s="175"/>
      <c r="P8422" s="4"/>
      <c r="Q8422" s="214"/>
    </row>
    <row r="8423" spans="1:17">
      <c r="A8423" s="175"/>
      <c r="B8423" s="175"/>
      <c r="P8423" s="4"/>
      <c r="Q8423" s="214"/>
    </row>
    <row r="8424" spans="1:17">
      <c r="A8424" s="175"/>
      <c r="B8424" s="175"/>
      <c r="P8424" s="4"/>
      <c r="Q8424" s="214"/>
    </row>
    <row r="8425" spans="1:17">
      <c r="A8425" s="175"/>
      <c r="B8425" s="175"/>
      <c r="P8425" s="4"/>
      <c r="Q8425" s="214"/>
    </row>
    <row r="8426" spans="1:17">
      <c r="A8426" s="175"/>
      <c r="B8426" s="175"/>
      <c r="P8426" s="4"/>
      <c r="Q8426" s="214"/>
    </row>
    <row r="8427" spans="1:17">
      <c r="A8427" s="175"/>
      <c r="B8427" s="175"/>
      <c r="P8427" s="4"/>
      <c r="Q8427" s="214"/>
    </row>
    <row r="8428" spans="1:17">
      <c r="A8428" s="175"/>
      <c r="B8428" s="175"/>
      <c r="P8428" s="4"/>
      <c r="Q8428" s="214"/>
    </row>
    <row r="8429" spans="1:17">
      <c r="A8429" s="175"/>
      <c r="B8429" s="175"/>
      <c r="P8429" s="4"/>
      <c r="Q8429" s="214"/>
    </row>
    <row r="8430" spans="1:17">
      <c r="A8430" s="175"/>
      <c r="B8430" s="175"/>
      <c r="P8430" s="4"/>
      <c r="Q8430" s="214"/>
    </row>
    <row r="8431" spans="1:17">
      <c r="A8431" s="175"/>
      <c r="B8431" s="175"/>
      <c r="P8431" s="4"/>
      <c r="Q8431" s="214"/>
    </row>
    <row r="8432" spans="1:17">
      <c r="A8432" s="175"/>
      <c r="B8432" s="175"/>
      <c r="P8432" s="4"/>
      <c r="Q8432" s="214"/>
    </row>
    <row r="8433" spans="1:17">
      <c r="A8433" s="175"/>
      <c r="B8433" s="175"/>
      <c r="P8433" s="4"/>
      <c r="Q8433" s="214"/>
    </row>
    <row r="8434" spans="1:17">
      <c r="A8434" s="175"/>
      <c r="B8434" s="175"/>
      <c r="P8434" s="4"/>
      <c r="Q8434" s="214"/>
    </row>
    <row r="8435" spans="1:17">
      <c r="A8435" s="175"/>
      <c r="B8435" s="175"/>
      <c r="P8435" s="4"/>
      <c r="Q8435" s="214"/>
    </row>
    <row r="8436" spans="1:17">
      <c r="A8436" s="175"/>
      <c r="B8436" s="175"/>
      <c r="P8436" s="4"/>
      <c r="Q8436" s="214"/>
    </row>
    <row r="8437" spans="1:17">
      <c r="A8437" s="175"/>
      <c r="B8437" s="175"/>
      <c r="P8437" s="4"/>
      <c r="Q8437" s="214"/>
    </row>
    <row r="8438" spans="1:17">
      <c r="A8438" s="175"/>
      <c r="B8438" s="175"/>
      <c r="P8438" s="4"/>
      <c r="Q8438" s="214"/>
    </row>
    <row r="8439" spans="1:17">
      <c r="A8439" s="175"/>
      <c r="B8439" s="175"/>
      <c r="P8439" s="4"/>
      <c r="Q8439" s="214"/>
    </row>
    <row r="8440" spans="1:17">
      <c r="A8440" s="175"/>
      <c r="B8440" s="175"/>
      <c r="P8440" s="4"/>
      <c r="Q8440" s="214"/>
    </row>
    <row r="8441" spans="1:17">
      <c r="A8441" s="175"/>
      <c r="B8441" s="175"/>
      <c r="P8441" s="4"/>
      <c r="Q8441" s="214"/>
    </row>
    <row r="8442" spans="1:17">
      <c r="A8442" s="175"/>
      <c r="B8442" s="175"/>
      <c r="P8442" s="4"/>
      <c r="Q8442" s="214"/>
    </row>
    <row r="8443" spans="1:17">
      <c r="A8443" s="175"/>
      <c r="B8443" s="175"/>
      <c r="P8443" s="4"/>
      <c r="Q8443" s="214"/>
    </row>
    <row r="8444" spans="1:17">
      <c r="A8444" s="175"/>
      <c r="B8444" s="175"/>
      <c r="P8444" s="4"/>
      <c r="Q8444" s="214"/>
    </row>
    <row r="8445" spans="1:17">
      <c r="A8445" s="175"/>
      <c r="B8445" s="175"/>
      <c r="P8445" s="4"/>
      <c r="Q8445" s="214"/>
    </row>
    <row r="8446" spans="1:17">
      <c r="A8446" s="175"/>
      <c r="B8446" s="175"/>
      <c r="P8446" s="4"/>
      <c r="Q8446" s="214"/>
    </row>
    <row r="8447" spans="1:17">
      <c r="A8447" s="175"/>
      <c r="B8447" s="175"/>
      <c r="P8447" s="4"/>
      <c r="Q8447" s="214"/>
    </row>
    <row r="8448" spans="1:17">
      <c r="A8448" s="175"/>
      <c r="B8448" s="175"/>
      <c r="P8448" s="4"/>
      <c r="Q8448" s="214"/>
    </row>
    <row r="8449" spans="1:17">
      <c r="A8449" s="175"/>
      <c r="B8449" s="175"/>
      <c r="P8449" s="4"/>
      <c r="Q8449" s="214"/>
    </row>
    <row r="8450" spans="1:17">
      <c r="A8450" s="175"/>
      <c r="B8450" s="175"/>
      <c r="P8450" s="4"/>
      <c r="Q8450" s="214"/>
    </row>
    <row r="8451" spans="1:17">
      <c r="A8451" s="175"/>
      <c r="B8451" s="175"/>
      <c r="P8451" s="4"/>
      <c r="Q8451" s="214"/>
    </row>
    <row r="8452" spans="1:17">
      <c r="A8452" s="175"/>
      <c r="B8452" s="175"/>
      <c r="P8452" s="4"/>
      <c r="Q8452" s="214"/>
    </row>
    <row r="8453" spans="1:17">
      <c r="A8453" s="175"/>
      <c r="B8453" s="175"/>
      <c r="P8453" s="4"/>
      <c r="Q8453" s="214"/>
    </row>
    <row r="8454" spans="1:17">
      <c r="A8454" s="175"/>
      <c r="B8454" s="175"/>
      <c r="P8454" s="4"/>
      <c r="Q8454" s="214"/>
    </row>
    <row r="8455" spans="1:17">
      <c r="A8455" s="175"/>
      <c r="B8455" s="175"/>
      <c r="P8455" s="4"/>
      <c r="Q8455" s="214"/>
    </row>
    <row r="8456" spans="1:17">
      <c r="A8456" s="175"/>
      <c r="B8456" s="175"/>
      <c r="P8456" s="4"/>
      <c r="Q8456" s="214"/>
    </row>
    <row r="8457" spans="1:17">
      <c r="A8457" s="175"/>
      <c r="B8457" s="175"/>
      <c r="P8457" s="4"/>
      <c r="Q8457" s="214"/>
    </row>
    <row r="8458" spans="1:17">
      <c r="A8458" s="175"/>
      <c r="B8458" s="175"/>
      <c r="P8458" s="4"/>
      <c r="Q8458" s="214"/>
    </row>
    <row r="8459" spans="1:17">
      <c r="A8459" s="175"/>
      <c r="B8459" s="175"/>
      <c r="P8459" s="4"/>
      <c r="Q8459" s="214"/>
    </row>
    <row r="8460" spans="1:17">
      <c r="A8460" s="175"/>
      <c r="B8460" s="175"/>
      <c r="P8460" s="4"/>
      <c r="Q8460" s="214"/>
    </row>
    <row r="8461" spans="1:17">
      <c r="A8461" s="175"/>
      <c r="B8461" s="175"/>
      <c r="P8461" s="4"/>
      <c r="Q8461" s="214"/>
    </row>
    <row r="8462" spans="1:17">
      <c r="A8462" s="175"/>
      <c r="B8462" s="175"/>
      <c r="P8462" s="4"/>
      <c r="Q8462" s="214"/>
    </row>
    <row r="8463" spans="1:17">
      <c r="A8463" s="175"/>
      <c r="B8463" s="175"/>
      <c r="P8463" s="4"/>
      <c r="Q8463" s="214"/>
    </row>
    <row r="8464" spans="1:17">
      <c r="A8464" s="175"/>
      <c r="B8464" s="175"/>
      <c r="P8464" s="4"/>
      <c r="Q8464" s="214"/>
    </row>
    <row r="8465" spans="1:17">
      <c r="A8465" s="175"/>
      <c r="B8465" s="175"/>
      <c r="P8465" s="4"/>
      <c r="Q8465" s="214"/>
    </row>
    <row r="8466" spans="1:17">
      <c r="A8466" s="175"/>
      <c r="B8466" s="175"/>
      <c r="P8466" s="4"/>
      <c r="Q8466" s="214"/>
    </row>
    <row r="8467" spans="1:17">
      <c r="A8467" s="175"/>
      <c r="B8467" s="175"/>
      <c r="P8467" s="4"/>
      <c r="Q8467" s="214"/>
    </row>
    <row r="8468" spans="1:17">
      <c r="A8468" s="175"/>
      <c r="B8468" s="175"/>
      <c r="P8468" s="4"/>
      <c r="Q8468" s="214"/>
    </row>
    <row r="8469" spans="1:17">
      <c r="A8469" s="175"/>
      <c r="B8469" s="175"/>
      <c r="P8469" s="4"/>
      <c r="Q8469" s="214"/>
    </row>
    <row r="8470" spans="1:17">
      <c r="A8470" s="175"/>
      <c r="B8470" s="175"/>
      <c r="P8470" s="4"/>
      <c r="Q8470" s="214"/>
    </row>
    <row r="8471" spans="1:17">
      <c r="A8471" s="175"/>
      <c r="B8471" s="175"/>
      <c r="P8471" s="4"/>
      <c r="Q8471" s="214"/>
    </row>
    <row r="8472" spans="1:17">
      <c r="A8472" s="175"/>
      <c r="B8472" s="175"/>
      <c r="P8472" s="4"/>
      <c r="Q8472" s="214"/>
    </row>
    <row r="8473" spans="1:17">
      <c r="A8473" s="175"/>
      <c r="B8473" s="175"/>
      <c r="P8473" s="4"/>
      <c r="Q8473" s="214"/>
    </row>
    <row r="8474" spans="1:17">
      <c r="A8474" s="175"/>
      <c r="B8474" s="175"/>
      <c r="P8474" s="4"/>
      <c r="Q8474" s="214"/>
    </row>
    <row r="8475" spans="1:17">
      <c r="A8475" s="175"/>
      <c r="B8475" s="175"/>
      <c r="P8475" s="4"/>
      <c r="Q8475" s="214"/>
    </row>
    <row r="8476" spans="1:17">
      <c r="A8476" s="175"/>
      <c r="B8476" s="175"/>
      <c r="P8476" s="4"/>
      <c r="Q8476" s="214"/>
    </row>
    <row r="8477" spans="1:17">
      <c r="A8477" s="175"/>
      <c r="B8477" s="175"/>
      <c r="P8477" s="4"/>
      <c r="Q8477" s="214"/>
    </row>
    <row r="8478" spans="1:17">
      <c r="A8478" s="175"/>
      <c r="B8478" s="175"/>
      <c r="P8478" s="4"/>
      <c r="Q8478" s="214"/>
    </row>
    <row r="8479" spans="1:17">
      <c r="A8479" s="175"/>
      <c r="B8479" s="175"/>
      <c r="P8479" s="4"/>
      <c r="Q8479" s="214"/>
    </row>
    <row r="8480" spans="1:17">
      <c r="A8480" s="175"/>
      <c r="B8480" s="175"/>
      <c r="P8480" s="4"/>
      <c r="Q8480" s="214"/>
    </row>
    <row r="8481" spans="1:17">
      <c r="A8481" s="175"/>
      <c r="B8481" s="175"/>
      <c r="P8481" s="4"/>
      <c r="Q8481" s="214"/>
    </row>
    <row r="8482" spans="1:17">
      <c r="A8482" s="175"/>
      <c r="B8482" s="175"/>
      <c r="P8482" s="4"/>
      <c r="Q8482" s="214"/>
    </row>
    <row r="8483" spans="1:17">
      <c r="A8483" s="175"/>
      <c r="B8483" s="175"/>
      <c r="P8483" s="4"/>
      <c r="Q8483" s="214"/>
    </row>
    <row r="8484" spans="1:17">
      <c r="A8484" s="175"/>
      <c r="B8484" s="175"/>
      <c r="P8484" s="4"/>
      <c r="Q8484" s="214"/>
    </row>
    <row r="8485" spans="1:17">
      <c r="A8485" s="175"/>
      <c r="B8485" s="175"/>
      <c r="P8485" s="4"/>
      <c r="Q8485" s="214"/>
    </row>
    <row r="8486" spans="1:17">
      <c r="A8486" s="175"/>
      <c r="B8486" s="175"/>
      <c r="P8486" s="4"/>
      <c r="Q8486" s="214"/>
    </row>
    <row r="8487" spans="1:17">
      <c r="A8487" s="175"/>
      <c r="B8487" s="175"/>
      <c r="P8487" s="4"/>
      <c r="Q8487" s="214"/>
    </row>
    <row r="8488" spans="1:17">
      <c r="A8488" s="175"/>
      <c r="B8488" s="175"/>
      <c r="P8488" s="4"/>
      <c r="Q8488" s="214"/>
    </row>
    <row r="8489" spans="1:17">
      <c r="A8489" s="175"/>
      <c r="B8489" s="175"/>
      <c r="P8489" s="4"/>
      <c r="Q8489" s="214"/>
    </row>
    <row r="8490" spans="1:17">
      <c r="A8490" s="175"/>
      <c r="B8490" s="175"/>
      <c r="P8490" s="4"/>
      <c r="Q8490" s="214"/>
    </row>
    <row r="8491" spans="1:17">
      <c r="A8491" s="175"/>
      <c r="B8491" s="175"/>
      <c r="P8491" s="4"/>
      <c r="Q8491" s="214"/>
    </row>
    <row r="8492" spans="1:17">
      <c r="A8492" s="175"/>
      <c r="B8492" s="175"/>
      <c r="P8492" s="4"/>
      <c r="Q8492" s="214"/>
    </row>
    <row r="8493" spans="1:17">
      <c r="A8493" s="175"/>
      <c r="B8493" s="175"/>
      <c r="P8493" s="4"/>
      <c r="Q8493" s="214"/>
    </row>
    <row r="8494" spans="1:17">
      <c r="A8494" s="175"/>
      <c r="B8494" s="175"/>
      <c r="P8494" s="4"/>
      <c r="Q8494" s="214"/>
    </row>
    <row r="8495" spans="1:17">
      <c r="A8495" s="175"/>
      <c r="B8495" s="175"/>
      <c r="P8495" s="4"/>
      <c r="Q8495" s="214"/>
    </row>
    <row r="8496" spans="1:17">
      <c r="A8496" s="175"/>
      <c r="B8496" s="175"/>
      <c r="P8496" s="4"/>
      <c r="Q8496" s="214"/>
    </row>
    <row r="8497" spans="1:17">
      <c r="A8497" s="175"/>
      <c r="B8497" s="175"/>
      <c r="P8497" s="4"/>
      <c r="Q8497" s="214"/>
    </row>
    <row r="8498" spans="1:17">
      <c r="A8498" s="175"/>
      <c r="B8498" s="175"/>
      <c r="P8498" s="4"/>
      <c r="Q8498" s="214"/>
    </row>
    <row r="8499" spans="1:17">
      <c r="A8499" s="175"/>
      <c r="B8499" s="175"/>
      <c r="P8499" s="4"/>
      <c r="Q8499" s="214"/>
    </row>
    <row r="8500" spans="1:17">
      <c r="A8500" s="175"/>
      <c r="B8500" s="175"/>
      <c r="P8500" s="4"/>
      <c r="Q8500" s="214"/>
    </row>
    <row r="8501" spans="1:17">
      <c r="A8501" s="175"/>
      <c r="B8501" s="175"/>
      <c r="P8501" s="4"/>
      <c r="Q8501" s="214"/>
    </row>
    <row r="8502" spans="1:17">
      <c r="A8502" s="175"/>
      <c r="B8502" s="175"/>
      <c r="P8502" s="4"/>
      <c r="Q8502" s="214"/>
    </row>
    <row r="8503" spans="1:17">
      <c r="A8503" s="175"/>
      <c r="B8503" s="175"/>
      <c r="P8503" s="4"/>
      <c r="Q8503" s="214"/>
    </row>
    <row r="8504" spans="1:17">
      <c r="A8504" s="175"/>
      <c r="B8504" s="175"/>
      <c r="P8504" s="4"/>
      <c r="Q8504" s="214"/>
    </row>
    <row r="8505" spans="1:17">
      <c r="A8505" s="175"/>
      <c r="B8505" s="175"/>
      <c r="P8505" s="4"/>
      <c r="Q8505" s="214"/>
    </row>
    <row r="8506" spans="1:17">
      <c r="A8506" s="175"/>
      <c r="B8506" s="175"/>
      <c r="P8506" s="4"/>
      <c r="Q8506" s="214"/>
    </row>
    <row r="8507" spans="1:17">
      <c r="A8507" s="175"/>
      <c r="B8507" s="175"/>
      <c r="P8507" s="4"/>
      <c r="Q8507" s="214"/>
    </row>
    <row r="8508" spans="1:17">
      <c r="A8508" s="175"/>
      <c r="B8508" s="175"/>
      <c r="P8508" s="4"/>
      <c r="Q8508" s="214"/>
    </row>
    <row r="8509" spans="1:17">
      <c r="A8509" s="175"/>
      <c r="B8509" s="175"/>
      <c r="P8509" s="4"/>
      <c r="Q8509" s="214"/>
    </row>
    <row r="8510" spans="1:17">
      <c r="A8510" s="175"/>
      <c r="B8510" s="175"/>
      <c r="P8510" s="4"/>
      <c r="Q8510" s="214"/>
    </row>
    <row r="8511" spans="1:17">
      <c r="A8511" s="175"/>
      <c r="B8511" s="175"/>
      <c r="P8511" s="4"/>
      <c r="Q8511" s="214"/>
    </row>
    <row r="8512" spans="1:17">
      <c r="A8512" s="175"/>
      <c r="B8512" s="175"/>
      <c r="P8512" s="4"/>
      <c r="Q8512" s="214"/>
    </row>
    <row r="8513" spans="1:17">
      <c r="A8513" s="175"/>
      <c r="B8513" s="175"/>
      <c r="P8513" s="4"/>
      <c r="Q8513" s="214"/>
    </row>
    <row r="8514" spans="1:17">
      <c r="A8514" s="175"/>
      <c r="B8514" s="175"/>
      <c r="P8514" s="4"/>
      <c r="Q8514" s="214"/>
    </row>
    <row r="8515" spans="1:17">
      <c r="A8515" s="175"/>
      <c r="B8515" s="175"/>
      <c r="P8515" s="4"/>
      <c r="Q8515" s="214"/>
    </row>
    <row r="8516" spans="1:17">
      <c r="A8516" s="175"/>
      <c r="B8516" s="175"/>
      <c r="P8516" s="4"/>
      <c r="Q8516" s="214"/>
    </row>
    <row r="8517" spans="1:17">
      <c r="A8517" s="175"/>
      <c r="B8517" s="175"/>
      <c r="P8517" s="4"/>
      <c r="Q8517" s="214"/>
    </row>
    <row r="8518" spans="1:17">
      <c r="A8518" s="175"/>
      <c r="B8518" s="175"/>
      <c r="P8518" s="4"/>
      <c r="Q8518" s="214"/>
    </row>
    <row r="8519" spans="1:17">
      <c r="A8519" s="175"/>
      <c r="B8519" s="175"/>
      <c r="P8519" s="4"/>
      <c r="Q8519" s="214"/>
    </row>
    <row r="8520" spans="1:17">
      <c r="A8520" s="175"/>
      <c r="B8520" s="175"/>
      <c r="P8520" s="4"/>
      <c r="Q8520" s="214"/>
    </row>
    <row r="8521" spans="1:17">
      <c r="A8521" s="175"/>
      <c r="B8521" s="175"/>
      <c r="P8521" s="4"/>
      <c r="Q8521" s="214"/>
    </row>
    <row r="8522" spans="1:17">
      <c r="A8522" s="175"/>
      <c r="B8522" s="175"/>
      <c r="P8522" s="4"/>
      <c r="Q8522" s="214"/>
    </row>
    <row r="8523" spans="1:17">
      <c r="A8523" s="175"/>
      <c r="B8523" s="175"/>
      <c r="P8523" s="4"/>
      <c r="Q8523" s="214"/>
    </row>
    <row r="8524" spans="1:17">
      <c r="A8524" s="175"/>
      <c r="B8524" s="175"/>
      <c r="P8524" s="4"/>
      <c r="Q8524" s="214"/>
    </row>
    <row r="8525" spans="1:17">
      <c r="A8525" s="175"/>
      <c r="B8525" s="175"/>
      <c r="P8525" s="4"/>
      <c r="Q8525" s="214"/>
    </row>
    <row r="8526" spans="1:17">
      <c r="A8526" s="175"/>
      <c r="B8526" s="175"/>
      <c r="P8526" s="4"/>
      <c r="Q8526" s="214"/>
    </row>
    <row r="8527" spans="1:17">
      <c r="A8527" s="175"/>
      <c r="B8527" s="175"/>
      <c r="P8527" s="4"/>
      <c r="Q8527" s="214"/>
    </row>
    <row r="8528" spans="1:17">
      <c r="A8528" s="175"/>
      <c r="B8528" s="175"/>
      <c r="P8528" s="4"/>
      <c r="Q8528" s="214"/>
    </row>
    <row r="8529" spans="1:17">
      <c r="A8529" s="175"/>
      <c r="B8529" s="175"/>
      <c r="P8529" s="4"/>
      <c r="Q8529" s="214"/>
    </row>
    <row r="8530" spans="1:17">
      <c r="A8530" s="175"/>
      <c r="B8530" s="175"/>
      <c r="P8530" s="4"/>
      <c r="Q8530" s="214"/>
    </row>
    <row r="8531" spans="1:17">
      <c r="A8531" s="175"/>
      <c r="B8531" s="175"/>
      <c r="P8531" s="4"/>
      <c r="Q8531" s="214"/>
    </row>
    <row r="8532" spans="1:17">
      <c r="A8532" s="175"/>
      <c r="B8532" s="175"/>
      <c r="P8532" s="4"/>
      <c r="Q8532" s="214"/>
    </row>
    <row r="8533" spans="1:17">
      <c r="A8533" s="175"/>
      <c r="B8533" s="175"/>
      <c r="P8533" s="4"/>
      <c r="Q8533" s="214"/>
    </row>
    <row r="8534" spans="1:17">
      <c r="A8534" s="175"/>
      <c r="B8534" s="175"/>
      <c r="P8534" s="4"/>
      <c r="Q8534" s="214"/>
    </row>
    <row r="8535" spans="1:17">
      <c r="A8535" s="175"/>
      <c r="B8535" s="175"/>
      <c r="P8535" s="4"/>
      <c r="Q8535" s="214"/>
    </row>
    <row r="8536" spans="1:17">
      <c r="A8536" s="175"/>
      <c r="B8536" s="175"/>
      <c r="P8536" s="4"/>
      <c r="Q8536" s="214"/>
    </row>
    <row r="8537" spans="1:17">
      <c r="A8537" s="175"/>
      <c r="B8537" s="175"/>
      <c r="P8537" s="4"/>
      <c r="Q8537" s="214"/>
    </row>
    <row r="8538" spans="1:17">
      <c r="A8538" s="175"/>
      <c r="B8538" s="175"/>
      <c r="P8538" s="4"/>
      <c r="Q8538" s="214"/>
    </row>
    <row r="8539" spans="1:17">
      <c r="A8539" s="175"/>
      <c r="B8539" s="175"/>
      <c r="P8539" s="4"/>
      <c r="Q8539" s="214"/>
    </row>
    <row r="8540" spans="1:17">
      <c r="A8540" s="175"/>
      <c r="B8540" s="175"/>
      <c r="P8540" s="4"/>
      <c r="Q8540" s="214"/>
    </row>
    <row r="8541" spans="1:17">
      <c r="A8541" s="175"/>
      <c r="B8541" s="175"/>
      <c r="P8541" s="4"/>
      <c r="Q8541" s="214"/>
    </row>
    <row r="8542" spans="1:17">
      <c r="A8542" s="175"/>
      <c r="B8542" s="175"/>
      <c r="P8542" s="4"/>
      <c r="Q8542" s="214"/>
    </row>
    <row r="8543" spans="1:17">
      <c r="A8543" s="175"/>
      <c r="B8543" s="175"/>
      <c r="P8543" s="4"/>
      <c r="Q8543" s="214"/>
    </row>
    <row r="8544" spans="1:17">
      <c r="A8544" s="175"/>
      <c r="B8544" s="175"/>
      <c r="P8544" s="4"/>
      <c r="Q8544" s="214"/>
    </row>
    <row r="8545" spans="1:17">
      <c r="A8545" s="175"/>
      <c r="B8545" s="175"/>
      <c r="P8545" s="4"/>
      <c r="Q8545" s="214"/>
    </row>
    <row r="8546" spans="1:17">
      <c r="A8546" s="175"/>
      <c r="B8546" s="175"/>
      <c r="P8546" s="4"/>
      <c r="Q8546" s="214"/>
    </row>
    <row r="8547" spans="1:17">
      <c r="A8547" s="175"/>
      <c r="B8547" s="175"/>
      <c r="P8547" s="4"/>
      <c r="Q8547" s="214"/>
    </row>
    <row r="8548" spans="1:17">
      <c r="A8548" s="175"/>
      <c r="B8548" s="175"/>
      <c r="P8548" s="4"/>
      <c r="Q8548" s="214"/>
    </row>
    <row r="8549" spans="1:17">
      <c r="A8549" s="175"/>
      <c r="B8549" s="175"/>
      <c r="P8549" s="4"/>
      <c r="Q8549" s="214"/>
    </row>
    <row r="8550" spans="1:17">
      <c r="A8550" s="175"/>
      <c r="B8550" s="175"/>
      <c r="P8550" s="4"/>
      <c r="Q8550" s="214"/>
    </row>
    <row r="8551" spans="1:17">
      <c r="A8551" s="175"/>
      <c r="B8551" s="175"/>
      <c r="P8551" s="4"/>
      <c r="Q8551" s="214"/>
    </row>
    <row r="8552" spans="1:17">
      <c r="A8552" s="175"/>
      <c r="B8552" s="175"/>
      <c r="P8552" s="4"/>
      <c r="Q8552" s="214"/>
    </row>
    <row r="8553" spans="1:17">
      <c r="A8553" s="175"/>
      <c r="B8553" s="175"/>
      <c r="P8553" s="4"/>
      <c r="Q8553" s="214"/>
    </row>
    <row r="8554" spans="1:17">
      <c r="A8554" s="175"/>
      <c r="B8554" s="175"/>
      <c r="P8554" s="4"/>
      <c r="Q8554" s="214"/>
    </row>
    <row r="8555" spans="1:17">
      <c r="A8555" s="175"/>
      <c r="B8555" s="175"/>
      <c r="P8555" s="4"/>
      <c r="Q8555" s="214"/>
    </row>
    <row r="8556" spans="1:17">
      <c r="A8556" s="175"/>
      <c r="B8556" s="175"/>
      <c r="P8556" s="4"/>
      <c r="Q8556" s="214"/>
    </row>
    <row r="8557" spans="1:17">
      <c r="A8557" s="175"/>
      <c r="B8557" s="175"/>
      <c r="P8557" s="4"/>
      <c r="Q8557" s="214"/>
    </row>
    <row r="8558" spans="1:17">
      <c r="A8558" s="175"/>
      <c r="B8558" s="175"/>
      <c r="P8558" s="4"/>
      <c r="Q8558" s="214"/>
    </row>
    <row r="8559" spans="1:17">
      <c r="A8559" s="175"/>
      <c r="B8559" s="175"/>
      <c r="P8559" s="4"/>
      <c r="Q8559" s="214"/>
    </row>
    <row r="8560" spans="1:17">
      <c r="A8560" s="175"/>
      <c r="B8560" s="175"/>
      <c r="P8560" s="4"/>
      <c r="Q8560" s="214"/>
    </row>
    <row r="8561" spans="1:17">
      <c r="A8561" s="175"/>
      <c r="B8561" s="175"/>
      <c r="P8561" s="4"/>
      <c r="Q8561" s="214"/>
    </row>
    <row r="8562" spans="1:17">
      <c r="A8562" s="175"/>
      <c r="B8562" s="175"/>
      <c r="P8562" s="4"/>
      <c r="Q8562" s="214"/>
    </row>
    <row r="8563" spans="1:17">
      <c r="A8563" s="175"/>
      <c r="B8563" s="175"/>
      <c r="P8563" s="4"/>
      <c r="Q8563" s="214"/>
    </row>
    <row r="8564" spans="1:17">
      <c r="A8564" s="175"/>
      <c r="B8564" s="175"/>
      <c r="P8564" s="4"/>
      <c r="Q8564" s="214"/>
    </row>
    <row r="8565" spans="1:17">
      <c r="A8565" s="175"/>
      <c r="B8565" s="175"/>
      <c r="P8565" s="4"/>
      <c r="Q8565" s="214"/>
    </row>
    <row r="8566" spans="1:17">
      <c r="A8566" s="175"/>
      <c r="B8566" s="175"/>
      <c r="P8566" s="4"/>
      <c r="Q8566" s="214"/>
    </row>
    <row r="8567" spans="1:17">
      <c r="A8567" s="175"/>
      <c r="B8567" s="175"/>
      <c r="P8567" s="4"/>
      <c r="Q8567" s="214"/>
    </row>
    <row r="8568" spans="1:17">
      <c r="A8568" s="175"/>
      <c r="B8568" s="175"/>
      <c r="P8568" s="4"/>
      <c r="Q8568" s="214"/>
    </row>
    <row r="8569" spans="1:17">
      <c r="A8569" s="175"/>
      <c r="B8569" s="175"/>
      <c r="P8569" s="4"/>
      <c r="Q8569" s="214"/>
    </row>
    <row r="8570" spans="1:17">
      <c r="A8570" s="175"/>
      <c r="B8570" s="175"/>
      <c r="P8570" s="4"/>
      <c r="Q8570" s="214"/>
    </row>
    <row r="8571" spans="1:17">
      <c r="A8571" s="175"/>
      <c r="B8571" s="175"/>
      <c r="P8571" s="4"/>
      <c r="Q8571" s="214"/>
    </row>
    <row r="8572" spans="1:17">
      <c r="A8572" s="175"/>
      <c r="B8572" s="175"/>
      <c r="P8572" s="4"/>
      <c r="Q8572" s="214"/>
    </row>
    <row r="8573" spans="1:17">
      <c r="A8573" s="175"/>
      <c r="B8573" s="175"/>
      <c r="P8573" s="4"/>
      <c r="Q8573" s="214"/>
    </row>
    <row r="8574" spans="1:17">
      <c r="A8574" s="175"/>
      <c r="B8574" s="175"/>
      <c r="P8574" s="4"/>
      <c r="Q8574" s="214"/>
    </row>
    <row r="8575" spans="1:17">
      <c r="A8575" s="175"/>
      <c r="B8575" s="175"/>
      <c r="P8575" s="4"/>
      <c r="Q8575" s="214"/>
    </row>
    <row r="8576" spans="1:17">
      <c r="A8576" s="175"/>
      <c r="B8576" s="175"/>
      <c r="P8576" s="4"/>
      <c r="Q8576" s="214"/>
    </row>
    <row r="8577" spans="1:17">
      <c r="A8577" s="175"/>
      <c r="B8577" s="175"/>
      <c r="P8577" s="4"/>
      <c r="Q8577" s="214"/>
    </row>
    <row r="8578" spans="1:17">
      <c r="A8578" s="175"/>
      <c r="B8578" s="175"/>
      <c r="P8578" s="4"/>
      <c r="Q8578" s="214"/>
    </row>
    <row r="8579" spans="1:17">
      <c r="A8579" s="175"/>
      <c r="B8579" s="175"/>
      <c r="P8579" s="4"/>
      <c r="Q8579" s="214"/>
    </row>
    <row r="8580" spans="1:17">
      <c r="A8580" s="175"/>
      <c r="B8580" s="175"/>
      <c r="P8580" s="4"/>
      <c r="Q8580" s="214"/>
    </row>
    <row r="8581" spans="1:17">
      <c r="A8581" s="175"/>
      <c r="B8581" s="175"/>
      <c r="P8581" s="4"/>
      <c r="Q8581" s="214"/>
    </row>
    <row r="8582" spans="1:17">
      <c r="A8582" s="175"/>
      <c r="B8582" s="175"/>
      <c r="P8582" s="4"/>
      <c r="Q8582" s="214"/>
    </row>
    <row r="8583" spans="1:17">
      <c r="A8583" s="175"/>
      <c r="B8583" s="175"/>
      <c r="P8583" s="4"/>
      <c r="Q8583" s="214"/>
    </row>
    <row r="8584" spans="1:17">
      <c r="A8584" s="175"/>
      <c r="B8584" s="175"/>
      <c r="P8584" s="4"/>
      <c r="Q8584" s="214"/>
    </row>
    <row r="8585" spans="1:17">
      <c r="A8585" s="175"/>
      <c r="B8585" s="175"/>
      <c r="P8585" s="4"/>
      <c r="Q8585" s="214"/>
    </row>
    <row r="8586" spans="1:17">
      <c r="A8586" s="175"/>
      <c r="B8586" s="175"/>
      <c r="P8586" s="4"/>
      <c r="Q8586" s="214"/>
    </row>
    <row r="8587" spans="1:17">
      <c r="A8587" s="175"/>
      <c r="B8587" s="175"/>
      <c r="P8587" s="4"/>
      <c r="Q8587" s="214"/>
    </row>
    <row r="8588" spans="1:17">
      <c r="A8588" s="175"/>
      <c r="B8588" s="175"/>
      <c r="P8588" s="4"/>
      <c r="Q8588" s="214"/>
    </row>
    <row r="8589" spans="1:17">
      <c r="A8589" s="175"/>
      <c r="B8589" s="175"/>
      <c r="P8589" s="4"/>
      <c r="Q8589" s="214"/>
    </row>
    <row r="8590" spans="1:17">
      <c r="A8590" s="175"/>
      <c r="B8590" s="175"/>
      <c r="P8590" s="4"/>
      <c r="Q8590" s="214"/>
    </row>
    <row r="8591" spans="1:17">
      <c r="A8591" s="175"/>
      <c r="B8591" s="175"/>
      <c r="P8591" s="4"/>
      <c r="Q8591" s="214"/>
    </row>
    <row r="8592" spans="1:17">
      <c r="A8592" s="175"/>
      <c r="B8592" s="175"/>
      <c r="P8592" s="4"/>
      <c r="Q8592" s="214"/>
    </row>
    <row r="8593" spans="1:17">
      <c r="A8593" s="175"/>
      <c r="B8593" s="175"/>
      <c r="P8593" s="4"/>
      <c r="Q8593" s="214"/>
    </row>
    <row r="8594" spans="1:17">
      <c r="A8594" s="175"/>
      <c r="B8594" s="175"/>
      <c r="P8594" s="4"/>
      <c r="Q8594" s="214"/>
    </row>
    <row r="8595" spans="1:17">
      <c r="A8595" s="175"/>
      <c r="B8595" s="175"/>
      <c r="P8595" s="4"/>
      <c r="Q8595" s="214"/>
    </row>
    <row r="8596" spans="1:17">
      <c r="A8596" s="175"/>
      <c r="B8596" s="175"/>
      <c r="P8596" s="4"/>
      <c r="Q8596" s="214"/>
    </row>
    <row r="8597" spans="1:17">
      <c r="A8597" s="175"/>
      <c r="B8597" s="175"/>
      <c r="P8597" s="4"/>
      <c r="Q8597" s="214"/>
    </row>
    <row r="8598" spans="1:17">
      <c r="A8598" s="175"/>
      <c r="B8598" s="175"/>
      <c r="P8598" s="4"/>
      <c r="Q8598" s="214"/>
    </row>
    <row r="8599" spans="1:17">
      <c r="A8599" s="175"/>
      <c r="B8599" s="175"/>
      <c r="P8599" s="4"/>
      <c r="Q8599" s="214"/>
    </row>
    <row r="8600" spans="1:17">
      <c r="A8600" s="175"/>
      <c r="B8600" s="175"/>
      <c r="P8600" s="4"/>
      <c r="Q8600" s="214"/>
    </row>
    <row r="8601" spans="1:17">
      <c r="A8601" s="175"/>
      <c r="B8601" s="175"/>
      <c r="P8601" s="4"/>
      <c r="Q8601" s="214"/>
    </row>
    <row r="8602" spans="1:17">
      <c r="A8602" s="175"/>
      <c r="B8602" s="175"/>
      <c r="P8602" s="4"/>
      <c r="Q8602" s="214"/>
    </row>
    <row r="8603" spans="1:17">
      <c r="A8603" s="175"/>
      <c r="B8603" s="175"/>
      <c r="P8603" s="4"/>
      <c r="Q8603" s="214"/>
    </row>
    <row r="8604" spans="1:17">
      <c r="A8604" s="175"/>
      <c r="B8604" s="175"/>
      <c r="P8604" s="4"/>
      <c r="Q8604" s="214"/>
    </row>
    <row r="8605" spans="1:17">
      <c r="A8605" s="175"/>
      <c r="B8605" s="175"/>
      <c r="P8605" s="4"/>
      <c r="Q8605" s="214"/>
    </row>
    <row r="8606" spans="1:17">
      <c r="A8606" s="175"/>
      <c r="B8606" s="175"/>
      <c r="P8606" s="4"/>
      <c r="Q8606" s="214"/>
    </row>
    <row r="8607" spans="1:17">
      <c r="A8607" s="175"/>
      <c r="B8607" s="175"/>
      <c r="P8607" s="4"/>
      <c r="Q8607" s="214"/>
    </row>
    <row r="8608" spans="1:17">
      <c r="A8608" s="175"/>
      <c r="B8608" s="175"/>
      <c r="P8608" s="4"/>
      <c r="Q8608" s="214"/>
    </row>
    <row r="8609" spans="1:17">
      <c r="A8609" s="175"/>
      <c r="B8609" s="175"/>
      <c r="P8609" s="4"/>
      <c r="Q8609" s="214"/>
    </row>
    <row r="8610" spans="1:17">
      <c r="A8610" s="175"/>
      <c r="B8610" s="175"/>
      <c r="P8610" s="4"/>
      <c r="Q8610" s="214"/>
    </row>
    <row r="8611" spans="1:17">
      <c r="A8611" s="175"/>
      <c r="B8611" s="175"/>
      <c r="P8611" s="4"/>
      <c r="Q8611" s="214"/>
    </row>
    <row r="8612" spans="1:17">
      <c r="A8612" s="175"/>
      <c r="B8612" s="175"/>
      <c r="P8612" s="4"/>
      <c r="Q8612" s="214"/>
    </row>
    <row r="8613" spans="1:17">
      <c r="A8613" s="175"/>
      <c r="B8613" s="175"/>
      <c r="P8613" s="4"/>
      <c r="Q8613" s="214"/>
    </row>
    <row r="8614" spans="1:17">
      <c r="A8614" s="175"/>
      <c r="B8614" s="175"/>
      <c r="P8614" s="4"/>
      <c r="Q8614" s="214"/>
    </row>
    <row r="8615" spans="1:17">
      <c r="A8615" s="175"/>
      <c r="B8615" s="175"/>
      <c r="P8615" s="4"/>
      <c r="Q8615" s="214"/>
    </row>
    <row r="8616" spans="1:17">
      <c r="A8616" s="175"/>
      <c r="B8616" s="175"/>
      <c r="P8616" s="4"/>
      <c r="Q8616" s="214"/>
    </row>
    <row r="8617" spans="1:17">
      <c r="A8617" s="175"/>
      <c r="B8617" s="175"/>
      <c r="P8617" s="4"/>
      <c r="Q8617" s="214"/>
    </row>
    <row r="8618" spans="1:17">
      <c r="A8618" s="175"/>
      <c r="B8618" s="175"/>
      <c r="P8618" s="4"/>
      <c r="Q8618" s="214"/>
    </row>
    <row r="8619" spans="1:17">
      <c r="A8619" s="175"/>
      <c r="B8619" s="175"/>
      <c r="P8619" s="4"/>
      <c r="Q8619" s="214"/>
    </row>
    <row r="8620" spans="1:17">
      <c r="A8620" s="175"/>
      <c r="B8620" s="175"/>
      <c r="P8620" s="4"/>
      <c r="Q8620" s="214"/>
    </row>
    <row r="8621" spans="1:17">
      <c r="A8621" s="175"/>
      <c r="B8621" s="175"/>
      <c r="P8621" s="4"/>
      <c r="Q8621" s="214"/>
    </row>
    <row r="8622" spans="1:17">
      <c r="A8622" s="175"/>
      <c r="B8622" s="175"/>
      <c r="P8622" s="4"/>
      <c r="Q8622" s="214"/>
    </row>
    <row r="8623" spans="1:17">
      <c r="A8623" s="175"/>
      <c r="B8623" s="175"/>
      <c r="P8623" s="4"/>
      <c r="Q8623" s="214"/>
    </row>
    <row r="8624" spans="1:17">
      <c r="A8624" s="175"/>
      <c r="B8624" s="175"/>
      <c r="P8624" s="4"/>
      <c r="Q8624" s="214"/>
    </row>
    <row r="8625" spans="1:17">
      <c r="A8625" s="175"/>
      <c r="B8625" s="175"/>
      <c r="P8625" s="4"/>
      <c r="Q8625" s="214"/>
    </row>
    <row r="8626" spans="1:17">
      <c r="A8626" s="175"/>
      <c r="B8626" s="175"/>
      <c r="P8626" s="4"/>
      <c r="Q8626" s="214"/>
    </row>
    <row r="8627" spans="1:17">
      <c r="A8627" s="175"/>
      <c r="B8627" s="175"/>
      <c r="P8627" s="4"/>
      <c r="Q8627" s="214"/>
    </row>
    <row r="8628" spans="1:17">
      <c r="A8628" s="175"/>
      <c r="B8628" s="175"/>
      <c r="P8628" s="4"/>
      <c r="Q8628" s="214"/>
    </row>
    <row r="8629" spans="1:17">
      <c r="A8629" s="175"/>
      <c r="B8629" s="175"/>
      <c r="P8629" s="4"/>
      <c r="Q8629" s="214"/>
    </row>
    <row r="8630" spans="1:17">
      <c r="A8630" s="175"/>
      <c r="B8630" s="175"/>
      <c r="P8630" s="4"/>
      <c r="Q8630" s="214"/>
    </row>
    <row r="8631" spans="1:17">
      <c r="A8631" s="175"/>
      <c r="B8631" s="175"/>
      <c r="P8631" s="4"/>
      <c r="Q8631" s="214"/>
    </row>
    <row r="8632" spans="1:17">
      <c r="A8632" s="175"/>
      <c r="B8632" s="175"/>
      <c r="P8632" s="4"/>
      <c r="Q8632" s="214"/>
    </row>
    <row r="8633" spans="1:17">
      <c r="A8633" s="175"/>
      <c r="B8633" s="175"/>
      <c r="P8633" s="4"/>
      <c r="Q8633" s="214"/>
    </row>
    <row r="8634" spans="1:17">
      <c r="A8634" s="175"/>
      <c r="B8634" s="175"/>
      <c r="P8634" s="4"/>
      <c r="Q8634" s="214"/>
    </row>
    <row r="8635" spans="1:17">
      <c r="A8635" s="175"/>
      <c r="B8635" s="175"/>
      <c r="P8635" s="4"/>
      <c r="Q8635" s="214"/>
    </row>
    <row r="8636" spans="1:17">
      <c r="A8636" s="175"/>
      <c r="B8636" s="175"/>
      <c r="P8636" s="4"/>
      <c r="Q8636" s="214"/>
    </row>
    <row r="8637" spans="1:17">
      <c r="A8637" s="175"/>
      <c r="B8637" s="175"/>
      <c r="P8637" s="4"/>
      <c r="Q8637" s="214"/>
    </row>
    <row r="8638" spans="1:17">
      <c r="A8638" s="175"/>
      <c r="B8638" s="175"/>
      <c r="P8638" s="4"/>
      <c r="Q8638" s="214"/>
    </row>
    <row r="8639" spans="1:17">
      <c r="A8639" s="175"/>
      <c r="B8639" s="175"/>
      <c r="P8639" s="4"/>
      <c r="Q8639" s="214"/>
    </row>
    <row r="8640" spans="1:17">
      <c r="A8640" s="175"/>
      <c r="B8640" s="175"/>
      <c r="P8640" s="4"/>
      <c r="Q8640" s="214"/>
    </row>
    <row r="8641" spans="1:17">
      <c r="A8641" s="175"/>
      <c r="B8641" s="175"/>
      <c r="P8641" s="4"/>
      <c r="Q8641" s="214"/>
    </row>
    <row r="8642" spans="1:17">
      <c r="A8642" s="175"/>
      <c r="B8642" s="175"/>
      <c r="P8642" s="4"/>
      <c r="Q8642" s="214"/>
    </row>
    <row r="8643" spans="1:17">
      <c r="A8643" s="175"/>
      <c r="B8643" s="175"/>
      <c r="P8643" s="4"/>
      <c r="Q8643" s="214"/>
    </row>
    <row r="8644" spans="1:17">
      <c r="A8644" s="175"/>
      <c r="B8644" s="175"/>
      <c r="P8644" s="4"/>
      <c r="Q8644" s="214"/>
    </row>
    <row r="8645" spans="1:17">
      <c r="A8645" s="175"/>
      <c r="B8645" s="175"/>
      <c r="P8645" s="4"/>
      <c r="Q8645" s="214"/>
    </row>
    <row r="8646" spans="1:17">
      <c r="A8646" s="175"/>
      <c r="B8646" s="175"/>
      <c r="P8646" s="4"/>
      <c r="Q8646" s="214"/>
    </row>
    <row r="8647" spans="1:17">
      <c r="A8647" s="175"/>
      <c r="B8647" s="175"/>
      <c r="P8647" s="4"/>
      <c r="Q8647" s="214"/>
    </row>
    <row r="8648" spans="1:17">
      <c r="A8648" s="175"/>
      <c r="B8648" s="175"/>
      <c r="P8648" s="4"/>
      <c r="Q8648" s="214"/>
    </row>
    <row r="8649" spans="1:17">
      <c r="A8649" s="175"/>
      <c r="B8649" s="175"/>
      <c r="P8649" s="4"/>
      <c r="Q8649" s="214"/>
    </row>
    <row r="8650" spans="1:17">
      <c r="A8650" s="175"/>
      <c r="B8650" s="175"/>
      <c r="P8650" s="4"/>
      <c r="Q8650" s="214"/>
    </row>
    <row r="8651" spans="1:17">
      <c r="A8651" s="175"/>
      <c r="B8651" s="175"/>
      <c r="P8651" s="4"/>
      <c r="Q8651" s="214"/>
    </row>
    <row r="8652" spans="1:17">
      <c r="A8652" s="175"/>
      <c r="B8652" s="175"/>
      <c r="P8652" s="4"/>
      <c r="Q8652" s="214"/>
    </row>
    <row r="8653" spans="1:17">
      <c r="A8653" s="175"/>
      <c r="B8653" s="175"/>
      <c r="P8653" s="4"/>
      <c r="Q8653" s="214"/>
    </row>
    <row r="8654" spans="1:17">
      <c r="A8654" s="175"/>
      <c r="B8654" s="175"/>
      <c r="P8654" s="4"/>
      <c r="Q8654" s="214"/>
    </row>
    <row r="8655" spans="1:17">
      <c r="A8655" s="175"/>
      <c r="B8655" s="175"/>
      <c r="P8655" s="4"/>
      <c r="Q8655" s="214"/>
    </row>
    <row r="8656" spans="1:17">
      <c r="A8656" s="175"/>
      <c r="B8656" s="175"/>
      <c r="P8656" s="4"/>
      <c r="Q8656" s="214"/>
    </row>
    <row r="8657" spans="1:17">
      <c r="A8657" s="175"/>
      <c r="B8657" s="175"/>
      <c r="P8657" s="4"/>
      <c r="Q8657" s="214"/>
    </row>
    <row r="8658" spans="1:17">
      <c r="A8658" s="175"/>
      <c r="B8658" s="175"/>
      <c r="P8658" s="4"/>
      <c r="Q8658" s="214"/>
    </row>
    <row r="8659" spans="1:17">
      <c r="A8659" s="175"/>
      <c r="B8659" s="175"/>
      <c r="P8659" s="4"/>
      <c r="Q8659" s="214"/>
    </row>
    <row r="8660" spans="1:17">
      <c r="A8660" s="175"/>
      <c r="B8660" s="175"/>
      <c r="P8660" s="4"/>
      <c r="Q8660" s="214"/>
    </row>
    <row r="8661" spans="1:17">
      <c r="A8661" s="175"/>
      <c r="B8661" s="175"/>
      <c r="P8661" s="4"/>
      <c r="Q8661" s="214"/>
    </row>
    <row r="8662" spans="1:17">
      <c r="A8662" s="175"/>
      <c r="B8662" s="175"/>
      <c r="P8662" s="4"/>
      <c r="Q8662" s="214"/>
    </row>
    <row r="8663" spans="1:17">
      <c r="A8663" s="175"/>
      <c r="B8663" s="175"/>
      <c r="P8663" s="4"/>
      <c r="Q8663" s="214"/>
    </row>
    <row r="8664" spans="1:17">
      <c r="A8664" s="175"/>
      <c r="B8664" s="175"/>
      <c r="P8664" s="4"/>
      <c r="Q8664" s="214"/>
    </row>
    <row r="8665" spans="1:17">
      <c r="A8665" s="175"/>
      <c r="B8665" s="175"/>
      <c r="P8665" s="4"/>
      <c r="Q8665" s="214"/>
    </row>
    <row r="8666" spans="1:17">
      <c r="A8666" s="175"/>
      <c r="B8666" s="175"/>
      <c r="P8666" s="4"/>
      <c r="Q8666" s="214"/>
    </row>
    <row r="8667" spans="1:17">
      <c r="A8667" s="175"/>
      <c r="B8667" s="175"/>
      <c r="P8667" s="4"/>
      <c r="Q8667" s="214"/>
    </row>
    <row r="8668" spans="1:17">
      <c r="A8668" s="175"/>
      <c r="B8668" s="175"/>
      <c r="P8668" s="4"/>
      <c r="Q8668" s="214"/>
    </row>
    <row r="8669" spans="1:17">
      <c r="A8669" s="175"/>
      <c r="B8669" s="175"/>
      <c r="P8669" s="4"/>
      <c r="Q8669" s="214"/>
    </row>
    <row r="8670" spans="1:17">
      <c r="A8670" s="175"/>
      <c r="B8670" s="175"/>
      <c r="P8670" s="4"/>
      <c r="Q8670" s="214"/>
    </row>
    <row r="8671" spans="1:17">
      <c r="A8671" s="175"/>
      <c r="B8671" s="175"/>
      <c r="P8671" s="4"/>
      <c r="Q8671" s="214"/>
    </row>
    <row r="8672" spans="1:17">
      <c r="A8672" s="175"/>
      <c r="B8672" s="175"/>
      <c r="P8672" s="4"/>
      <c r="Q8672" s="214"/>
    </row>
    <row r="8673" spans="1:17">
      <c r="A8673" s="175"/>
      <c r="B8673" s="175"/>
      <c r="P8673" s="4"/>
      <c r="Q8673" s="214"/>
    </row>
    <row r="8674" spans="1:17">
      <c r="A8674" s="175"/>
      <c r="B8674" s="175"/>
      <c r="P8674" s="4"/>
      <c r="Q8674" s="214"/>
    </row>
    <row r="8675" spans="1:17">
      <c r="A8675" s="175"/>
      <c r="B8675" s="175"/>
      <c r="P8675" s="4"/>
      <c r="Q8675" s="214"/>
    </row>
    <row r="8676" spans="1:17">
      <c r="A8676" s="175"/>
      <c r="B8676" s="175"/>
      <c r="P8676" s="4"/>
      <c r="Q8676" s="214"/>
    </row>
    <row r="8677" spans="1:17">
      <c r="A8677" s="175"/>
      <c r="B8677" s="175"/>
      <c r="P8677" s="4"/>
      <c r="Q8677" s="214"/>
    </row>
    <row r="8678" spans="1:17">
      <c r="A8678" s="175"/>
      <c r="B8678" s="175"/>
      <c r="P8678" s="4"/>
      <c r="Q8678" s="214"/>
    </row>
    <row r="8679" spans="1:17">
      <c r="A8679" s="175"/>
      <c r="B8679" s="175"/>
      <c r="P8679" s="4"/>
      <c r="Q8679" s="214"/>
    </row>
    <row r="8680" spans="1:17">
      <c r="A8680" s="175"/>
      <c r="B8680" s="175"/>
      <c r="P8680" s="4"/>
      <c r="Q8680" s="214"/>
    </row>
    <row r="8681" spans="1:17">
      <c r="A8681" s="175"/>
      <c r="B8681" s="175"/>
      <c r="P8681" s="4"/>
      <c r="Q8681" s="214"/>
    </row>
    <row r="8682" spans="1:17">
      <c r="A8682" s="175"/>
      <c r="B8682" s="175"/>
      <c r="P8682" s="4"/>
      <c r="Q8682" s="214"/>
    </row>
    <row r="8683" spans="1:17">
      <c r="A8683" s="175"/>
      <c r="B8683" s="175"/>
      <c r="P8683" s="4"/>
      <c r="Q8683" s="214"/>
    </row>
    <row r="8684" spans="1:17">
      <c r="A8684" s="175"/>
      <c r="B8684" s="175"/>
      <c r="P8684" s="4"/>
      <c r="Q8684" s="214"/>
    </row>
    <row r="8685" spans="1:17">
      <c r="A8685" s="175"/>
      <c r="B8685" s="175"/>
      <c r="P8685" s="4"/>
      <c r="Q8685" s="214"/>
    </row>
    <row r="8686" spans="1:17">
      <c r="A8686" s="175"/>
      <c r="B8686" s="175"/>
      <c r="P8686" s="4"/>
      <c r="Q8686" s="214"/>
    </row>
    <row r="8687" spans="1:17">
      <c r="A8687" s="175"/>
      <c r="B8687" s="175"/>
      <c r="P8687" s="4"/>
      <c r="Q8687" s="214"/>
    </row>
    <row r="8688" spans="1:17">
      <c r="A8688" s="175"/>
      <c r="B8688" s="175"/>
      <c r="P8688" s="4"/>
      <c r="Q8688" s="214"/>
    </row>
    <row r="8689" spans="1:17">
      <c r="A8689" s="175"/>
      <c r="B8689" s="175"/>
      <c r="P8689" s="4"/>
      <c r="Q8689" s="214"/>
    </row>
    <row r="8690" spans="1:17">
      <c r="A8690" s="175"/>
      <c r="B8690" s="175"/>
      <c r="P8690" s="4"/>
      <c r="Q8690" s="214"/>
    </row>
    <row r="8691" spans="1:17">
      <c r="A8691" s="175"/>
      <c r="B8691" s="175"/>
      <c r="P8691" s="4"/>
      <c r="Q8691" s="214"/>
    </row>
    <row r="8692" spans="1:17">
      <c r="A8692" s="175"/>
      <c r="B8692" s="175"/>
      <c r="P8692" s="4"/>
      <c r="Q8692" s="214"/>
    </row>
    <row r="8693" spans="1:17">
      <c r="A8693" s="175"/>
      <c r="B8693" s="175"/>
      <c r="P8693" s="4"/>
      <c r="Q8693" s="214"/>
    </row>
    <row r="8694" spans="1:17">
      <c r="A8694" s="175"/>
      <c r="B8694" s="175"/>
      <c r="P8694" s="4"/>
      <c r="Q8694" s="214"/>
    </row>
    <row r="8695" spans="1:17">
      <c r="A8695" s="175"/>
      <c r="B8695" s="175"/>
      <c r="P8695" s="4"/>
      <c r="Q8695" s="214"/>
    </row>
    <row r="8696" spans="1:17">
      <c r="A8696" s="175"/>
      <c r="B8696" s="175"/>
      <c r="P8696" s="4"/>
      <c r="Q8696" s="214"/>
    </row>
    <row r="8697" spans="1:17">
      <c r="A8697" s="175"/>
      <c r="B8697" s="175"/>
      <c r="P8697" s="4"/>
      <c r="Q8697" s="214"/>
    </row>
    <row r="8698" spans="1:17">
      <c r="A8698" s="175"/>
      <c r="B8698" s="175"/>
      <c r="P8698" s="4"/>
      <c r="Q8698" s="214"/>
    </row>
    <row r="8699" spans="1:17">
      <c r="A8699" s="175"/>
      <c r="B8699" s="175"/>
      <c r="P8699" s="4"/>
      <c r="Q8699" s="214"/>
    </row>
    <row r="8700" spans="1:17">
      <c r="A8700" s="175"/>
      <c r="B8700" s="175"/>
      <c r="P8700" s="4"/>
      <c r="Q8700" s="214"/>
    </row>
    <row r="8701" spans="1:17">
      <c r="A8701" s="175"/>
      <c r="B8701" s="175"/>
      <c r="P8701" s="4"/>
      <c r="Q8701" s="214"/>
    </row>
    <row r="8702" spans="1:17">
      <c r="A8702" s="175"/>
      <c r="B8702" s="175"/>
      <c r="P8702" s="4"/>
      <c r="Q8702" s="214"/>
    </row>
    <row r="8703" spans="1:17">
      <c r="A8703" s="175"/>
      <c r="B8703" s="175"/>
      <c r="P8703" s="4"/>
      <c r="Q8703" s="214"/>
    </row>
    <row r="8704" spans="1:17">
      <c r="A8704" s="175"/>
      <c r="B8704" s="175"/>
      <c r="P8704" s="4"/>
      <c r="Q8704" s="214"/>
    </row>
    <row r="8705" spans="1:17">
      <c r="A8705" s="175"/>
      <c r="B8705" s="175"/>
      <c r="P8705" s="4"/>
      <c r="Q8705" s="214"/>
    </row>
    <row r="8706" spans="1:17">
      <c r="A8706" s="175"/>
      <c r="B8706" s="175"/>
      <c r="P8706" s="4"/>
      <c r="Q8706" s="214"/>
    </row>
    <row r="8707" spans="1:17">
      <c r="A8707" s="175"/>
      <c r="B8707" s="175"/>
      <c r="P8707" s="4"/>
      <c r="Q8707" s="214"/>
    </row>
    <row r="8708" spans="1:17">
      <c r="A8708" s="175"/>
      <c r="B8708" s="175"/>
      <c r="P8708" s="4"/>
      <c r="Q8708" s="214"/>
    </row>
    <row r="8709" spans="1:17">
      <c r="A8709" s="175"/>
      <c r="B8709" s="175"/>
      <c r="P8709" s="4"/>
      <c r="Q8709" s="214"/>
    </row>
    <row r="8710" spans="1:17">
      <c r="A8710" s="175"/>
      <c r="B8710" s="175"/>
      <c r="P8710" s="4"/>
      <c r="Q8710" s="214"/>
    </row>
    <row r="8711" spans="1:17">
      <c r="A8711" s="175"/>
      <c r="B8711" s="175"/>
      <c r="P8711" s="4"/>
      <c r="Q8711" s="214"/>
    </row>
    <row r="8712" spans="1:17">
      <c r="A8712" s="175"/>
      <c r="B8712" s="175"/>
      <c r="P8712" s="4"/>
      <c r="Q8712" s="214"/>
    </row>
    <row r="8713" spans="1:17">
      <c r="A8713" s="175"/>
      <c r="B8713" s="175"/>
      <c r="P8713" s="4"/>
      <c r="Q8713" s="214"/>
    </row>
    <row r="8714" spans="1:17">
      <c r="A8714" s="175"/>
      <c r="B8714" s="175"/>
      <c r="P8714" s="4"/>
      <c r="Q8714" s="214"/>
    </row>
    <row r="8715" spans="1:17">
      <c r="A8715" s="175"/>
      <c r="B8715" s="175"/>
      <c r="P8715" s="4"/>
      <c r="Q8715" s="214"/>
    </row>
    <row r="8716" spans="1:17">
      <c r="A8716" s="175"/>
      <c r="B8716" s="175"/>
      <c r="P8716" s="4"/>
      <c r="Q8716" s="214"/>
    </row>
    <row r="8717" spans="1:17">
      <c r="A8717" s="175"/>
      <c r="B8717" s="175"/>
      <c r="P8717" s="4"/>
      <c r="Q8717" s="214"/>
    </row>
    <row r="8718" spans="1:17">
      <c r="A8718" s="175"/>
      <c r="B8718" s="175"/>
      <c r="P8718" s="4"/>
      <c r="Q8718" s="214"/>
    </row>
    <row r="8719" spans="1:17">
      <c r="A8719" s="175"/>
      <c r="B8719" s="175"/>
      <c r="P8719" s="4"/>
      <c r="Q8719" s="214"/>
    </row>
    <row r="8720" spans="1:17">
      <c r="A8720" s="175"/>
      <c r="B8720" s="175"/>
      <c r="P8720" s="4"/>
      <c r="Q8720" s="214"/>
    </row>
    <row r="8721" spans="1:17">
      <c r="A8721" s="175"/>
      <c r="B8721" s="175"/>
      <c r="P8721" s="4"/>
      <c r="Q8721" s="214"/>
    </row>
    <row r="8722" spans="1:17">
      <c r="A8722" s="175"/>
      <c r="B8722" s="175"/>
      <c r="P8722" s="4"/>
      <c r="Q8722" s="214"/>
    </row>
    <row r="8723" spans="1:17">
      <c r="A8723" s="175"/>
      <c r="B8723" s="175"/>
      <c r="P8723" s="4"/>
      <c r="Q8723" s="214"/>
    </row>
    <row r="8724" spans="1:17">
      <c r="A8724" s="175"/>
      <c r="B8724" s="175"/>
      <c r="P8724" s="4"/>
      <c r="Q8724" s="214"/>
    </row>
    <row r="8725" spans="1:17">
      <c r="A8725" s="175"/>
      <c r="B8725" s="175"/>
      <c r="P8725" s="4"/>
      <c r="Q8725" s="214"/>
    </row>
    <row r="8726" spans="1:17">
      <c r="A8726" s="175"/>
      <c r="B8726" s="175"/>
      <c r="P8726" s="4"/>
      <c r="Q8726" s="214"/>
    </row>
    <row r="8727" spans="1:17">
      <c r="A8727" s="175"/>
      <c r="B8727" s="175"/>
      <c r="P8727" s="4"/>
      <c r="Q8727" s="214"/>
    </row>
    <row r="8728" spans="1:17">
      <c r="A8728" s="175"/>
      <c r="B8728" s="175"/>
      <c r="P8728" s="4"/>
      <c r="Q8728" s="214"/>
    </row>
    <row r="8729" spans="1:17">
      <c r="A8729" s="175"/>
      <c r="B8729" s="175"/>
      <c r="P8729" s="4"/>
      <c r="Q8729" s="214"/>
    </row>
    <row r="8730" spans="1:17">
      <c r="A8730" s="175"/>
      <c r="B8730" s="175"/>
      <c r="P8730" s="4"/>
      <c r="Q8730" s="214"/>
    </row>
    <row r="8731" spans="1:17">
      <c r="A8731" s="175"/>
      <c r="B8731" s="175"/>
      <c r="P8731" s="4"/>
      <c r="Q8731" s="214"/>
    </row>
    <row r="8732" spans="1:17">
      <c r="A8732" s="175"/>
      <c r="B8732" s="175"/>
      <c r="P8732" s="4"/>
      <c r="Q8732" s="214"/>
    </row>
    <row r="8733" spans="1:17">
      <c r="A8733" s="175"/>
      <c r="B8733" s="175"/>
      <c r="P8733" s="4"/>
      <c r="Q8733" s="214"/>
    </row>
    <row r="8734" spans="1:17">
      <c r="A8734" s="175"/>
      <c r="B8734" s="175"/>
      <c r="P8734" s="4"/>
      <c r="Q8734" s="214"/>
    </row>
    <row r="8735" spans="1:17">
      <c r="A8735" s="175"/>
      <c r="B8735" s="175"/>
      <c r="P8735" s="4"/>
      <c r="Q8735" s="214"/>
    </row>
    <row r="8736" spans="1:17">
      <c r="A8736" s="175"/>
      <c r="B8736" s="175"/>
      <c r="P8736" s="4"/>
      <c r="Q8736" s="214"/>
    </row>
    <row r="8737" spans="1:17">
      <c r="A8737" s="175"/>
      <c r="B8737" s="175"/>
      <c r="P8737" s="4"/>
      <c r="Q8737" s="214"/>
    </row>
    <row r="8738" spans="1:17">
      <c r="A8738" s="175"/>
      <c r="B8738" s="175"/>
      <c r="P8738" s="4"/>
      <c r="Q8738" s="214"/>
    </row>
    <row r="8739" spans="1:17">
      <c r="A8739" s="175"/>
      <c r="B8739" s="175"/>
      <c r="P8739" s="4"/>
      <c r="Q8739" s="214"/>
    </row>
    <row r="8740" spans="1:17">
      <c r="A8740" s="175"/>
      <c r="B8740" s="175"/>
      <c r="P8740" s="4"/>
      <c r="Q8740" s="214"/>
    </row>
    <row r="8741" spans="1:17">
      <c r="A8741" s="175"/>
      <c r="B8741" s="175"/>
      <c r="P8741" s="4"/>
      <c r="Q8741" s="214"/>
    </row>
    <row r="8742" spans="1:17">
      <c r="A8742" s="175"/>
      <c r="B8742" s="175"/>
      <c r="P8742" s="4"/>
      <c r="Q8742" s="214"/>
    </row>
    <row r="8743" spans="1:17">
      <c r="A8743" s="175"/>
      <c r="B8743" s="175"/>
      <c r="P8743" s="4"/>
      <c r="Q8743" s="214"/>
    </row>
    <row r="8744" spans="1:17">
      <c r="A8744" s="175"/>
      <c r="B8744" s="175"/>
      <c r="P8744" s="4"/>
      <c r="Q8744" s="214"/>
    </row>
    <row r="8745" spans="1:17">
      <c r="A8745" s="175"/>
      <c r="B8745" s="175"/>
      <c r="P8745" s="4"/>
      <c r="Q8745" s="214"/>
    </row>
    <row r="8746" spans="1:17">
      <c r="A8746" s="175"/>
      <c r="B8746" s="175"/>
      <c r="P8746" s="4"/>
      <c r="Q8746" s="214"/>
    </row>
    <row r="8747" spans="1:17">
      <c r="A8747" s="175"/>
      <c r="B8747" s="175"/>
      <c r="P8747" s="4"/>
      <c r="Q8747" s="214"/>
    </row>
    <row r="8748" spans="1:17">
      <c r="A8748" s="175"/>
      <c r="B8748" s="175"/>
      <c r="P8748" s="4"/>
      <c r="Q8748" s="214"/>
    </row>
    <row r="8749" spans="1:17">
      <c r="A8749" s="175"/>
      <c r="B8749" s="175"/>
      <c r="P8749" s="4"/>
      <c r="Q8749" s="214"/>
    </row>
    <row r="8750" spans="1:17">
      <c r="A8750" s="175"/>
      <c r="B8750" s="175"/>
      <c r="P8750" s="4"/>
      <c r="Q8750" s="214"/>
    </row>
    <row r="8751" spans="1:17">
      <c r="A8751" s="175"/>
      <c r="B8751" s="175"/>
      <c r="P8751" s="4"/>
      <c r="Q8751" s="214"/>
    </row>
    <row r="8752" spans="1:17">
      <c r="A8752" s="175"/>
      <c r="B8752" s="175"/>
      <c r="P8752" s="4"/>
      <c r="Q8752" s="214"/>
    </row>
    <row r="8753" spans="1:17">
      <c r="A8753" s="175"/>
      <c r="B8753" s="175"/>
      <c r="P8753" s="4"/>
      <c r="Q8753" s="214"/>
    </row>
    <row r="8754" spans="1:17">
      <c r="A8754" s="175"/>
      <c r="B8754" s="175"/>
      <c r="P8754" s="4"/>
      <c r="Q8754" s="214"/>
    </row>
    <row r="8755" spans="1:17">
      <c r="A8755" s="175"/>
      <c r="B8755" s="175"/>
      <c r="P8755" s="4"/>
      <c r="Q8755" s="214"/>
    </row>
    <row r="8756" spans="1:17">
      <c r="A8756" s="175"/>
      <c r="B8756" s="175"/>
      <c r="P8756" s="4"/>
      <c r="Q8756" s="214"/>
    </row>
    <row r="8757" spans="1:17">
      <c r="A8757" s="175"/>
      <c r="B8757" s="175"/>
      <c r="P8757" s="4"/>
      <c r="Q8757" s="214"/>
    </row>
    <row r="8758" spans="1:17">
      <c r="A8758" s="175"/>
      <c r="B8758" s="175"/>
      <c r="P8758" s="4"/>
      <c r="Q8758" s="214"/>
    </row>
    <row r="8759" spans="1:17">
      <c r="A8759" s="175"/>
      <c r="B8759" s="175"/>
      <c r="P8759" s="4"/>
      <c r="Q8759" s="214"/>
    </row>
    <row r="8760" spans="1:17">
      <c r="A8760" s="175"/>
      <c r="B8760" s="175"/>
      <c r="P8760" s="4"/>
      <c r="Q8760" s="214"/>
    </row>
    <row r="8761" spans="1:17">
      <c r="A8761" s="175"/>
      <c r="B8761" s="175"/>
      <c r="P8761" s="4"/>
      <c r="Q8761" s="214"/>
    </row>
    <row r="8762" spans="1:17">
      <c r="A8762" s="175"/>
      <c r="B8762" s="175"/>
      <c r="P8762" s="4"/>
      <c r="Q8762" s="214"/>
    </row>
    <row r="8763" spans="1:17">
      <c r="A8763" s="175"/>
      <c r="B8763" s="175"/>
      <c r="P8763" s="4"/>
      <c r="Q8763" s="214"/>
    </row>
    <row r="8764" spans="1:17">
      <c r="A8764" s="175"/>
      <c r="B8764" s="175"/>
      <c r="P8764" s="4"/>
      <c r="Q8764" s="214"/>
    </row>
    <row r="8765" spans="1:17">
      <c r="A8765" s="175"/>
      <c r="B8765" s="175"/>
      <c r="P8765" s="4"/>
      <c r="Q8765" s="214"/>
    </row>
    <row r="8766" spans="1:17">
      <c r="A8766" s="175"/>
      <c r="B8766" s="175"/>
      <c r="P8766" s="4"/>
      <c r="Q8766" s="214"/>
    </row>
    <row r="8767" spans="1:17">
      <c r="A8767" s="175"/>
      <c r="B8767" s="175"/>
      <c r="P8767" s="4"/>
      <c r="Q8767" s="214"/>
    </row>
    <row r="8768" spans="1:17">
      <c r="A8768" s="175"/>
      <c r="B8768" s="175"/>
      <c r="P8768" s="4"/>
      <c r="Q8768" s="214"/>
    </row>
    <row r="8769" spans="1:17">
      <c r="A8769" s="175"/>
      <c r="B8769" s="175"/>
      <c r="P8769" s="4"/>
      <c r="Q8769" s="214"/>
    </row>
    <row r="8770" spans="1:17">
      <c r="A8770" s="175"/>
      <c r="B8770" s="175"/>
      <c r="P8770" s="4"/>
      <c r="Q8770" s="214"/>
    </row>
    <row r="8771" spans="1:17">
      <c r="A8771" s="175"/>
      <c r="B8771" s="175"/>
      <c r="P8771" s="4"/>
      <c r="Q8771" s="214"/>
    </row>
    <row r="8772" spans="1:17">
      <c r="A8772" s="175"/>
      <c r="B8772" s="175"/>
      <c r="P8772" s="4"/>
      <c r="Q8772" s="214"/>
    </row>
    <row r="8773" spans="1:17">
      <c r="A8773" s="175"/>
      <c r="B8773" s="175"/>
      <c r="P8773" s="4"/>
      <c r="Q8773" s="214"/>
    </row>
    <row r="8774" spans="1:17">
      <c r="A8774" s="175"/>
      <c r="B8774" s="175"/>
      <c r="P8774" s="4"/>
      <c r="Q8774" s="214"/>
    </row>
    <row r="8775" spans="1:17">
      <c r="A8775" s="175"/>
      <c r="B8775" s="175"/>
      <c r="P8775" s="4"/>
      <c r="Q8775" s="214"/>
    </row>
    <row r="8776" spans="1:17">
      <c r="A8776" s="175"/>
      <c r="B8776" s="175"/>
      <c r="P8776" s="4"/>
      <c r="Q8776" s="214"/>
    </row>
    <row r="8777" spans="1:17">
      <c r="A8777" s="175"/>
      <c r="B8777" s="175"/>
      <c r="P8777" s="4"/>
      <c r="Q8777" s="214"/>
    </row>
    <row r="8778" spans="1:17">
      <c r="A8778" s="175"/>
      <c r="B8778" s="175"/>
      <c r="P8778" s="4"/>
      <c r="Q8778" s="214"/>
    </row>
    <row r="8779" spans="1:17">
      <c r="A8779" s="175"/>
      <c r="B8779" s="175"/>
      <c r="P8779" s="4"/>
      <c r="Q8779" s="214"/>
    </row>
    <row r="8780" spans="1:17">
      <c r="A8780" s="175"/>
      <c r="B8780" s="175"/>
      <c r="P8780" s="4"/>
      <c r="Q8780" s="214"/>
    </row>
    <row r="8781" spans="1:17">
      <c r="A8781" s="175"/>
      <c r="B8781" s="175"/>
      <c r="P8781" s="4"/>
      <c r="Q8781" s="214"/>
    </row>
    <row r="8782" spans="1:17">
      <c r="A8782" s="175"/>
      <c r="B8782" s="175"/>
      <c r="P8782" s="4"/>
      <c r="Q8782" s="214"/>
    </row>
    <row r="8783" spans="1:17">
      <c r="A8783" s="175"/>
      <c r="B8783" s="175"/>
      <c r="P8783" s="4"/>
      <c r="Q8783" s="214"/>
    </row>
    <row r="8784" spans="1:17">
      <c r="A8784" s="175"/>
      <c r="B8784" s="175"/>
      <c r="P8784" s="4"/>
      <c r="Q8784" s="214"/>
    </row>
    <row r="8785" spans="1:17">
      <c r="A8785" s="175"/>
      <c r="B8785" s="175"/>
      <c r="P8785" s="4"/>
      <c r="Q8785" s="214"/>
    </row>
    <row r="8786" spans="1:17">
      <c r="A8786" s="175"/>
      <c r="B8786" s="175"/>
      <c r="P8786" s="4"/>
      <c r="Q8786" s="214"/>
    </row>
    <row r="8787" spans="1:17">
      <c r="A8787" s="175"/>
      <c r="B8787" s="175"/>
      <c r="P8787" s="4"/>
      <c r="Q8787" s="214"/>
    </row>
    <row r="8788" spans="1:17">
      <c r="A8788" s="175"/>
      <c r="B8788" s="175"/>
      <c r="P8788" s="4"/>
      <c r="Q8788" s="214"/>
    </row>
    <row r="8789" spans="1:17">
      <c r="A8789" s="175"/>
      <c r="B8789" s="175"/>
      <c r="P8789" s="4"/>
      <c r="Q8789" s="214"/>
    </row>
    <row r="8790" spans="1:17">
      <c r="A8790" s="175"/>
      <c r="B8790" s="175"/>
      <c r="P8790" s="4"/>
      <c r="Q8790" s="214"/>
    </row>
    <row r="8791" spans="1:17">
      <c r="A8791" s="175"/>
      <c r="B8791" s="175"/>
      <c r="P8791" s="4"/>
      <c r="Q8791" s="214"/>
    </row>
    <row r="8792" spans="1:17">
      <c r="A8792" s="175"/>
      <c r="B8792" s="175"/>
      <c r="P8792" s="4"/>
      <c r="Q8792" s="214"/>
    </row>
    <row r="8793" spans="1:17">
      <c r="A8793" s="175"/>
      <c r="B8793" s="175"/>
      <c r="P8793" s="4"/>
      <c r="Q8793" s="214"/>
    </row>
    <row r="8794" spans="1:17">
      <c r="A8794" s="175"/>
      <c r="B8794" s="175"/>
      <c r="P8794" s="4"/>
      <c r="Q8794" s="214"/>
    </row>
    <row r="8795" spans="1:17">
      <c r="A8795" s="175"/>
      <c r="B8795" s="175"/>
      <c r="P8795" s="4"/>
      <c r="Q8795" s="214"/>
    </row>
    <row r="8796" spans="1:17">
      <c r="A8796" s="175"/>
      <c r="B8796" s="175"/>
      <c r="P8796" s="4"/>
      <c r="Q8796" s="214"/>
    </row>
    <row r="8797" spans="1:17">
      <c r="A8797" s="175"/>
      <c r="B8797" s="175"/>
      <c r="P8797" s="4"/>
      <c r="Q8797" s="214"/>
    </row>
    <row r="8798" spans="1:17">
      <c r="A8798" s="175"/>
      <c r="B8798" s="175"/>
      <c r="P8798" s="4"/>
      <c r="Q8798" s="214"/>
    </row>
    <row r="8799" spans="1:17">
      <c r="A8799" s="175"/>
      <c r="B8799" s="175"/>
      <c r="P8799" s="4"/>
      <c r="Q8799" s="214"/>
    </row>
    <row r="8800" spans="1:17">
      <c r="A8800" s="175"/>
      <c r="B8800" s="175"/>
      <c r="P8800" s="4"/>
      <c r="Q8800" s="214"/>
    </row>
    <row r="8801" spans="1:17">
      <c r="A8801" s="175"/>
      <c r="B8801" s="175"/>
      <c r="P8801" s="4"/>
      <c r="Q8801" s="214"/>
    </row>
    <row r="8802" spans="1:17">
      <c r="A8802" s="175"/>
      <c r="B8802" s="175"/>
      <c r="P8802" s="4"/>
      <c r="Q8802" s="214"/>
    </row>
    <row r="8803" spans="1:17">
      <c r="A8803" s="175"/>
      <c r="B8803" s="175"/>
      <c r="P8803" s="4"/>
      <c r="Q8803" s="214"/>
    </row>
    <row r="8804" spans="1:17">
      <c r="A8804" s="175"/>
      <c r="B8804" s="175"/>
      <c r="P8804" s="4"/>
      <c r="Q8804" s="214"/>
    </row>
    <row r="8805" spans="1:17">
      <c r="A8805" s="175"/>
      <c r="B8805" s="175"/>
      <c r="P8805" s="4"/>
      <c r="Q8805" s="214"/>
    </row>
    <row r="8806" spans="1:17">
      <c r="A8806" s="175"/>
      <c r="B8806" s="175"/>
      <c r="P8806" s="4"/>
      <c r="Q8806" s="214"/>
    </row>
    <row r="8807" spans="1:17">
      <c r="A8807" s="175"/>
      <c r="B8807" s="175"/>
      <c r="P8807" s="4"/>
      <c r="Q8807" s="214"/>
    </row>
    <row r="8808" spans="1:17">
      <c r="A8808" s="175"/>
      <c r="B8808" s="175"/>
      <c r="P8808" s="4"/>
      <c r="Q8808" s="214"/>
    </row>
    <row r="8809" spans="1:17">
      <c r="A8809" s="175"/>
      <c r="B8809" s="175"/>
      <c r="P8809" s="4"/>
      <c r="Q8809" s="214"/>
    </row>
    <row r="8810" spans="1:17">
      <c r="A8810" s="175"/>
      <c r="B8810" s="175"/>
      <c r="P8810" s="4"/>
      <c r="Q8810" s="214"/>
    </row>
    <row r="8811" spans="1:17">
      <c r="A8811" s="175"/>
      <c r="B8811" s="175"/>
      <c r="P8811" s="4"/>
      <c r="Q8811" s="214"/>
    </row>
    <row r="8812" spans="1:17">
      <c r="A8812" s="175"/>
      <c r="B8812" s="175"/>
      <c r="P8812" s="4"/>
      <c r="Q8812" s="214"/>
    </row>
    <row r="8813" spans="1:17">
      <c r="A8813" s="175"/>
      <c r="B8813" s="175"/>
      <c r="P8813" s="4"/>
      <c r="Q8813" s="214"/>
    </row>
    <row r="8814" spans="1:17">
      <c r="A8814" s="175"/>
      <c r="B8814" s="175"/>
      <c r="P8814" s="4"/>
      <c r="Q8814" s="214"/>
    </row>
    <row r="8815" spans="1:17">
      <c r="A8815" s="175"/>
      <c r="B8815" s="175"/>
      <c r="P8815" s="4"/>
      <c r="Q8815" s="214"/>
    </row>
    <row r="8816" spans="1:17">
      <c r="A8816" s="175"/>
      <c r="B8816" s="175"/>
      <c r="P8816" s="4"/>
      <c r="Q8816" s="214"/>
    </row>
    <row r="8817" spans="1:17">
      <c r="A8817" s="175"/>
      <c r="B8817" s="175"/>
      <c r="P8817" s="4"/>
      <c r="Q8817" s="214"/>
    </row>
    <row r="8818" spans="1:17">
      <c r="A8818" s="175"/>
      <c r="B8818" s="175"/>
      <c r="P8818" s="4"/>
      <c r="Q8818" s="214"/>
    </row>
    <row r="8819" spans="1:17">
      <c r="A8819" s="175"/>
      <c r="B8819" s="175"/>
      <c r="P8819" s="4"/>
      <c r="Q8819" s="214"/>
    </row>
    <row r="8820" spans="1:17">
      <c r="A8820" s="175"/>
      <c r="B8820" s="175"/>
      <c r="P8820" s="4"/>
      <c r="Q8820" s="214"/>
    </row>
    <row r="8821" spans="1:17">
      <c r="A8821" s="175"/>
      <c r="B8821" s="175"/>
      <c r="P8821" s="4"/>
      <c r="Q8821" s="214"/>
    </row>
    <row r="8822" spans="1:17">
      <c r="A8822" s="175"/>
      <c r="B8822" s="175"/>
      <c r="P8822" s="4"/>
      <c r="Q8822" s="214"/>
    </row>
    <row r="8823" spans="1:17">
      <c r="A8823" s="175"/>
      <c r="B8823" s="175"/>
      <c r="P8823" s="4"/>
      <c r="Q8823" s="214"/>
    </row>
    <row r="8824" spans="1:17">
      <c r="A8824" s="175"/>
      <c r="B8824" s="175"/>
      <c r="P8824" s="4"/>
      <c r="Q8824" s="214"/>
    </row>
    <row r="8825" spans="1:17">
      <c r="A8825" s="175"/>
      <c r="B8825" s="175"/>
      <c r="P8825" s="4"/>
      <c r="Q8825" s="214"/>
    </row>
    <row r="8826" spans="1:17">
      <c r="A8826" s="175"/>
      <c r="B8826" s="175"/>
      <c r="P8826" s="4"/>
      <c r="Q8826" s="214"/>
    </row>
    <row r="8827" spans="1:17">
      <c r="A8827" s="175"/>
      <c r="B8827" s="175"/>
      <c r="P8827" s="4"/>
      <c r="Q8827" s="214"/>
    </row>
    <row r="8828" spans="1:17">
      <c r="A8828" s="175"/>
      <c r="B8828" s="175"/>
      <c r="P8828" s="4"/>
      <c r="Q8828" s="214"/>
    </row>
    <row r="8829" spans="1:17">
      <c r="A8829" s="175"/>
      <c r="B8829" s="175"/>
      <c r="P8829" s="4"/>
      <c r="Q8829" s="214"/>
    </row>
    <row r="8830" spans="1:17">
      <c r="A8830" s="175"/>
      <c r="B8830" s="175"/>
      <c r="P8830" s="4"/>
      <c r="Q8830" s="214"/>
    </row>
    <row r="8831" spans="1:17">
      <c r="A8831" s="175"/>
      <c r="B8831" s="175"/>
      <c r="P8831" s="4"/>
      <c r="Q8831" s="214"/>
    </row>
    <row r="8832" spans="1:17">
      <c r="A8832" s="175"/>
      <c r="B8832" s="175"/>
      <c r="P8832" s="4"/>
      <c r="Q8832" s="214"/>
    </row>
    <row r="8833" spans="1:17">
      <c r="A8833" s="175"/>
      <c r="B8833" s="175"/>
      <c r="P8833" s="4"/>
      <c r="Q8833" s="214"/>
    </row>
    <row r="8834" spans="1:17">
      <c r="A8834" s="175"/>
      <c r="B8834" s="175"/>
      <c r="P8834" s="4"/>
      <c r="Q8834" s="214"/>
    </row>
    <row r="8835" spans="1:17">
      <c r="A8835" s="175"/>
      <c r="B8835" s="175"/>
      <c r="P8835" s="4"/>
      <c r="Q8835" s="214"/>
    </row>
    <row r="8836" spans="1:17">
      <c r="A8836" s="175"/>
      <c r="B8836" s="175"/>
      <c r="P8836" s="4"/>
      <c r="Q8836" s="214"/>
    </row>
    <row r="8837" spans="1:17">
      <c r="A8837" s="175"/>
      <c r="B8837" s="175"/>
      <c r="P8837" s="4"/>
      <c r="Q8837" s="214"/>
    </row>
    <row r="8838" spans="1:17">
      <c r="A8838" s="175"/>
      <c r="B8838" s="175"/>
      <c r="P8838" s="4"/>
      <c r="Q8838" s="214"/>
    </row>
    <row r="8839" spans="1:17">
      <c r="A8839" s="175"/>
      <c r="B8839" s="175"/>
      <c r="P8839" s="4"/>
      <c r="Q8839" s="214"/>
    </row>
    <row r="8840" spans="1:17">
      <c r="A8840" s="175"/>
      <c r="B8840" s="175"/>
      <c r="P8840" s="4"/>
      <c r="Q8840" s="214"/>
    </row>
    <row r="8841" spans="1:17">
      <c r="A8841" s="175"/>
      <c r="B8841" s="175"/>
      <c r="P8841" s="4"/>
      <c r="Q8841" s="214"/>
    </row>
    <row r="8842" spans="1:17">
      <c r="A8842" s="175"/>
      <c r="B8842" s="175"/>
      <c r="P8842" s="4"/>
      <c r="Q8842" s="214"/>
    </row>
    <row r="8843" spans="1:17">
      <c r="A8843" s="175"/>
      <c r="B8843" s="175"/>
      <c r="P8843" s="4"/>
      <c r="Q8843" s="214"/>
    </row>
    <row r="8844" spans="1:17">
      <c r="A8844" s="175"/>
      <c r="B8844" s="175"/>
      <c r="P8844" s="4"/>
      <c r="Q8844" s="214"/>
    </row>
    <row r="8845" spans="1:17">
      <c r="A8845" s="175"/>
      <c r="B8845" s="175"/>
      <c r="P8845" s="4"/>
      <c r="Q8845" s="214"/>
    </row>
    <row r="8846" spans="1:17">
      <c r="A8846" s="175"/>
      <c r="B8846" s="175"/>
      <c r="P8846" s="4"/>
      <c r="Q8846" s="214"/>
    </row>
    <row r="8847" spans="1:17">
      <c r="A8847" s="175"/>
      <c r="B8847" s="175"/>
      <c r="P8847" s="4"/>
      <c r="Q8847" s="214"/>
    </row>
    <row r="8848" spans="1:17">
      <c r="A8848" s="175"/>
      <c r="B8848" s="175"/>
      <c r="P8848" s="4"/>
      <c r="Q8848" s="214"/>
    </row>
    <row r="8849" spans="1:17">
      <c r="A8849" s="175"/>
      <c r="B8849" s="175"/>
      <c r="P8849" s="4"/>
      <c r="Q8849" s="214"/>
    </row>
    <row r="8850" spans="1:17">
      <c r="A8850" s="175"/>
      <c r="B8850" s="175"/>
      <c r="P8850" s="4"/>
      <c r="Q8850" s="214"/>
    </row>
    <row r="8851" spans="1:17">
      <c r="A8851" s="175"/>
      <c r="B8851" s="175"/>
      <c r="P8851" s="4"/>
      <c r="Q8851" s="214"/>
    </row>
    <row r="8852" spans="1:17">
      <c r="A8852" s="175"/>
      <c r="B8852" s="175"/>
      <c r="P8852" s="4"/>
      <c r="Q8852" s="214"/>
    </row>
    <row r="8853" spans="1:17">
      <c r="A8853" s="175"/>
      <c r="B8853" s="175"/>
      <c r="P8853" s="4"/>
      <c r="Q8853" s="214"/>
    </row>
    <row r="8854" spans="1:17">
      <c r="A8854" s="175"/>
      <c r="B8854" s="175"/>
      <c r="P8854" s="4"/>
      <c r="Q8854" s="214"/>
    </row>
    <row r="8855" spans="1:17">
      <c r="A8855" s="175"/>
      <c r="B8855" s="175"/>
      <c r="P8855" s="4"/>
      <c r="Q8855" s="214"/>
    </row>
    <row r="8856" spans="1:17">
      <c r="A8856" s="175"/>
      <c r="B8856" s="175"/>
      <c r="P8856" s="4"/>
      <c r="Q8856" s="214"/>
    </row>
    <row r="8857" spans="1:17">
      <c r="A8857" s="175"/>
      <c r="B8857" s="175"/>
      <c r="P8857" s="4"/>
      <c r="Q8857" s="214"/>
    </row>
    <row r="8858" spans="1:17">
      <c r="A8858" s="175"/>
      <c r="B8858" s="175"/>
      <c r="P8858" s="4"/>
      <c r="Q8858" s="214"/>
    </row>
    <row r="8859" spans="1:17">
      <c r="A8859" s="175"/>
      <c r="B8859" s="175"/>
      <c r="P8859" s="4"/>
      <c r="Q8859" s="214"/>
    </row>
    <row r="8860" spans="1:17">
      <c r="A8860" s="175"/>
      <c r="B8860" s="175"/>
      <c r="P8860" s="4"/>
      <c r="Q8860" s="214"/>
    </row>
    <row r="8861" spans="1:17">
      <c r="A8861" s="175"/>
      <c r="B8861" s="175"/>
      <c r="P8861" s="4"/>
      <c r="Q8861" s="214"/>
    </row>
    <row r="8862" spans="1:17">
      <c r="A8862" s="175"/>
      <c r="B8862" s="175"/>
      <c r="P8862" s="4"/>
      <c r="Q8862" s="214"/>
    </row>
    <row r="8863" spans="1:17">
      <c r="A8863" s="175"/>
      <c r="B8863" s="175"/>
      <c r="P8863" s="4"/>
      <c r="Q8863" s="214"/>
    </row>
    <row r="8864" spans="1:17">
      <c r="A8864" s="175"/>
      <c r="B8864" s="175"/>
      <c r="P8864" s="4"/>
      <c r="Q8864" s="214"/>
    </row>
    <row r="8865" spans="1:17">
      <c r="A8865" s="175"/>
      <c r="B8865" s="175"/>
      <c r="P8865" s="4"/>
      <c r="Q8865" s="214"/>
    </row>
    <row r="8866" spans="1:17">
      <c r="A8866" s="175"/>
      <c r="B8866" s="175"/>
      <c r="P8866" s="4"/>
      <c r="Q8866" s="214"/>
    </row>
    <row r="8867" spans="1:17">
      <c r="A8867" s="175"/>
      <c r="B8867" s="175"/>
      <c r="P8867" s="4"/>
      <c r="Q8867" s="214"/>
    </row>
    <row r="8868" spans="1:17">
      <c r="A8868" s="175"/>
      <c r="B8868" s="175"/>
      <c r="P8868" s="4"/>
      <c r="Q8868" s="214"/>
    </row>
    <row r="8869" spans="1:17">
      <c r="A8869" s="175"/>
      <c r="B8869" s="175"/>
      <c r="P8869" s="4"/>
      <c r="Q8869" s="214"/>
    </row>
    <row r="8870" spans="1:17">
      <c r="A8870" s="175"/>
      <c r="B8870" s="175"/>
      <c r="P8870" s="4"/>
      <c r="Q8870" s="214"/>
    </row>
    <row r="8871" spans="1:17">
      <c r="A8871" s="175"/>
      <c r="B8871" s="175"/>
      <c r="P8871" s="4"/>
      <c r="Q8871" s="214"/>
    </row>
    <row r="8872" spans="1:17">
      <c r="A8872" s="175"/>
      <c r="B8872" s="175"/>
      <c r="P8872" s="4"/>
      <c r="Q8872" s="214"/>
    </row>
    <row r="8873" spans="1:17">
      <c r="A8873" s="175"/>
      <c r="B8873" s="175"/>
      <c r="P8873" s="4"/>
      <c r="Q8873" s="214"/>
    </row>
    <row r="8874" spans="1:17">
      <c r="A8874" s="175"/>
      <c r="B8874" s="175"/>
      <c r="P8874" s="4"/>
      <c r="Q8874" s="214"/>
    </row>
    <row r="8875" spans="1:17">
      <c r="A8875" s="175"/>
      <c r="B8875" s="175"/>
      <c r="P8875" s="4"/>
      <c r="Q8875" s="214"/>
    </row>
    <row r="8876" spans="1:17">
      <c r="A8876" s="175"/>
      <c r="B8876" s="175"/>
      <c r="P8876" s="4"/>
      <c r="Q8876" s="214"/>
    </row>
    <row r="8877" spans="1:17">
      <c r="A8877" s="175"/>
      <c r="B8877" s="175"/>
      <c r="P8877" s="4"/>
      <c r="Q8877" s="214"/>
    </row>
    <row r="8878" spans="1:17">
      <c r="A8878" s="175"/>
      <c r="B8878" s="175"/>
      <c r="P8878" s="4"/>
      <c r="Q8878" s="214"/>
    </row>
    <row r="8879" spans="1:17">
      <c r="A8879" s="175"/>
      <c r="B8879" s="175"/>
      <c r="P8879" s="4"/>
      <c r="Q8879" s="214"/>
    </row>
    <row r="8880" spans="1:17">
      <c r="A8880" s="175"/>
      <c r="B8880" s="175"/>
      <c r="P8880" s="4"/>
      <c r="Q8880" s="214"/>
    </row>
    <row r="8881" spans="1:17">
      <c r="A8881" s="175"/>
      <c r="B8881" s="175"/>
      <c r="P8881" s="4"/>
      <c r="Q8881" s="214"/>
    </row>
    <row r="8882" spans="1:17">
      <c r="A8882" s="175"/>
      <c r="B8882" s="175"/>
      <c r="P8882" s="4"/>
      <c r="Q8882" s="214"/>
    </row>
    <row r="8883" spans="1:17">
      <c r="A8883" s="175"/>
      <c r="B8883" s="175"/>
      <c r="P8883" s="4"/>
      <c r="Q8883" s="214"/>
    </row>
    <row r="8884" spans="1:17">
      <c r="A8884" s="175"/>
      <c r="B8884" s="175"/>
      <c r="P8884" s="4"/>
      <c r="Q8884" s="214"/>
    </row>
    <row r="8885" spans="1:17">
      <c r="A8885" s="175"/>
      <c r="B8885" s="175"/>
      <c r="P8885" s="4"/>
      <c r="Q8885" s="214"/>
    </row>
    <row r="8886" spans="1:17">
      <c r="A8886" s="175"/>
      <c r="B8886" s="175"/>
      <c r="P8886" s="4"/>
      <c r="Q8886" s="214"/>
    </row>
    <row r="8887" spans="1:17">
      <c r="A8887" s="175"/>
      <c r="B8887" s="175"/>
      <c r="P8887" s="4"/>
      <c r="Q8887" s="214"/>
    </row>
    <row r="8888" spans="1:17">
      <c r="A8888" s="175"/>
      <c r="B8888" s="175"/>
      <c r="P8888" s="4"/>
      <c r="Q8888" s="214"/>
    </row>
    <row r="8889" spans="1:17">
      <c r="A8889" s="175"/>
      <c r="B8889" s="175"/>
      <c r="P8889" s="4"/>
      <c r="Q8889" s="214"/>
    </row>
    <row r="8890" spans="1:17">
      <c r="A8890" s="175"/>
      <c r="B8890" s="175"/>
      <c r="P8890" s="4"/>
      <c r="Q8890" s="214"/>
    </row>
    <row r="8891" spans="1:17">
      <c r="A8891" s="175"/>
      <c r="B8891" s="175"/>
      <c r="P8891" s="4"/>
      <c r="Q8891" s="214"/>
    </row>
    <row r="8892" spans="1:17">
      <c r="A8892" s="175"/>
      <c r="B8892" s="175"/>
      <c r="P8892" s="4"/>
      <c r="Q8892" s="214"/>
    </row>
    <row r="8893" spans="1:17">
      <c r="A8893" s="175"/>
      <c r="B8893" s="175"/>
      <c r="P8893" s="4"/>
      <c r="Q8893" s="214"/>
    </row>
    <row r="8894" spans="1:17">
      <c r="A8894" s="175"/>
      <c r="B8894" s="175"/>
      <c r="P8894" s="4"/>
      <c r="Q8894" s="214"/>
    </row>
    <row r="8895" spans="1:17">
      <c r="A8895" s="175"/>
      <c r="B8895" s="175"/>
      <c r="P8895" s="4"/>
      <c r="Q8895" s="214"/>
    </row>
    <row r="8896" spans="1:17">
      <c r="A8896" s="175"/>
      <c r="B8896" s="175"/>
      <c r="P8896" s="4"/>
      <c r="Q8896" s="214"/>
    </row>
    <row r="8897" spans="1:17">
      <c r="A8897" s="175"/>
      <c r="B8897" s="175"/>
      <c r="P8897" s="4"/>
      <c r="Q8897" s="214"/>
    </row>
    <row r="8898" spans="1:17">
      <c r="A8898" s="175"/>
      <c r="B8898" s="175"/>
      <c r="P8898" s="4"/>
      <c r="Q8898" s="214"/>
    </row>
    <row r="8899" spans="1:17">
      <c r="A8899" s="175"/>
      <c r="B8899" s="175"/>
      <c r="P8899" s="4"/>
      <c r="Q8899" s="214"/>
    </row>
    <row r="8900" spans="1:17">
      <c r="A8900" s="175"/>
      <c r="B8900" s="175"/>
      <c r="P8900" s="4"/>
      <c r="Q8900" s="214"/>
    </row>
    <row r="8901" spans="1:17">
      <c r="A8901" s="175"/>
      <c r="B8901" s="175"/>
      <c r="P8901" s="4"/>
      <c r="Q8901" s="214"/>
    </row>
    <row r="8902" spans="1:17">
      <c r="A8902" s="175"/>
      <c r="B8902" s="175"/>
      <c r="P8902" s="4"/>
      <c r="Q8902" s="214"/>
    </row>
    <row r="8903" spans="1:17">
      <c r="A8903" s="175"/>
      <c r="B8903" s="175"/>
      <c r="P8903" s="4"/>
      <c r="Q8903" s="214"/>
    </row>
    <row r="8904" spans="1:17">
      <c r="A8904" s="175"/>
      <c r="B8904" s="175"/>
      <c r="P8904" s="4"/>
      <c r="Q8904" s="214"/>
    </row>
    <row r="8905" spans="1:17">
      <c r="A8905" s="175"/>
      <c r="B8905" s="175"/>
      <c r="P8905" s="4"/>
      <c r="Q8905" s="214"/>
    </row>
    <row r="8906" spans="1:17">
      <c r="A8906" s="175"/>
      <c r="B8906" s="175"/>
      <c r="P8906" s="4"/>
      <c r="Q8906" s="214"/>
    </row>
    <row r="8907" spans="1:17">
      <c r="A8907" s="175"/>
      <c r="B8907" s="175"/>
      <c r="P8907" s="4"/>
      <c r="Q8907" s="214"/>
    </row>
    <row r="8908" spans="1:17">
      <c r="A8908" s="175"/>
      <c r="B8908" s="175"/>
      <c r="P8908" s="4"/>
      <c r="Q8908" s="214"/>
    </row>
    <row r="8909" spans="1:17">
      <c r="A8909" s="175"/>
      <c r="B8909" s="175"/>
      <c r="P8909" s="4"/>
      <c r="Q8909" s="214"/>
    </row>
    <row r="8910" spans="1:17">
      <c r="A8910" s="175"/>
      <c r="B8910" s="175"/>
      <c r="P8910" s="4"/>
      <c r="Q8910" s="214"/>
    </row>
    <row r="8911" spans="1:17">
      <c r="A8911" s="175"/>
      <c r="B8911" s="175"/>
      <c r="P8911" s="4"/>
      <c r="Q8911" s="214"/>
    </row>
    <row r="8912" spans="1:17">
      <c r="A8912" s="175"/>
      <c r="B8912" s="175"/>
      <c r="P8912" s="4"/>
      <c r="Q8912" s="214"/>
    </row>
    <row r="8913" spans="1:17">
      <c r="A8913" s="175"/>
      <c r="B8913" s="175"/>
      <c r="P8913" s="4"/>
      <c r="Q8913" s="214"/>
    </row>
    <row r="8914" spans="1:17">
      <c r="A8914" s="175"/>
      <c r="B8914" s="175"/>
      <c r="P8914" s="4"/>
      <c r="Q8914" s="214"/>
    </row>
    <row r="8915" spans="1:17">
      <c r="A8915" s="175"/>
      <c r="B8915" s="175"/>
      <c r="P8915" s="4"/>
      <c r="Q8915" s="214"/>
    </row>
    <row r="8916" spans="1:17">
      <c r="A8916" s="175"/>
      <c r="B8916" s="175"/>
      <c r="P8916" s="4"/>
      <c r="Q8916" s="214"/>
    </row>
    <row r="8917" spans="1:17">
      <c r="A8917" s="175"/>
      <c r="B8917" s="175"/>
      <c r="P8917" s="4"/>
      <c r="Q8917" s="214"/>
    </row>
    <row r="8918" spans="1:17">
      <c r="A8918" s="175"/>
      <c r="B8918" s="175"/>
      <c r="P8918" s="4"/>
      <c r="Q8918" s="214"/>
    </row>
    <row r="8919" spans="1:17">
      <c r="A8919" s="175"/>
      <c r="B8919" s="175"/>
      <c r="P8919" s="4"/>
      <c r="Q8919" s="214"/>
    </row>
    <row r="8920" spans="1:17">
      <c r="A8920" s="175"/>
      <c r="B8920" s="175"/>
      <c r="P8920" s="4"/>
      <c r="Q8920" s="214"/>
    </row>
    <row r="8921" spans="1:17">
      <c r="A8921" s="175"/>
      <c r="B8921" s="175"/>
      <c r="P8921" s="4"/>
      <c r="Q8921" s="214"/>
    </row>
    <row r="8922" spans="1:17">
      <c r="A8922" s="175"/>
      <c r="B8922" s="175"/>
      <c r="P8922" s="4"/>
      <c r="Q8922" s="214"/>
    </row>
    <row r="8923" spans="1:17">
      <c r="A8923" s="175"/>
      <c r="B8923" s="175"/>
      <c r="P8923" s="4"/>
      <c r="Q8923" s="214"/>
    </row>
    <row r="8924" spans="1:17">
      <c r="A8924" s="175"/>
      <c r="B8924" s="175"/>
      <c r="P8924" s="4"/>
      <c r="Q8924" s="214"/>
    </row>
    <row r="8925" spans="1:17">
      <c r="A8925" s="175"/>
      <c r="B8925" s="175"/>
      <c r="P8925" s="4"/>
      <c r="Q8925" s="214"/>
    </row>
    <row r="8926" spans="1:17">
      <c r="A8926" s="175"/>
      <c r="B8926" s="175"/>
      <c r="P8926" s="4"/>
      <c r="Q8926" s="214"/>
    </row>
    <row r="8927" spans="1:17">
      <c r="A8927" s="175"/>
      <c r="B8927" s="175"/>
      <c r="P8927" s="4"/>
      <c r="Q8927" s="214"/>
    </row>
    <row r="8928" spans="1:17">
      <c r="A8928" s="175"/>
      <c r="B8928" s="175"/>
      <c r="P8928" s="4"/>
      <c r="Q8928" s="214"/>
    </row>
    <row r="8929" spans="1:17">
      <c r="A8929" s="175"/>
      <c r="B8929" s="175"/>
      <c r="P8929" s="4"/>
      <c r="Q8929" s="214"/>
    </row>
    <row r="8930" spans="1:17">
      <c r="A8930" s="175"/>
      <c r="B8930" s="175"/>
      <c r="P8930" s="4"/>
      <c r="Q8930" s="214"/>
    </row>
    <row r="8931" spans="1:17">
      <c r="A8931" s="175"/>
      <c r="B8931" s="175"/>
      <c r="P8931" s="4"/>
      <c r="Q8931" s="214"/>
    </row>
    <row r="8932" spans="1:17">
      <c r="A8932" s="175"/>
      <c r="B8932" s="175"/>
      <c r="P8932" s="4"/>
      <c r="Q8932" s="214"/>
    </row>
    <row r="8933" spans="1:17">
      <c r="A8933" s="175"/>
      <c r="B8933" s="175"/>
      <c r="P8933" s="4"/>
      <c r="Q8933" s="214"/>
    </row>
    <row r="8934" spans="1:17">
      <c r="A8934" s="175"/>
      <c r="B8934" s="175"/>
      <c r="P8934" s="4"/>
      <c r="Q8934" s="214"/>
    </row>
    <row r="8935" spans="1:17">
      <c r="A8935" s="175"/>
      <c r="B8935" s="175"/>
      <c r="P8935" s="4"/>
      <c r="Q8935" s="214"/>
    </row>
    <row r="8936" spans="1:17">
      <c r="A8936" s="175"/>
      <c r="B8936" s="175"/>
      <c r="P8936" s="4"/>
      <c r="Q8936" s="214"/>
    </row>
    <row r="8937" spans="1:17">
      <c r="A8937" s="175"/>
      <c r="B8937" s="175"/>
      <c r="P8937" s="4"/>
      <c r="Q8937" s="214"/>
    </row>
    <row r="8938" spans="1:17">
      <c r="A8938" s="175"/>
      <c r="B8938" s="175"/>
      <c r="P8938" s="4"/>
      <c r="Q8938" s="214"/>
    </row>
    <row r="8939" spans="1:17">
      <c r="A8939" s="175"/>
      <c r="B8939" s="175"/>
      <c r="P8939" s="4"/>
      <c r="Q8939" s="214"/>
    </row>
    <row r="8940" spans="1:17">
      <c r="A8940" s="175"/>
      <c r="B8940" s="175"/>
      <c r="P8940" s="4"/>
      <c r="Q8940" s="214"/>
    </row>
    <row r="8941" spans="1:17">
      <c r="A8941" s="175"/>
      <c r="B8941" s="175"/>
      <c r="P8941" s="4"/>
      <c r="Q8941" s="214"/>
    </row>
    <row r="8942" spans="1:17">
      <c r="A8942" s="175"/>
      <c r="B8942" s="175"/>
      <c r="P8942" s="4"/>
      <c r="Q8942" s="214"/>
    </row>
    <row r="8943" spans="1:17">
      <c r="A8943" s="175"/>
      <c r="B8943" s="175"/>
      <c r="P8943" s="4"/>
      <c r="Q8943" s="214"/>
    </row>
    <row r="8944" spans="1:17">
      <c r="A8944" s="175"/>
      <c r="B8944" s="175"/>
      <c r="P8944" s="4"/>
      <c r="Q8944" s="214"/>
    </row>
    <row r="8945" spans="1:17">
      <c r="A8945" s="175"/>
      <c r="B8945" s="175"/>
      <c r="P8945" s="4"/>
      <c r="Q8945" s="214"/>
    </row>
    <row r="8946" spans="1:17">
      <c r="A8946" s="175"/>
      <c r="B8946" s="175"/>
      <c r="P8946" s="4"/>
      <c r="Q8946" s="214"/>
    </row>
    <row r="8947" spans="1:17">
      <c r="A8947" s="175"/>
      <c r="B8947" s="175"/>
      <c r="P8947" s="4"/>
      <c r="Q8947" s="214"/>
    </row>
    <row r="8948" spans="1:17">
      <c r="A8948" s="175"/>
      <c r="B8948" s="175"/>
      <c r="P8948" s="4"/>
      <c r="Q8948" s="214"/>
    </row>
    <row r="8949" spans="1:17">
      <c r="A8949" s="175"/>
      <c r="B8949" s="175"/>
      <c r="P8949" s="4"/>
      <c r="Q8949" s="214"/>
    </row>
    <row r="8950" spans="1:17">
      <c r="A8950" s="175"/>
      <c r="B8950" s="175"/>
      <c r="P8950" s="4"/>
      <c r="Q8950" s="214"/>
    </row>
    <row r="8951" spans="1:17">
      <c r="A8951" s="175"/>
      <c r="B8951" s="175"/>
      <c r="P8951" s="4"/>
      <c r="Q8951" s="214"/>
    </row>
    <row r="8952" spans="1:17">
      <c r="A8952" s="175"/>
      <c r="B8952" s="175"/>
      <c r="P8952" s="4"/>
      <c r="Q8952" s="214"/>
    </row>
    <row r="8953" spans="1:17">
      <c r="A8953" s="175"/>
      <c r="B8953" s="175"/>
      <c r="P8953" s="4"/>
      <c r="Q8953" s="214"/>
    </row>
    <row r="8954" spans="1:17">
      <c r="A8954" s="175"/>
      <c r="B8954" s="175"/>
      <c r="P8954" s="4"/>
      <c r="Q8954" s="214"/>
    </row>
    <row r="8955" spans="1:17">
      <c r="A8955" s="175"/>
      <c r="B8955" s="175"/>
      <c r="P8955" s="4"/>
      <c r="Q8955" s="214"/>
    </row>
    <row r="8956" spans="1:17">
      <c r="A8956" s="175"/>
      <c r="B8956" s="175"/>
      <c r="P8956" s="4"/>
      <c r="Q8956" s="214"/>
    </row>
    <row r="8957" spans="1:17">
      <c r="A8957" s="175"/>
      <c r="B8957" s="175"/>
      <c r="P8957" s="4"/>
      <c r="Q8957" s="214"/>
    </row>
    <row r="8958" spans="1:17">
      <c r="A8958" s="175"/>
      <c r="B8958" s="175"/>
      <c r="P8958" s="4"/>
      <c r="Q8958" s="214"/>
    </row>
    <row r="8959" spans="1:17">
      <c r="A8959" s="175"/>
      <c r="B8959" s="175"/>
      <c r="P8959" s="4"/>
      <c r="Q8959" s="214"/>
    </row>
    <row r="8960" spans="1:17">
      <c r="A8960" s="175"/>
      <c r="B8960" s="175"/>
      <c r="P8960" s="4"/>
      <c r="Q8960" s="214"/>
    </row>
    <row r="8961" spans="1:17">
      <c r="A8961" s="175"/>
      <c r="B8961" s="175"/>
      <c r="P8961" s="4"/>
      <c r="Q8961" s="214"/>
    </row>
    <row r="8962" spans="1:17">
      <c r="A8962" s="175"/>
      <c r="B8962" s="175"/>
      <c r="P8962" s="4"/>
      <c r="Q8962" s="214"/>
    </row>
    <row r="8963" spans="1:17">
      <c r="A8963" s="175"/>
      <c r="B8963" s="175"/>
      <c r="P8963" s="4"/>
      <c r="Q8963" s="214"/>
    </row>
    <row r="8964" spans="1:17">
      <c r="A8964" s="175"/>
      <c r="B8964" s="175"/>
      <c r="P8964" s="4"/>
      <c r="Q8964" s="214"/>
    </row>
    <row r="8965" spans="1:17">
      <c r="A8965" s="175"/>
      <c r="B8965" s="175"/>
      <c r="P8965" s="4"/>
      <c r="Q8965" s="214"/>
    </row>
    <row r="8966" spans="1:17">
      <c r="A8966" s="175"/>
      <c r="B8966" s="175"/>
      <c r="P8966" s="4"/>
      <c r="Q8966" s="214"/>
    </row>
    <row r="8967" spans="1:17">
      <c r="A8967" s="175"/>
      <c r="B8967" s="175"/>
      <c r="P8967" s="4"/>
      <c r="Q8967" s="214"/>
    </row>
    <row r="8968" spans="1:17">
      <c r="A8968" s="175"/>
      <c r="B8968" s="175"/>
      <c r="P8968" s="4"/>
      <c r="Q8968" s="214"/>
    </row>
    <row r="8969" spans="1:17">
      <c r="A8969" s="175"/>
      <c r="B8969" s="175"/>
      <c r="P8969" s="4"/>
      <c r="Q8969" s="214"/>
    </row>
    <row r="8970" spans="1:17">
      <c r="A8970" s="175"/>
      <c r="B8970" s="175"/>
      <c r="P8970" s="4"/>
      <c r="Q8970" s="214"/>
    </row>
    <row r="8971" spans="1:17">
      <c r="A8971" s="175"/>
      <c r="B8971" s="175"/>
      <c r="P8971" s="4"/>
      <c r="Q8971" s="214"/>
    </row>
    <row r="8972" spans="1:17">
      <c r="A8972" s="175"/>
      <c r="B8972" s="175"/>
      <c r="P8972" s="4"/>
      <c r="Q8972" s="214"/>
    </row>
    <row r="8973" spans="1:17">
      <c r="A8973" s="175"/>
      <c r="B8973" s="175"/>
      <c r="P8973" s="4"/>
      <c r="Q8973" s="214"/>
    </row>
    <row r="8974" spans="1:17">
      <c r="A8974" s="175"/>
      <c r="B8974" s="175"/>
      <c r="P8974" s="4"/>
      <c r="Q8974" s="214"/>
    </row>
    <row r="8975" spans="1:17">
      <c r="A8975" s="175"/>
      <c r="B8975" s="175"/>
      <c r="P8975" s="4"/>
      <c r="Q8975" s="214"/>
    </row>
    <row r="8976" spans="1:17">
      <c r="A8976" s="175"/>
      <c r="B8976" s="175"/>
      <c r="P8976" s="4"/>
      <c r="Q8976" s="214"/>
    </row>
    <row r="8977" spans="1:17">
      <c r="A8977" s="175"/>
      <c r="B8977" s="175"/>
      <c r="P8977" s="4"/>
      <c r="Q8977" s="214"/>
    </row>
    <row r="8978" spans="1:17">
      <c r="A8978" s="175"/>
      <c r="B8978" s="175"/>
      <c r="P8978" s="4"/>
      <c r="Q8978" s="214"/>
    </row>
    <row r="8979" spans="1:17">
      <c r="A8979" s="175"/>
      <c r="B8979" s="175"/>
      <c r="P8979" s="4"/>
      <c r="Q8979" s="214"/>
    </row>
    <row r="8980" spans="1:17">
      <c r="A8980" s="175"/>
      <c r="B8980" s="175"/>
      <c r="P8980" s="4"/>
      <c r="Q8980" s="214"/>
    </row>
    <row r="8981" spans="1:17">
      <c r="A8981" s="175"/>
      <c r="B8981" s="175"/>
      <c r="P8981" s="4"/>
      <c r="Q8981" s="214"/>
    </row>
    <row r="8982" spans="1:17">
      <c r="A8982" s="175"/>
      <c r="B8982" s="175"/>
      <c r="P8982" s="4"/>
      <c r="Q8982" s="214"/>
    </row>
    <row r="8983" spans="1:17">
      <c r="A8983" s="175"/>
      <c r="B8983" s="175"/>
      <c r="P8983" s="4"/>
      <c r="Q8983" s="214"/>
    </row>
    <row r="8984" spans="1:17">
      <c r="A8984" s="175"/>
      <c r="B8984" s="175"/>
      <c r="P8984" s="4"/>
      <c r="Q8984" s="214"/>
    </row>
    <row r="8985" spans="1:17">
      <c r="A8985" s="175"/>
      <c r="B8985" s="175"/>
      <c r="P8985" s="4"/>
      <c r="Q8985" s="214"/>
    </row>
    <row r="8986" spans="1:17">
      <c r="A8986" s="175"/>
      <c r="B8986" s="175"/>
      <c r="P8986" s="4"/>
      <c r="Q8986" s="214"/>
    </row>
    <row r="8987" spans="1:17">
      <c r="A8987" s="175"/>
      <c r="B8987" s="175"/>
      <c r="P8987" s="4"/>
      <c r="Q8987" s="214"/>
    </row>
    <row r="8988" spans="1:17">
      <c r="A8988" s="175"/>
      <c r="B8988" s="175"/>
      <c r="P8988" s="4"/>
      <c r="Q8988" s="214"/>
    </row>
    <row r="8989" spans="1:17">
      <c r="A8989" s="175"/>
      <c r="B8989" s="175"/>
      <c r="P8989" s="4"/>
      <c r="Q8989" s="214"/>
    </row>
    <row r="8990" spans="1:17">
      <c r="A8990" s="175"/>
      <c r="B8990" s="175"/>
      <c r="P8990" s="4"/>
      <c r="Q8990" s="214"/>
    </row>
    <row r="8991" spans="1:17">
      <c r="A8991" s="175"/>
      <c r="B8991" s="175"/>
      <c r="P8991" s="4"/>
      <c r="Q8991" s="214"/>
    </row>
    <row r="8992" spans="1:17">
      <c r="A8992" s="175"/>
      <c r="B8992" s="175"/>
      <c r="P8992" s="4"/>
      <c r="Q8992" s="214"/>
    </row>
    <row r="8993" spans="1:17">
      <c r="A8993" s="175"/>
      <c r="B8993" s="175"/>
      <c r="P8993" s="4"/>
      <c r="Q8993" s="214"/>
    </row>
    <row r="8994" spans="1:17">
      <c r="A8994" s="175"/>
      <c r="B8994" s="175"/>
      <c r="P8994" s="4"/>
      <c r="Q8994" s="214"/>
    </row>
    <row r="8995" spans="1:17">
      <c r="A8995" s="175"/>
      <c r="B8995" s="175"/>
      <c r="P8995" s="4"/>
      <c r="Q8995" s="214"/>
    </row>
    <row r="8996" spans="1:17">
      <c r="A8996" s="175"/>
      <c r="B8996" s="175"/>
      <c r="P8996" s="4"/>
      <c r="Q8996" s="214"/>
    </row>
    <row r="8997" spans="1:17">
      <c r="A8997" s="175"/>
      <c r="B8997" s="175"/>
      <c r="P8997" s="4"/>
      <c r="Q8997" s="214"/>
    </row>
    <row r="8998" spans="1:17">
      <c r="A8998" s="175"/>
      <c r="B8998" s="175"/>
      <c r="P8998" s="4"/>
      <c r="Q8998" s="214"/>
    </row>
    <row r="8999" spans="1:17">
      <c r="A8999" s="175"/>
      <c r="B8999" s="175"/>
      <c r="P8999" s="4"/>
      <c r="Q8999" s="214"/>
    </row>
    <row r="9000" spans="1:17">
      <c r="A9000" s="175"/>
      <c r="B9000" s="175"/>
      <c r="P9000" s="4"/>
      <c r="Q9000" s="214"/>
    </row>
    <row r="9001" spans="1:17">
      <c r="A9001" s="175"/>
      <c r="B9001" s="175"/>
      <c r="P9001" s="4"/>
      <c r="Q9001" s="214"/>
    </row>
    <row r="9002" spans="1:17">
      <c r="A9002" s="175"/>
      <c r="B9002" s="175"/>
      <c r="P9002" s="4"/>
      <c r="Q9002" s="214"/>
    </row>
    <row r="9003" spans="1:17">
      <c r="A9003" s="175"/>
      <c r="B9003" s="175"/>
      <c r="P9003" s="4"/>
      <c r="Q9003" s="214"/>
    </row>
    <row r="9004" spans="1:17">
      <c r="A9004" s="175"/>
      <c r="B9004" s="175"/>
      <c r="P9004" s="4"/>
      <c r="Q9004" s="214"/>
    </row>
    <row r="9005" spans="1:17">
      <c r="A9005" s="175"/>
      <c r="B9005" s="175"/>
      <c r="P9005" s="4"/>
      <c r="Q9005" s="214"/>
    </row>
    <row r="9006" spans="1:17">
      <c r="A9006" s="175"/>
      <c r="B9006" s="175"/>
      <c r="P9006" s="4"/>
      <c r="Q9006" s="214"/>
    </row>
    <row r="9007" spans="1:17">
      <c r="A9007" s="175"/>
      <c r="B9007" s="175"/>
      <c r="P9007" s="4"/>
      <c r="Q9007" s="214"/>
    </row>
    <row r="9008" spans="1:17">
      <c r="A9008" s="175"/>
      <c r="B9008" s="175"/>
      <c r="P9008" s="4"/>
      <c r="Q9008" s="214"/>
    </row>
    <row r="9009" spans="1:17">
      <c r="A9009" s="175"/>
      <c r="B9009" s="175"/>
      <c r="P9009" s="4"/>
      <c r="Q9009" s="214"/>
    </row>
    <row r="9010" spans="1:17">
      <c r="A9010" s="175"/>
      <c r="B9010" s="175"/>
      <c r="P9010" s="4"/>
      <c r="Q9010" s="214"/>
    </row>
    <row r="9011" spans="1:17">
      <c r="A9011" s="175"/>
      <c r="B9011" s="175"/>
      <c r="P9011" s="4"/>
      <c r="Q9011" s="214"/>
    </row>
    <row r="9012" spans="1:17">
      <c r="A9012" s="175"/>
      <c r="B9012" s="175"/>
      <c r="P9012" s="4"/>
      <c r="Q9012" s="214"/>
    </row>
    <row r="9013" spans="1:17">
      <c r="A9013" s="175"/>
      <c r="B9013" s="175"/>
      <c r="P9013" s="4"/>
      <c r="Q9013" s="214"/>
    </row>
    <row r="9014" spans="1:17">
      <c r="A9014" s="175"/>
      <c r="B9014" s="175"/>
      <c r="P9014" s="4"/>
      <c r="Q9014" s="214"/>
    </row>
    <row r="9015" spans="1:17">
      <c r="A9015" s="175"/>
      <c r="B9015" s="175"/>
      <c r="P9015" s="4"/>
      <c r="Q9015" s="214"/>
    </row>
    <row r="9016" spans="1:17">
      <c r="A9016" s="175"/>
      <c r="B9016" s="175"/>
      <c r="P9016" s="4"/>
      <c r="Q9016" s="214"/>
    </row>
    <row r="9017" spans="1:17">
      <c r="A9017" s="175"/>
      <c r="B9017" s="175"/>
      <c r="P9017" s="4"/>
      <c r="Q9017" s="214"/>
    </row>
    <row r="9018" spans="1:17">
      <c r="A9018" s="175"/>
      <c r="B9018" s="175"/>
      <c r="P9018" s="4"/>
      <c r="Q9018" s="214"/>
    </row>
    <row r="9019" spans="1:17">
      <c r="A9019" s="175"/>
      <c r="B9019" s="175"/>
      <c r="P9019" s="4"/>
      <c r="Q9019" s="214"/>
    </row>
    <row r="9020" spans="1:17">
      <c r="A9020" s="175"/>
      <c r="B9020" s="175"/>
      <c r="P9020" s="4"/>
      <c r="Q9020" s="214"/>
    </row>
    <row r="9021" spans="1:17">
      <c r="A9021" s="175"/>
      <c r="B9021" s="175"/>
      <c r="P9021" s="4"/>
      <c r="Q9021" s="214"/>
    </row>
    <row r="9022" spans="1:17">
      <c r="A9022" s="175"/>
      <c r="B9022" s="175"/>
      <c r="P9022" s="4"/>
      <c r="Q9022" s="214"/>
    </row>
    <row r="9023" spans="1:17">
      <c r="A9023" s="175"/>
      <c r="B9023" s="175"/>
      <c r="P9023" s="4"/>
      <c r="Q9023" s="214"/>
    </row>
    <row r="9024" spans="1:17">
      <c r="A9024" s="175"/>
      <c r="B9024" s="175"/>
      <c r="P9024" s="4"/>
      <c r="Q9024" s="214"/>
    </row>
    <row r="9025" spans="1:17">
      <c r="A9025" s="175"/>
      <c r="B9025" s="175"/>
      <c r="P9025" s="4"/>
      <c r="Q9025" s="214"/>
    </row>
    <row r="9026" spans="1:17">
      <c r="A9026" s="175"/>
      <c r="B9026" s="175"/>
      <c r="P9026" s="4"/>
      <c r="Q9026" s="214"/>
    </row>
    <row r="9027" spans="1:17">
      <c r="A9027" s="175"/>
      <c r="B9027" s="175"/>
      <c r="P9027" s="4"/>
      <c r="Q9027" s="214"/>
    </row>
    <row r="9028" spans="1:17">
      <c r="A9028" s="175"/>
      <c r="B9028" s="175"/>
      <c r="P9028" s="4"/>
      <c r="Q9028" s="214"/>
    </row>
    <row r="9029" spans="1:17">
      <c r="A9029" s="175"/>
      <c r="B9029" s="175"/>
      <c r="P9029" s="4"/>
      <c r="Q9029" s="214"/>
    </row>
    <row r="9030" spans="1:17">
      <c r="A9030" s="175"/>
      <c r="B9030" s="175"/>
      <c r="P9030" s="4"/>
      <c r="Q9030" s="214"/>
    </row>
    <row r="9031" spans="1:17">
      <c r="A9031" s="175"/>
      <c r="B9031" s="175"/>
      <c r="P9031" s="4"/>
      <c r="Q9031" s="214"/>
    </row>
    <row r="9032" spans="1:17">
      <c r="A9032" s="175"/>
      <c r="B9032" s="175"/>
      <c r="P9032" s="4"/>
      <c r="Q9032" s="214"/>
    </row>
    <row r="9033" spans="1:17">
      <c r="A9033" s="175"/>
      <c r="B9033" s="175"/>
      <c r="P9033" s="4"/>
      <c r="Q9033" s="214"/>
    </row>
    <row r="9034" spans="1:17">
      <c r="A9034" s="175"/>
      <c r="B9034" s="175"/>
      <c r="P9034" s="4"/>
      <c r="Q9034" s="214"/>
    </row>
    <row r="9035" spans="1:17">
      <c r="A9035" s="175"/>
      <c r="B9035" s="175"/>
      <c r="P9035" s="4"/>
      <c r="Q9035" s="214"/>
    </row>
    <row r="9036" spans="1:17">
      <c r="A9036" s="175"/>
      <c r="B9036" s="175"/>
      <c r="P9036" s="4"/>
      <c r="Q9036" s="214"/>
    </row>
    <row r="9037" spans="1:17">
      <c r="A9037" s="175"/>
      <c r="B9037" s="175"/>
      <c r="P9037" s="4"/>
      <c r="Q9037" s="214"/>
    </row>
    <row r="9038" spans="1:17">
      <c r="A9038" s="175"/>
      <c r="B9038" s="175"/>
      <c r="P9038" s="4"/>
      <c r="Q9038" s="214"/>
    </row>
    <row r="9039" spans="1:17">
      <c r="A9039" s="175"/>
      <c r="B9039" s="175"/>
      <c r="P9039" s="4"/>
      <c r="Q9039" s="214"/>
    </row>
    <row r="9040" spans="1:17">
      <c r="A9040" s="175"/>
      <c r="B9040" s="175"/>
      <c r="P9040" s="4"/>
      <c r="Q9040" s="214"/>
    </row>
    <row r="9041" spans="1:17">
      <c r="A9041" s="175"/>
      <c r="B9041" s="175"/>
      <c r="P9041" s="4"/>
      <c r="Q9041" s="214"/>
    </row>
    <row r="9042" spans="1:17">
      <c r="A9042" s="175"/>
      <c r="B9042" s="175"/>
      <c r="P9042" s="4"/>
      <c r="Q9042" s="214"/>
    </row>
    <row r="9043" spans="1:17">
      <c r="A9043" s="175"/>
      <c r="B9043" s="175"/>
      <c r="P9043" s="4"/>
      <c r="Q9043" s="214"/>
    </row>
    <row r="9044" spans="1:17">
      <c r="A9044" s="175"/>
      <c r="B9044" s="175"/>
      <c r="P9044" s="4"/>
      <c r="Q9044" s="214"/>
    </row>
    <row r="9045" spans="1:17">
      <c r="A9045" s="175"/>
      <c r="B9045" s="175"/>
      <c r="P9045" s="4"/>
      <c r="Q9045" s="214"/>
    </row>
    <row r="9046" spans="1:17">
      <c r="A9046" s="175"/>
      <c r="B9046" s="175"/>
      <c r="P9046" s="4"/>
      <c r="Q9046" s="214"/>
    </row>
    <row r="9047" spans="1:17">
      <c r="A9047" s="175"/>
      <c r="B9047" s="175"/>
      <c r="P9047" s="4"/>
      <c r="Q9047" s="214"/>
    </row>
    <row r="9048" spans="1:17">
      <c r="A9048" s="175"/>
      <c r="B9048" s="175"/>
      <c r="P9048" s="4"/>
      <c r="Q9048" s="214"/>
    </row>
    <row r="9049" spans="1:17">
      <c r="A9049" s="175"/>
      <c r="B9049" s="175"/>
      <c r="P9049" s="4"/>
      <c r="Q9049" s="214"/>
    </row>
    <row r="9050" spans="1:17">
      <c r="A9050" s="175"/>
      <c r="B9050" s="175"/>
      <c r="P9050" s="4"/>
      <c r="Q9050" s="214"/>
    </row>
    <row r="9051" spans="1:17">
      <c r="A9051" s="175"/>
      <c r="B9051" s="175"/>
      <c r="P9051" s="4"/>
      <c r="Q9051" s="214"/>
    </row>
    <row r="9052" spans="1:17">
      <c r="A9052" s="175"/>
      <c r="B9052" s="175"/>
      <c r="P9052" s="4"/>
      <c r="Q9052" s="214"/>
    </row>
    <row r="9053" spans="1:17">
      <c r="A9053" s="175"/>
      <c r="B9053" s="175"/>
      <c r="P9053" s="4"/>
      <c r="Q9053" s="214"/>
    </row>
    <row r="9054" spans="1:17">
      <c r="A9054" s="175"/>
      <c r="B9054" s="175"/>
      <c r="P9054" s="4"/>
      <c r="Q9054" s="214"/>
    </row>
    <row r="9055" spans="1:17">
      <c r="A9055" s="175"/>
      <c r="B9055" s="175"/>
      <c r="P9055" s="4"/>
      <c r="Q9055" s="214"/>
    </row>
    <row r="9056" spans="1:17">
      <c r="A9056" s="175"/>
      <c r="B9056" s="175"/>
      <c r="P9056" s="4"/>
      <c r="Q9056" s="214"/>
    </row>
    <row r="9057" spans="1:17">
      <c r="A9057" s="175"/>
      <c r="B9057" s="175"/>
      <c r="P9057" s="4"/>
      <c r="Q9057" s="214"/>
    </row>
    <row r="9058" spans="1:17">
      <c r="A9058" s="175"/>
      <c r="B9058" s="175"/>
      <c r="P9058" s="4"/>
      <c r="Q9058" s="214"/>
    </row>
    <row r="9059" spans="1:17">
      <c r="A9059" s="175"/>
      <c r="B9059" s="175"/>
      <c r="P9059" s="4"/>
      <c r="Q9059" s="214"/>
    </row>
    <row r="9060" spans="1:17">
      <c r="A9060" s="175"/>
      <c r="B9060" s="175"/>
      <c r="P9060" s="4"/>
      <c r="Q9060" s="214"/>
    </row>
    <row r="9061" spans="1:17">
      <c r="A9061" s="175"/>
      <c r="B9061" s="175"/>
      <c r="P9061" s="4"/>
      <c r="Q9061" s="214"/>
    </row>
    <row r="9062" spans="1:17">
      <c r="A9062" s="175"/>
      <c r="B9062" s="175"/>
      <c r="P9062" s="4"/>
      <c r="Q9062" s="214"/>
    </row>
    <row r="9063" spans="1:17">
      <c r="A9063" s="175"/>
      <c r="B9063" s="175"/>
      <c r="P9063" s="4"/>
      <c r="Q9063" s="214"/>
    </row>
    <row r="9064" spans="1:17">
      <c r="A9064" s="175"/>
      <c r="B9064" s="175"/>
      <c r="P9064" s="4"/>
      <c r="Q9064" s="214"/>
    </row>
    <row r="9065" spans="1:17">
      <c r="A9065" s="175"/>
      <c r="B9065" s="175"/>
      <c r="P9065" s="4"/>
      <c r="Q9065" s="214"/>
    </row>
    <row r="9066" spans="1:17">
      <c r="A9066" s="175"/>
      <c r="B9066" s="175"/>
      <c r="P9066" s="4"/>
      <c r="Q9066" s="214"/>
    </row>
    <row r="9067" spans="1:17">
      <c r="A9067" s="175"/>
      <c r="B9067" s="175"/>
      <c r="P9067" s="4"/>
      <c r="Q9067" s="214"/>
    </row>
    <row r="9068" spans="1:17">
      <c r="A9068" s="175"/>
      <c r="B9068" s="175"/>
      <c r="P9068" s="4"/>
      <c r="Q9068" s="214"/>
    </row>
    <row r="9069" spans="1:17">
      <c r="A9069" s="175"/>
      <c r="B9069" s="175"/>
      <c r="P9069" s="4"/>
      <c r="Q9069" s="214"/>
    </row>
    <row r="9070" spans="1:17">
      <c r="A9070" s="175"/>
      <c r="B9070" s="175"/>
      <c r="P9070" s="4"/>
      <c r="Q9070" s="214"/>
    </row>
    <row r="9071" spans="1:17">
      <c r="A9071" s="175"/>
      <c r="B9071" s="175"/>
      <c r="P9071" s="4"/>
      <c r="Q9071" s="214"/>
    </row>
    <row r="9072" spans="1:17">
      <c r="A9072" s="175"/>
      <c r="B9072" s="175"/>
      <c r="P9072" s="4"/>
      <c r="Q9072" s="214"/>
    </row>
    <row r="9073" spans="1:17">
      <c r="A9073" s="175"/>
      <c r="B9073" s="175"/>
      <c r="P9073" s="4"/>
      <c r="Q9073" s="214"/>
    </row>
    <row r="9074" spans="1:17">
      <c r="A9074" s="175"/>
      <c r="B9074" s="175"/>
      <c r="P9074" s="4"/>
      <c r="Q9074" s="214"/>
    </row>
    <row r="9075" spans="1:17">
      <c r="A9075" s="175"/>
      <c r="B9075" s="175"/>
      <c r="P9075" s="4"/>
      <c r="Q9075" s="214"/>
    </row>
    <row r="9076" spans="1:17">
      <c r="A9076" s="175"/>
      <c r="B9076" s="175"/>
      <c r="P9076" s="4"/>
      <c r="Q9076" s="214"/>
    </row>
    <row r="9077" spans="1:17">
      <c r="A9077" s="175"/>
      <c r="B9077" s="175"/>
      <c r="P9077" s="4"/>
      <c r="Q9077" s="214"/>
    </row>
    <row r="9078" spans="1:17">
      <c r="A9078" s="175"/>
      <c r="B9078" s="175"/>
      <c r="P9078" s="4"/>
      <c r="Q9078" s="214"/>
    </row>
    <row r="9079" spans="1:17">
      <c r="A9079" s="175"/>
      <c r="B9079" s="175"/>
      <c r="P9079" s="4"/>
      <c r="Q9079" s="214"/>
    </row>
    <row r="9080" spans="1:17">
      <c r="A9080" s="175"/>
      <c r="B9080" s="175"/>
      <c r="P9080" s="4"/>
      <c r="Q9080" s="214"/>
    </row>
    <row r="9081" spans="1:17">
      <c r="A9081" s="175"/>
      <c r="B9081" s="175"/>
      <c r="P9081" s="4"/>
      <c r="Q9081" s="214"/>
    </row>
    <row r="9082" spans="1:17">
      <c r="A9082" s="175"/>
      <c r="B9082" s="175"/>
      <c r="P9082" s="4"/>
      <c r="Q9082" s="214"/>
    </row>
    <row r="9083" spans="1:17">
      <c r="A9083" s="175"/>
      <c r="B9083" s="175"/>
      <c r="P9083" s="4"/>
      <c r="Q9083" s="214"/>
    </row>
    <row r="9084" spans="1:17">
      <c r="A9084" s="175"/>
      <c r="B9084" s="175"/>
      <c r="P9084" s="4"/>
      <c r="Q9084" s="214"/>
    </row>
    <row r="9085" spans="1:17">
      <c r="A9085" s="175"/>
      <c r="B9085" s="175"/>
      <c r="P9085" s="4"/>
      <c r="Q9085" s="214"/>
    </row>
    <row r="9086" spans="1:17">
      <c r="A9086" s="175"/>
      <c r="B9086" s="175"/>
      <c r="P9086" s="4"/>
      <c r="Q9086" s="214"/>
    </row>
    <row r="9087" spans="1:17">
      <c r="A9087" s="175"/>
      <c r="B9087" s="175"/>
      <c r="P9087" s="4"/>
      <c r="Q9087" s="214"/>
    </row>
    <row r="9088" spans="1:17">
      <c r="A9088" s="175"/>
      <c r="B9088" s="175"/>
      <c r="P9088" s="4"/>
      <c r="Q9088" s="214"/>
    </row>
    <row r="9089" spans="1:17">
      <c r="A9089" s="175"/>
      <c r="B9089" s="175"/>
      <c r="P9089" s="4"/>
      <c r="Q9089" s="214"/>
    </row>
    <row r="9090" spans="1:17">
      <c r="A9090" s="175"/>
      <c r="B9090" s="175"/>
      <c r="P9090" s="4"/>
      <c r="Q9090" s="214"/>
    </row>
    <row r="9091" spans="1:17">
      <c r="A9091" s="175"/>
      <c r="B9091" s="175"/>
      <c r="P9091" s="4"/>
      <c r="Q9091" s="214"/>
    </row>
    <row r="9092" spans="1:17">
      <c r="A9092" s="175"/>
      <c r="B9092" s="175"/>
      <c r="P9092" s="4"/>
      <c r="Q9092" s="214"/>
    </row>
    <row r="9093" spans="1:17">
      <c r="A9093" s="175"/>
      <c r="B9093" s="175"/>
      <c r="P9093" s="4"/>
      <c r="Q9093" s="214"/>
    </row>
    <row r="9094" spans="1:17">
      <c r="A9094" s="175"/>
      <c r="B9094" s="175"/>
      <c r="P9094" s="4"/>
      <c r="Q9094" s="214"/>
    </row>
    <row r="9095" spans="1:17">
      <c r="A9095" s="175"/>
      <c r="B9095" s="175"/>
      <c r="P9095" s="4"/>
      <c r="Q9095" s="214"/>
    </row>
    <row r="9096" spans="1:17">
      <c r="A9096" s="175"/>
      <c r="B9096" s="175"/>
      <c r="P9096" s="4"/>
      <c r="Q9096" s="214"/>
    </row>
    <row r="9097" spans="1:17">
      <c r="A9097" s="175"/>
      <c r="B9097" s="175"/>
      <c r="P9097" s="4"/>
      <c r="Q9097" s="214"/>
    </row>
    <row r="9098" spans="1:17">
      <c r="A9098" s="175"/>
      <c r="B9098" s="175"/>
      <c r="P9098" s="4"/>
      <c r="Q9098" s="214"/>
    </row>
    <row r="9099" spans="1:17">
      <c r="A9099" s="175"/>
      <c r="B9099" s="175"/>
      <c r="P9099" s="4"/>
      <c r="Q9099" s="214"/>
    </row>
    <row r="9100" spans="1:17">
      <c r="A9100" s="175"/>
      <c r="B9100" s="175"/>
      <c r="P9100" s="4"/>
      <c r="Q9100" s="214"/>
    </row>
    <row r="9101" spans="1:17">
      <c r="A9101" s="175"/>
      <c r="B9101" s="175"/>
      <c r="P9101" s="4"/>
      <c r="Q9101" s="214"/>
    </row>
    <row r="9102" spans="1:17">
      <c r="A9102" s="175"/>
      <c r="B9102" s="175"/>
      <c r="P9102" s="4"/>
      <c r="Q9102" s="214"/>
    </row>
    <row r="9103" spans="1:17">
      <c r="A9103" s="175"/>
      <c r="B9103" s="175"/>
      <c r="P9103" s="4"/>
      <c r="Q9103" s="214"/>
    </row>
    <row r="9104" spans="1:17">
      <c r="A9104" s="175"/>
      <c r="B9104" s="175"/>
      <c r="P9104" s="4"/>
      <c r="Q9104" s="214"/>
    </row>
    <row r="9105" spans="1:17">
      <c r="A9105" s="175"/>
      <c r="B9105" s="175"/>
      <c r="P9105" s="4"/>
      <c r="Q9105" s="214"/>
    </row>
    <row r="9106" spans="1:17">
      <c r="A9106" s="175"/>
      <c r="B9106" s="175"/>
      <c r="P9106" s="4"/>
      <c r="Q9106" s="214"/>
    </row>
    <row r="9107" spans="1:17">
      <c r="A9107" s="175"/>
      <c r="B9107" s="175"/>
      <c r="P9107" s="4"/>
      <c r="Q9107" s="214"/>
    </row>
    <row r="9108" spans="1:17">
      <c r="A9108" s="175"/>
      <c r="B9108" s="175"/>
      <c r="P9108" s="4"/>
      <c r="Q9108" s="214"/>
    </row>
    <row r="9109" spans="1:17">
      <c r="A9109" s="175"/>
      <c r="B9109" s="175"/>
      <c r="P9109" s="4"/>
      <c r="Q9109" s="214"/>
    </row>
    <row r="9110" spans="1:17">
      <c r="A9110" s="175"/>
      <c r="B9110" s="175"/>
      <c r="P9110" s="4"/>
      <c r="Q9110" s="214"/>
    </row>
    <row r="9111" spans="1:17">
      <c r="A9111" s="175"/>
      <c r="B9111" s="175"/>
      <c r="P9111" s="4"/>
      <c r="Q9111" s="214"/>
    </row>
    <row r="9112" spans="1:17">
      <c r="A9112" s="175"/>
      <c r="B9112" s="175"/>
      <c r="P9112" s="4"/>
      <c r="Q9112" s="214"/>
    </row>
    <row r="9113" spans="1:17">
      <c r="A9113" s="175"/>
      <c r="B9113" s="175"/>
      <c r="P9113" s="4"/>
      <c r="Q9113" s="214"/>
    </row>
    <row r="9114" spans="1:17">
      <c r="A9114" s="175"/>
      <c r="B9114" s="175"/>
      <c r="P9114" s="4"/>
      <c r="Q9114" s="214"/>
    </row>
    <row r="9115" spans="1:17">
      <c r="A9115" s="175"/>
      <c r="B9115" s="175"/>
      <c r="P9115" s="4"/>
      <c r="Q9115" s="214"/>
    </row>
    <row r="9116" spans="1:17">
      <c r="A9116" s="175"/>
      <c r="B9116" s="175"/>
      <c r="P9116" s="4"/>
      <c r="Q9116" s="214"/>
    </row>
    <row r="9117" spans="1:17">
      <c r="A9117" s="175"/>
      <c r="B9117" s="175"/>
      <c r="P9117" s="4"/>
      <c r="Q9117" s="214"/>
    </row>
    <row r="9118" spans="1:17">
      <c r="A9118" s="175"/>
      <c r="B9118" s="175"/>
      <c r="P9118" s="4"/>
      <c r="Q9118" s="214"/>
    </row>
    <row r="9119" spans="1:17">
      <c r="A9119" s="175"/>
      <c r="B9119" s="175"/>
      <c r="P9119" s="4"/>
      <c r="Q9119" s="214"/>
    </row>
    <row r="9120" spans="1:17">
      <c r="A9120" s="175"/>
      <c r="B9120" s="175"/>
      <c r="P9120" s="4"/>
      <c r="Q9120" s="214"/>
    </row>
    <row r="9121" spans="1:17">
      <c r="A9121" s="175"/>
      <c r="B9121" s="175"/>
      <c r="P9121" s="4"/>
      <c r="Q9121" s="214"/>
    </row>
    <row r="9122" spans="1:17">
      <c r="A9122" s="175"/>
      <c r="B9122" s="175"/>
      <c r="P9122" s="4"/>
      <c r="Q9122" s="214"/>
    </row>
    <row r="9123" spans="1:17">
      <c r="A9123" s="175"/>
      <c r="B9123" s="175"/>
      <c r="P9123" s="4"/>
      <c r="Q9123" s="214"/>
    </row>
    <row r="9124" spans="1:17">
      <c r="A9124" s="175"/>
      <c r="B9124" s="175"/>
      <c r="P9124" s="4"/>
      <c r="Q9124" s="214"/>
    </row>
    <row r="9125" spans="1:17">
      <c r="A9125" s="175"/>
      <c r="B9125" s="175"/>
      <c r="P9125" s="4"/>
      <c r="Q9125" s="214"/>
    </row>
    <row r="9126" spans="1:17">
      <c r="A9126" s="175"/>
      <c r="B9126" s="175"/>
      <c r="P9126" s="4"/>
      <c r="Q9126" s="214"/>
    </row>
    <row r="9127" spans="1:17">
      <c r="A9127" s="175"/>
      <c r="B9127" s="175"/>
      <c r="P9127" s="4"/>
      <c r="Q9127" s="214"/>
    </row>
    <row r="9128" spans="1:17">
      <c r="A9128" s="175"/>
      <c r="B9128" s="175"/>
      <c r="P9128" s="4"/>
      <c r="Q9128" s="214"/>
    </row>
    <row r="9129" spans="1:17">
      <c r="A9129" s="175"/>
      <c r="B9129" s="175"/>
      <c r="P9129" s="4"/>
      <c r="Q9129" s="214"/>
    </row>
    <row r="9130" spans="1:17">
      <c r="A9130" s="175"/>
      <c r="B9130" s="175"/>
      <c r="P9130" s="4"/>
      <c r="Q9130" s="214"/>
    </row>
    <row r="9131" spans="1:17">
      <c r="A9131" s="175"/>
      <c r="B9131" s="175"/>
      <c r="P9131" s="4"/>
      <c r="Q9131" s="214"/>
    </row>
    <row r="9132" spans="1:17">
      <c r="A9132" s="175"/>
      <c r="B9132" s="175"/>
      <c r="P9132" s="4"/>
      <c r="Q9132" s="214"/>
    </row>
    <row r="9133" spans="1:17">
      <c r="A9133" s="175"/>
      <c r="B9133" s="175"/>
      <c r="P9133" s="4"/>
      <c r="Q9133" s="214"/>
    </row>
    <row r="9134" spans="1:17">
      <c r="A9134" s="175"/>
      <c r="B9134" s="175"/>
      <c r="P9134" s="4"/>
      <c r="Q9134" s="214"/>
    </row>
    <row r="9135" spans="1:17">
      <c r="A9135" s="175"/>
      <c r="B9135" s="175"/>
      <c r="P9135" s="4"/>
      <c r="Q9135" s="214"/>
    </row>
    <row r="9136" spans="1:17">
      <c r="A9136" s="175"/>
      <c r="B9136" s="175"/>
      <c r="P9136" s="4"/>
      <c r="Q9136" s="214"/>
    </row>
    <row r="9137" spans="1:17">
      <c r="A9137" s="175"/>
      <c r="B9137" s="175"/>
      <c r="P9137" s="4"/>
      <c r="Q9137" s="214"/>
    </row>
    <row r="9138" spans="1:17">
      <c r="A9138" s="175"/>
      <c r="B9138" s="175"/>
      <c r="P9138" s="4"/>
      <c r="Q9138" s="214"/>
    </row>
    <row r="9139" spans="1:17">
      <c r="A9139" s="175"/>
      <c r="B9139" s="175"/>
      <c r="P9139" s="4"/>
      <c r="Q9139" s="214"/>
    </row>
    <row r="9140" spans="1:17">
      <c r="A9140" s="175"/>
      <c r="B9140" s="175"/>
      <c r="P9140" s="4"/>
      <c r="Q9140" s="214"/>
    </row>
    <row r="9141" spans="1:17">
      <c r="A9141" s="175"/>
      <c r="B9141" s="175"/>
      <c r="P9141" s="4"/>
      <c r="Q9141" s="214"/>
    </row>
    <row r="9142" spans="1:17">
      <c r="A9142" s="175"/>
      <c r="B9142" s="175"/>
      <c r="P9142" s="4"/>
      <c r="Q9142" s="214"/>
    </row>
    <row r="9143" spans="1:17">
      <c r="A9143" s="175"/>
      <c r="B9143" s="175"/>
      <c r="P9143" s="4"/>
      <c r="Q9143" s="214"/>
    </row>
    <row r="9144" spans="1:17">
      <c r="A9144" s="175"/>
      <c r="B9144" s="175"/>
      <c r="P9144" s="4"/>
      <c r="Q9144" s="214"/>
    </row>
    <row r="9145" spans="1:17">
      <c r="A9145" s="175"/>
      <c r="B9145" s="175"/>
      <c r="P9145" s="4"/>
      <c r="Q9145" s="214"/>
    </row>
    <row r="9146" spans="1:17">
      <c r="A9146" s="175"/>
      <c r="B9146" s="175"/>
      <c r="P9146" s="4"/>
      <c r="Q9146" s="214"/>
    </row>
    <row r="9147" spans="1:17">
      <c r="A9147" s="175"/>
      <c r="B9147" s="175"/>
      <c r="P9147" s="4"/>
      <c r="Q9147" s="214"/>
    </row>
    <row r="9148" spans="1:17">
      <c r="A9148" s="175"/>
      <c r="B9148" s="175"/>
      <c r="P9148" s="4"/>
      <c r="Q9148" s="214"/>
    </row>
    <row r="9149" spans="1:17">
      <c r="A9149" s="175"/>
      <c r="B9149" s="175"/>
      <c r="P9149" s="4"/>
      <c r="Q9149" s="214"/>
    </row>
    <row r="9150" spans="1:17">
      <c r="A9150" s="175"/>
      <c r="B9150" s="175"/>
      <c r="P9150" s="4"/>
      <c r="Q9150" s="214"/>
    </row>
    <row r="9151" spans="1:17">
      <c r="A9151" s="175"/>
      <c r="B9151" s="175"/>
      <c r="P9151" s="4"/>
      <c r="Q9151" s="214"/>
    </row>
    <row r="9152" spans="1:17">
      <c r="A9152" s="175"/>
      <c r="B9152" s="175"/>
      <c r="P9152" s="4"/>
      <c r="Q9152" s="214"/>
    </row>
    <row r="9153" spans="1:17">
      <c r="A9153" s="175"/>
      <c r="B9153" s="175"/>
      <c r="P9153" s="4"/>
      <c r="Q9153" s="214"/>
    </row>
    <row r="9154" spans="1:17">
      <c r="A9154" s="175"/>
      <c r="B9154" s="175"/>
      <c r="P9154" s="4"/>
      <c r="Q9154" s="214"/>
    </row>
    <row r="9155" spans="1:17">
      <c r="A9155" s="175"/>
      <c r="B9155" s="175"/>
      <c r="P9155" s="4"/>
      <c r="Q9155" s="214"/>
    </row>
    <row r="9156" spans="1:17">
      <c r="A9156" s="175"/>
      <c r="B9156" s="175"/>
      <c r="P9156" s="4"/>
      <c r="Q9156" s="214"/>
    </row>
    <row r="9157" spans="1:17">
      <c r="A9157" s="175"/>
      <c r="B9157" s="175"/>
      <c r="P9157" s="4"/>
      <c r="Q9157" s="214"/>
    </row>
    <row r="9158" spans="1:17">
      <c r="A9158" s="175"/>
      <c r="B9158" s="175"/>
      <c r="P9158" s="4"/>
      <c r="Q9158" s="214"/>
    </row>
    <row r="9159" spans="1:17">
      <c r="A9159" s="175"/>
      <c r="B9159" s="175"/>
      <c r="P9159" s="4"/>
      <c r="Q9159" s="214"/>
    </row>
    <row r="9160" spans="1:17">
      <c r="A9160" s="175"/>
      <c r="B9160" s="175"/>
      <c r="P9160" s="4"/>
      <c r="Q9160" s="214"/>
    </row>
    <row r="9161" spans="1:17">
      <c r="A9161" s="175"/>
      <c r="B9161" s="175"/>
      <c r="P9161" s="4"/>
      <c r="Q9161" s="214"/>
    </row>
    <row r="9162" spans="1:17">
      <c r="A9162" s="175"/>
      <c r="B9162" s="175"/>
      <c r="P9162" s="4"/>
      <c r="Q9162" s="214"/>
    </row>
    <row r="9163" spans="1:17">
      <c r="A9163" s="175"/>
      <c r="B9163" s="175"/>
      <c r="P9163" s="4"/>
      <c r="Q9163" s="214"/>
    </row>
    <row r="9164" spans="1:17">
      <c r="A9164" s="175"/>
      <c r="B9164" s="175"/>
      <c r="P9164" s="4"/>
      <c r="Q9164" s="214"/>
    </row>
    <row r="9165" spans="1:17">
      <c r="A9165" s="175"/>
      <c r="B9165" s="175"/>
      <c r="P9165" s="4"/>
      <c r="Q9165" s="214"/>
    </row>
    <row r="9166" spans="1:17">
      <c r="A9166" s="175"/>
      <c r="B9166" s="175"/>
      <c r="P9166" s="4"/>
      <c r="Q9166" s="214"/>
    </row>
    <row r="9167" spans="1:17">
      <c r="A9167" s="175"/>
      <c r="B9167" s="175"/>
      <c r="P9167" s="4"/>
      <c r="Q9167" s="214"/>
    </row>
    <row r="9168" spans="1:17">
      <c r="A9168" s="175"/>
      <c r="B9168" s="175"/>
      <c r="P9168" s="4"/>
      <c r="Q9168" s="214"/>
    </row>
    <row r="9169" spans="1:17">
      <c r="A9169" s="175"/>
      <c r="B9169" s="175"/>
      <c r="P9169" s="4"/>
      <c r="Q9169" s="214"/>
    </row>
    <row r="9170" spans="1:17">
      <c r="A9170" s="175"/>
      <c r="B9170" s="175"/>
      <c r="P9170" s="4"/>
      <c r="Q9170" s="214"/>
    </row>
    <row r="9171" spans="1:17">
      <c r="A9171" s="175"/>
      <c r="B9171" s="175"/>
      <c r="P9171" s="4"/>
      <c r="Q9171" s="214"/>
    </row>
    <row r="9172" spans="1:17">
      <c r="A9172" s="175"/>
      <c r="B9172" s="175"/>
      <c r="P9172" s="4"/>
      <c r="Q9172" s="214"/>
    </row>
    <row r="9173" spans="1:17">
      <c r="A9173" s="175"/>
      <c r="B9173" s="175"/>
      <c r="P9173" s="4"/>
      <c r="Q9173" s="214"/>
    </row>
    <row r="9174" spans="1:17">
      <c r="A9174" s="175"/>
      <c r="B9174" s="175"/>
      <c r="P9174" s="4"/>
      <c r="Q9174" s="214"/>
    </row>
    <row r="9175" spans="1:17">
      <c r="A9175" s="175"/>
      <c r="B9175" s="175"/>
      <c r="P9175" s="4"/>
      <c r="Q9175" s="214"/>
    </row>
    <row r="9176" spans="1:17">
      <c r="A9176" s="175"/>
      <c r="B9176" s="175"/>
      <c r="P9176" s="4"/>
      <c r="Q9176" s="214"/>
    </row>
    <row r="9177" spans="1:17">
      <c r="A9177" s="175"/>
      <c r="B9177" s="175"/>
      <c r="P9177" s="4"/>
      <c r="Q9177" s="214"/>
    </row>
    <row r="9178" spans="1:17">
      <c r="A9178" s="175"/>
      <c r="B9178" s="175"/>
      <c r="P9178" s="4"/>
      <c r="Q9178" s="214"/>
    </row>
    <row r="9179" spans="1:17">
      <c r="A9179" s="175"/>
      <c r="B9179" s="175"/>
      <c r="P9179" s="4"/>
      <c r="Q9179" s="214"/>
    </row>
    <row r="9180" spans="1:17">
      <c r="A9180" s="175"/>
      <c r="B9180" s="175"/>
      <c r="P9180" s="4"/>
      <c r="Q9180" s="214"/>
    </row>
    <row r="9181" spans="1:17">
      <c r="A9181" s="175"/>
      <c r="B9181" s="175"/>
      <c r="P9181" s="4"/>
      <c r="Q9181" s="214"/>
    </row>
    <row r="9182" spans="1:17">
      <c r="A9182" s="175"/>
      <c r="B9182" s="175"/>
      <c r="P9182" s="4"/>
      <c r="Q9182" s="214"/>
    </row>
    <row r="9183" spans="1:17">
      <c r="A9183" s="175"/>
      <c r="B9183" s="175"/>
      <c r="P9183" s="4"/>
      <c r="Q9183" s="214"/>
    </row>
    <row r="9184" spans="1:17">
      <c r="A9184" s="175"/>
      <c r="B9184" s="175"/>
      <c r="P9184" s="4"/>
      <c r="Q9184" s="214"/>
    </row>
    <row r="9185" spans="1:17">
      <c r="A9185" s="175"/>
      <c r="B9185" s="175"/>
      <c r="P9185" s="4"/>
      <c r="Q9185" s="214"/>
    </row>
    <row r="9186" spans="1:17">
      <c r="A9186" s="175"/>
      <c r="B9186" s="175"/>
      <c r="P9186" s="4"/>
      <c r="Q9186" s="214"/>
    </row>
    <row r="9187" spans="1:17">
      <c r="A9187" s="175"/>
      <c r="B9187" s="175"/>
      <c r="P9187" s="4"/>
      <c r="Q9187" s="214"/>
    </row>
    <row r="9188" spans="1:17">
      <c r="A9188" s="175"/>
      <c r="B9188" s="175"/>
      <c r="P9188" s="4"/>
      <c r="Q9188" s="214"/>
    </row>
    <row r="9189" spans="1:17">
      <c r="A9189" s="175"/>
      <c r="B9189" s="175"/>
      <c r="P9189" s="4"/>
      <c r="Q9189" s="214"/>
    </row>
    <row r="9190" spans="1:17">
      <c r="A9190" s="175"/>
      <c r="B9190" s="175"/>
      <c r="P9190" s="4"/>
      <c r="Q9190" s="214"/>
    </row>
    <row r="9191" spans="1:17">
      <c r="A9191" s="175"/>
      <c r="B9191" s="175"/>
      <c r="P9191" s="4"/>
      <c r="Q9191" s="214"/>
    </row>
    <row r="9192" spans="1:17">
      <c r="A9192" s="175"/>
      <c r="B9192" s="175"/>
      <c r="P9192" s="4"/>
      <c r="Q9192" s="214"/>
    </row>
    <row r="9193" spans="1:17">
      <c r="A9193" s="175"/>
      <c r="B9193" s="175"/>
      <c r="P9193" s="4"/>
      <c r="Q9193" s="214"/>
    </row>
    <row r="9194" spans="1:17">
      <c r="A9194" s="175"/>
      <c r="B9194" s="175"/>
      <c r="P9194" s="4"/>
      <c r="Q9194" s="214"/>
    </row>
    <row r="9195" spans="1:17">
      <c r="A9195" s="175"/>
      <c r="B9195" s="175"/>
      <c r="P9195" s="4"/>
      <c r="Q9195" s="214"/>
    </row>
    <row r="9196" spans="1:17">
      <c r="A9196" s="175"/>
      <c r="B9196" s="175"/>
      <c r="P9196" s="4"/>
      <c r="Q9196" s="214"/>
    </row>
    <row r="9197" spans="1:17">
      <c r="A9197" s="175"/>
      <c r="B9197" s="175"/>
      <c r="P9197" s="4"/>
      <c r="Q9197" s="214"/>
    </row>
    <row r="9198" spans="1:17">
      <c r="A9198" s="175"/>
      <c r="B9198" s="175"/>
      <c r="P9198" s="4"/>
      <c r="Q9198" s="214"/>
    </row>
    <row r="9199" spans="1:17">
      <c r="A9199" s="175"/>
      <c r="B9199" s="175"/>
      <c r="P9199" s="4"/>
      <c r="Q9199" s="214"/>
    </row>
    <row r="9200" spans="1:17">
      <c r="A9200" s="175"/>
      <c r="B9200" s="175"/>
      <c r="P9200" s="4"/>
      <c r="Q9200" s="214"/>
    </row>
    <row r="9201" spans="1:17">
      <c r="A9201" s="175"/>
      <c r="B9201" s="175"/>
      <c r="P9201" s="4"/>
      <c r="Q9201" s="214"/>
    </row>
    <row r="9202" spans="1:17">
      <c r="A9202" s="175"/>
      <c r="B9202" s="175"/>
      <c r="P9202" s="4"/>
      <c r="Q9202" s="214"/>
    </row>
    <row r="9203" spans="1:17">
      <c r="A9203" s="175"/>
      <c r="B9203" s="175"/>
      <c r="P9203" s="4"/>
      <c r="Q9203" s="214"/>
    </row>
    <row r="9204" spans="1:17">
      <c r="A9204" s="175"/>
      <c r="B9204" s="175"/>
      <c r="P9204" s="4"/>
      <c r="Q9204" s="214"/>
    </row>
    <row r="9205" spans="1:17">
      <c r="A9205" s="175"/>
      <c r="B9205" s="175"/>
      <c r="P9205" s="4"/>
      <c r="Q9205" s="214"/>
    </row>
    <row r="9206" spans="1:17">
      <c r="A9206" s="175"/>
      <c r="B9206" s="175"/>
      <c r="P9206" s="4"/>
      <c r="Q9206" s="214"/>
    </row>
    <row r="9207" spans="1:17">
      <c r="A9207" s="175"/>
      <c r="B9207" s="175"/>
      <c r="P9207" s="4"/>
      <c r="Q9207" s="214"/>
    </row>
    <row r="9208" spans="1:17">
      <c r="A9208" s="175"/>
      <c r="B9208" s="175"/>
      <c r="P9208" s="4"/>
      <c r="Q9208" s="214"/>
    </row>
    <row r="9209" spans="1:17">
      <c r="A9209" s="175"/>
      <c r="B9209" s="175"/>
      <c r="P9209" s="4"/>
      <c r="Q9209" s="214"/>
    </row>
    <row r="9210" spans="1:17">
      <c r="A9210" s="175"/>
      <c r="B9210" s="175"/>
      <c r="P9210" s="4"/>
      <c r="Q9210" s="214"/>
    </row>
    <row r="9211" spans="1:17">
      <c r="A9211" s="175"/>
      <c r="B9211" s="175"/>
      <c r="P9211" s="4"/>
      <c r="Q9211" s="214"/>
    </row>
    <row r="9212" spans="1:17">
      <c r="A9212" s="175"/>
      <c r="B9212" s="175"/>
      <c r="P9212" s="4"/>
      <c r="Q9212" s="214"/>
    </row>
    <row r="9213" spans="1:17">
      <c r="A9213" s="175"/>
      <c r="B9213" s="175"/>
      <c r="P9213" s="4"/>
      <c r="Q9213" s="214"/>
    </row>
    <row r="9214" spans="1:17">
      <c r="A9214" s="175"/>
      <c r="B9214" s="175"/>
      <c r="P9214" s="4"/>
      <c r="Q9214" s="214"/>
    </row>
    <row r="9215" spans="1:17">
      <c r="A9215" s="175"/>
      <c r="B9215" s="175"/>
      <c r="P9215" s="4"/>
      <c r="Q9215" s="214"/>
    </row>
    <row r="9216" spans="1:17">
      <c r="A9216" s="175"/>
      <c r="B9216" s="175"/>
      <c r="P9216" s="4"/>
      <c r="Q9216" s="214"/>
    </row>
    <row r="9217" spans="1:17">
      <c r="A9217" s="175"/>
      <c r="B9217" s="175"/>
      <c r="P9217" s="4"/>
      <c r="Q9217" s="214"/>
    </row>
    <row r="9218" spans="1:17">
      <c r="A9218" s="175"/>
      <c r="B9218" s="175"/>
      <c r="P9218" s="4"/>
      <c r="Q9218" s="214"/>
    </row>
    <row r="9219" spans="1:17">
      <c r="A9219" s="175"/>
      <c r="B9219" s="175"/>
      <c r="P9219" s="4"/>
      <c r="Q9219" s="214"/>
    </row>
    <row r="9220" spans="1:17">
      <c r="A9220" s="175"/>
      <c r="B9220" s="175"/>
      <c r="P9220" s="4"/>
      <c r="Q9220" s="214"/>
    </row>
    <row r="9221" spans="1:17">
      <c r="A9221" s="175"/>
      <c r="B9221" s="175"/>
      <c r="P9221" s="4"/>
      <c r="Q9221" s="214"/>
    </row>
    <row r="9222" spans="1:17">
      <c r="A9222" s="175"/>
      <c r="B9222" s="175"/>
      <c r="P9222" s="4"/>
      <c r="Q9222" s="214"/>
    </row>
    <row r="9223" spans="1:17">
      <c r="A9223" s="175"/>
      <c r="B9223" s="175"/>
      <c r="P9223" s="4"/>
      <c r="Q9223" s="214"/>
    </row>
    <row r="9224" spans="1:17">
      <c r="A9224" s="175"/>
      <c r="B9224" s="175"/>
      <c r="P9224" s="4"/>
      <c r="Q9224" s="214"/>
    </row>
    <row r="9225" spans="1:17">
      <c r="A9225" s="175"/>
      <c r="B9225" s="175"/>
      <c r="P9225" s="4"/>
      <c r="Q9225" s="214"/>
    </row>
    <row r="9226" spans="1:17">
      <c r="A9226" s="175"/>
      <c r="B9226" s="175"/>
      <c r="P9226" s="4"/>
      <c r="Q9226" s="214"/>
    </row>
    <row r="9227" spans="1:17">
      <c r="A9227" s="175"/>
      <c r="B9227" s="175"/>
      <c r="P9227" s="4"/>
      <c r="Q9227" s="214"/>
    </row>
    <row r="9228" spans="1:17">
      <c r="A9228" s="175"/>
      <c r="B9228" s="175"/>
      <c r="P9228" s="4"/>
      <c r="Q9228" s="214"/>
    </row>
    <row r="9229" spans="1:17">
      <c r="A9229" s="175"/>
      <c r="B9229" s="175"/>
      <c r="P9229" s="4"/>
      <c r="Q9229" s="214"/>
    </row>
    <row r="9230" spans="1:17">
      <c r="A9230" s="175"/>
      <c r="B9230" s="175"/>
      <c r="P9230" s="4"/>
      <c r="Q9230" s="214"/>
    </row>
    <row r="9231" spans="1:17">
      <c r="A9231" s="175"/>
      <c r="B9231" s="175"/>
      <c r="P9231" s="4"/>
      <c r="Q9231" s="214"/>
    </row>
    <row r="9232" spans="1:17">
      <c r="A9232" s="175"/>
      <c r="B9232" s="175"/>
      <c r="P9232" s="4"/>
      <c r="Q9232" s="214"/>
    </row>
    <row r="9233" spans="1:17">
      <c r="A9233" s="175"/>
      <c r="B9233" s="175"/>
      <c r="P9233" s="4"/>
      <c r="Q9233" s="214"/>
    </row>
    <row r="9234" spans="1:17">
      <c r="A9234" s="175"/>
      <c r="B9234" s="175"/>
      <c r="P9234" s="4"/>
      <c r="Q9234" s="214"/>
    </row>
    <row r="9235" spans="1:17">
      <c r="A9235" s="175"/>
      <c r="B9235" s="175"/>
      <c r="P9235" s="4"/>
      <c r="Q9235" s="214"/>
    </row>
    <row r="9236" spans="1:17">
      <c r="A9236" s="175"/>
      <c r="B9236" s="175"/>
      <c r="P9236" s="4"/>
      <c r="Q9236" s="214"/>
    </row>
    <row r="9237" spans="1:17">
      <c r="A9237" s="175"/>
      <c r="B9237" s="175"/>
      <c r="P9237" s="4"/>
      <c r="Q9237" s="214"/>
    </row>
    <row r="9238" spans="1:17">
      <c r="A9238" s="175"/>
      <c r="B9238" s="175"/>
      <c r="P9238" s="4"/>
      <c r="Q9238" s="214"/>
    </row>
    <row r="9239" spans="1:17">
      <c r="A9239" s="175"/>
      <c r="B9239" s="175"/>
      <c r="P9239" s="4"/>
      <c r="Q9239" s="214"/>
    </row>
    <row r="9240" spans="1:17">
      <c r="A9240" s="175"/>
      <c r="B9240" s="175"/>
      <c r="P9240" s="4"/>
      <c r="Q9240" s="214"/>
    </row>
    <row r="9241" spans="1:17">
      <c r="A9241" s="175"/>
      <c r="B9241" s="175"/>
      <c r="P9241" s="4"/>
      <c r="Q9241" s="214"/>
    </row>
    <row r="9242" spans="1:17">
      <c r="A9242" s="175"/>
      <c r="B9242" s="175"/>
      <c r="P9242" s="4"/>
      <c r="Q9242" s="214"/>
    </row>
    <row r="9243" spans="1:17">
      <c r="A9243" s="175"/>
      <c r="B9243" s="175"/>
      <c r="P9243" s="4"/>
      <c r="Q9243" s="214"/>
    </row>
    <row r="9244" spans="1:17">
      <c r="A9244" s="175"/>
      <c r="B9244" s="175"/>
      <c r="P9244" s="4"/>
      <c r="Q9244" s="214"/>
    </row>
    <row r="9245" spans="1:17">
      <c r="A9245" s="175"/>
      <c r="B9245" s="175"/>
      <c r="P9245" s="4"/>
      <c r="Q9245" s="214"/>
    </row>
    <row r="9246" spans="1:17">
      <c r="A9246" s="175"/>
      <c r="B9246" s="175"/>
      <c r="P9246" s="4"/>
      <c r="Q9246" s="214"/>
    </row>
    <row r="9247" spans="1:17">
      <c r="A9247" s="175"/>
      <c r="B9247" s="175"/>
      <c r="P9247" s="4"/>
      <c r="Q9247" s="214"/>
    </row>
    <row r="9248" spans="1:17">
      <c r="A9248" s="175"/>
      <c r="B9248" s="175"/>
      <c r="P9248" s="4"/>
      <c r="Q9248" s="214"/>
    </row>
    <row r="9249" spans="1:17">
      <c r="A9249" s="175"/>
      <c r="B9249" s="175"/>
      <c r="P9249" s="4"/>
      <c r="Q9249" s="214"/>
    </row>
    <row r="9250" spans="1:17">
      <c r="A9250" s="175"/>
      <c r="B9250" s="175"/>
      <c r="P9250" s="4"/>
      <c r="Q9250" s="214"/>
    </row>
    <row r="9251" spans="1:17">
      <c r="A9251" s="175"/>
      <c r="B9251" s="175"/>
      <c r="P9251" s="4"/>
      <c r="Q9251" s="214"/>
    </row>
    <row r="9252" spans="1:17">
      <c r="A9252" s="175"/>
      <c r="B9252" s="175"/>
      <c r="P9252" s="4"/>
      <c r="Q9252" s="214"/>
    </row>
    <row r="9253" spans="1:17">
      <c r="A9253" s="175"/>
      <c r="B9253" s="175"/>
      <c r="P9253" s="4"/>
      <c r="Q9253" s="214"/>
    </row>
    <row r="9254" spans="1:17">
      <c r="A9254" s="175"/>
      <c r="B9254" s="175"/>
      <c r="P9254" s="4"/>
      <c r="Q9254" s="214"/>
    </row>
    <row r="9255" spans="1:17">
      <c r="A9255" s="175"/>
      <c r="B9255" s="175"/>
      <c r="P9255" s="4"/>
      <c r="Q9255" s="214"/>
    </row>
    <row r="9256" spans="1:17">
      <c r="A9256" s="175"/>
      <c r="B9256" s="175"/>
      <c r="P9256" s="4"/>
      <c r="Q9256" s="214"/>
    </row>
    <row r="9257" spans="1:17">
      <c r="A9257" s="175"/>
      <c r="B9257" s="175"/>
      <c r="P9257" s="4"/>
      <c r="Q9257" s="214"/>
    </row>
    <row r="9258" spans="1:17">
      <c r="A9258" s="175"/>
      <c r="B9258" s="175"/>
      <c r="P9258" s="4"/>
      <c r="Q9258" s="214"/>
    </row>
    <row r="9259" spans="1:17">
      <c r="A9259" s="175"/>
      <c r="B9259" s="175"/>
      <c r="P9259" s="4"/>
      <c r="Q9259" s="214"/>
    </row>
    <row r="9260" spans="1:17">
      <c r="A9260" s="175"/>
      <c r="B9260" s="175"/>
      <c r="P9260" s="4"/>
      <c r="Q9260" s="214"/>
    </row>
    <row r="9261" spans="1:17">
      <c r="A9261" s="175"/>
      <c r="B9261" s="175"/>
      <c r="P9261" s="4"/>
      <c r="Q9261" s="214"/>
    </row>
    <row r="9262" spans="1:17">
      <c r="A9262" s="175"/>
      <c r="B9262" s="175"/>
      <c r="P9262" s="4"/>
      <c r="Q9262" s="214"/>
    </row>
    <row r="9263" spans="1:17">
      <c r="A9263" s="175"/>
      <c r="B9263" s="175"/>
      <c r="P9263" s="4"/>
      <c r="Q9263" s="214"/>
    </row>
    <row r="9264" spans="1:17">
      <c r="A9264" s="175"/>
      <c r="B9264" s="175"/>
      <c r="P9264" s="4"/>
      <c r="Q9264" s="214"/>
    </row>
    <row r="9265" spans="1:17">
      <c r="A9265" s="175"/>
      <c r="B9265" s="175"/>
      <c r="P9265" s="4"/>
      <c r="Q9265" s="214"/>
    </row>
    <row r="9266" spans="1:17">
      <c r="A9266" s="175"/>
      <c r="B9266" s="175"/>
      <c r="P9266" s="4"/>
      <c r="Q9266" s="214"/>
    </row>
    <row r="9267" spans="1:17">
      <c r="A9267" s="175"/>
      <c r="B9267" s="175"/>
      <c r="P9267" s="4"/>
      <c r="Q9267" s="214"/>
    </row>
    <row r="9268" spans="1:17">
      <c r="A9268" s="175"/>
      <c r="B9268" s="175"/>
      <c r="P9268" s="4"/>
      <c r="Q9268" s="214"/>
    </row>
    <row r="9269" spans="1:17">
      <c r="A9269" s="175"/>
      <c r="B9269" s="175"/>
      <c r="P9269" s="4"/>
      <c r="Q9269" s="214"/>
    </row>
    <row r="9270" spans="1:17">
      <c r="A9270" s="175"/>
      <c r="B9270" s="175"/>
      <c r="P9270" s="4"/>
      <c r="Q9270" s="214"/>
    </row>
    <row r="9271" spans="1:17">
      <c r="A9271" s="175"/>
      <c r="B9271" s="175"/>
      <c r="P9271" s="4"/>
      <c r="Q9271" s="214"/>
    </row>
    <row r="9272" spans="1:17">
      <c r="A9272" s="175"/>
      <c r="B9272" s="175"/>
      <c r="P9272" s="4"/>
      <c r="Q9272" s="214"/>
    </row>
    <row r="9273" spans="1:17">
      <c r="A9273" s="175"/>
      <c r="B9273" s="175"/>
      <c r="P9273" s="4"/>
      <c r="Q9273" s="214"/>
    </row>
    <row r="9274" spans="1:17">
      <c r="A9274" s="175"/>
      <c r="B9274" s="175"/>
      <c r="P9274" s="4"/>
      <c r="Q9274" s="214"/>
    </row>
    <row r="9275" spans="1:17">
      <c r="A9275" s="175"/>
      <c r="B9275" s="175"/>
      <c r="P9275" s="4"/>
      <c r="Q9275" s="214"/>
    </row>
    <row r="9276" spans="1:17">
      <c r="A9276" s="175"/>
      <c r="B9276" s="175"/>
      <c r="P9276" s="4"/>
      <c r="Q9276" s="214"/>
    </row>
    <row r="9277" spans="1:17">
      <c r="A9277" s="175"/>
      <c r="B9277" s="175"/>
      <c r="P9277" s="4"/>
      <c r="Q9277" s="214"/>
    </row>
    <row r="9278" spans="1:17">
      <c r="A9278" s="175"/>
      <c r="B9278" s="175"/>
      <c r="P9278" s="4"/>
      <c r="Q9278" s="214"/>
    </row>
    <row r="9279" spans="1:17">
      <c r="A9279" s="175"/>
      <c r="B9279" s="175"/>
      <c r="P9279" s="4"/>
      <c r="Q9279" s="214"/>
    </row>
    <row r="9280" spans="1:17">
      <c r="A9280" s="175"/>
      <c r="B9280" s="175"/>
      <c r="P9280" s="4"/>
      <c r="Q9280" s="214"/>
    </row>
    <row r="9281" spans="1:17">
      <c r="A9281" s="175"/>
      <c r="B9281" s="175"/>
      <c r="P9281" s="4"/>
      <c r="Q9281" s="214"/>
    </row>
    <row r="9282" spans="1:17">
      <c r="A9282" s="175"/>
      <c r="B9282" s="175"/>
      <c r="P9282" s="4"/>
      <c r="Q9282" s="214"/>
    </row>
    <row r="9283" spans="1:17">
      <c r="A9283" s="175"/>
      <c r="B9283" s="175"/>
      <c r="P9283" s="4"/>
      <c r="Q9283" s="214"/>
    </row>
    <row r="9284" spans="1:17">
      <c r="A9284" s="175"/>
      <c r="B9284" s="175"/>
      <c r="P9284" s="4"/>
      <c r="Q9284" s="214"/>
    </row>
    <row r="9285" spans="1:17">
      <c r="A9285" s="175"/>
      <c r="B9285" s="175"/>
      <c r="P9285" s="4"/>
      <c r="Q9285" s="214"/>
    </row>
    <row r="9286" spans="1:17">
      <c r="A9286" s="175"/>
      <c r="B9286" s="175"/>
      <c r="P9286" s="4"/>
      <c r="Q9286" s="214"/>
    </row>
    <row r="9287" spans="1:17">
      <c r="A9287" s="175"/>
      <c r="B9287" s="175"/>
      <c r="P9287" s="4"/>
      <c r="Q9287" s="214"/>
    </row>
    <row r="9288" spans="1:17">
      <c r="A9288" s="175"/>
      <c r="B9288" s="175"/>
      <c r="P9288" s="4"/>
      <c r="Q9288" s="214"/>
    </row>
    <row r="9289" spans="1:17">
      <c r="A9289" s="175"/>
      <c r="B9289" s="175"/>
      <c r="P9289" s="4"/>
      <c r="Q9289" s="214"/>
    </row>
    <row r="9290" spans="1:17">
      <c r="A9290" s="175"/>
      <c r="B9290" s="175"/>
      <c r="P9290" s="4"/>
      <c r="Q9290" s="214"/>
    </row>
    <row r="9291" spans="1:17">
      <c r="A9291" s="175"/>
      <c r="B9291" s="175"/>
      <c r="P9291" s="4"/>
      <c r="Q9291" s="214"/>
    </row>
    <row r="9292" spans="1:17">
      <c r="A9292" s="175"/>
      <c r="B9292" s="175"/>
      <c r="P9292" s="4"/>
      <c r="Q9292" s="214"/>
    </row>
    <row r="9293" spans="1:17">
      <c r="A9293" s="175"/>
      <c r="B9293" s="175"/>
      <c r="P9293" s="4"/>
      <c r="Q9293" s="214"/>
    </row>
    <row r="9294" spans="1:17">
      <c r="A9294" s="175"/>
      <c r="B9294" s="175"/>
      <c r="P9294" s="4"/>
      <c r="Q9294" s="214"/>
    </row>
    <row r="9295" spans="1:17">
      <c r="A9295" s="175"/>
      <c r="B9295" s="175"/>
      <c r="P9295" s="4"/>
      <c r="Q9295" s="214"/>
    </row>
    <row r="9296" spans="1:17">
      <c r="A9296" s="175"/>
      <c r="B9296" s="175"/>
      <c r="P9296" s="4"/>
      <c r="Q9296" s="214"/>
    </row>
    <row r="9297" spans="1:17">
      <c r="A9297" s="175"/>
      <c r="B9297" s="175"/>
      <c r="P9297" s="4"/>
      <c r="Q9297" s="214"/>
    </row>
    <row r="9298" spans="1:17">
      <c r="A9298" s="175"/>
      <c r="B9298" s="175"/>
      <c r="P9298" s="4"/>
      <c r="Q9298" s="214"/>
    </row>
    <row r="9299" spans="1:17">
      <c r="A9299" s="175"/>
      <c r="B9299" s="175"/>
      <c r="P9299" s="4"/>
      <c r="Q9299" s="214"/>
    </row>
    <row r="9300" spans="1:17">
      <c r="A9300" s="175"/>
      <c r="B9300" s="175"/>
      <c r="P9300" s="4"/>
      <c r="Q9300" s="214"/>
    </row>
    <row r="9301" spans="1:17">
      <c r="A9301" s="175"/>
      <c r="B9301" s="175"/>
      <c r="P9301" s="4"/>
      <c r="Q9301" s="214"/>
    </row>
    <row r="9302" spans="1:17">
      <c r="A9302" s="175"/>
      <c r="B9302" s="175"/>
      <c r="P9302" s="4"/>
      <c r="Q9302" s="214"/>
    </row>
    <row r="9303" spans="1:17">
      <c r="A9303" s="175"/>
      <c r="B9303" s="175"/>
      <c r="P9303" s="4"/>
      <c r="Q9303" s="214"/>
    </row>
    <row r="9304" spans="1:17">
      <c r="A9304" s="175"/>
      <c r="B9304" s="175"/>
      <c r="P9304" s="4"/>
      <c r="Q9304" s="214"/>
    </row>
    <row r="9305" spans="1:17">
      <c r="A9305" s="175"/>
      <c r="B9305" s="175"/>
      <c r="P9305" s="4"/>
      <c r="Q9305" s="214"/>
    </row>
    <row r="9306" spans="1:17">
      <c r="A9306" s="175"/>
      <c r="B9306" s="175"/>
      <c r="P9306" s="4"/>
      <c r="Q9306" s="214"/>
    </row>
    <row r="9307" spans="1:17">
      <c r="A9307" s="175"/>
      <c r="B9307" s="175"/>
      <c r="P9307" s="4"/>
      <c r="Q9307" s="214"/>
    </row>
    <row r="9308" spans="1:17">
      <c r="A9308" s="175"/>
      <c r="B9308" s="175"/>
      <c r="P9308" s="4"/>
      <c r="Q9308" s="214"/>
    </row>
    <row r="9309" spans="1:17">
      <c r="A9309" s="175"/>
      <c r="B9309" s="175"/>
      <c r="P9309" s="4"/>
      <c r="Q9309" s="214"/>
    </row>
    <row r="9310" spans="1:17">
      <c r="A9310" s="175"/>
      <c r="B9310" s="175"/>
      <c r="P9310" s="4"/>
      <c r="Q9310" s="214"/>
    </row>
    <row r="9311" spans="1:17">
      <c r="A9311" s="175"/>
      <c r="B9311" s="175"/>
      <c r="P9311" s="4"/>
      <c r="Q9311" s="214"/>
    </row>
    <row r="9312" spans="1:17">
      <c r="A9312" s="175"/>
      <c r="B9312" s="175"/>
      <c r="P9312" s="4"/>
      <c r="Q9312" s="214"/>
    </row>
    <row r="9313" spans="1:17">
      <c r="A9313" s="175"/>
      <c r="B9313" s="175"/>
      <c r="P9313" s="4"/>
      <c r="Q9313" s="214"/>
    </row>
    <row r="9314" spans="1:17">
      <c r="A9314" s="175"/>
      <c r="B9314" s="175"/>
      <c r="P9314" s="4"/>
      <c r="Q9314" s="214"/>
    </row>
    <row r="9315" spans="1:17">
      <c r="A9315" s="175"/>
      <c r="B9315" s="175"/>
      <c r="P9315" s="4"/>
      <c r="Q9315" s="214"/>
    </row>
    <row r="9316" spans="1:17">
      <c r="A9316" s="175"/>
      <c r="B9316" s="175"/>
      <c r="P9316" s="4"/>
      <c r="Q9316" s="214"/>
    </row>
    <row r="9317" spans="1:17">
      <c r="A9317" s="175"/>
      <c r="B9317" s="175"/>
      <c r="P9317" s="4"/>
      <c r="Q9317" s="214"/>
    </row>
    <row r="9318" spans="1:17">
      <c r="A9318" s="175"/>
      <c r="B9318" s="175"/>
      <c r="P9318" s="4"/>
      <c r="Q9318" s="214"/>
    </row>
    <row r="9319" spans="1:17">
      <c r="A9319" s="175"/>
      <c r="B9319" s="175"/>
      <c r="P9319" s="4"/>
      <c r="Q9319" s="214"/>
    </row>
    <row r="9320" spans="1:17">
      <c r="A9320" s="175"/>
      <c r="B9320" s="175"/>
      <c r="P9320" s="4"/>
      <c r="Q9320" s="214"/>
    </row>
    <row r="9321" spans="1:17">
      <c r="A9321" s="175"/>
      <c r="B9321" s="175"/>
      <c r="P9321" s="4"/>
      <c r="Q9321" s="214"/>
    </row>
    <row r="9322" spans="1:17">
      <c r="A9322" s="175"/>
      <c r="B9322" s="175"/>
      <c r="P9322" s="4"/>
      <c r="Q9322" s="214"/>
    </row>
    <row r="9323" spans="1:17">
      <c r="A9323" s="175"/>
      <c r="B9323" s="175"/>
      <c r="P9323" s="4"/>
      <c r="Q9323" s="214"/>
    </row>
    <row r="9324" spans="1:17">
      <c r="A9324" s="175"/>
      <c r="B9324" s="175"/>
      <c r="P9324" s="4"/>
      <c r="Q9324" s="214"/>
    </row>
    <row r="9325" spans="1:17">
      <c r="A9325" s="175"/>
      <c r="B9325" s="175"/>
      <c r="P9325" s="4"/>
      <c r="Q9325" s="214"/>
    </row>
    <row r="9326" spans="1:17">
      <c r="A9326" s="175"/>
      <c r="B9326" s="175"/>
      <c r="P9326" s="4"/>
      <c r="Q9326" s="214"/>
    </row>
    <row r="9327" spans="1:17">
      <c r="A9327" s="175"/>
      <c r="B9327" s="175"/>
      <c r="P9327" s="4"/>
      <c r="Q9327" s="214"/>
    </row>
    <row r="9328" spans="1:17">
      <c r="A9328" s="175"/>
      <c r="B9328" s="175"/>
      <c r="P9328" s="4"/>
      <c r="Q9328" s="214"/>
    </row>
    <row r="9329" spans="1:17">
      <c r="A9329" s="175"/>
      <c r="B9329" s="175"/>
      <c r="P9329" s="4"/>
      <c r="Q9329" s="214"/>
    </row>
    <row r="9330" spans="1:17">
      <c r="A9330" s="175"/>
      <c r="B9330" s="175"/>
      <c r="P9330" s="4"/>
      <c r="Q9330" s="214"/>
    </row>
    <row r="9331" spans="1:17">
      <c r="A9331" s="175"/>
      <c r="B9331" s="175"/>
      <c r="P9331" s="4"/>
      <c r="Q9331" s="214"/>
    </row>
    <row r="9332" spans="1:17">
      <c r="A9332" s="175"/>
      <c r="B9332" s="175"/>
      <c r="P9332" s="4"/>
      <c r="Q9332" s="214"/>
    </row>
    <row r="9333" spans="1:17">
      <c r="A9333" s="175"/>
      <c r="B9333" s="175"/>
      <c r="P9333" s="4"/>
      <c r="Q9333" s="214"/>
    </row>
    <row r="9334" spans="1:17">
      <c r="A9334" s="175"/>
      <c r="B9334" s="175"/>
      <c r="P9334" s="4"/>
      <c r="Q9334" s="214"/>
    </row>
    <row r="9335" spans="1:17">
      <c r="A9335" s="175"/>
      <c r="B9335" s="175"/>
      <c r="P9335" s="4"/>
      <c r="Q9335" s="214"/>
    </row>
    <row r="9336" spans="1:17">
      <c r="A9336" s="175"/>
      <c r="B9336" s="175"/>
      <c r="P9336" s="4"/>
      <c r="Q9336" s="214"/>
    </row>
    <row r="9337" spans="1:17">
      <c r="A9337" s="175"/>
      <c r="B9337" s="175"/>
      <c r="P9337" s="4"/>
      <c r="Q9337" s="214"/>
    </row>
    <row r="9338" spans="1:17">
      <c r="A9338" s="175"/>
      <c r="B9338" s="175"/>
      <c r="P9338" s="4"/>
      <c r="Q9338" s="214"/>
    </row>
    <row r="9339" spans="1:17">
      <c r="A9339" s="175"/>
      <c r="B9339" s="175"/>
      <c r="P9339" s="4"/>
      <c r="Q9339" s="214"/>
    </row>
    <row r="9340" spans="1:17">
      <c r="A9340" s="175"/>
      <c r="B9340" s="175"/>
      <c r="P9340" s="4"/>
      <c r="Q9340" s="214"/>
    </row>
    <row r="9341" spans="1:17">
      <c r="A9341" s="175"/>
      <c r="B9341" s="175"/>
      <c r="P9341" s="4"/>
      <c r="Q9341" s="214"/>
    </row>
    <row r="9342" spans="1:17">
      <c r="A9342" s="175"/>
      <c r="B9342" s="175"/>
      <c r="P9342" s="4"/>
      <c r="Q9342" s="214"/>
    </row>
    <row r="9343" spans="1:17">
      <c r="A9343" s="175"/>
      <c r="B9343" s="175"/>
      <c r="P9343" s="4"/>
      <c r="Q9343" s="214"/>
    </row>
    <row r="9344" spans="1:17">
      <c r="A9344" s="175"/>
      <c r="B9344" s="175"/>
      <c r="P9344" s="4"/>
      <c r="Q9344" s="214"/>
    </row>
    <row r="9345" spans="1:17">
      <c r="A9345" s="175"/>
      <c r="B9345" s="175"/>
      <c r="P9345" s="4"/>
      <c r="Q9345" s="214"/>
    </row>
    <row r="9346" spans="1:17">
      <c r="A9346" s="175"/>
      <c r="B9346" s="175"/>
      <c r="P9346" s="4"/>
      <c r="Q9346" s="214"/>
    </row>
    <row r="9347" spans="1:17">
      <c r="A9347" s="175"/>
      <c r="B9347" s="175"/>
      <c r="P9347" s="4"/>
      <c r="Q9347" s="214"/>
    </row>
    <row r="9348" spans="1:17">
      <c r="A9348" s="175"/>
      <c r="B9348" s="175"/>
      <c r="P9348" s="4"/>
      <c r="Q9348" s="214"/>
    </row>
    <row r="9349" spans="1:17">
      <c r="A9349" s="175"/>
      <c r="B9349" s="175"/>
      <c r="P9349" s="4"/>
      <c r="Q9349" s="214"/>
    </row>
    <row r="9350" spans="1:17">
      <c r="A9350" s="175"/>
      <c r="B9350" s="175"/>
      <c r="P9350" s="4"/>
      <c r="Q9350" s="214"/>
    </row>
    <row r="9351" spans="1:17">
      <c r="A9351" s="175"/>
      <c r="B9351" s="175"/>
      <c r="P9351" s="4"/>
      <c r="Q9351" s="214"/>
    </row>
    <row r="9352" spans="1:17">
      <c r="A9352" s="175"/>
      <c r="B9352" s="175"/>
      <c r="P9352" s="4"/>
      <c r="Q9352" s="214"/>
    </row>
    <row r="9353" spans="1:17">
      <c r="A9353" s="175"/>
      <c r="B9353" s="175"/>
      <c r="P9353" s="4"/>
      <c r="Q9353" s="214"/>
    </row>
    <row r="9354" spans="1:17">
      <c r="A9354" s="175"/>
      <c r="B9354" s="175"/>
      <c r="P9354" s="4"/>
      <c r="Q9354" s="214"/>
    </row>
    <row r="9355" spans="1:17">
      <c r="A9355" s="175"/>
      <c r="B9355" s="175"/>
      <c r="P9355" s="4"/>
      <c r="Q9355" s="214"/>
    </row>
    <row r="9356" spans="1:17">
      <c r="A9356" s="175"/>
      <c r="B9356" s="175"/>
      <c r="P9356" s="4"/>
      <c r="Q9356" s="214"/>
    </row>
    <row r="9357" spans="1:17">
      <c r="A9357" s="175"/>
      <c r="B9357" s="175"/>
      <c r="P9357" s="4"/>
      <c r="Q9357" s="214"/>
    </row>
    <row r="9358" spans="1:17">
      <c r="A9358" s="175"/>
      <c r="B9358" s="175"/>
      <c r="P9358" s="4"/>
      <c r="Q9358" s="214"/>
    </row>
    <row r="9359" spans="1:17">
      <c r="A9359" s="175"/>
      <c r="B9359" s="175"/>
      <c r="P9359" s="4"/>
      <c r="Q9359" s="214"/>
    </row>
    <row r="9360" spans="1:17">
      <c r="A9360" s="175"/>
      <c r="B9360" s="175"/>
      <c r="P9360" s="4"/>
      <c r="Q9360" s="214"/>
    </row>
    <row r="9361" spans="1:17">
      <c r="A9361" s="175"/>
      <c r="B9361" s="175"/>
      <c r="P9361" s="4"/>
      <c r="Q9361" s="214"/>
    </row>
    <row r="9362" spans="1:17">
      <c r="A9362" s="175"/>
      <c r="B9362" s="175"/>
      <c r="P9362" s="4"/>
      <c r="Q9362" s="214"/>
    </row>
    <row r="9363" spans="1:17">
      <c r="A9363" s="175"/>
      <c r="B9363" s="175"/>
      <c r="P9363" s="4"/>
      <c r="Q9363" s="214"/>
    </row>
    <row r="9364" spans="1:17">
      <c r="A9364" s="175"/>
      <c r="B9364" s="175"/>
      <c r="P9364" s="4"/>
      <c r="Q9364" s="214"/>
    </row>
    <row r="9365" spans="1:17">
      <c r="A9365" s="175"/>
      <c r="B9365" s="175"/>
      <c r="P9365" s="4"/>
      <c r="Q9365" s="214"/>
    </row>
    <row r="9366" spans="1:17">
      <c r="A9366" s="175"/>
      <c r="B9366" s="175"/>
      <c r="P9366" s="4"/>
      <c r="Q9366" s="214"/>
    </row>
    <row r="9367" spans="1:17">
      <c r="A9367" s="175"/>
      <c r="B9367" s="175"/>
      <c r="P9367" s="4"/>
      <c r="Q9367" s="214"/>
    </row>
    <row r="9368" spans="1:17">
      <c r="A9368" s="175"/>
      <c r="B9368" s="175"/>
      <c r="P9368" s="4"/>
      <c r="Q9368" s="214"/>
    </row>
    <row r="9369" spans="1:17">
      <c r="A9369" s="175"/>
      <c r="B9369" s="175"/>
      <c r="P9369" s="4"/>
      <c r="Q9369" s="214"/>
    </row>
    <row r="9370" spans="1:17">
      <c r="A9370" s="175"/>
      <c r="B9370" s="175"/>
      <c r="P9370" s="4"/>
      <c r="Q9370" s="214"/>
    </row>
    <row r="9371" spans="1:17">
      <c r="A9371" s="175"/>
      <c r="B9371" s="175"/>
      <c r="P9371" s="4"/>
      <c r="Q9371" s="214"/>
    </row>
    <row r="9372" spans="1:17">
      <c r="A9372" s="175"/>
      <c r="B9372" s="175"/>
      <c r="P9372" s="4"/>
      <c r="Q9372" s="214"/>
    </row>
    <row r="9373" spans="1:17">
      <c r="A9373" s="175"/>
      <c r="B9373" s="175"/>
      <c r="P9373" s="4"/>
      <c r="Q9373" s="214"/>
    </row>
    <row r="9374" spans="1:17">
      <c r="A9374" s="175"/>
      <c r="B9374" s="175"/>
      <c r="P9374" s="4"/>
      <c r="Q9374" s="214"/>
    </row>
    <row r="9375" spans="1:17">
      <c r="A9375" s="175"/>
      <c r="B9375" s="175"/>
      <c r="P9375" s="4"/>
      <c r="Q9375" s="214"/>
    </row>
    <row r="9376" spans="1:17">
      <c r="A9376" s="175"/>
      <c r="B9376" s="175"/>
      <c r="P9376" s="4"/>
      <c r="Q9376" s="214"/>
    </row>
    <row r="9377" spans="1:17">
      <c r="A9377" s="175"/>
      <c r="B9377" s="175"/>
      <c r="P9377" s="4"/>
      <c r="Q9377" s="214"/>
    </row>
    <row r="9378" spans="1:17">
      <c r="A9378" s="175"/>
      <c r="B9378" s="175"/>
      <c r="P9378" s="4"/>
      <c r="Q9378" s="214"/>
    </row>
    <row r="9379" spans="1:17">
      <c r="A9379" s="175"/>
      <c r="B9379" s="175"/>
      <c r="P9379" s="4"/>
      <c r="Q9379" s="214"/>
    </row>
    <row r="9380" spans="1:17">
      <c r="A9380" s="175"/>
      <c r="B9380" s="175"/>
      <c r="P9380" s="4"/>
      <c r="Q9380" s="214"/>
    </row>
    <row r="9381" spans="1:17">
      <c r="A9381" s="175"/>
      <c r="B9381" s="175"/>
      <c r="P9381" s="4"/>
      <c r="Q9381" s="214"/>
    </row>
    <row r="9382" spans="1:17">
      <c r="A9382" s="175"/>
      <c r="B9382" s="175"/>
      <c r="P9382" s="4"/>
      <c r="Q9382" s="214"/>
    </row>
    <row r="9383" spans="1:17">
      <c r="A9383" s="175"/>
      <c r="B9383" s="175"/>
      <c r="P9383" s="4"/>
      <c r="Q9383" s="214"/>
    </row>
    <row r="9384" spans="1:17">
      <c r="A9384" s="175"/>
      <c r="B9384" s="175"/>
      <c r="P9384" s="4"/>
      <c r="Q9384" s="214"/>
    </row>
    <row r="9385" spans="1:17">
      <c r="A9385" s="175"/>
      <c r="B9385" s="175"/>
      <c r="P9385" s="4"/>
      <c r="Q9385" s="214"/>
    </row>
    <row r="9386" spans="1:17">
      <c r="A9386" s="175"/>
      <c r="B9386" s="175"/>
      <c r="P9386" s="4"/>
      <c r="Q9386" s="214"/>
    </row>
    <row r="9387" spans="1:17">
      <c r="A9387" s="175"/>
      <c r="B9387" s="175"/>
      <c r="P9387" s="4"/>
      <c r="Q9387" s="214"/>
    </row>
    <row r="9388" spans="1:17">
      <c r="A9388" s="175"/>
      <c r="B9388" s="175"/>
      <c r="P9388" s="4"/>
      <c r="Q9388" s="214"/>
    </row>
    <row r="9389" spans="1:17">
      <c r="A9389" s="175"/>
      <c r="B9389" s="175"/>
      <c r="P9389" s="4"/>
      <c r="Q9389" s="214"/>
    </row>
    <row r="9390" spans="1:17">
      <c r="A9390" s="175"/>
      <c r="B9390" s="175"/>
      <c r="P9390" s="4"/>
      <c r="Q9390" s="214"/>
    </row>
    <row r="9391" spans="1:17">
      <c r="A9391" s="175"/>
      <c r="B9391" s="175"/>
      <c r="P9391" s="4"/>
      <c r="Q9391" s="214"/>
    </row>
    <row r="9392" spans="1:17">
      <c r="A9392" s="175"/>
      <c r="B9392" s="175"/>
      <c r="P9392" s="4"/>
      <c r="Q9392" s="214"/>
    </row>
    <row r="9393" spans="1:17">
      <c r="A9393" s="175"/>
      <c r="B9393" s="175"/>
      <c r="P9393" s="4"/>
      <c r="Q9393" s="214"/>
    </row>
    <row r="9394" spans="1:17">
      <c r="A9394" s="175"/>
      <c r="B9394" s="175"/>
      <c r="P9394" s="4"/>
      <c r="Q9394" s="214"/>
    </row>
    <row r="9395" spans="1:17">
      <c r="A9395" s="175"/>
      <c r="B9395" s="175"/>
      <c r="P9395" s="4"/>
      <c r="Q9395" s="214"/>
    </row>
    <row r="9396" spans="1:17">
      <c r="A9396" s="175"/>
      <c r="B9396" s="175"/>
      <c r="P9396" s="4"/>
      <c r="Q9396" s="214"/>
    </row>
    <row r="9397" spans="1:17">
      <c r="A9397" s="175"/>
      <c r="B9397" s="175"/>
      <c r="P9397" s="4"/>
      <c r="Q9397" s="214"/>
    </row>
    <row r="9398" spans="1:17">
      <c r="A9398" s="175"/>
      <c r="B9398" s="175"/>
      <c r="P9398" s="4"/>
      <c r="Q9398" s="214"/>
    </row>
    <row r="9399" spans="1:17">
      <c r="A9399" s="175"/>
      <c r="B9399" s="175"/>
      <c r="P9399" s="4"/>
      <c r="Q9399" s="214"/>
    </row>
    <row r="9400" spans="1:17">
      <c r="A9400" s="175"/>
      <c r="B9400" s="175"/>
      <c r="P9400" s="4"/>
      <c r="Q9400" s="214"/>
    </row>
    <row r="9401" spans="1:17">
      <c r="A9401" s="175"/>
      <c r="B9401" s="175"/>
      <c r="P9401" s="4"/>
      <c r="Q9401" s="214"/>
    </row>
    <row r="9402" spans="1:17">
      <c r="A9402" s="175"/>
      <c r="B9402" s="175"/>
      <c r="P9402" s="4"/>
      <c r="Q9402" s="214"/>
    </row>
    <row r="9403" spans="1:17">
      <c r="A9403" s="175"/>
      <c r="B9403" s="175"/>
      <c r="P9403" s="4"/>
      <c r="Q9403" s="214"/>
    </row>
    <row r="9404" spans="1:17">
      <c r="A9404" s="175"/>
      <c r="B9404" s="175"/>
      <c r="P9404" s="4"/>
      <c r="Q9404" s="214"/>
    </row>
    <row r="9405" spans="1:17">
      <c r="A9405" s="175"/>
      <c r="B9405" s="175"/>
      <c r="P9405" s="4"/>
      <c r="Q9405" s="214"/>
    </row>
    <row r="9406" spans="1:17">
      <c r="A9406" s="175"/>
      <c r="B9406" s="175"/>
      <c r="P9406" s="4"/>
      <c r="Q9406" s="214"/>
    </row>
    <row r="9407" spans="1:17">
      <c r="A9407" s="175"/>
      <c r="B9407" s="175"/>
      <c r="P9407" s="4"/>
      <c r="Q9407" s="214"/>
    </row>
    <row r="9408" spans="1:17">
      <c r="A9408" s="175"/>
      <c r="B9408" s="175"/>
      <c r="P9408" s="4"/>
      <c r="Q9408" s="214"/>
    </row>
    <row r="9409" spans="1:17">
      <c r="A9409" s="175"/>
      <c r="B9409" s="175"/>
      <c r="P9409" s="4"/>
      <c r="Q9409" s="214"/>
    </row>
    <row r="9410" spans="1:17">
      <c r="A9410" s="175"/>
      <c r="B9410" s="175"/>
      <c r="P9410" s="4"/>
      <c r="Q9410" s="214"/>
    </row>
    <row r="9411" spans="1:17">
      <c r="A9411" s="175"/>
      <c r="B9411" s="175"/>
      <c r="P9411" s="4"/>
      <c r="Q9411" s="214"/>
    </row>
    <row r="9412" spans="1:17">
      <c r="A9412" s="175"/>
      <c r="B9412" s="175"/>
      <c r="P9412" s="4"/>
      <c r="Q9412" s="214"/>
    </row>
    <row r="9413" spans="1:17">
      <c r="A9413" s="175"/>
      <c r="B9413" s="175"/>
      <c r="P9413" s="4"/>
      <c r="Q9413" s="214"/>
    </row>
    <row r="9414" spans="1:17">
      <c r="A9414" s="175"/>
      <c r="B9414" s="175"/>
      <c r="P9414" s="4"/>
      <c r="Q9414" s="214"/>
    </row>
    <row r="9415" spans="1:17">
      <c r="A9415" s="175"/>
      <c r="B9415" s="175"/>
      <c r="P9415" s="4"/>
      <c r="Q9415" s="214"/>
    </row>
    <row r="9416" spans="1:17">
      <c r="A9416" s="175"/>
      <c r="B9416" s="175"/>
      <c r="P9416" s="4"/>
      <c r="Q9416" s="214"/>
    </row>
    <row r="9417" spans="1:17">
      <c r="A9417" s="175"/>
      <c r="B9417" s="175"/>
      <c r="P9417" s="4"/>
      <c r="Q9417" s="214"/>
    </row>
    <row r="9418" spans="1:17">
      <c r="A9418" s="175"/>
      <c r="B9418" s="175"/>
      <c r="P9418" s="4"/>
      <c r="Q9418" s="214"/>
    </row>
    <row r="9419" spans="1:17">
      <c r="A9419" s="175"/>
      <c r="B9419" s="175"/>
      <c r="P9419" s="4"/>
      <c r="Q9419" s="214"/>
    </row>
    <row r="9420" spans="1:17">
      <c r="A9420" s="175"/>
      <c r="B9420" s="175"/>
      <c r="P9420" s="4"/>
      <c r="Q9420" s="214"/>
    </row>
    <row r="9421" spans="1:17">
      <c r="A9421" s="175"/>
      <c r="B9421" s="175"/>
      <c r="P9421" s="4"/>
      <c r="Q9421" s="214"/>
    </row>
    <row r="9422" spans="1:17">
      <c r="A9422" s="175"/>
      <c r="B9422" s="175"/>
      <c r="P9422" s="4"/>
      <c r="Q9422" s="214"/>
    </row>
    <row r="9423" spans="1:17">
      <c r="A9423" s="175"/>
      <c r="B9423" s="175"/>
      <c r="P9423" s="4"/>
      <c r="Q9423" s="214"/>
    </row>
    <row r="9424" spans="1:17">
      <c r="A9424" s="175"/>
      <c r="B9424" s="175"/>
      <c r="P9424" s="4"/>
      <c r="Q9424" s="214"/>
    </row>
    <row r="9425" spans="1:17">
      <c r="A9425" s="175"/>
      <c r="B9425" s="175"/>
      <c r="P9425" s="4"/>
      <c r="Q9425" s="214"/>
    </row>
    <row r="9426" spans="1:17">
      <c r="A9426" s="175"/>
      <c r="B9426" s="175"/>
      <c r="P9426" s="4"/>
      <c r="Q9426" s="214"/>
    </row>
    <row r="9427" spans="1:17">
      <c r="A9427" s="175"/>
      <c r="B9427" s="175"/>
      <c r="P9427" s="4"/>
      <c r="Q9427" s="214"/>
    </row>
    <row r="9428" spans="1:17">
      <c r="A9428" s="175"/>
      <c r="B9428" s="175"/>
      <c r="P9428" s="4"/>
      <c r="Q9428" s="214"/>
    </row>
    <row r="9429" spans="1:17">
      <c r="A9429" s="175"/>
      <c r="B9429" s="175"/>
      <c r="P9429" s="4"/>
      <c r="Q9429" s="214"/>
    </row>
    <row r="9430" spans="1:17">
      <c r="A9430" s="175"/>
      <c r="B9430" s="175"/>
      <c r="P9430" s="4"/>
      <c r="Q9430" s="214"/>
    </row>
    <row r="9431" spans="1:17">
      <c r="A9431" s="175"/>
      <c r="B9431" s="175"/>
      <c r="P9431" s="4"/>
      <c r="Q9431" s="214"/>
    </row>
    <row r="9432" spans="1:17">
      <c r="A9432" s="175"/>
      <c r="B9432" s="175"/>
      <c r="P9432" s="4"/>
      <c r="Q9432" s="214"/>
    </row>
    <row r="9433" spans="1:17">
      <c r="A9433" s="175"/>
      <c r="B9433" s="175"/>
      <c r="P9433" s="4"/>
      <c r="Q9433" s="214"/>
    </row>
    <row r="9434" spans="1:17">
      <c r="A9434" s="175"/>
      <c r="B9434" s="175"/>
      <c r="P9434" s="4"/>
      <c r="Q9434" s="214"/>
    </row>
    <row r="9435" spans="1:17">
      <c r="A9435" s="175"/>
      <c r="B9435" s="175"/>
      <c r="P9435" s="4"/>
      <c r="Q9435" s="214"/>
    </row>
    <row r="9436" spans="1:17">
      <c r="A9436" s="175"/>
      <c r="B9436" s="175"/>
      <c r="P9436" s="4"/>
      <c r="Q9436" s="214"/>
    </row>
    <row r="9437" spans="1:17">
      <c r="A9437" s="175"/>
      <c r="B9437" s="175"/>
      <c r="P9437" s="4"/>
      <c r="Q9437" s="214"/>
    </row>
    <row r="9438" spans="1:17">
      <c r="A9438" s="175"/>
      <c r="B9438" s="175"/>
      <c r="P9438" s="4"/>
      <c r="Q9438" s="214"/>
    </row>
    <row r="9439" spans="1:17">
      <c r="A9439" s="175"/>
      <c r="B9439" s="175"/>
      <c r="P9439" s="4"/>
      <c r="Q9439" s="214"/>
    </row>
    <row r="9440" spans="1:17">
      <c r="A9440" s="175"/>
      <c r="B9440" s="175"/>
      <c r="P9440" s="4"/>
      <c r="Q9440" s="214"/>
    </row>
    <row r="9441" spans="1:17">
      <c r="A9441" s="175"/>
      <c r="B9441" s="175"/>
      <c r="P9441" s="4"/>
      <c r="Q9441" s="214"/>
    </row>
    <row r="9442" spans="1:17">
      <c r="A9442" s="175"/>
      <c r="B9442" s="175"/>
      <c r="P9442" s="4"/>
      <c r="Q9442" s="214"/>
    </row>
    <row r="9443" spans="1:17">
      <c r="A9443" s="175"/>
      <c r="B9443" s="175"/>
      <c r="P9443" s="4"/>
      <c r="Q9443" s="214"/>
    </row>
    <row r="9444" spans="1:17">
      <c r="A9444" s="175"/>
      <c r="B9444" s="175"/>
      <c r="P9444" s="4"/>
      <c r="Q9444" s="214"/>
    </row>
    <row r="9445" spans="1:17">
      <c r="A9445" s="175"/>
      <c r="B9445" s="175"/>
      <c r="P9445" s="4"/>
      <c r="Q9445" s="214"/>
    </row>
    <row r="9446" spans="1:17">
      <c r="A9446" s="175"/>
      <c r="B9446" s="175"/>
      <c r="P9446" s="4"/>
      <c r="Q9446" s="214"/>
    </row>
    <row r="9447" spans="1:17">
      <c r="A9447" s="175"/>
      <c r="B9447" s="175"/>
      <c r="P9447" s="4"/>
      <c r="Q9447" s="214"/>
    </row>
    <row r="9448" spans="1:17">
      <c r="A9448" s="175"/>
      <c r="B9448" s="175"/>
      <c r="P9448" s="4"/>
      <c r="Q9448" s="214"/>
    </row>
    <row r="9449" spans="1:17">
      <c r="A9449" s="175"/>
      <c r="B9449" s="175"/>
      <c r="P9449" s="4"/>
      <c r="Q9449" s="214"/>
    </row>
    <row r="9450" spans="1:17">
      <c r="A9450" s="175"/>
      <c r="B9450" s="175"/>
      <c r="P9450" s="4"/>
      <c r="Q9450" s="214"/>
    </row>
    <row r="9451" spans="1:17">
      <c r="A9451" s="175"/>
      <c r="B9451" s="175"/>
      <c r="P9451" s="4"/>
      <c r="Q9451" s="214"/>
    </row>
    <row r="9452" spans="1:17">
      <c r="A9452" s="175"/>
      <c r="B9452" s="175"/>
      <c r="P9452" s="4"/>
      <c r="Q9452" s="214"/>
    </row>
    <row r="9453" spans="1:17">
      <c r="A9453" s="175"/>
      <c r="B9453" s="175"/>
      <c r="P9453" s="4"/>
      <c r="Q9453" s="214"/>
    </row>
    <row r="9454" spans="1:17">
      <c r="A9454" s="175"/>
      <c r="B9454" s="175"/>
      <c r="P9454" s="4"/>
      <c r="Q9454" s="214"/>
    </row>
    <row r="9455" spans="1:17">
      <c r="A9455" s="175"/>
      <c r="B9455" s="175"/>
      <c r="P9455" s="4"/>
      <c r="Q9455" s="214"/>
    </row>
    <row r="9456" spans="1:17">
      <c r="A9456" s="175"/>
      <c r="B9456" s="175"/>
      <c r="P9456" s="4"/>
      <c r="Q9456" s="214"/>
    </row>
    <row r="9457" spans="1:17">
      <c r="A9457" s="175"/>
      <c r="B9457" s="175"/>
      <c r="P9457" s="4"/>
      <c r="Q9457" s="214"/>
    </row>
    <row r="9458" spans="1:17">
      <c r="A9458" s="175"/>
      <c r="B9458" s="175"/>
      <c r="P9458" s="4"/>
      <c r="Q9458" s="214"/>
    </row>
    <row r="9459" spans="1:17">
      <c r="A9459" s="175"/>
      <c r="B9459" s="175"/>
      <c r="P9459" s="4"/>
      <c r="Q9459" s="214"/>
    </row>
    <row r="9460" spans="1:17">
      <c r="A9460" s="175"/>
      <c r="B9460" s="175"/>
      <c r="P9460" s="4"/>
      <c r="Q9460" s="214"/>
    </row>
    <row r="9461" spans="1:17">
      <c r="A9461" s="175"/>
      <c r="B9461" s="175"/>
      <c r="P9461" s="4"/>
      <c r="Q9461" s="214"/>
    </row>
    <row r="9462" spans="1:17">
      <c r="A9462" s="175"/>
      <c r="B9462" s="175"/>
      <c r="P9462" s="4"/>
      <c r="Q9462" s="214"/>
    </row>
    <row r="9463" spans="1:17">
      <c r="A9463" s="175"/>
      <c r="B9463" s="175"/>
      <c r="P9463" s="4"/>
      <c r="Q9463" s="214"/>
    </row>
    <row r="9464" spans="1:17">
      <c r="A9464" s="175"/>
      <c r="B9464" s="175"/>
      <c r="P9464" s="4"/>
      <c r="Q9464" s="214"/>
    </row>
    <row r="9465" spans="1:17">
      <c r="A9465" s="175"/>
      <c r="B9465" s="175"/>
      <c r="P9465" s="4"/>
      <c r="Q9465" s="214"/>
    </row>
    <row r="9466" spans="1:17">
      <c r="A9466" s="175"/>
      <c r="B9466" s="175"/>
      <c r="P9466" s="4"/>
      <c r="Q9466" s="214"/>
    </row>
    <row r="9467" spans="1:17">
      <c r="A9467" s="175"/>
      <c r="B9467" s="175"/>
      <c r="P9467" s="4"/>
      <c r="Q9467" s="214"/>
    </row>
    <row r="9468" spans="1:17">
      <c r="A9468" s="175"/>
      <c r="B9468" s="175"/>
      <c r="P9468" s="4"/>
      <c r="Q9468" s="214"/>
    </row>
    <row r="9469" spans="1:17">
      <c r="A9469" s="175"/>
      <c r="B9469" s="175"/>
      <c r="P9469" s="4"/>
      <c r="Q9469" s="214"/>
    </row>
    <row r="9470" spans="1:17">
      <c r="A9470" s="175"/>
      <c r="B9470" s="175"/>
      <c r="P9470" s="4"/>
      <c r="Q9470" s="214"/>
    </row>
    <row r="9471" spans="1:17">
      <c r="A9471" s="175"/>
      <c r="B9471" s="175"/>
      <c r="P9471" s="4"/>
      <c r="Q9471" s="214"/>
    </row>
    <row r="9472" spans="1:17">
      <c r="A9472" s="175"/>
      <c r="B9472" s="175"/>
      <c r="P9472" s="4"/>
      <c r="Q9472" s="214"/>
    </row>
    <row r="9473" spans="1:17">
      <c r="A9473" s="175"/>
      <c r="B9473" s="175"/>
      <c r="P9473" s="4"/>
      <c r="Q9473" s="214"/>
    </row>
    <row r="9474" spans="1:17">
      <c r="A9474" s="175"/>
      <c r="B9474" s="175"/>
      <c r="P9474" s="4"/>
      <c r="Q9474" s="214"/>
    </row>
    <row r="9475" spans="1:17">
      <c r="A9475" s="175"/>
      <c r="B9475" s="175"/>
      <c r="P9475" s="4"/>
      <c r="Q9475" s="214"/>
    </row>
    <row r="9476" spans="1:17">
      <c r="A9476" s="175"/>
      <c r="B9476" s="175"/>
      <c r="P9476" s="4"/>
      <c r="Q9476" s="214"/>
    </row>
    <row r="9477" spans="1:17">
      <c r="A9477" s="175"/>
      <c r="B9477" s="175"/>
      <c r="P9477" s="4"/>
      <c r="Q9477" s="214"/>
    </row>
    <row r="9478" spans="1:17">
      <c r="A9478" s="175"/>
      <c r="B9478" s="175"/>
      <c r="P9478" s="4"/>
      <c r="Q9478" s="214"/>
    </row>
    <row r="9479" spans="1:17">
      <c r="A9479" s="175"/>
      <c r="B9479" s="175"/>
      <c r="P9479" s="4"/>
      <c r="Q9479" s="214"/>
    </row>
    <row r="9480" spans="1:17">
      <c r="A9480" s="175"/>
      <c r="B9480" s="175"/>
      <c r="P9480" s="4"/>
      <c r="Q9480" s="214"/>
    </row>
    <row r="9481" spans="1:17">
      <c r="A9481" s="175"/>
      <c r="B9481" s="175"/>
      <c r="P9481" s="4"/>
      <c r="Q9481" s="214"/>
    </row>
    <row r="9482" spans="1:17">
      <c r="A9482" s="175"/>
      <c r="B9482" s="175"/>
      <c r="P9482" s="4"/>
      <c r="Q9482" s="214"/>
    </row>
    <row r="9483" spans="1:17">
      <c r="A9483" s="175"/>
      <c r="B9483" s="175"/>
      <c r="P9483" s="4"/>
      <c r="Q9483" s="214"/>
    </row>
    <row r="9484" spans="1:17">
      <c r="A9484" s="175"/>
      <c r="B9484" s="175"/>
      <c r="P9484" s="4"/>
      <c r="Q9484" s="214"/>
    </row>
    <row r="9485" spans="1:17">
      <c r="A9485" s="175"/>
      <c r="B9485" s="175"/>
      <c r="P9485" s="4"/>
      <c r="Q9485" s="214"/>
    </row>
    <row r="9486" spans="1:17">
      <c r="A9486" s="175"/>
      <c r="B9486" s="175"/>
      <c r="P9486" s="4"/>
      <c r="Q9486" s="214"/>
    </row>
    <row r="9487" spans="1:17">
      <c r="A9487" s="175"/>
      <c r="B9487" s="175"/>
      <c r="P9487" s="4"/>
      <c r="Q9487" s="214"/>
    </row>
    <row r="9488" spans="1:17">
      <c r="A9488" s="175"/>
      <c r="B9488" s="175"/>
      <c r="P9488" s="4"/>
      <c r="Q9488" s="214"/>
    </row>
    <row r="9489" spans="1:17">
      <c r="A9489" s="175"/>
      <c r="B9489" s="175"/>
      <c r="P9489" s="4"/>
      <c r="Q9489" s="214"/>
    </row>
    <row r="9490" spans="1:17">
      <c r="A9490" s="175"/>
      <c r="B9490" s="175"/>
      <c r="P9490" s="4"/>
      <c r="Q9490" s="214"/>
    </row>
    <row r="9491" spans="1:17">
      <c r="A9491" s="175"/>
      <c r="B9491" s="175"/>
      <c r="P9491" s="4"/>
      <c r="Q9491" s="214"/>
    </row>
    <row r="9492" spans="1:17">
      <c r="A9492" s="175"/>
      <c r="B9492" s="175"/>
      <c r="P9492" s="4"/>
      <c r="Q9492" s="214"/>
    </row>
    <row r="9493" spans="1:17">
      <c r="A9493" s="175"/>
      <c r="B9493" s="175"/>
      <c r="P9493" s="4"/>
      <c r="Q9493" s="214"/>
    </row>
    <row r="9494" spans="1:17">
      <c r="A9494" s="175"/>
      <c r="B9494" s="175"/>
      <c r="P9494" s="4"/>
      <c r="Q9494" s="214"/>
    </row>
    <row r="9495" spans="1:17">
      <c r="A9495" s="175"/>
      <c r="B9495" s="175"/>
      <c r="P9495" s="4"/>
      <c r="Q9495" s="214"/>
    </row>
    <row r="9496" spans="1:17">
      <c r="A9496" s="175"/>
      <c r="B9496" s="175"/>
      <c r="P9496" s="4"/>
      <c r="Q9496" s="214"/>
    </row>
    <row r="9497" spans="1:17">
      <c r="A9497" s="175"/>
      <c r="B9497" s="175"/>
      <c r="P9497" s="4"/>
      <c r="Q9497" s="214"/>
    </row>
    <row r="9498" spans="1:17">
      <c r="A9498" s="175"/>
      <c r="B9498" s="175"/>
      <c r="P9498" s="4"/>
      <c r="Q9498" s="214"/>
    </row>
    <row r="9499" spans="1:17">
      <c r="A9499" s="175"/>
      <c r="B9499" s="175"/>
      <c r="P9499" s="4"/>
      <c r="Q9499" s="214"/>
    </row>
    <row r="9500" spans="1:17">
      <c r="A9500" s="175"/>
      <c r="B9500" s="175"/>
      <c r="P9500" s="4"/>
      <c r="Q9500" s="214"/>
    </row>
    <row r="9501" spans="1:17">
      <c r="A9501" s="175"/>
      <c r="B9501" s="175"/>
      <c r="P9501" s="4"/>
      <c r="Q9501" s="214"/>
    </row>
    <row r="9502" spans="1:17">
      <c r="A9502" s="175"/>
      <c r="B9502" s="175"/>
      <c r="P9502" s="4"/>
      <c r="Q9502" s="214"/>
    </row>
    <row r="9503" spans="1:17">
      <c r="A9503" s="175"/>
      <c r="B9503" s="175"/>
      <c r="P9503" s="4"/>
      <c r="Q9503" s="214"/>
    </row>
    <row r="9504" spans="1:17">
      <c r="A9504" s="175"/>
      <c r="B9504" s="175"/>
      <c r="P9504" s="4"/>
      <c r="Q9504" s="214"/>
    </row>
    <row r="9505" spans="1:17">
      <c r="A9505" s="175"/>
      <c r="B9505" s="175"/>
      <c r="P9505" s="4"/>
      <c r="Q9505" s="214"/>
    </row>
    <row r="9506" spans="1:17">
      <c r="A9506" s="175"/>
      <c r="B9506" s="175"/>
      <c r="P9506" s="4"/>
      <c r="Q9506" s="214"/>
    </row>
    <row r="9507" spans="1:17">
      <c r="A9507" s="175"/>
      <c r="B9507" s="175"/>
      <c r="P9507" s="4"/>
      <c r="Q9507" s="214"/>
    </row>
    <row r="9508" spans="1:17">
      <c r="A9508" s="175"/>
      <c r="B9508" s="175"/>
      <c r="P9508" s="4"/>
      <c r="Q9508" s="214"/>
    </row>
    <row r="9509" spans="1:17">
      <c r="A9509" s="175"/>
      <c r="B9509" s="175"/>
      <c r="P9509" s="4"/>
      <c r="Q9509" s="214"/>
    </row>
    <row r="9510" spans="1:17">
      <c r="A9510" s="175"/>
      <c r="B9510" s="175"/>
      <c r="P9510" s="4"/>
      <c r="Q9510" s="214"/>
    </row>
    <row r="9511" spans="1:17">
      <c r="A9511" s="175"/>
      <c r="B9511" s="175"/>
      <c r="P9511" s="4"/>
      <c r="Q9511" s="214"/>
    </row>
    <row r="9512" spans="1:17">
      <c r="A9512" s="175"/>
      <c r="B9512" s="175"/>
      <c r="P9512" s="4"/>
      <c r="Q9512" s="214"/>
    </row>
    <row r="9513" spans="1:17">
      <c r="A9513" s="175"/>
      <c r="B9513" s="175"/>
      <c r="P9513" s="4"/>
      <c r="Q9513" s="214"/>
    </row>
    <row r="9514" spans="1:17">
      <c r="A9514" s="175"/>
      <c r="B9514" s="175"/>
      <c r="P9514" s="4"/>
      <c r="Q9514" s="214"/>
    </row>
    <row r="9515" spans="1:17">
      <c r="A9515" s="175"/>
      <c r="B9515" s="175"/>
      <c r="P9515" s="4"/>
      <c r="Q9515" s="214"/>
    </row>
    <row r="9516" spans="1:17">
      <c r="A9516" s="175"/>
      <c r="B9516" s="175"/>
      <c r="P9516" s="4"/>
      <c r="Q9516" s="214"/>
    </row>
    <row r="9517" spans="1:17">
      <c r="A9517" s="175"/>
      <c r="B9517" s="175"/>
      <c r="P9517" s="4"/>
      <c r="Q9517" s="214"/>
    </row>
    <row r="9518" spans="1:17">
      <c r="P9518" s="4"/>
      <c r="Q9518" s="4"/>
    </row>
    <row r="9519" spans="1:17">
      <c r="P9519" s="4"/>
      <c r="Q9519" s="4"/>
    </row>
    <row r="9520" spans="1:17">
      <c r="P9520" s="4"/>
      <c r="Q9520" s="4"/>
    </row>
    <row r="9521" spans="16:17">
      <c r="P9521" s="4"/>
      <c r="Q9521" s="4"/>
    </row>
    <row r="9522" spans="16:17">
      <c r="P9522" s="4"/>
      <c r="Q9522" s="4"/>
    </row>
    <row r="9523" spans="16:17">
      <c r="P9523" s="4"/>
      <c r="Q9523" s="4"/>
    </row>
    <row r="9524" spans="16:17">
      <c r="P9524" s="4"/>
      <c r="Q9524" s="4"/>
    </row>
    <row r="9525" spans="16:17">
      <c r="P9525" s="4"/>
      <c r="Q9525" s="4"/>
    </row>
    <row r="9526" spans="16:17">
      <c r="P9526" s="4"/>
      <c r="Q9526" s="4"/>
    </row>
    <row r="9527" spans="16:17">
      <c r="P9527" s="4"/>
      <c r="Q9527" s="4"/>
    </row>
    <row r="9528" spans="16:17">
      <c r="P9528" s="4"/>
      <c r="Q9528" s="4"/>
    </row>
    <row r="9529" spans="16:17">
      <c r="P9529" s="4"/>
      <c r="Q9529" s="4"/>
    </row>
    <row r="9530" spans="16:17">
      <c r="P9530" s="4"/>
      <c r="Q9530" s="4"/>
    </row>
    <row r="9531" spans="16:17">
      <c r="P9531" s="4"/>
      <c r="Q9531" s="4"/>
    </row>
    <row r="9532" spans="16:17">
      <c r="P9532" s="4"/>
      <c r="Q9532" s="4"/>
    </row>
    <row r="9533" spans="16:17">
      <c r="P9533" s="4"/>
      <c r="Q9533" s="4"/>
    </row>
    <row r="9534" spans="16:17">
      <c r="P9534" s="4"/>
      <c r="Q9534" s="4"/>
    </row>
    <row r="9535" spans="16:17">
      <c r="P9535" s="4"/>
      <c r="Q9535" s="4"/>
    </row>
    <row r="9536" spans="16:17">
      <c r="P9536" s="4"/>
      <c r="Q9536" s="4"/>
    </row>
    <row r="9537" spans="16:17">
      <c r="P9537" s="4"/>
      <c r="Q9537" s="4"/>
    </row>
    <row r="9538" spans="16:17">
      <c r="P9538" s="4"/>
      <c r="Q9538" s="4"/>
    </row>
    <row r="9539" spans="16:17">
      <c r="P9539" s="4"/>
      <c r="Q9539" s="4"/>
    </row>
    <row r="9540" spans="16:17">
      <c r="P9540" s="4"/>
      <c r="Q9540" s="4"/>
    </row>
    <row r="9541" spans="16:17">
      <c r="P9541" s="4"/>
      <c r="Q9541" s="4"/>
    </row>
    <row r="9542" spans="16:17">
      <c r="P9542" s="4"/>
      <c r="Q9542" s="4"/>
    </row>
    <row r="9543" spans="16:17">
      <c r="P9543" s="4"/>
      <c r="Q9543" s="4"/>
    </row>
    <row r="9544" spans="16:17">
      <c r="P9544" s="4"/>
      <c r="Q9544" s="4"/>
    </row>
    <row r="9545" spans="16:17">
      <c r="P9545" s="4"/>
      <c r="Q9545" s="4"/>
    </row>
    <row r="9546" spans="16:17">
      <c r="P9546" s="4"/>
      <c r="Q9546" s="4"/>
    </row>
    <row r="9547" spans="16:17">
      <c r="P9547" s="4"/>
      <c r="Q9547" s="4"/>
    </row>
    <row r="9548" spans="16:17">
      <c r="P9548" s="4"/>
      <c r="Q9548" s="4"/>
    </row>
    <row r="9549" spans="16:17">
      <c r="P9549" s="4"/>
      <c r="Q9549" s="4"/>
    </row>
    <row r="9550" spans="16:17">
      <c r="P9550" s="4"/>
      <c r="Q9550" s="4"/>
    </row>
    <row r="9551" spans="16:17">
      <c r="P9551" s="4"/>
      <c r="Q9551" s="4"/>
    </row>
    <row r="9552" spans="16:17">
      <c r="P9552" s="4"/>
      <c r="Q9552" s="4"/>
    </row>
    <row r="9553" spans="16:17">
      <c r="P9553" s="4"/>
      <c r="Q9553" s="4"/>
    </row>
    <row r="9554" spans="16:17">
      <c r="P9554" s="4"/>
      <c r="Q9554" s="4"/>
    </row>
    <row r="9555" spans="16:17">
      <c r="P9555" s="4"/>
      <c r="Q9555" s="4"/>
    </row>
    <row r="9556" spans="16:17">
      <c r="P9556" s="4"/>
      <c r="Q9556" s="4"/>
    </row>
    <row r="9557" spans="16:17">
      <c r="P9557" s="4"/>
      <c r="Q9557" s="4"/>
    </row>
    <row r="9558" spans="16:17">
      <c r="P9558" s="4"/>
      <c r="Q9558" s="4"/>
    </row>
    <row r="9559" spans="16:17">
      <c r="P9559" s="4"/>
      <c r="Q9559" s="4"/>
    </row>
    <row r="9560" spans="16:17">
      <c r="P9560" s="4"/>
      <c r="Q9560" s="4"/>
    </row>
    <row r="9561" spans="16:17">
      <c r="P9561" s="4"/>
      <c r="Q9561" s="4"/>
    </row>
    <row r="9562" spans="16:17">
      <c r="P9562" s="4"/>
      <c r="Q9562" s="4"/>
    </row>
    <row r="9563" spans="16:17">
      <c r="P9563" s="4"/>
      <c r="Q9563" s="4"/>
    </row>
    <row r="9564" spans="16:17">
      <c r="P9564" s="4"/>
      <c r="Q9564" s="4"/>
    </row>
    <row r="9565" spans="16:17">
      <c r="P9565" s="4"/>
      <c r="Q9565" s="4"/>
    </row>
    <row r="9566" spans="16:17">
      <c r="P9566" s="4"/>
      <c r="Q9566" s="4"/>
    </row>
    <row r="9567" spans="16:17">
      <c r="P9567" s="4"/>
      <c r="Q9567" s="4"/>
    </row>
    <row r="9568" spans="16:17">
      <c r="P9568" s="4"/>
      <c r="Q9568" s="4"/>
    </row>
    <row r="9569" spans="16:17">
      <c r="P9569" s="4"/>
      <c r="Q9569" s="4"/>
    </row>
    <row r="9570" spans="16:17">
      <c r="P9570" s="4"/>
      <c r="Q9570" s="4"/>
    </row>
    <row r="9571" spans="16:17">
      <c r="P9571" s="4"/>
      <c r="Q9571" s="4"/>
    </row>
    <row r="9572" spans="16:17">
      <c r="P9572" s="4"/>
      <c r="Q9572" s="4"/>
    </row>
    <row r="9573" spans="16:17">
      <c r="P9573" s="4"/>
      <c r="Q9573" s="4"/>
    </row>
    <row r="9574" spans="16:17">
      <c r="P9574" s="4"/>
      <c r="Q9574" s="4"/>
    </row>
    <row r="9575" spans="16:17">
      <c r="P9575" s="4"/>
      <c r="Q9575" s="4"/>
    </row>
    <row r="9576" spans="16:17">
      <c r="P9576" s="4"/>
      <c r="Q9576" s="4"/>
    </row>
    <row r="9577" spans="16:17">
      <c r="P9577" s="4"/>
      <c r="Q9577" s="4"/>
    </row>
    <row r="9578" spans="16:17">
      <c r="P9578" s="4"/>
      <c r="Q9578" s="4"/>
    </row>
    <row r="9579" spans="16:17">
      <c r="P9579" s="4"/>
      <c r="Q9579" s="4"/>
    </row>
    <row r="9580" spans="16:17">
      <c r="P9580" s="4"/>
      <c r="Q9580" s="4"/>
    </row>
    <row r="9581" spans="16:17">
      <c r="P9581" s="4"/>
      <c r="Q9581" s="4"/>
    </row>
    <row r="9582" spans="16:17">
      <c r="P9582" s="4"/>
      <c r="Q9582" s="4"/>
    </row>
    <row r="9583" spans="16:17">
      <c r="P9583" s="4"/>
      <c r="Q9583" s="4"/>
    </row>
    <row r="9584" spans="16:17">
      <c r="P9584" s="4"/>
      <c r="Q9584" s="4"/>
    </row>
    <row r="9585" spans="16:17">
      <c r="P9585" s="4"/>
      <c r="Q9585" s="4"/>
    </row>
    <row r="9586" spans="16:17">
      <c r="P9586" s="4"/>
      <c r="Q9586" s="4"/>
    </row>
    <row r="9587" spans="16:17">
      <c r="P9587" s="4"/>
      <c r="Q9587" s="4"/>
    </row>
    <row r="9588" spans="16:17">
      <c r="P9588" s="4"/>
      <c r="Q9588" s="4"/>
    </row>
    <row r="9589" spans="16:17">
      <c r="P9589" s="4"/>
      <c r="Q9589" s="4"/>
    </row>
    <row r="9590" spans="16:17">
      <c r="P9590" s="4"/>
      <c r="Q9590" s="4"/>
    </row>
    <row r="9591" spans="16:17">
      <c r="P9591" s="4"/>
      <c r="Q9591" s="4"/>
    </row>
    <row r="9592" spans="16:17">
      <c r="P9592" s="4"/>
      <c r="Q9592" s="4"/>
    </row>
    <row r="9593" spans="16:17">
      <c r="P9593" s="4"/>
      <c r="Q9593" s="4"/>
    </row>
    <row r="9594" spans="16:17">
      <c r="P9594" s="4"/>
      <c r="Q9594" s="4"/>
    </row>
    <row r="9595" spans="16:17">
      <c r="P9595" s="4"/>
      <c r="Q9595" s="4"/>
    </row>
    <row r="9596" spans="16:17">
      <c r="P9596" s="4"/>
      <c r="Q9596" s="4"/>
    </row>
    <row r="9597" spans="16:17">
      <c r="P9597" s="4"/>
      <c r="Q9597" s="4"/>
    </row>
    <row r="9598" spans="16:17">
      <c r="P9598" s="4"/>
      <c r="Q9598" s="4"/>
    </row>
    <row r="9599" spans="16:17">
      <c r="P9599" s="4"/>
      <c r="Q9599" s="4"/>
    </row>
    <row r="9600" spans="16:17">
      <c r="P9600" s="4"/>
      <c r="Q9600" s="4"/>
    </row>
    <row r="9601" spans="16:17">
      <c r="P9601" s="4"/>
      <c r="Q9601" s="4"/>
    </row>
    <row r="9602" spans="16:17">
      <c r="P9602" s="4"/>
      <c r="Q9602" s="4"/>
    </row>
    <row r="9603" spans="16:17">
      <c r="P9603" s="4"/>
      <c r="Q9603" s="4"/>
    </row>
    <row r="9604" spans="16:17">
      <c r="P9604" s="4"/>
      <c r="Q9604" s="4"/>
    </row>
    <row r="9605" spans="16:17">
      <c r="P9605" s="4"/>
      <c r="Q9605" s="4"/>
    </row>
    <row r="9606" spans="16:17">
      <c r="P9606" s="4"/>
      <c r="Q9606" s="4"/>
    </row>
    <row r="9607" spans="16:17">
      <c r="P9607" s="4"/>
      <c r="Q9607" s="4"/>
    </row>
    <row r="9608" spans="16:17">
      <c r="P9608" s="4"/>
      <c r="Q9608" s="4"/>
    </row>
    <row r="9609" spans="16:17">
      <c r="P9609" s="4"/>
      <c r="Q9609" s="4"/>
    </row>
    <row r="9610" spans="16:17">
      <c r="P9610" s="4"/>
      <c r="Q9610" s="4"/>
    </row>
    <row r="9611" spans="16:17">
      <c r="P9611" s="4"/>
      <c r="Q9611" s="4"/>
    </row>
    <row r="9612" spans="16:17">
      <c r="P9612" s="4"/>
      <c r="Q9612" s="4"/>
    </row>
    <row r="9613" spans="16:17">
      <c r="P9613" s="4"/>
      <c r="Q9613" s="4"/>
    </row>
    <row r="9614" spans="16:17">
      <c r="P9614" s="4"/>
      <c r="Q9614" s="4"/>
    </row>
    <row r="9615" spans="16:17">
      <c r="P9615" s="4"/>
      <c r="Q9615" s="4"/>
    </row>
    <row r="9616" spans="16:17">
      <c r="P9616" s="4"/>
      <c r="Q9616" s="4"/>
    </row>
    <row r="9617" spans="16:17">
      <c r="P9617" s="4"/>
      <c r="Q9617" s="4"/>
    </row>
    <row r="9618" spans="16:17">
      <c r="P9618" s="4"/>
      <c r="Q9618" s="4"/>
    </row>
    <row r="9619" spans="16:17">
      <c r="P9619" s="4"/>
      <c r="Q9619" s="4"/>
    </row>
    <row r="9620" spans="16:17">
      <c r="P9620" s="4"/>
      <c r="Q9620" s="4"/>
    </row>
    <row r="9621" spans="16:17">
      <c r="P9621" s="4"/>
      <c r="Q9621" s="4"/>
    </row>
    <row r="9622" spans="16:17">
      <c r="P9622" s="4"/>
      <c r="Q9622" s="4"/>
    </row>
    <row r="9623" spans="16:17">
      <c r="P9623" s="4"/>
      <c r="Q9623" s="4"/>
    </row>
    <row r="9624" spans="16:17">
      <c r="P9624" s="4"/>
      <c r="Q9624" s="4"/>
    </row>
    <row r="9625" spans="16:17">
      <c r="P9625" s="4"/>
      <c r="Q9625" s="4"/>
    </row>
    <row r="9626" spans="16:17">
      <c r="P9626" s="4"/>
      <c r="Q9626" s="4"/>
    </row>
    <row r="9627" spans="16:17">
      <c r="P9627" s="4"/>
      <c r="Q9627" s="4"/>
    </row>
    <row r="9628" spans="16:17">
      <c r="P9628" s="4"/>
      <c r="Q9628" s="4"/>
    </row>
    <row r="9629" spans="16:17">
      <c r="P9629" s="4"/>
      <c r="Q9629" s="4"/>
    </row>
    <row r="9630" spans="16:17">
      <c r="P9630" s="4"/>
      <c r="Q9630" s="4"/>
    </row>
    <row r="9631" spans="16:17">
      <c r="P9631" s="4"/>
      <c r="Q9631" s="4"/>
    </row>
    <row r="9632" spans="16:17">
      <c r="P9632" s="4"/>
      <c r="Q9632" s="4"/>
    </row>
    <row r="9633" spans="16:17">
      <c r="P9633" s="4"/>
      <c r="Q9633" s="4"/>
    </row>
    <row r="9634" spans="16:17">
      <c r="P9634" s="4"/>
      <c r="Q9634" s="4"/>
    </row>
    <row r="9635" spans="16:17">
      <c r="P9635" s="4"/>
      <c r="Q9635" s="4"/>
    </row>
    <row r="9636" spans="16:17">
      <c r="P9636" s="4"/>
      <c r="Q9636" s="4"/>
    </row>
    <row r="9637" spans="16:17">
      <c r="P9637" s="4"/>
      <c r="Q9637" s="4"/>
    </row>
    <row r="9638" spans="16:17">
      <c r="P9638" s="4"/>
      <c r="Q9638" s="4"/>
    </row>
    <row r="9639" spans="16:17">
      <c r="P9639" s="4"/>
      <c r="Q9639" s="4"/>
    </row>
    <row r="9640" spans="16:17">
      <c r="P9640" s="4"/>
      <c r="Q9640" s="4"/>
    </row>
    <row r="9641" spans="16:17">
      <c r="P9641" s="4"/>
      <c r="Q9641" s="4"/>
    </row>
    <row r="9642" spans="16:17">
      <c r="P9642" s="4"/>
      <c r="Q9642" s="4"/>
    </row>
    <row r="9643" spans="16:17">
      <c r="P9643" s="4"/>
      <c r="Q9643" s="4"/>
    </row>
    <row r="9644" spans="16:17">
      <c r="P9644" s="4"/>
      <c r="Q9644" s="4"/>
    </row>
    <row r="9645" spans="16:17">
      <c r="P9645" s="4"/>
      <c r="Q9645" s="4"/>
    </row>
    <row r="9646" spans="16:17">
      <c r="P9646" s="4"/>
      <c r="Q9646" s="4"/>
    </row>
    <row r="9647" spans="16:17">
      <c r="P9647" s="4"/>
      <c r="Q9647" s="4"/>
    </row>
    <row r="9648" spans="16:17">
      <c r="P9648" s="4"/>
      <c r="Q9648" s="4"/>
    </row>
    <row r="9649" spans="16:17">
      <c r="P9649" s="4"/>
      <c r="Q9649" s="4"/>
    </row>
    <row r="9650" spans="16:17">
      <c r="P9650" s="4"/>
      <c r="Q9650" s="4"/>
    </row>
    <row r="9651" spans="16:17">
      <c r="P9651" s="4"/>
      <c r="Q9651" s="4"/>
    </row>
    <row r="9652" spans="16:17">
      <c r="P9652" s="4"/>
      <c r="Q9652" s="4"/>
    </row>
    <row r="9653" spans="16:17">
      <c r="P9653" s="4"/>
      <c r="Q9653" s="4"/>
    </row>
    <row r="9654" spans="16:17">
      <c r="P9654" s="4"/>
      <c r="Q9654" s="4"/>
    </row>
    <row r="9655" spans="16:17">
      <c r="P9655" s="4"/>
      <c r="Q9655" s="4"/>
    </row>
    <row r="9656" spans="16:17">
      <c r="P9656" s="4"/>
      <c r="Q9656" s="4"/>
    </row>
    <row r="9657" spans="16:17">
      <c r="P9657" s="4"/>
      <c r="Q9657" s="4"/>
    </row>
    <row r="9658" spans="16:17">
      <c r="P9658" s="4"/>
      <c r="Q9658" s="4"/>
    </row>
    <row r="9659" spans="16:17">
      <c r="P9659" s="4"/>
      <c r="Q9659" s="4"/>
    </row>
    <row r="9660" spans="16:17">
      <c r="P9660" s="4"/>
      <c r="Q9660" s="4"/>
    </row>
    <row r="9661" spans="16:17">
      <c r="P9661" s="4"/>
      <c r="Q9661" s="4"/>
    </row>
    <row r="9662" spans="16:17">
      <c r="P9662" s="4"/>
      <c r="Q9662" s="4"/>
    </row>
    <row r="9663" spans="16:17">
      <c r="P9663" s="4"/>
      <c r="Q9663" s="4"/>
    </row>
    <row r="9664" spans="16:17">
      <c r="P9664" s="4"/>
      <c r="Q9664" s="4"/>
    </row>
    <row r="9665" spans="16:17">
      <c r="P9665" s="4"/>
      <c r="Q9665" s="4"/>
    </row>
    <row r="9666" spans="16:17">
      <c r="P9666" s="4"/>
      <c r="Q9666" s="4"/>
    </row>
    <row r="9667" spans="16:17">
      <c r="P9667" s="4"/>
      <c r="Q9667" s="4"/>
    </row>
    <row r="9668" spans="16:17">
      <c r="P9668" s="4"/>
      <c r="Q9668" s="4"/>
    </row>
    <row r="9669" spans="16:17">
      <c r="P9669" s="4"/>
      <c r="Q9669" s="4"/>
    </row>
    <row r="9670" spans="16:17">
      <c r="P9670" s="4"/>
      <c r="Q9670" s="4"/>
    </row>
    <row r="9671" spans="16:17">
      <c r="P9671" s="4"/>
      <c r="Q9671" s="4"/>
    </row>
    <row r="9672" spans="16:17">
      <c r="P9672" s="4"/>
      <c r="Q9672" s="4"/>
    </row>
    <row r="9673" spans="16:17">
      <c r="P9673" s="4"/>
      <c r="Q9673" s="4"/>
    </row>
    <row r="9674" spans="16:17">
      <c r="P9674" s="4"/>
      <c r="Q9674" s="4"/>
    </row>
    <row r="9675" spans="16:17">
      <c r="P9675" s="4"/>
      <c r="Q9675" s="4"/>
    </row>
    <row r="9676" spans="16:17">
      <c r="P9676" s="4"/>
      <c r="Q9676" s="4"/>
    </row>
    <row r="9677" spans="16:17">
      <c r="P9677" s="4"/>
      <c r="Q9677" s="4"/>
    </row>
    <row r="9678" spans="16:17">
      <c r="P9678" s="4"/>
      <c r="Q9678" s="4"/>
    </row>
    <row r="9679" spans="16:17">
      <c r="P9679" s="4"/>
      <c r="Q9679" s="4"/>
    </row>
    <row r="9680" spans="16:17">
      <c r="P9680" s="4"/>
      <c r="Q9680" s="4"/>
    </row>
    <row r="9681" spans="16:17">
      <c r="P9681" s="4"/>
      <c r="Q9681" s="4"/>
    </row>
    <row r="9682" spans="16:17">
      <c r="P9682" s="4"/>
      <c r="Q9682" s="4"/>
    </row>
    <row r="9683" spans="16:17">
      <c r="P9683" s="4"/>
      <c r="Q9683" s="4"/>
    </row>
    <row r="9684" spans="16:17">
      <c r="P9684" s="4"/>
      <c r="Q9684" s="4"/>
    </row>
    <row r="9685" spans="16:17">
      <c r="P9685" s="4"/>
      <c r="Q9685" s="4"/>
    </row>
    <row r="9686" spans="16:17">
      <c r="P9686" s="4"/>
      <c r="Q9686" s="4"/>
    </row>
    <row r="9687" spans="16:17">
      <c r="P9687" s="4"/>
      <c r="Q9687" s="4"/>
    </row>
    <row r="9688" spans="16:17">
      <c r="P9688" s="4"/>
      <c r="Q9688" s="4"/>
    </row>
    <row r="9689" spans="16:17">
      <c r="P9689" s="4"/>
      <c r="Q9689" s="4"/>
    </row>
    <row r="9690" spans="16:17">
      <c r="P9690" s="4"/>
      <c r="Q9690" s="4"/>
    </row>
    <row r="9691" spans="16:17">
      <c r="P9691" s="4"/>
      <c r="Q9691" s="4"/>
    </row>
    <row r="9692" spans="16:17">
      <c r="P9692" s="4"/>
      <c r="Q9692" s="4"/>
    </row>
    <row r="9693" spans="16:17">
      <c r="P9693" s="4"/>
      <c r="Q9693" s="4"/>
    </row>
    <row r="9694" spans="16:17">
      <c r="P9694" s="4"/>
      <c r="Q9694" s="4"/>
    </row>
    <row r="9695" spans="16:17">
      <c r="P9695" s="4"/>
      <c r="Q9695" s="4"/>
    </row>
    <row r="9696" spans="16:17">
      <c r="P9696" s="4"/>
      <c r="Q9696" s="4"/>
    </row>
    <row r="9697" spans="16:17">
      <c r="P9697" s="4"/>
      <c r="Q9697" s="4"/>
    </row>
    <row r="9698" spans="16:17">
      <c r="P9698" s="4"/>
      <c r="Q9698" s="4"/>
    </row>
    <row r="9699" spans="16:17">
      <c r="P9699" s="4"/>
      <c r="Q9699" s="4"/>
    </row>
    <row r="9700" spans="16:17">
      <c r="P9700" s="4"/>
      <c r="Q9700" s="4"/>
    </row>
    <row r="9701" spans="16:17">
      <c r="P9701" s="4"/>
      <c r="Q9701" s="4"/>
    </row>
    <row r="9702" spans="16:17">
      <c r="P9702" s="4"/>
      <c r="Q9702" s="4"/>
    </row>
    <row r="9703" spans="16:17">
      <c r="P9703" s="4"/>
      <c r="Q9703" s="4"/>
    </row>
    <row r="9704" spans="16:17">
      <c r="P9704" s="4"/>
      <c r="Q9704" s="4"/>
    </row>
    <row r="9705" spans="16:17">
      <c r="P9705" s="4"/>
      <c r="Q9705" s="4"/>
    </row>
    <row r="9706" spans="16:17">
      <c r="P9706" s="4"/>
      <c r="Q9706" s="4"/>
    </row>
    <row r="9707" spans="16:17">
      <c r="P9707" s="4"/>
      <c r="Q9707" s="4"/>
    </row>
    <row r="9708" spans="16:17">
      <c r="P9708" s="4"/>
      <c r="Q9708" s="4"/>
    </row>
    <row r="9709" spans="16:17">
      <c r="P9709" s="4"/>
      <c r="Q9709" s="4"/>
    </row>
    <row r="9710" spans="16:17">
      <c r="P9710" s="4"/>
      <c r="Q9710" s="4"/>
    </row>
    <row r="9711" spans="16:17">
      <c r="P9711" s="4"/>
      <c r="Q9711" s="4"/>
    </row>
    <row r="9712" spans="16:17">
      <c r="P9712" s="4"/>
      <c r="Q9712" s="4"/>
    </row>
    <row r="9713" spans="16:17">
      <c r="P9713" s="4"/>
      <c r="Q9713" s="4"/>
    </row>
    <row r="9714" spans="16:17">
      <c r="P9714" s="4"/>
      <c r="Q9714" s="4"/>
    </row>
    <row r="9715" spans="16:17">
      <c r="P9715" s="4"/>
      <c r="Q9715" s="4"/>
    </row>
    <row r="9716" spans="16:17">
      <c r="P9716" s="4"/>
      <c r="Q9716" s="4"/>
    </row>
    <row r="9717" spans="16:17">
      <c r="P9717" s="4"/>
      <c r="Q9717" s="4"/>
    </row>
    <row r="9718" spans="16:17">
      <c r="P9718" s="4"/>
      <c r="Q9718" s="4"/>
    </row>
    <row r="9719" spans="16:17">
      <c r="P9719" s="4"/>
      <c r="Q9719" s="4"/>
    </row>
    <row r="9720" spans="16:17">
      <c r="P9720" s="4"/>
      <c r="Q9720" s="4"/>
    </row>
    <row r="9721" spans="16:17">
      <c r="P9721" s="4"/>
      <c r="Q9721" s="4"/>
    </row>
    <row r="9722" spans="16:17">
      <c r="P9722" s="4"/>
      <c r="Q9722" s="4"/>
    </row>
    <row r="9723" spans="16:17">
      <c r="P9723" s="4"/>
      <c r="Q9723" s="4"/>
    </row>
    <row r="9724" spans="16:17">
      <c r="P9724" s="4"/>
      <c r="Q9724" s="4"/>
    </row>
    <row r="9725" spans="16:17">
      <c r="P9725" s="4"/>
      <c r="Q9725" s="4"/>
    </row>
    <row r="9726" spans="16:17">
      <c r="P9726" s="4"/>
      <c r="Q9726" s="4"/>
    </row>
    <row r="9727" spans="16:17">
      <c r="P9727" s="4"/>
      <c r="Q9727" s="4"/>
    </row>
    <row r="9728" spans="16:17">
      <c r="P9728" s="4"/>
      <c r="Q9728" s="4"/>
    </row>
    <row r="9729" spans="16:17">
      <c r="P9729" s="4"/>
      <c r="Q9729" s="4"/>
    </row>
    <row r="9730" spans="16:17">
      <c r="P9730" s="4"/>
      <c r="Q9730" s="4"/>
    </row>
    <row r="9731" spans="16:17">
      <c r="P9731" s="4"/>
      <c r="Q9731" s="4"/>
    </row>
    <row r="9732" spans="16:17">
      <c r="P9732" s="4"/>
      <c r="Q9732" s="4"/>
    </row>
    <row r="9733" spans="16:17">
      <c r="P9733" s="4"/>
      <c r="Q9733" s="4"/>
    </row>
    <row r="9734" spans="16:17">
      <c r="P9734" s="4"/>
      <c r="Q9734" s="4"/>
    </row>
    <row r="9735" spans="16:17">
      <c r="P9735" s="4"/>
      <c r="Q9735" s="4"/>
    </row>
    <row r="9736" spans="16:17">
      <c r="P9736" s="4"/>
      <c r="Q9736" s="4"/>
    </row>
    <row r="9737" spans="16:17">
      <c r="P9737" s="4"/>
      <c r="Q9737" s="4"/>
    </row>
    <row r="9738" spans="16:17">
      <c r="P9738" s="4"/>
      <c r="Q9738" s="4"/>
    </row>
    <row r="9739" spans="16:17">
      <c r="P9739" s="4"/>
      <c r="Q9739" s="4"/>
    </row>
    <row r="9740" spans="16:17">
      <c r="P9740" s="4"/>
      <c r="Q9740" s="4"/>
    </row>
    <row r="9741" spans="16:17">
      <c r="P9741" s="4"/>
      <c r="Q9741" s="4"/>
    </row>
    <row r="9742" spans="16:17">
      <c r="P9742" s="4"/>
      <c r="Q9742" s="4"/>
    </row>
    <row r="9743" spans="16:17">
      <c r="P9743" s="4"/>
      <c r="Q9743" s="4"/>
    </row>
    <row r="9744" spans="16:17">
      <c r="P9744" s="4"/>
      <c r="Q9744" s="4"/>
    </row>
    <row r="9745" spans="16:17">
      <c r="P9745" s="4"/>
      <c r="Q9745" s="4"/>
    </row>
    <row r="9746" spans="16:17">
      <c r="P9746" s="4"/>
      <c r="Q9746" s="4"/>
    </row>
    <row r="9747" spans="16:17">
      <c r="P9747" s="4"/>
      <c r="Q9747" s="4"/>
    </row>
    <row r="9748" spans="16:17">
      <c r="P9748" s="4"/>
      <c r="Q9748" s="4"/>
    </row>
    <row r="9749" spans="16:17">
      <c r="P9749" s="4"/>
      <c r="Q9749" s="4"/>
    </row>
    <row r="9750" spans="16:17">
      <c r="P9750" s="4"/>
      <c r="Q9750" s="4"/>
    </row>
    <row r="9751" spans="16:17">
      <c r="P9751" s="4"/>
      <c r="Q9751" s="4"/>
    </row>
    <row r="9752" spans="16:17">
      <c r="P9752" s="4"/>
      <c r="Q9752" s="4"/>
    </row>
    <row r="9753" spans="16:17">
      <c r="P9753" s="4"/>
      <c r="Q9753" s="4"/>
    </row>
    <row r="9754" spans="16:17">
      <c r="P9754" s="4"/>
      <c r="Q9754" s="4"/>
    </row>
    <row r="9755" spans="16:17">
      <c r="P9755" s="4"/>
      <c r="Q9755" s="4"/>
    </row>
    <row r="9756" spans="16:17">
      <c r="P9756" s="4"/>
      <c r="Q9756" s="4"/>
    </row>
    <row r="9757" spans="16:17">
      <c r="P9757" s="4"/>
      <c r="Q9757" s="4"/>
    </row>
    <row r="9758" spans="16:17">
      <c r="P9758" s="4"/>
      <c r="Q9758" s="4"/>
    </row>
    <row r="9759" spans="16:17">
      <c r="P9759" s="4"/>
      <c r="Q9759" s="4"/>
    </row>
    <row r="9760" spans="16:17">
      <c r="P9760" s="4"/>
      <c r="Q9760" s="4"/>
    </row>
    <row r="9761" spans="16:17">
      <c r="P9761" s="4"/>
      <c r="Q9761" s="4"/>
    </row>
    <row r="9762" spans="16:17">
      <c r="P9762" s="4"/>
      <c r="Q9762" s="4"/>
    </row>
    <row r="9763" spans="16:17">
      <c r="P9763" s="4"/>
      <c r="Q9763" s="4"/>
    </row>
    <row r="9764" spans="16:17">
      <c r="P9764" s="4"/>
      <c r="Q9764" s="4"/>
    </row>
    <row r="9765" spans="16:17">
      <c r="P9765" s="4"/>
      <c r="Q9765" s="4"/>
    </row>
    <row r="9766" spans="16:17">
      <c r="P9766" s="4"/>
      <c r="Q9766" s="4"/>
    </row>
    <row r="9767" spans="16:17">
      <c r="P9767" s="4"/>
      <c r="Q9767" s="4"/>
    </row>
    <row r="9768" spans="16:17">
      <c r="P9768" s="4"/>
      <c r="Q9768" s="4"/>
    </row>
    <row r="9769" spans="16:17">
      <c r="P9769" s="4"/>
      <c r="Q9769" s="4"/>
    </row>
    <row r="9770" spans="16:17">
      <c r="P9770" s="4"/>
      <c r="Q9770" s="4"/>
    </row>
    <row r="9771" spans="16:17">
      <c r="P9771" s="4"/>
      <c r="Q9771" s="4"/>
    </row>
    <row r="9772" spans="16:17">
      <c r="P9772" s="4"/>
      <c r="Q9772" s="4"/>
    </row>
    <row r="9773" spans="16:17">
      <c r="P9773" s="4"/>
      <c r="Q9773" s="4"/>
    </row>
    <row r="9774" spans="16:17">
      <c r="P9774" s="4"/>
      <c r="Q9774" s="4"/>
    </row>
    <row r="9775" spans="16:17">
      <c r="P9775" s="4"/>
      <c r="Q9775" s="4"/>
    </row>
    <row r="9776" spans="16:17">
      <c r="P9776" s="4"/>
      <c r="Q9776" s="4"/>
    </row>
    <row r="9777" spans="16:17">
      <c r="P9777" s="4"/>
      <c r="Q9777" s="4"/>
    </row>
    <row r="9778" spans="16:17">
      <c r="P9778" s="4"/>
      <c r="Q9778" s="4"/>
    </row>
    <row r="9779" spans="16:17">
      <c r="P9779" s="4"/>
      <c r="Q9779" s="4"/>
    </row>
    <row r="9780" spans="16:17">
      <c r="P9780" s="4"/>
      <c r="Q9780" s="4"/>
    </row>
    <row r="9781" spans="16:17">
      <c r="P9781" s="4"/>
      <c r="Q9781" s="4"/>
    </row>
    <row r="9782" spans="16:17">
      <c r="P9782" s="4"/>
      <c r="Q9782" s="4"/>
    </row>
    <row r="9783" spans="16:17">
      <c r="P9783" s="4"/>
      <c r="Q9783" s="4"/>
    </row>
    <row r="9784" spans="16:17">
      <c r="P9784" s="4"/>
      <c r="Q9784" s="4"/>
    </row>
    <row r="9785" spans="16:17">
      <c r="P9785" s="4"/>
      <c r="Q9785" s="4"/>
    </row>
    <row r="9786" spans="16:17">
      <c r="P9786" s="4"/>
      <c r="Q9786" s="4"/>
    </row>
    <row r="9787" spans="16:17">
      <c r="P9787" s="4"/>
      <c r="Q9787" s="4"/>
    </row>
    <row r="9788" spans="16:17">
      <c r="P9788" s="4"/>
      <c r="Q9788" s="4"/>
    </row>
    <row r="9789" spans="16:17">
      <c r="P9789" s="4"/>
      <c r="Q9789" s="4"/>
    </row>
    <row r="9790" spans="16:17">
      <c r="P9790" s="4"/>
      <c r="Q9790" s="4"/>
    </row>
    <row r="9791" spans="16:17">
      <c r="P9791" s="4"/>
      <c r="Q9791" s="4"/>
    </row>
    <row r="9792" spans="16:17">
      <c r="P9792" s="4"/>
      <c r="Q9792" s="4"/>
    </row>
    <row r="9793" spans="16:17">
      <c r="P9793" s="4"/>
      <c r="Q9793" s="4"/>
    </row>
    <row r="9794" spans="16:17">
      <c r="P9794" s="4"/>
      <c r="Q9794" s="4"/>
    </row>
    <row r="9795" spans="16:17">
      <c r="P9795" s="4"/>
      <c r="Q9795" s="4"/>
    </row>
    <row r="9796" spans="16:17">
      <c r="P9796" s="4"/>
      <c r="Q9796" s="4"/>
    </row>
    <row r="9797" spans="16:17">
      <c r="P9797" s="4"/>
      <c r="Q9797" s="4"/>
    </row>
    <row r="9798" spans="16:17">
      <c r="P9798" s="4"/>
      <c r="Q9798" s="4"/>
    </row>
    <row r="9799" spans="16:17">
      <c r="P9799" s="4"/>
      <c r="Q9799" s="4"/>
    </row>
    <row r="9800" spans="16:17">
      <c r="P9800" s="4"/>
      <c r="Q9800" s="4"/>
    </row>
    <row r="9801" spans="16:17">
      <c r="P9801" s="4"/>
      <c r="Q9801" s="4"/>
    </row>
    <row r="9802" spans="16:17">
      <c r="P9802" s="4"/>
      <c r="Q9802" s="4"/>
    </row>
    <row r="9803" spans="16:17">
      <c r="P9803" s="4"/>
      <c r="Q9803" s="4"/>
    </row>
    <row r="9804" spans="16:17">
      <c r="P9804" s="4"/>
      <c r="Q9804" s="4"/>
    </row>
    <row r="9805" spans="16:17">
      <c r="P9805" s="4"/>
      <c r="Q9805" s="4"/>
    </row>
    <row r="9806" spans="16:17">
      <c r="P9806" s="4"/>
      <c r="Q9806" s="4"/>
    </row>
    <row r="9807" spans="16:17">
      <c r="P9807" s="4"/>
      <c r="Q9807" s="4"/>
    </row>
    <row r="9808" spans="16:17">
      <c r="P9808" s="4"/>
      <c r="Q9808" s="4"/>
    </row>
    <row r="9809" spans="16:17">
      <c r="P9809" s="4"/>
      <c r="Q9809" s="4"/>
    </row>
    <row r="9810" spans="16:17">
      <c r="P9810" s="4"/>
      <c r="Q9810" s="4"/>
    </row>
    <row r="9811" spans="16:17">
      <c r="P9811" s="4"/>
      <c r="Q9811" s="4"/>
    </row>
    <row r="9812" spans="16:17">
      <c r="P9812" s="4"/>
      <c r="Q9812" s="4"/>
    </row>
    <row r="9813" spans="16:17">
      <c r="P9813" s="4"/>
      <c r="Q9813" s="4"/>
    </row>
    <row r="9814" spans="16:17">
      <c r="P9814" s="4"/>
      <c r="Q9814" s="4"/>
    </row>
    <row r="9815" spans="16:17">
      <c r="P9815" s="4"/>
      <c r="Q9815" s="4"/>
    </row>
    <row r="9816" spans="16:17">
      <c r="P9816" s="4"/>
      <c r="Q9816" s="4"/>
    </row>
    <row r="9817" spans="16:17">
      <c r="P9817" s="4"/>
      <c r="Q9817" s="4"/>
    </row>
    <row r="9818" spans="16:17">
      <c r="P9818" s="4"/>
      <c r="Q9818" s="4"/>
    </row>
    <row r="9819" spans="16:17">
      <c r="P9819" s="4"/>
      <c r="Q9819" s="4"/>
    </row>
    <row r="9820" spans="16:17">
      <c r="P9820" s="4"/>
      <c r="Q9820" s="4"/>
    </row>
    <row r="9821" spans="16:17">
      <c r="P9821" s="4"/>
      <c r="Q9821" s="4"/>
    </row>
    <row r="9822" spans="16:17">
      <c r="P9822" s="4"/>
      <c r="Q9822" s="4"/>
    </row>
    <row r="9823" spans="16:17">
      <c r="P9823" s="4"/>
      <c r="Q9823" s="4"/>
    </row>
    <row r="9824" spans="16:17">
      <c r="P9824" s="4"/>
      <c r="Q9824" s="4"/>
    </row>
    <row r="9825" spans="16:17">
      <c r="P9825" s="4"/>
      <c r="Q9825" s="4"/>
    </row>
    <row r="9826" spans="16:17">
      <c r="P9826" s="4"/>
      <c r="Q9826" s="4"/>
    </row>
    <row r="9827" spans="16:17">
      <c r="P9827" s="4"/>
      <c r="Q9827" s="4"/>
    </row>
    <row r="9828" spans="16:17">
      <c r="P9828" s="4"/>
      <c r="Q9828" s="4"/>
    </row>
    <row r="9829" spans="16:17">
      <c r="P9829" s="4"/>
      <c r="Q9829" s="4"/>
    </row>
    <row r="9830" spans="16:17">
      <c r="P9830" s="4"/>
      <c r="Q9830" s="4"/>
    </row>
    <row r="9831" spans="16:17">
      <c r="P9831" s="4"/>
      <c r="Q9831" s="4"/>
    </row>
    <row r="9832" spans="16:17">
      <c r="P9832" s="4"/>
      <c r="Q9832" s="4"/>
    </row>
    <row r="9833" spans="16:17">
      <c r="P9833" s="4"/>
      <c r="Q9833" s="4"/>
    </row>
    <row r="9834" spans="16:17">
      <c r="P9834" s="4"/>
      <c r="Q9834" s="4"/>
    </row>
    <row r="9835" spans="16:17">
      <c r="P9835" s="4"/>
      <c r="Q9835" s="4"/>
    </row>
    <row r="9836" spans="16:17">
      <c r="P9836" s="4"/>
      <c r="Q9836" s="4"/>
    </row>
    <row r="9837" spans="16:17">
      <c r="P9837" s="4"/>
      <c r="Q9837" s="4"/>
    </row>
    <row r="9838" spans="16:17">
      <c r="P9838" s="4"/>
      <c r="Q9838" s="4"/>
    </row>
    <row r="9839" spans="16:17">
      <c r="P9839" s="4"/>
      <c r="Q9839" s="4"/>
    </row>
    <row r="9840" spans="16:17">
      <c r="P9840" s="4"/>
      <c r="Q9840" s="4"/>
    </row>
    <row r="9841" spans="16:17">
      <c r="P9841" s="4"/>
      <c r="Q9841" s="4"/>
    </row>
    <row r="9842" spans="16:17">
      <c r="P9842" s="4"/>
      <c r="Q9842" s="4"/>
    </row>
    <row r="9843" spans="16:17">
      <c r="P9843" s="4"/>
      <c r="Q9843" s="4"/>
    </row>
    <row r="9844" spans="16:17">
      <c r="P9844" s="4"/>
      <c r="Q9844" s="4"/>
    </row>
    <row r="9845" spans="16:17">
      <c r="P9845" s="4"/>
      <c r="Q9845" s="4"/>
    </row>
    <row r="9846" spans="16:17">
      <c r="P9846" s="4"/>
      <c r="Q9846" s="4"/>
    </row>
    <row r="9847" spans="16:17">
      <c r="P9847" s="4"/>
      <c r="Q9847" s="4"/>
    </row>
    <row r="9848" spans="16:17">
      <c r="P9848" s="4"/>
      <c r="Q9848" s="4"/>
    </row>
    <row r="9849" spans="16:17">
      <c r="P9849" s="4"/>
      <c r="Q9849" s="4"/>
    </row>
    <row r="9850" spans="16:17">
      <c r="P9850" s="4"/>
      <c r="Q9850" s="4"/>
    </row>
    <row r="9851" spans="16:17">
      <c r="P9851" s="4"/>
      <c r="Q9851" s="4"/>
    </row>
    <row r="9852" spans="16:17">
      <c r="P9852" s="4"/>
      <c r="Q9852" s="4"/>
    </row>
    <row r="9853" spans="16:17">
      <c r="P9853" s="4"/>
      <c r="Q9853" s="4"/>
    </row>
    <row r="9854" spans="16:17">
      <c r="P9854" s="4"/>
      <c r="Q9854" s="4"/>
    </row>
    <row r="9855" spans="16:17">
      <c r="P9855" s="4"/>
      <c r="Q9855" s="4"/>
    </row>
    <row r="9856" spans="16:17">
      <c r="P9856" s="4"/>
      <c r="Q9856" s="4"/>
    </row>
    <row r="9857" spans="16:17">
      <c r="P9857" s="4"/>
      <c r="Q9857" s="4"/>
    </row>
    <row r="9858" spans="16:17">
      <c r="P9858" s="4"/>
      <c r="Q9858" s="4"/>
    </row>
    <row r="9859" spans="16:17">
      <c r="P9859" s="4"/>
      <c r="Q9859" s="4"/>
    </row>
    <row r="9860" spans="16:17">
      <c r="P9860" s="4"/>
      <c r="Q9860" s="4"/>
    </row>
    <row r="9861" spans="16:17">
      <c r="P9861" s="4"/>
      <c r="Q9861" s="4"/>
    </row>
    <row r="9862" spans="16:17">
      <c r="P9862" s="4"/>
      <c r="Q9862" s="4"/>
    </row>
    <row r="9863" spans="16:17">
      <c r="P9863" s="4"/>
      <c r="Q9863" s="4"/>
    </row>
    <row r="9864" spans="16:17">
      <c r="P9864" s="4"/>
      <c r="Q9864" s="4"/>
    </row>
    <row r="9865" spans="16:17">
      <c r="P9865" s="4"/>
      <c r="Q9865" s="4"/>
    </row>
    <row r="9866" spans="16:17">
      <c r="P9866" s="4"/>
      <c r="Q9866" s="4"/>
    </row>
    <row r="9867" spans="16:17">
      <c r="P9867" s="4"/>
      <c r="Q9867" s="4"/>
    </row>
    <row r="9868" spans="16:17">
      <c r="P9868" s="4"/>
      <c r="Q9868" s="4"/>
    </row>
    <row r="9869" spans="16:17">
      <c r="P9869" s="4"/>
      <c r="Q9869" s="4"/>
    </row>
    <row r="9870" spans="16:17">
      <c r="P9870" s="4"/>
      <c r="Q9870" s="4"/>
    </row>
    <row r="9871" spans="16:17">
      <c r="P9871" s="4"/>
      <c r="Q9871" s="4"/>
    </row>
    <row r="9872" spans="16:17">
      <c r="P9872" s="4"/>
      <c r="Q9872" s="4"/>
    </row>
    <row r="9873" spans="16:17">
      <c r="P9873" s="4"/>
      <c r="Q9873" s="4"/>
    </row>
    <row r="9874" spans="16:17">
      <c r="P9874" s="4"/>
      <c r="Q9874" s="4"/>
    </row>
    <row r="9875" spans="16:17">
      <c r="P9875" s="4"/>
      <c r="Q9875" s="4"/>
    </row>
    <row r="9876" spans="16:17">
      <c r="P9876" s="4"/>
      <c r="Q9876" s="4"/>
    </row>
    <row r="9877" spans="16:17">
      <c r="P9877" s="4"/>
      <c r="Q9877" s="4"/>
    </row>
    <row r="9878" spans="16:17">
      <c r="P9878" s="4"/>
      <c r="Q9878" s="4"/>
    </row>
    <row r="9879" spans="16:17">
      <c r="P9879" s="4"/>
      <c r="Q9879" s="4"/>
    </row>
    <row r="9880" spans="16:17">
      <c r="P9880" s="4"/>
      <c r="Q9880" s="4"/>
    </row>
    <row r="9881" spans="16:17">
      <c r="P9881" s="4"/>
      <c r="Q9881" s="4"/>
    </row>
    <row r="9882" spans="16:17">
      <c r="P9882" s="4"/>
      <c r="Q9882" s="4"/>
    </row>
    <row r="9883" spans="16:17">
      <c r="P9883" s="4"/>
      <c r="Q9883" s="4"/>
    </row>
    <row r="9884" spans="16:17">
      <c r="P9884" s="4"/>
      <c r="Q9884" s="4"/>
    </row>
    <row r="9885" spans="16:17">
      <c r="P9885" s="4"/>
      <c r="Q9885" s="4"/>
    </row>
    <row r="9886" spans="16:17">
      <c r="P9886" s="4"/>
      <c r="Q9886" s="4"/>
    </row>
    <row r="9887" spans="16:17">
      <c r="P9887" s="4"/>
      <c r="Q9887" s="4"/>
    </row>
    <row r="9888" spans="16:17">
      <c r="P9888" s="4"/>
      <c r="Q9888" s="4"/>
    </row>
    <row r="9889" spans="16:17">
      <c r="P9889" s="4"/>
      <c r="Q9889" s="4"/>
    </row>
    <row r="9890" spans="16:17">
      <c r="P9890" s="4"/>
      <c r="Q9890" s="4"/>
    </row>
    <row r="9891" spans="16:17">
      <c r="P9891" s="4"/>
      <c r="Q9891" s="4"/>
    </row>
    <row r="9892" spans="16:17">
      <c r="P9892" s="4"/>
      <c r="Q9892" s="4"/>
    </row>
    <row r="9893" spans="16:17">
      <c r="P9893" s="4"/>
      <c r="Q9893" s="4"/>
    </row>
    <row r="9894" spans="16:17">
      <c r="P9894" s="4"/>
      <c r="Q9894" s="4"/>
    </row>
    <row r="9895" spans="16:17">
      <c r="P9895" s="4"/>
      <c r="Q9895" s="4"/>
    </row>
    <row r="9896" spans="16:17">
      <c r="P9896" s="4"/>
      <c r="Q9896" s="4"/>
    </row>
    <row r="9897" spans="16:17">
      <c r="P9897" s="4"/>
      <c r="Q9897" s="4"/>
    </row>
    <row r="9898" spans="16:17">
      <c r="P9898" s="4"/>
      <c r="Q9898" s="4"/>
    </row>
    <row r="9899" spans="16:17">
      <c r="P9899" s="4"/>
      <c r="Q9899" s="4"/>
    </row>
    <row r="9900" spans="16:17">
      <c r="P9900" s="4"/>
      <c r="Q9900" s="4"/>
    </row>
    <row r="9901" spans="16:17">
      <c r="P9901" s="4"/>
      <c r="Q9901" s="4"/>
    </row>
    <row r="9902" spans="16:17">
      <c r="P9902" s="4"/>
      <c r="Q9902" s="4"/>
    </row>
    <row r="9903" spans="16:17">
      <c r="P9903" s="4"/>
      <c r="Q9903" s="4"/>
    </row>
    <row r="9904" spans="16:17">
      <c r="P9904" s="4"/>
      <c r="Q9904" s="4"/>
    </row>
    <row r="9905" spans="16:17">
      <c r="P9905" s="4"/>
      <c r="Q9905" s="4"/>
    </row>
    <row r="9906" spans="16:17">
      <c r="P9906" s="4"/>
      <c r="Q9906" s="4"/>
    </row>
    <row r="9907" spans="16:17">
      <c r="P9907" s="4"/>
      <c r="Q9907" s="4"/>
    </row>
    <row r="9908" spans="16:17">
      <c r="P9908" s="4"/>
      <c r="Q9908" s="4"/>
    </row>
    <row r="9909" spans="16:17">
      <c r="P9909" s="4"/>
      <c r="Q9909" s="4"/>
    </row>
    <row r="9910" spans="16:17">
      <c r="P9910" s="4"/>
      <c r="Q9910" s="4"/>
    </row>
    <row r="9911" spans="16:17">
      <c r="P9911" s="4"/>
      <c r="Q9911" s="4"/>
    </row>
    <row r="9912" spans="16:17">
      <c r="P9912" s="4"/>
      <c r="Q9912" s="4"/>
    </row>
    <row r="9913" spans="16:17">
      <c r="P9913" s="4"/>
      <c r="Q9913" s="4"/>
    </row>
    <row r="9914" spans="16:17">
      <c r="P9914" s="4"/>
      <c r="Q9914" s="4"/>
    </row>
    <row r="9915" spans="16:17">
      <c r="P9915" s="4"/>
      <c r="Q9915" s="4"/>
    </row>
    <row r="9916" spans="16:17">
      <c r="P9916" s="4"/>
      <c r="Q9916" s="4"/>
    </row>
    <row r="9917" spans="16:17">
      <c r="P9917" s="4"/>
      <c r="Q9917" s="4"/>
    </row>
    <row r="9918" spans="16:17">
      <c r="P9918" s="4"/>
      <c r="Q9918" s="4"/>
    </row>
    <row r="9919" spans="16:17">
      <c r="P9919" s="4"/>
      <c r="Q9919" s="4"/>
    </row>
    <row r="9920" spans="16:17">
      <c r="P9920" s="4"/>
      <c r="Q9920" s="4"/>
    </row>
    <row r="9921" spans="16:17">
      <c r="P9921" s="4"/>
      <c r="Q9921" s="4"/>
    </row>
    <row r="9922" spans="16:17">
      <c r="P9922" s="4"/>
      <c r="Q9922" s="4"/>
    </row>
    <row r="9923" spans="16:17">
      <c r="P9923" s="4"/>
      <c r="Q9923" s="4"/>
    </row>
    <row r="9924" spans="16:17">
      <c r="P9924" s="4"/>
      <c r="Q9924" s="4"/>
    </row>
    <row r="9925" spans="16:17">
      <c r="P9925" s="4"/>
      <c r="Q9925" s="4"/>
    </row>
    <row r="9926" spans="16:17">
      <c r="P9926" s="4"/>
      <c r="Q9926" s="4"/>
    </row>
    <row r="9927" spans="16:17">
      <c r="P9927" s="4"/>
      <c r="Q9927" s="4"/>
    </row>
    <row r="9928" spans="16:17">
      <c r="P9928" s="4"/>
      <c r="Q9928" s="4"/>
    </row>
    <row r="9929" spans="16:17">
      <c r="P9929" s="4"/>
      <c r="Q9929" s="4"/>
    </row>
    <row r="9930" spans="16:17">
      <c r="P9930" s="4"/>
      <c r="Q9930" s="4"/>
    </row>
    <row r="9931" spans="16:17">
      <c r="P9931" s="4"/>
      <c r="Q9931" s="4"/>
    </row>
    <row r="9932" spans="16:17">
      <c r="P9932" s="4"/>
      <c r="Q9932" s="4"/>
    </row>
    <row r="9933" spans="16:17">
      <c r="P9933" s="4"/>
      <c r="Q9933" s="4"/>
    </row>
    <row r="9934" spans="16:17">
      <c r="P9934" s="4"/>
      <c r="Q9934" s="4"/>
    </row>
    <row r="9935" spans="16:17">
      <c r="P9935" s="4"/>
      <c r="Q9935" s="4"/>
    </row>
    <row r="9936" spans="16:17">
      <c r="P9936" s="4"/>
      <c r="Q9936" s="4"/>
    </row>
    <row r="9937" spans="16:17">
      <c r="P9937" s="4"/>
      <c r="Q9937" s="4"/>
    </row>
    <row r="9938" spans="16:17">
      <c r="P9938" s="4"/>
      <c r="Q9938" s="4"/>
    </row>
    <row r="9939" spans="16:17">
      <c r="P9939" s="4"/>
      <c r="Q9939" s="4"/>
    </row>
    <row r="9940" spans="16:17">
      <c r="P9940" s="4"/>
      <c r="Q9940" s="4"/>
    </row>
    <row r="9941" spans="16:17">
      <c r="P9941" s="4"/>
      <c r="Q9941" s="4"/>
    </row>
    <row r="9942" spans="16:17">
      <c r="P9942" s="4"/>
      <c r="Q9942" s="4"/>
    </row>
    <row r="9943" spans="16:17">
      <c r="P9943" s="4"/>
      <c r="Q9943" s="4"/>
    </row>
    <row r="9944" spans="16:17">
      <c r="P9944" s="4"/>
      <c r="Q9944" s="4"/>
    </row>
    <row r="9945" spans="16:17">
      <c r="P9945" s="4"/>
      <c r="Q9945" s="4"/>
    </row>
    <row r="9946" spans="16:17">
      <c r="P9946" s="4"/>
      <c r="Q9946" s="4"/>
    </row>
    <row r="9947" spans="16:17">
      <c r="P9947" s="4"/>
      <c r="Q9947" s="4"/>
    </row>
    <row r="9948" spans="16:17">
      <c r="P9948" s="4"/>
      <c r="Q9948" s="4"/>
    </row>
    <row r="9949" spans="16:17">
      <c r="P9949" s="4"/>
      <c r="Q9949" s="4"/>
    </row>
    <row r="9950" spans="16:17">
      <c r="P9950" s="4"/>
      <c r="Q9950" s="4"/>
    </row>
    <row r="9951" spans="16:17">
      <c r="P9951" s="4"/>
      <c r="Q9951" s="4"/>
    </row>
    <row r="9952" spans="16:17">
      <c r="P9952" s="4"/>
      <c r="Q9952" s="4"/>
    </row>
    <row r="9953" spans="16:17">
      <c r="P9953" s="4"/>
      <c r="Q9953" s="4"/>
    </row>
    <row r="9954" spans="16:17">
      <c r="P9954" s="4"/>
      <c r="Q9954" s="4"/>
    </row>
    <row r="9955" spans="16:17">
      <c r="P9955" s="4"/>
      <c r="Q9955" s="4"/>
    </row>
    <row r="9956" spans="16:17">
      <c r="P9956" s="4"/>
      <c r="Q9956" s="4"/>
    </row>
    <row r="9957" spans="16:17">
      <c r="P9957" s="4"/>
      <c r="Q9957" s="4"/>
    </row>
    <row r="9958" spans="16:17">
      <c r="P9958" s="4"/>
      <c r="Q9958" s="4"/>
    </row>
    <row r="9959" spans="16:17">
      <c r="P9959" s="4"/>
      <c r="Q9959" s="4"/>
    </row>
    <row r="9960" spans="16:17">
      <c r="P9960" s="4"/>
      <c r="Q9960" s="4"/>
    </row>
    <row r="9961" spans="16:17">
      <c r="P9961" s="4"/>
      <c r="Q9961" s="4"/>
    </row>
    <row r="9962" spans="16:17">
      <c r="P9962" s="4"/>
      <c r="Q9962" s="4"/>
    </row>
    <row r="9963" spans="16:17">
      <c r="P9963" s="4"/>
      <c r="Q9963" s="4"/>
    </row>
    <row r="9964" spans="16:17">
      <c r="P9964" s="4"/>
      <c r="Q9964" s="4"/>
    </row>
    <row r="9965" spans="16:17">
      <c r="P9965" s="4"/>
      <c r="Q9965" s="4"/>
    </row>
    <row r="9966" spans="16:17">
      <c r="P9966" s="4"/>
      <c r="Q9966" s="4"/>
    </row>
    <row r="9967" spans="16:17">
      <c r="P9967" s="4"/>
      <c r="Q9967" s="4"/>
    </row>
    <row r="9968" spans="16:17">
      <c r="P9968" s="4"/>
      <c r="Q9968" s="4"/>
    </row>
    <row r="9969" spans="16:17">
      <c r="P9969" s="4"/>
      <c r="Q9969" s="4"/>
    </row>
    <row r="9970" spans="16:17">
      <c r="P9970" s="4"/>
      <c r="Q9970" s="4"/>
    </row>
    <row r="9971" spans="16:17">
      <c r="P9971" s="4"/>
      <c r="Q9971" s="4"/>
    </row>
    <row r="9972" spans="16:17">
      <c r="P9972" s="4"/>
      <c r="Q9972" s="4"/>
    </row>
    <row r="9973" spans="16:17">
      <c r="P9973" s="4"/>
      <c r="Q9973" s="4"/>
    </row>
    <row r="9974" spans="16:17">
      <c r="P9974" s="4"/>
      <c r="Q9974" s="4"/>
    </row>
    <row r="9975" spans="16:17">
      <c r="P9975" s="4"/>
      <c r="Q9975" s="4"/>
    </row>
    <row r="9976" spans="16:17">
      <c r="P9976" s="4"/>
      <c r="Q9976" s="4"/>
    </row>
    <row r="9977" spans="16:17">
      <c r="P9977" s="4"/>
      <c r="Q9977" s="4"/>
    </row>
    <row r="9978" spans="16:17">
      <c r="P9978" s="4"/>
      <c r="Q9978" s="4"/>
    </row>
    <row r="9979" spans="16:17">
      <c r="P9979" s="4"/>
      <c r="Q9979" s="4"/>
    </row>
    <row r="9980" spans="16:17">
      <c r="P9980" s="4"/>
      <c r="Q9980" s="4"/>
    </row>
    <row r="9981" spans="16:17">
      <c r="P9981" s="4"/>
      <c r="Q9981" s="4"/>
    </row>
    <row r="9982" spans="16:17">
      <c r="P9982" s="4"/>
      <c r="Q9982" s="4"/>
    </row>
    <row r="9983" spans="16:17">
      <c r="P9983" s="4"/>
      <c r="Q9983" s="4"/>
    </row>
    <row r="9984" spans="16:17">
      <c r="P9984" s="4"/>
      <c r="Q9984" s="4"/>
    </row>
    <row r="9985" spans="16:17">
      <c r="P9985" s="4"/>
      <c r="Q9985" s="4"/>
    </row>
    <row r="9986" spans="16:17">
      <c r="P9986" s="4"/>
      <c r="Q9986" s="4"/>
    </row>
    <row r="9987" spans="16:17">
      <c r="P9987" s="4"/>
      <c r="Q9987" s="4"/>
    </row>
    <row r="9988" spans="16:17">
      <c r="P9988" s="4"/>
      <c r="Q9988" s="4"/>
    </row>
    <row r="9989" spans="16:17">
      <c r="P9989" s="4"/>
      <c r="Q9989" s="4"/>
    </row>
    <row r="9990" spans="16:17">
      <c r="P9990" s="4"/>
      <c r="Q9990" s="4"/>
    </row>
    <row r="9991" spans="16:17">
      <c r="P9991" s="4"/>
      <c r="Q9991" s="4"/>
    </row>
    <row r="9992" spans="16:17">
      <c r="P9992" s="4"/>
      <c r="Q9992" s="4"/>
    </row>
    <row r="9993" spans="16:17">
      <c r="P9993" s="4"/>
      <c r="Q9993" s="4"/>
    </row>
    <row r="9994" spans="16:17">
      <c r="P9994" s="4"/>
      <c r="Q9994" s="4"/>
    </row>
    <row r="9995" spans="16:17">
      <c r="P9995" s="4"/>
      <c r="Q9995" s="4"/>
    </row>
    <row r="9996" spans="16:17">
      <c r="P9996" s="4"/>
      <c r="Q9996" s="4"/>
    </row>
    <row r="9997" spans="16:17">
      <c r="P9997" s="4"/>
      <c r="Q9997" s="4"/>
    </row>
    <row r="9998" spans="16:17">
      <c r="P9998" s="4"/>
      <c r="Q9998" s="4"/>
    </row>
    <row r="9999" spans="16:17">
      <c r="P9999" s="4"/>
      <c r="Q9999" s="4"/>
    </row>
    <row r="10000" spans="16:17">
      <c r="P10000" s="4"/>
      <c r="Q10000" s="4"/>
    </row>
    <row r="10001" spans="16:17">
      <c r="P10001" s="4"/>
      <c r="Q10001" s="4"/>
    </row>
    <row r="10002" spans="16:17">
      <c r="P10002" s="4"/>
      <c r="Q10002" s="4"/>
    </row>
    <row r="10003" spans="16:17">
      <c r="P10003" s="4"/>
      <c r="Q10003" s="4"/>
    </row>
    <row r="10004" spans="16:17">
      <c r="P10004" s="4"/>
      <c r="Q10004" s="4"/>
    </row>
    <row r="10005" spans="16:17">
      <c r="P10005" s="4"/>
      <c r="Q10005" s="4"/>
    </row>
    <row r="10006" spans="16:17">
      <c r="P10006" s="4"/>
      <c r="Q10006" s="4"/>
    </row>
    <row r="10007" spans="16:17">
      <c r="P10007" s="4"/>
      <c r="Q10007" s="4"/>
    </row>
    <row r="10008" spans="16:17">
      <c r="P10008" s="4"/>
      <c r="Q10008" s="4"/>
    </row>
    <row r="10009" spans="16:17">
      <c r="P10009" s="4"/>
      <c r="Q10009" s="4"/>
    </row>
    <row r="10010" spans="16:17">
      <c r="P10010" s="4"/>
      <c r="Q10010" s="4"/>
    </row>
    <row r="10011" spans="16:17">
      <c r="P10011" s="4"/>
      <c r="Q10011" s="4"/>
    </row>
    <row r="10012" spans="16:17">
      <c r="P10012" s="4"/>
      <c r="Q10012" s="4"/>
    </row>
    <row r="10013" spans="16:17">
      <c r="P10013" s="4"/>
      <c r="Q10013" s="4"/>
    </row>
    <row r="10014" spans="16:17">
      <c r="P10014" s="4"/>
      <c r="Q10014" s="4"/>
    </row>
    <row r="10015" spans="16:17">
      <c r="P10015" s="4"/>
      <c r="Q10015" s="4"/>
    </row>
    <row r="10016" spans="16:17">
      <c r="P10016" s="4"/>
      <c r="Q10016" s="4"/>
    </row>
    <row r="10017" spans="16:17">
      <c r="P10017" s="4"/>
      <c r="Q10017" s="4"/>
    </row>
    <row r="10018" spans="16:17">
      <c r="P10018" s="4"/>
      <c r="Q10018" s="4"/>
    </row>
    <row r="10019" spans="16:17">
      <c r="P10019" s="4"/>
      <c r="Q10019" s="4"/>
    </row>
    <row r="10020" spans="16:17">
      <c r="P10020" s="4"/>
      <c r="Q10020" s="4"/>
    </row>
    <row r="10021" spans="16:17">
      <c r="P10021" s="4"/>
      <c r="Q10021" s="4"/>
    </row>
    <row r="10022" spans="16:17">
      <c r="P10022" s="4"/>
      <c r="Q10022" s="4"/>
    </row>
    <row r="10023" spans="16:17">
      <c r="P10023" s="4"/>
      <c r="Q10023" s="4"/>
    </row>
    <row r="10024" spans="16:17">
      <c r="P10024" s="4"/>
      <c r="Q10024" s="4"/>
    </row>
    <row r="10025" spans="16:17">
      <c r="P10025" s="4"/>
      <c r="Q10025" s="4"/>
    </row>
    <row r="10026" spans="16:17">
      <c r="P10026" s="4"/>
      <c r="Q10026" s="4"/>
    </row>
    <row r="10027" spans="16:17">
      <c r="P10027" s="4"/>
      <c r="Q10027" s="4"/>
    </row>
    <row r="10028" spans="16:17">
      <c r="P10028" s="4"/>
      <c r="Q10028" s="4"/>
    </row>
    <row r="10029" spans="16:17">
      <c r="P10029" s="4"/>
      <c r="Q10029" s="4"/>
    </row>
    <row r="10030" spans="16:17">
      <c r="P10030" s="4"/>
      <c r="Q10030" s="4"/>
    </row>
    <row r="10031" spans="16:17">
      <c r="P10031" s="4"/>
      <c r="Q10031" s="4"/>
    </row>
    <row r="10032" spans="16:17">
      <c r="P10032" s="4"/>
      <c r="Q10032" s="4"/>
    </row>
    <row r="10033" spans="16:17">
      <c r="P10033" s="4"/>
      <c r="Q10033" s="4"/>
    </row>
    <row r="10034" spans="16:17">
      <c r="P10034" s="4"/>
      <c r="Q10034" s="4"/>
    </row>
    <row r="10035" spans="16:17">
      <c r="P10035" s="4"/>
      <c r="Q10035" s="4"/>
    </row>
    <row r="10036" spans="16:17">
      <c r="P10036" s="4"/>
      <c r="Q10036" s="4"/>
    </row>
    <row r="10037" spans="16:17">
      <c r="P10037" s="4"/>
      <c r="Q10037" s="4"/>
    </row>
    <row r="10038" spans="16:17">
      <c r="P10038" s="4"/>
      <c r="Q10038" s="4"/>
    </row>
    <row r="10039" spans="16:17">
      <c r="P10039" s="4"/>
      <c r="Q10039" s="4"/>
    </row>
    <row r="10040" spans="16:17">
      <c r="P10040" s="4"/>
      <c r="Q10040" s="4"/>
    </row>
    <row r="10041" spans="16:17">
      <c r="P10041" s="4"/>
      <c r="Q10041" s="4"/>
    </row>
    <row r="10042" spans="16:17">
      <c r="P10042" s="4"/>
      <c r="Q10042" s="4"/>
    </row>
    <row r="10043" spans="16:17">
      <c r="P10043" s="4"/>
      <c r="Q10043" s="4"/>
    </row>
    <row r="10044" spans="16:17">
      <c r="P10044" s="4"/>
      <c r="Q10044" s="4"/>
    </row>
    <row r="10045" spans="16:17">
      <c r="P10045" s="4"/>
      <c r="Q10045" s="4"/>
    </row>
    <row r="10046" spans="16:17">
      <c r="P10046" s="4"/>
      <c r="Q10046" s="4"/>
    </row>
    <row r="10047" spans="16:17">
      <c r="P10047" s="4"/>
      <c r="Q10047" s="4"/>
    </row>
    <row r="10048" spans="16:17">
      <c r="P10048" s="4"/>
      <c r="Q10048" s="4"/>
    </row>
    <row r="10049" spans="16:17">
      <c r="P10049" s="4"/>
      <c r="Q10049" s="4"/>
    </row>
    <row r="10050" spans="16:17">
      <c r="P10050" s="4"/>
      <c r="Q10050" s="4"/>
    </row>
    <row r="10051" spans="16:17">
      <c r="P10051" s="4"/>
      <c r="Q10051" s="4"/>
    </row>
    <row r="10052" spans="16:17">
      <c r="P10052" s="4"/>
      <c r="Q10052" s="4"/>
    </row>
    <row r="10053" spans="16:17">
      <c r="P10053" s="4"/>
      <c r="Q10053" s="4"/>
    </row>
    <row r="10054" spans="16:17">
      <c r="P10054" s="4"/>
      <c r="Q10054" s="4"/>
    </row>
    <row r="10055" spans="16:17">
      <c r="P10055" s="4"/>
      <c r="Q10055" s="4"/>
    </row>
    <row r="10056" spans="16:17">
      <c r="P10056" s="4"/>
      <c r="Q10056" s="4"/>
    </row>
    <row r="10057" spans="16:17">
      <c r="P10057" s="4"/>
      <c r="Q10057" s="4"/>
    </row>
    <row r="10058" spans="16:17">
      <c r="P10058" s="4"/>
      <c r="Q10058" s="4"/>
    </row>
    <row r="10059" spans="16:17">
      <c r="P10059" s="4"/>
      <c r="Q10059" s="4"/>
    </row>
    <row r="10060" spans="16:17">
      <c r="P10060" s="4"/>
      <c r="Q10060" s="4"/>
    </row>
    <row r="10061" spans="16:17">
      <c r="P10061" s="4"/>
      <c r="Q10061" s="4"/>
    </row>
    <row r="10062" spans="16:17">
      <c r="P10062" s="4"/>
      <c r="Q10062" s="4"/>
    </row>
    <row r="10063" spans="16:17">
      <c r="P10063" s="4"/>
      <c r="Q10063" s="4"/>
    </row>
    <row r="10064" spans="16:17">
      <c r="P10064" s="4"/>
      <c r="Q10064" s="4"/>
    </row>
    <row r="10065" spans="16:17">
      <c r="P10065" s="4"/>
      <c r="Q10065" s="4"/>
    </row>
    <row r="10066" spans="16:17">
      <c r="P10066" s="4"/>
      <c r="Q10066" s="4"/>
    </row>
    <row r="10067" spans="16:17">
      <c r="P10067" s="4"/>
      <c r="Q10067" s="4"/>
    </row>
    <row r="10068" spans="16:17">
      <c r="P10068" s="4"/>
      <c r="Q10068" s="4"/>
    </row>
    <row r="10069" spans="16:17">
      <c r="P10069" s="4"/>
      <c r="Q10069" s="4"/>
    </row>
    <row r="10070" spans="16:17">
      <c r="P10070" s="4"/>
      <c r="Q10070" s="4"/>
    </row>
    <row r="10071" spans="16:17">
      <c r="P10071" s="4"/>
      <c r="Q10071" s="4"/>
    </row>
    <row r="10072" spans="16:17">
      <c r="P10072" s="4"/>
      <c r="Q10072" s="4"/>
    </row>
    <row r="10073" spans="16:17">
      <c r="P10073" s="4"/>
      <c r="Q10073" s="4"/>
    </row>
    <row r="10074" spans="16:17">
      <c r="P10074" s="4"/>
      <c r="Q10074" s="4"/>
    </row>
    <row r="10075" spans="16:17">
      <c r="P10075" s="4"/>
      <c r="Q10075" s="4"/>
    </row>
    <row r="10076" spans="16:17">
      <c r="P10076" s="4"/>
      <c r="Q10076" s="4"/>
    </row>
    <row r="10077" spans="16:17">
      <c r="P10077" s="4"/>
      <c r="Q10077" s="4"/>
    </row>
    <row r="10078" spans="16:17">
      <c r="P10078" s="4"/>
      <c r="Q10078" s="4"/>
    </row>
    <row r="10079" spans="16:17">
      <c r="P10079" s="4"/>
      <c r="Q10079" s="4"/>
    </row>
    <row r="10080" spans="16:17">
      <c r="P10080" s="4"/>
      <c r="Q10080" s="4"/>
    </row>
    <row r="10081" spans="16:17">
      <c r="P10081" s="4"/>
      <c r="Q10081" s="4"/>
    </row>
    <row r="10082" spans="16:17">
      <c r="P10082" s="4"/>
      <c r="Q10082" s="4"/>
    </row>
    <row r="10083" spans="16:17">
      <c r="P10083" s="4"/>
      <c r="Q10083" s="4"/>
    </row>
    <row r="10084" spans="16:17">
      <c r="P10084" s="4"/>
      <c r="Q10084" s="4"/>
    </row>
    <row r="10085" spans="16:17">
      <c r="P10085" s="4"/>
      <c r="Q10085" s="4"/>
    </row>
    <row r="10086" spans="16:17">
      <c r="P10086" s="4"/>
      <c r="Q10086" s="4"/>
    </row>
    <row r="10087" spans="16:17">
      <c r="P10087" s="4"/>
      <c r="Q10087" s="4"/>
    </row>
    <row r="10088" spans="16:17">
      <c r="P10088" s="4"/>
      <c r="Q10088" s="4"/>
    </row>
    <row r="10089" spans="16:17">
      <c r="P10089" s="4"/>
      <c r="Q10089" s="4"/>
    </row>
    <row r="10090" spans="16:17">
      <c r="P10090" s="4"/>
      <c r="Q10090" s="4"/>
    </row>
    <row r="10091" spans="16:17">
      <c r="P10091" s="4"/>
      <c r="Q10091" s="4"/>
    </row>
    <row r="10092" spans="16:17">
      <c r="P10092" s="4"/>
      <c r="Q10092" s="4"/>
    </row>
    <row r="10093" spans="16:17">
      <c r="P10093" s="4"/>
      <c r="Q10093" s="4"/>
    </row>
    <row r="10094" spans="16:17">
      <c r="P10094" s="4"/>
      <c r="Q10094" s="4"/>
    </row>
    <row r="10095" spans="16:17">
      <c r="P10095" s="4"/>
      <c r="Q10095" s="4"/>
    </row>
    <row r="10096" spans="16:17">
      <c r="P10096" s="4"/>
      <c r="Q10096" s="4"/>
    </row>
    <row r="10097" spans="16:17">
      <c r="P10097" s="4"/>
      <c r="Q10097" s="4"/>
    </row>
    <row r="10098" spans="16:17">
      <c r="P10098" s="4"/>
      <c r="Q10098" s="4"/>
    </row>
    <row r="10099" spans="16:17">
      <c r="P10099" s="4"/>
      <c r="Q10099" s="4"/>
    </row>
    <row r="10100" spans="16:17">
      <c r="P10100" s="4"/>
      <c r="Q10100" s="4"/>
    </row>
    <row r="10101" spans="16:17">
      <c r="P10101" s="4"/>
      <c r="Q10101" s="4"/>
    </row>
    <row r="10102" spans="16:17">
      <c r="P10102" s="4"/>
      <c r="Q10102" s="4"/>
    </row>
    <row r="10103" spans="16:17">
      <c r="P10103" s="4"/>
      <c r="Q10103" s="4"/>
    </row>
    <row r="10104" spans="16:17">
      <c r="P10104" s="4"/>
      <c r="Q10104" s="4"/>
    </row>
    <row r="10105" spans="16:17">
      <c r="P10105" s="4"/>
      <c r="Q10105" s="4"/>
    </row>
    <row r="10106" spans="16:17">
      <c r="P10106" s="4"/>
      <c r="Q10106" s="4"/>
    </row>
    <row r="10107" spans="16:17">
      <c r="P10107" s="4"/>
      <c r="Q10107" s="4"/>
    </row>
    <row r="10108" spans="16:17">
      <c r="P10108" s="4"/>
      <c r="Q10108" s="4"/>
    </row>
    <row r="10109" spans="16:17">
      <c r="P10109" s="4"/>
      <c r="Q10109" s="4"/>
    </row>
    <row r="10110" spans="16:17">
      <c r="P10110" s="4"/>
      <c r="Q10110" s="4"/>
    </row>
    <row r="10111" spans="16:17">
      <c r="P10111" s="4"/>
      <c r="Q10111" s="4"/>
    </row>
    <row r="10112" spans="16:17">
      <c r="P10112" s="4"/>
      <c r="Q10112" s="4"/>
    </row>
    <row r="10113" spans="16:17">
      <c r="P10113" s="4"/>
      <c r="Q10113" s="4"/>
    </row>
    <row r="10114" spans="16:17">
      <c r="P10114" s="4"/>
      <c r="Q10114" s="4"/>
    </row>
    <row r="10115" spans="16:17">
      <c r="P10115" s="4"/>
      <c r="Q10115" s="4"/>
    </row>
    <row r="10116" spans="16:17">
      <c r="P10116" s="4"/>
      <c r="Q10116" s="4"/>
    </row>
    <row r="10117" spans="16:17">
      <c r="P10117" s="4"/>
      <c r="Q10117" s="4"/>
    </row>
    <row r="10118" spans="16:17">
      <c r="P10118" s="4"/>
      <c r="Q10118" s="4"/>
    </row>
    <row r="10119" spans="16:17">
      <c r="P10119" s="4"/>
      <c r="Q10119" s="4"/>
    </row>
    <row r="10120" spans="16:17">
      <c r="P10120" s="4"/>
      <c r="Q10120" s="4"/>
    </row>
    <row r="10121" spans="16:17">
      <c r="P10121" s="4"/>
      <c r="Q10121" s="4"/>
    </row>
    <row r="10122" spans="16:17">
      <c r="P10122" s="4"/>
      <c r="Q10122" s="4"/>
    </row>
    <row r="10123" spans="16:17">
      <c r="P10123" s="4"/>
      <c r="Q10123" s="4"/>
    </row>
    <row r="10124" spans="16:17">
      <c r="P10124" s="4"/>
      <c r="Q10124" s="4"/>
    </row>
    <row r="10125" spans="16:17">
      <c r="P10125" s="4"/>
      <c r="Q10125" s="4"/>
    </row>
    <row r="10126" spans="16:17">
      <c r="P10126" s="4"/>
      <c r="Q10126" s="4"/>
    </row>
    <row r="10127" spans="16:17">
      <c r="P10127" s="4"/>
      <c r="Q10127" s="4"/>
    </row>
    <row r="10128" spans="16:17">
      <c r="P10128" s="4"/>
      <c r="Q10128" s="4"/>
    </row>
    <row r="10129" spans="16:17">
      <c r="P10129" s="4"/>
      <c r="Q10129" s="4"/>
    </row>
    <row r="10130" spans="16:17">
      <c r="P10130" s="4"/>
      <c r="Q10130" s="4"/>
    </row>
    <row r="10131" spans="16:17">
      <c r="P10131" s="4"/>
      <c r="Q10131" s="4"/>
    </row>
    <row r="10132" spans="16:17">
      <c r="P10132" s="4"/>
      <c r="Q10132" s="4"/>
    </row>
    <row r="10133" spans="16:17">
      <c r="P10133" s="4"/>
      <c r="Q10133" s="4"/>
    </row>
    <row r="10134" spans="16:17">
      <c r="P10134" s="4"/>
      <c r="Q10134" s="4"/>
    </row>
    <row r="10135" spans="16:17">
      <c r="P10135" s="4"/>
      <c r="Q10135" s="4"/>
    </row>
    <row r="10136" spans="16:17">
      <c r="P10136" s="4"/>
      <c r="Q10136" s="4"/>
    </row>
    <row r="10137" spans="16:17">
      <c r="P10137" s="4"/>
      <c r="Q10137" s="4"/>
    </row>
    <row r="10138" spans="16:17">
      <c r="P10138" s="4"/>
      <c r="Q10138" s="4"/>
    </row>
    <row r="10139" spans="16:17">
      <c r="P10139" s="4"/>
      <c r="Q10139" s="4"/>
    </row>
    <row r="10140" spans="16:17">
      <c r="P10140" s="4"/>
      <c r="Q10140" s="4"/>
    </row>
    <row r="10141" spans="16:17">
      <c r="P10141" s="4"/>
      <c r="Q10141" s="4"/>
    </row>
    <row r="10142" spans="16:17">
      <c r="P10142" s="4"/>
      <c r="Q10142" s="4"/>
    </row>
    <row r="10143" spans="16:17">
      <c r="P10143" s="4"/>
      <c r="Q10143" s="4"/>
    </row>
    <row r="10144" spans="16:17">
      <c r="P10144" s="4"/>
      <c r="Q10144" s="4"/>
    </row>
    <row r="10145" spans="16:17">
      <c r="P10145" s="4"/>
      <c r="Q10145" s="4"/>
    </row>
    <row r="10146" spans="16:17">
      <c r="P10146" s="4"/>
      <c r="Q10146" s="4"/>
    </row>
    <row r="10147" spans="16:17">
      <c r="P10147" s="4"/>
      <c r="Q10147" s="4"/>
    </row>
    <row r="10148" spans="16:17">
      <c r="P10148" s="4"/>
      <c r="Q10148" s="4"/>
    </row>
    <row r="10149" spans="16:17">
      <c r="P10149" s="4"/>
      <c r="Q10149" s="4"/>
    </row>
    <row r="10150" spans="16:17">
      <c r="P10150" s="4"/>
      <c r="Q10150" s="4"/>
    </row>
    <row r="10151" spans="16:17">
      <c r="P10151" s="4"/>
      <c r="Q10151" s="4"/>
    </row>
    <row r="10152" spans="16:17">
      <c r="P10152" s="4"/>
      <c r="Q10152" s="4"/>
    </row>
    <row r="10153" spans="16:17">
      <c r="P10153" s="4"/>
      <c r="Q10153" s="4"/>
    </row>
    <row r="10154" spans="16:17">
      <c r="P10154" s="4"/>
      <c r="Q10154" s="4"/>
    </row>
    <row r="10155" spans="16:17">
      <c r="P10155" s="4"/>
      <c r="Q10155" s="4"/>
    </row>
    <row r="10156" spans="16:17">
      <c r="P10156" s="4"/>
      <c r="Q10156" s="4"/>
    </row>
    <row r="10157" spans="16:17">
      <c r="P10157" s="4"/>
      <c r="Q10157" s="4"/>
    </row>
    <row r="10158" spans="16:17">
      <c r="P10158" s="4"/>
      <c r="Q10158" s="4"/>
    </row>
    <row r="10159" spans="16:17">
      <c r="P10159" s="4"/>
      <c r="Q10159" s="4"/>
    </row>
    <row r="10160" spans="16:17">
      <c r="P10160" s="4"/>
      <c r="Q10160" s="4"/>
    </row>
    <row r="10161" spans="16:17">
      <c r="P10161" s="4"/>
      <c r="Q10161" s="4"/>
    </row>
    <row r="10162" spans="16:17">
      <c r="P10162" s="4"/>
      <c r="Q10162" s="4"/>
    </row>
    <row r="10163" spans="16:17">
      <c r="P10163" s="4"/>
      <c r="Q10163" s="4"/>
    </row>
    <row r="10164" spans="16:17">
      <c r="P10164" s="4"/>
      <c r="Q10164" s="4"/>
    </row>
    <row r="10165" spans="16:17">
      <c r="P10165" s="4"/>
      <c r="Q10165" s="4"/>
    </row>
    <row r="10166" spans="16:17">
      <c r="P10166" s="4"/>
      <c r="Q10166" s="4"/>
    </row>
    <row r="10167" spans="16:17">
      <c r="P10167" s="4"/>
      <c r="Q10167" s="4"/>
    </row>
    <row r="10168" spans="16:17">
      <c r="P10168" s="4"/>
      <c r="Q10168" s="4"/>
    </row>
    <row r="10169" spans="16:17">
      <c r="P10169" s="4"/>
      <c r="Q10169" s="4"/>
    </row>
    <row r="10170" spans="16:17">
      <c r="P10170" s="4"/>
      <c r="Q10170" s="4"/>
    </row>
    <row r="10171" spans="16:17">
      <c r="P10171" s="4"/>
      <c r="Q10171" s="4"/>
    </row>
    <row r="10172" spans="16:17">
      <c r="P10172" s="4"/>
      <c r="Q10172" s="4"/>
    </row>
    <row r="10173" spans="16:17">
      <c r="P10173" s="4"/>
      <c r="Q10173" s="4"/>
    </row>
    <row r="10174" spans="16:17">
      <c r="P10174" s="4"/>
      <c r="Q10174" s="4"/>
    </row>
    <row r="10175" spans="16:17">
      <c r="P10175" s="4"/>
      <c r="Q10175" s="4"/>
    </row>
    <row r="10176" spans="16:17">
      <c r="P10176" s="4"/>
      <c r="Q10176" s="4"/>
    </row>
    <row r="10177" spans="16:17">
      <c r="P10177" s="4"/>
      <c r="Q10177" s="4"/>
    </row>
    <row r="10178" spans="16:17">
      <c r="P10178" s="4"/>
      <c r="Q10178" s="4"/>
    </row>
    <row r="10179" spans="16:17">
      <c r="P10179" s="4"/>
      <c r="Q10179" s="4"/>
    </row>
    <row r="10180" spans="16:17">
      <c r="P10180" s="4"/>
      <c r="Q10180" s="4"/>
    </row>
    <row r="10181" spans="16:17">
      <c r="P10181" s="4"/>
      <c r="Q10181" s="4"/>
    </row>
    <row r="10182" spans="16:17">
      <c r="P10182" s="4"/>
      <c r="Q10182" s="4"/>
    </row>
    <row r="10183" spans="16:17">
      <c r="P10183" s="4"/>
      <c r="Q10183" s="4"/>
    </row>
    <row r="10184" spans="16:17">
      <c r="P10184" s="4"/>
      <c r="Q10184" s="4"/>
    </row>
    <row r="10185" spans="16:17">
      <c r="P10185" s="4"/>
      <c r="Q10185" s="4"/>
    </row>
    <row r="10186" spans="16:17">
      <c r="P10186" s="4"/>
      <c r="Q10186" s="4"/>
    </row>
    <row r="10187" spans="16:17">
      <c r="P10187" s="4"/>
      <c r="Q10187" s="4"/>
    </row>
    <row r="10188" spans="16:17">
      <c r="P10188" s="4"/>
      <c r="Q10188" s="4"/>
    </row>
    <row r="10189" spans="16:17">
      <c r="P10189" s="4"/>
      <c r="Q10189" s="4"/>
    </row>
    <row r="10190" spans="16:17">
      <c r="P10190" s="4"/>
      <c r="Q10190" s="4"/>
    </row>
    <row r="10191" spans="16:17">
      <c r="P10191" s="4"/>
      <c r="Q10191" s="4"/>
    </row>
    <row r="10192" spans="16:17">
      <c r="P10192" s="4"/>
      <c r="Q10192" s="4"/>
    </row>
    <row r="10193" spans="16:17">
      <c r="P10193" s="4"/>
      <c r="Q10193" s="4"/>
    </row>
    <row r="10194" spans="16:17">
      <c r="P10194" s="4"/>
      <c r="Q10194" s="4"/>
    </row>
    <row r="10195" spans="16:17">
      <c r="P10195" s="4"/>
      <c r="Q10195" s="4"/>
    </row>
    <row r="10196" spans="16:17">
      <c r="P10196" s="4"/>
      <c r="Q10196" s="4"/>
    </row>
    <row r="10197" spans="16:17">
      <c r="P10197" s="4"/>
      <c r="Q10197" s="4"/>
    </row>
    <row r="10198" spans="16:17">
      <c r="P10198" s="4"/>
      <c r="Q10198" s="4"/>
    </row>
    <row r="10199" spans="16:17">
      <c r="P10199" s="4"/>
      <c r="Q10199" s="4"/>
    </row>
    <row r="10200" spans="16:17">
      <c r="P10200" s="4"/>
      <c r="Q10200" s="4"/>
    </row>
    <row r="10201" spans="16:17">
      <c r="P10201" s="4"/>
      <c r="Q10201" s="4"/>
    </row>
    <row r="10202" spans="16:17">
      <c r="P10202" s="4"/>
      <c r="Q10202" s="4"/>
    </row>
    <row r="10203" spans="16:17">
      <c r="P10203" s="4"/>
      <c r="Q10203" s="4"/>
    </row>
    <row r="10204" spans="16:17">
      <c r="P10204" s="4"/>
      <c r="Q10204" s="4"/>
    </row>
    <row r="10205" spans="16:17">
      <c r="P10205" s="4"/>
      <c r="Q10205" s="4"/>
    </row>
    <row r="10206" spans="16:17">
      <c r="P10206" s="4"/>
      <c r="Q10206" s="4"/>
    </row>
    <row r="10207" spans="16:17">
      <c r="P10207" s="4"/>
      <c r="Q10207" s="4"/>
    </row>
    <row r="10208" spans="16:17">
      <c r="P10208" s="4"/>
      <c r="Q10208" s="4"/>
    </row>
    <row r="10209" spans="16:17">
      <c r="P10209" s="4"/>
      <c r="Q10209" s="4"/>
    </row>
    <row r="10210" spans="16:17">
      <c r="P10210" s="4"/>
      <c r="Q10210" s="4"/>
    </row>
    <row r="10211" spans="16:17">
      <c r="P10211" s="4"/>
      <c r="Q10211" s="4"/>
    </row>
    <row r="10212" spans="16:17">
      <c r="P10212" s="4"/>
      <c r="Q10212" s="4"/>
    </row>
    <row r="10213" spans="16:17">
      <c r="P10213" s="4"/>
      <c r="Q10213" s="4"/>
    </row>
    <row r="10214" spans="16:17">
      <c r="P10214" s="4"/>
      <c r="Q10214" s="4"/>
    </row>
    <row r="10215" spans="16:17">
      <c r="P10215" s="4"/>
      <c r="Q10215" s="4"/>
    </row>
    <row r="10216" spans="16:17">
      <c r="P10216" s="4"/>
      <c r="Q10216" s="4"/>
    </row>
    <row r="10217" spans="16:17">
      <c r="P10217" s="4"/>
      <c r="Q10217" s="4"/>
    </row>
    <row r="10218" spans="16:17">
      <c r="P10218" s="4"/>
      <c r="Q10218" s="4"/>
    </row>
    <row r="10219" spans="16:17">
      <c r="P10219" s="4"/>
      <c r="Q10219" s="4"/>
    </row>
    <row r="10220" spans="16:17">
      <c r="P10220" s="4"/>
      <c r="Q10220" s="4"/>
    </row>
    <row r="10221" spans="16:17">
      <c r="P10221" s="4"/>
      <c r="Q10221" s="4"/>
    </row>
    <row r="10222" spans="16:17">
      <c r="P10222" s="4"/>
      <c r="Q10222" s="4"/>
    </row>
    <row r="10223" spans="16:17">
      <c r="P10223" s="4"/>
      <c r="Q10223" s="4"/>
    </row>
    <row r="10224" spans="16:17">
      <c r="P10224" s="4"/>
      <c r="Q10224" s="4"/>
    </row>
    <row r="10225" spans="16:17">
      <c r="P10225" s="4"/>
      <c r="Q10225" s="4"/>
    </row>
    <row r="10226" spans="16:17">
      <c r="P10226" s="4"/>
      <c r="Q10226" s="4"/>
    </row>
    <row r="10227" spans="16:17">
      <c r="P10227" s="4"/>
      <c r="Q10227" s="4"/>
    </row>
    <row r="10228" spans="16:17">
      <c r="P10228" s="4"/>
      <c r="Q10228" s="4"/>
    </row>
    <row r="10229" spans="16:17">
      <c r="P10229" s="4"/>
      <c r="Q10229" s="4"/>
    </row>
    <row r="10230" spans="16:17">
      <c r="P10230" s="4"/>
      <c r="Q10230" s="4"/>
    </row>
    <row r="10231" spans="16:17">
      <c r="P10231" s="4"/>
      <c r="Q10231" s="4"/>
    </row>
    <row r="10232" spans="16:17">
      <c r="P10232" s="4"/>
      <c r="Q10232" s="4"/>
    </row>
    <row r="10233" spans="16:17">
      <c r="P10233" s="4"/>
      <c r="Q10233" s="4"/>
    </row>
    <row r="10234" spans="16:17">
      <c r="P10234" s="4"/>
      <c r="Q10234" s="4"/>
    </row>
    <row r="10235" spans="16:17">
      <c r="P10235" s="4"/>
      <c r="Q10235" s="4"/>
    </row>
    <row r="10236" spans="16:17">
      <c r="P10236" s="4"/>
      <c r="Q10236" s="4"/>
    </row>
    <row r="10237" spans="16:17">
      <c r="P10237" s="4"/>
      <c r="Q10237" s="4"/>
    </row>
    <row r="10238" spans="16:17">
      <c r="P10238" s="4"/>
      <c r="Q10238" s="4"/>
    </row>
    <row r="10239" spans="16:17">
      <c r="P10239" s="4"/>
      <c r="Q10239" s="4"/>
    </row>
    <row r="10240" spans="16:17">
      <c r="P10240" s="4"/>
      <c r="Q10240" s="4"/>
    </row>
    <row r="10241" spans="16:17">
      <c r="P10241" s="4"/>
      <c r="Q10241" s="4"/>
    </row>
    <row r="10242" spans="16:17">
      <c r="P10242" s="4"/>
      <c r="Q10242" s="4"/>
    </row>
    <row r="10243" spans="16:17">
      <c r="P10243" s="4"/>
      <c r="Q10243" s="4"/>
    </row>
    <row r="10244" spans="16:17">
      <c r="P10244" s="4"/>
      <c r="Q10244" s="4"/>
    </row>
    <row r="10245" spans="16:17">
      <c r="P10245" s="4"/>
      <c r="Q10245" s="4"/>
    </row>
    <row r="10246" spans="16:17">
      <c r="P10246" s="4"/>
      <c r="Q10246" s="4"/>
    </row>
    <row r="10247" spans="16:17">
      <c r="P10247" s="4"/>
      <c r="Q10247" s="4"/>
    </row>
    <row r="10248" spans="16:17">
      <c r="P10248" s="4"/>
      <c r="Q10248" s="4"/>
    </row>
    <row r="10249" spans="16:17">
      <c r="P10249" s="4"/>
      <c r="Q10249" s="4"/>
    </row>
    <row r="10250" spans="16:17">
      <c r="P10250" s="4"/>
      <c r="Q10250" s="4"/>
    </row>
    <row r="10251" spans="16:17">
      <c r="P10251" s="4"/>
      <c r="Q10251" s="4"/>
    </row>
    <row r="10252" spans="16:17">
      <c r="P10252" s="4"/>
      <c r="Q10252" s="4"/>
    </row>
    <row r="10253" spans="16:17">
      <c r="P10253" s="4"/>
      <c r="Q10253" s="4"/>
    </row>
    <row r="10254" spans="16:17">
      <c r="P10254" s="4"/>
      <c r="Q10254" s="4"/>
    </row>
    <row r="10255" spans="16:17">
      <c r="P10255" s="4"/>
      <c r="Q10255" s="4"/>
    </row>
    <row r="10256" spans="16:17">
      <c r="P10256" s="4"/>
      <c r="Q10256" s="4"/>
    </row>
    <row r="10257" spans="16:17">
      <c r="P10257" s="4"/>
      <c r="Q10257" s="4"/>
    </row>
    <row r="10258" spans="16:17">
      <c r="P10258" s="4"/>
      <c r="Q10258" s="4"/>
    </row>
    <row r="10259" spans="16:17">
      <c r="P10259" s="4"/>
      <c r="Q10259" s="4"/>
    </row>
    <row r="10260" spans="16:17">
      <c r="P10260" s="4"/>
      <c r="Q10260" s="4"/>
    </row>
    <row r="10261" spans="16:17">
      <c r="P10261" s="4"/>
      <c r="Q10261" s="4"/>
    </row>
    <row r="10262" spans="16:17">
      <c r="P10262" s="4"/>
      <c r="Q10262" s="4"/>
    </row>
    <row r="10263" spans="16:17">
      <c r="P10263" s="4"/>
      <c r="Q10263" s="4"/>
    </row>
    <row r="10264" spans="16:17">
      <c r="P10264" s="4"/>
      <c r="Q10264" s="4"/>
    </row>
    <row r="10265" spans="16:17">
      <c r="P10265" s="4"/>
      <c r="Q10265" s="4"/>
    </row>
    <row r="10266" spans="16:17">
      <c r="P10266" s="4"/>
      <c r="Q10266" s="4"/>
    </row>
    <row r="10267" spans="16:17">
      <c r="P10267" s="4"/>
      <c r="Q10267" s="4"/>
    </row>
    <row r="10268" spans="16:17">
      <c r="P10268" s="4"/>
      <c r="Q10268" s="4"/>
    </row>
    <row r="10269" spans="16:17">
      <c r="P10269" s="4"/>
      <c r="Q10269" s="4"/>
    </row>
    <row r="10270" spans="16:17">
      <c r="P10270" s="4"/>
      <c r="Q10270" s="4"/>
    </row>
    <row r="10271" spans="16:17">
      <c r="P10271" s="4"/>
      <c r="Q10271" s="4"/>
    </row>
    <row r="10272" spans="16:17">
      <c r="P10272" s="4"/>
      <c r="Q10272" s="4"/>
    </row>
    <row r="10273" spans="16:17">
      <c r="P10273" s="4"/>
      <c r="Q10273" s="4"/>
    </row>
    <row r="10274" spans="16:17">
      <c r="P10274" s="4"/>
      <c r="Q10274" s="4"/>
    </row>
    <row r="10275" spans="16:17">
      <c r="P10275" s="4"/>
      <c r="Q10275" s="4"/>
    </row>
    <row r="10276" spans="16:17">
      <c r="P10276" s="4"/>
      <c r="Q10276" s="4"/>
    </row>
    <row r="10277" spans="16:17">
      <c r="P10277" s="4"/>
      <c r="Q10277" s="4"/>
    </row>
    <row r="10278" spans="16:17">
      <c r="P10278" s="4"/>
      <c r="Q10278" s="4"/>
    </row>
    <row r="10279" spans="16:17">
      <c r="P10279" s="4"/>
      <c r="Q10279" s="4"/>
    </row>
    <row r="10280" spans="16:17">
      <c r="P10280" s="4"/>
      <c r="Q10280" s="4"/>
    </row>
    <row r="10281" spans="16:17">
      <c r="P10281" s="4"/>
      <c r="Q10281" s="4"/>
    </row>
    <row r="10282" spans="16:17">
      <c r="P10282" s="4"/>
      <c r="Q10282" s="4"/>
    </row>
    <row r="10283" spans="16:17">
      <c r="P10283" s="4"/>
      <c r="Q10283" s="4"/>
    </row>
    <row r="10284" spans="16:17">
      <c r="P10284" s="4"/>
      <c r="Q10284" s="4"/>
    </row>
    <row r="10285" spans="16:17">
      <c r="P10285" s="4"/>
      <c r="Q10285" s="4"/>
    </row>
    <row r="10286" spans="16:17">
      <c r="P10286" s="4"/>
      <c r="Q10286" s="4"/>
    </row>
    <row r="10287" spans="16:17">
      <c r="P10287" s="4"/>
      <c r="Q10287" s="4"/>
    </row>
    <row r="10288" spans="16:17">
      <c r="P10288" s="4"/>
      <c r="Q10288" s="4"/>
    </row>
    <row r="10289" spans="16:17">
      <c r="P10289" s="4"/>
      <c r="Q10289" s="4"/>
    </row>
    <row r="10290" spans="16:17">
      <c r="P10290" s="4"/>
      <c r="Q10290" s="4"/>
    </row>
    <row r="10291" spans="16:17">
      <c r="P10291" s="4"/>
      <c r="Q10291" s="4"/>
    </row>
    <row r="10292" spans="16:17">
      <c r="P10292" s="4"/>
      <c r="Q10292" s="4"/>
    </row>
    <row r="10293" spans="16:17">
      <c r="P10293" s="4"/>
      <c r="Q10293" s="4"/>
    </row>
    <row r="10294" spans="16:17">
      <c r="P10294" s="4"/>
      <c r="Q10294" s="4"/>
    </row>
    <row r="10295" spans="16:17">
      <c r="P10295" s="4"/>
      <c r="Q10295" s="4"/>
    </row>
    <row r="10296" spans="16:17">
      <c r="P10296" s="4"/>
      <c r="Q10296" s="4"/>
    </row>
    <row r="10297" spans="16:17">
      <c r="P10297" s="4"/>
      <c r="Q10297" s="4"/>
    </row>
    <row r="10298" spans="16:17">
      <c r="P10298" s="4"/>
      <c r="Q10298" s="4"/>
    </row>
    <row r="10299" spans="16:17">
      <c r="P10299" s="4"/>
      <c r="Q10299" s="4"/>
    </row>
    <row r="10300" spans="16:17">
      <c r="P10300" s="4"/>
      <c r="Q10300" s="4"/>
    </row>
    <row r="10301" spans="16:17">
      <c r="P10301" s="4"/>
      <c r="Q10301" s="4"/>
    </row>
    <row r="10302" spans="16:17">
      <c r="P10302" s="4"/>
      <c r="Q10302" s="4"/>
    </row>
    <row r="10303" spans="16:17">
      <c r="P10303" s="4"/>
      <c r="Q10303" s="4"/>
    </row>
    <row r="10304" spans="16:17">
      <c r="P10304" s="4"/>
      <c r="Q10304" s="4"/>
    </row>
    <row r="10305" spans="16:17">
      <c r="P10305" s="4"/>
      <c r="Q10305" s="4"/>
    </row>
    <row r="10306" spans="16:17">
      <c r="P10306" s="4"/>
      <c r="Q10306" s="4"/>
    </row>
    <row r="10307" spans="16:17">
      <c r="P10307" s="4"/>
      <c r="Q10307" s="4"/>
    </row>
    <row r="10308" spans="16:17">
      <c r="P10308" s="4"/>
      <c r="Q10308" s="4"/>
    </row>
    <row r="10309" spans="16:17">
      <c r="P10309" s="4"/>
      <c r="Q10309" s="4"/>
    </row>
    <row r="10310" spans="16:17">
      <c r="P10310" s="4"/>
      <c r="Q10310" s="4"/>
    </row>
    <row r="10311" spans="16:17">
      <c r="P10311" s="4"/>
      <c r="Q10311" s="4"/>
    </row>
    <row r="10312" spans="16:17">
      <c r="P10312" s="4"/>
      <c r="Q10312" s="4"/>
    </row>
    <row r="10313" spans="16:17">
      <c r="P10313" s="4"/>
      <c r="Q10313" s="4"/>
    </row>
    <row r="10314" spans="16:17">
      <c r="P10314" s="4"/>
      <c r="Q10314" s="4"/>
    </row>
    <row r="10315" spans="16:17">
      <c r="P10315" s="4"/>
      <c r="Q10315" s="4"/>
    </row>
    <row r="10316" spans="16:17">
      <c r="P10316" s="4"/>
      <c r="Q10316" s="4"/>
    </row>
    <row r="10317" spans="16:17">
      <c r="P10317" s="4"/>
      <c r="Q10317" s="4"/>
    </row>
    <row r="10318" spans="16:17">
      <c r="P10318" s="4"/>
      <c r="Q10318" s="4"/>
    </row>
    <row r="10319" spans="16:17">
      <c r="P10319" s="4"/>
      <c r="Q10319" s="4"/>
    </row>
    <row r="10320" spans="16:17">
      <c r="P10320" s="4"/>
      <c r="Q10320" s="4"/>
    </row>
    <row r="10321" spans="16:17">
      <c r="P10321" s="4"/>
      <c r="Q10321" s="4"/>
    </row>
    <row r="10322" spans="16:17">
      <c r="P10322" s="4"/>
      <c r="Q10322" s="4"/>
    </row>
    <row r="10323" spans="16:17">
      <c r="P10323" s="4"/>
      <c r="Q10323" s="4"/>
    </row>
    <row r="10324" spans="16:17">
      <c r="P10324" s="4"/>
      <c r="Q10324" s="4"/>
    </row>
    <row r="10325" spans="16:17">
      <c r="P10325" s="4"/>
      <c r="Q10325" s="4"/>
    </row>
    <row r="10326" spans="16:17">
      <c r="P10326" s="4"/>
      <c r="Q10326" s="4"/>
    </row>
    <row r="10327" spans="16:17">
      <c r="P10327" s="4"/>
      <c r="Q10327" s="4"/>
    </row>
    <row r="10328" spans="16:17">
      <c r="P10328" s="4"/>
      <c r="Q10328" s="4"/>
    </row>
    <row r="10329" spans="16:17">
      <c r="P10329" s="4"/>
      <c r="Q10329" s="4"/>
    </row>
    <row r="10330" spans="16:17">
      <c r="P10330" s="4"/>
      <c r="Q10330" s="4"/>
    </row>
    <row r="10331" spans="16:17">
      <c r="P10331" s="4"/>
      <c r="Q10331" s="4"/>
    </row>
    <row r="10332" spans="16:17">
      <c r="P10332" s="4"/>
      <c r="Q10332" s="4"/>
    </row>
    <row r="10333" spans="16:17">
      <c r="P10333" s="4"/>
      <c r="Q10333" s="4"/>
    </row>
    <row r="10334" spans="16:17">
      <c r="P10334" s="4"/>
      <c r="Q10334" s="4"/>
    </row>
    <row r="10335" spans="16:17">
      <c r="P10335" s="4"/>
      <c r="Q10335" s="4"/>
    </row>
    <row r="10336" spans="16:17">
      <c r="P10336" s="4"/>
      <c r="Q10336" s="4"/>
    </row>
    <row r="10337" spans="16:17">
      <c r="P10337" s="4"/>
      <c r="Q10337" s="4"/>
    </row>
    <row r="10338" spans="16:17">
      <c r="P10338" s="4"/>
      <c r="Q10338" s="4"/>
    </row>
    <row r="10339" spans="16:17">
      <c r="P10339" s="4"/>
      <c r="Q10339" s="4"/>
    </row>
    <row r="10340" spans="16:17">
      <c r="P10340" s="4"/>
      <c r="Q10340" s="4"/>
    </row>
    <row r="10341" spans="16:17">
      <c r="P10341" s="4"/>
      <c r="Q10341" s="4"/>
    </row>
    <row r="10342" spans="16:17">
      <c r="P10342" s="4"/>
      <c r="Q10342" s="4"/>
    </row>
    <row r="10343" spans="16:17">
      <c r="P10343" s="4"/>
      <c r="Q10343" s="4"/>
    </row>
    <row r="10344" spans="16:17">
      <c r="P10344" s="4"/>
      <c r="Q10344" s="4"/>
    </row>
    <row r="10345" spans="16:17">
      <c r="P10345" s="4"/>
      <c r="Q10345" s="4"/>
    </row>
    <row r="10346" spans="16:17">
      <c r="P10346" s="4"/>
      <c r="Q10346" s="4"/>
    </row>
    <row r="10347" spans="16:17">
      <c r="P10347" s="4"/>
      <c r="Q10347" s="4"/>
    </row>
    <row r="10348" spans="16:17">
      <c r="P10348" s="4"/>
      <c r="Q10348" s="4"/>
    </row>
    <row r="10349" spans="16:17">
      <c r="P10349" s="4"/>
      <c r="Q10349" s="4"/>
    </row>
    <row r="10350" spans="16:17">
      <c r="P10350" s="4"/>
      <c r="Q10350" s="4"/>
    </row>
    <row r="10351" spans="16:17">
      <c r="P10351" s="4"/>
      <c r="Q10351" s="4"/>
    </row>
    <row r="10352" spans="16:17">
      <c r="P10352" s="4"/>
      <c r="Q10352" s="4"/>
    </row>
    <row r="10353" spans="16:17">
      <c r="P10353" s="4"/>
      <c r="Q10353" s="4"/>
    </row>
    <row r="10354" spans="16:17">
      <c r="P10354" s="4"/>
      <c r="Q10354" s="4"/>
    </row>
    <row r="10355" spans="16:17">
      <c r="P10355" s="4"/>
      <c r="Q10355" s="4"/>
    </row>
    <row r="10356" spans="16:17">
      <c r="P10356" s="4"/>
      <c r="Q10356" s="4"/>
    </row>
    <row r="10357" spans="16:17">
      <c r="P10357" s="4"/>
      <c r="Q10357" s="4"/>
    </row>
    <row r="10358" spans="16:17">
      <c r="P10358" s="4"/>
      <c r="Q10358" s="4"/>
    </row>
    <row r="10359" spans="16:17">
      <c r="P10359" s="4"/>
      <c r="Q10359" s="4"/>
    </row>
    <row r="10360" spans="16:17">
      <c r="P10360" s="4"/>
      <c r="Q10360" s="4"/>
    </row>
    <row r="10361" spans="16:17">
      <c r="P10361" s="4"/>
      <c r="Q10361" s="4"/>
    </row>
    <row r="10362" spans="16:17">
      <c r="P10362" s="4"/>
      <c r="Q10362" s="4"/>
    </row>
    <row r="10363" spans="16:17">
      <c r="P10363" s="4"/>
      <c r="Q10363" s="4"/>
    </row>
    <row r="10364" spans="16:17">
      <c r="P10364" s="4"/>
      <c r="Q10364" s="4"/>
    </row>
    <row r="10365" spans="16:17">
      <c r="P10365" s="4"/>
      <c r="Q10365" s="4"/>
    </row>
    <row r="10366" spans="16:17">
      <c r="P10366" s="4"/>
      <c r="Q10366" s="4"/>
    </row>
    <row r="10367" spans="16:17">
      <c r="P10367" s="4"/>
      <c r="Q10367" s="4"/>
    </row>
    <row r="10368" spans="16:17">
      <c r="P10368" s="4"/>
      <c r="Q10368" s="4"/>
    </row>
    <row r="10369" spans="16:17">
      <c r="P10369" s="4"/>
      <c r="Q10369" s="4"/>
    </row>
    <row r="10370" spans="16:17">
      <c r="P10370" s="4"/>
      <c r="Q10370" s="4"/>
    </row>
    <row r="10371" spans="16:17">
      <c r="P10371" s="4"/>
      <c r="Q10371" s="4"/>
    </row>
    <row r="10372" spans="16:17">
      <c r="P10372" s="4"/>
      <c r="Q10372" s="4"/>
    </row>
    <row r="10373" spans="16:17">
      <c r="P10373" s="4"/>
      <c r="Q10373" s="4"/>
    </row>
    <row r="10374" spans="16:17">
      <c r="P10374" s="4"/>
      <c r="Q10374" s="4"/>
    </row>
    <row r="10375" spans="16:17">
      <c r="P10375" s="4"/>
      <c r="Q10375" s="4"/>
    </row>
    <row r="10376" spans="16:17">
      <c r="P10376" s="4"/>
      <c r="Q10376" s="4"/>
    </row>
    <row r="10377" spans="16:17">
      <c r="P10377" s="4"/>
      <c r="Q10377" s="4"/>
    </row>
    <row r="10378" spans="16:17">
      <c r="P10378" s="4"/>
      <c r="Q10378" s="4"/>
    </row>
    <row r="10379" spans="16:17">
      <c r="P10379" s="4"/>
      <c r="Q10379" s="4"/>
    </row>
    <row r="10380" spans="16:17">
      <c r="P10380" s="4"/>
      <c r="Q10380" s="4"/>
    </row>
    <row r="10381" spans="16:17">
      <c r="P10381" s="4"/>
      <c r="Q10381" s="4"/>
    </row>
    <row r="10382" spans="16:17">
      <c r="P10382" s="4"/>
      <c r="Q10382" s="4"/>
    </row>
    <row r="10383" spans="16:17">
      <c r="P10383" s="4"/>
      <c r="Q10383" s="4"/>
    </row>
    <row r="10384" spans="16:17">
      <c r="P10384" s="4"/>
      <c r="Q10384" s="4"/>
    </row>
    <row r="10385" spans="16:17">
      <c r="P10385" s="4"/>
      <c r="Q10385" s="4"/>
    </row>
    <row r="10386" spans="16:17">
      <c r="P10386" s="4"/>
      <c r="Q10386" s="4"/>
    </row>
    <row r="10387" spans="16:17">
      <c r="P10387" s="4"/>
      <c r="Q10387" s="4"/>
    </row>
    <row r="10388" spans="16:17">
      <c r="P10388" s="4"/>
      <c r="Q10388" s="4"/>
    </row>
    <row r="10389" spans="16:17">
      <c r="P10389" s="4"/>
      <c r="Q10389" s="4"/>
    </row>
    <row r="10390" spans="16:17">
      <c r="P10390" s="4"/>
      <c r="Q10390" s="4"/>
    </row>
    <row r="10391" spans="16:17">
      <c r="P10391" s="4"/>
      <c r="Q10391" s="4"/>
    </row>
    <row r="10392" spans="16:17">
      <c r="P10392" s="4"/>
      <c r="Q10392" s="4"/>
    </row>
    <row r="10393" spans="16:17">
      <c r="P10393" s="4"/>
      <c r="Q10393" s="4"/>
    </row>
    <row r="10394" spans="16:17">
      <c r="P10394" s="4"/>
      <c r="Q10394" s="4"/>
    </row>
    <row r="10395" spans="16:17">
      <c r="P10395" s="4"/>
      <c r="Q10395" s="4"/>
    </row>
    <row r="10396" spans="16:17">
      <c r="P10396" s="4"/>
      <c r="Q10396" s="4"/>
    </row>
    <row r="10397" spans="16:17">
      <c r="P10397" s="4"/>
      <c r="Q10397" s="4"/>
    </row>
    <row r="10398" spans="16:17">
      <c r="P10398" s="4"/>
      <c r="Q10398" s="4"/>
    </row>
    <row r="10399" spans="16:17">
      <c r="P10399" s="4"/>
      <c r="Q10399" s="4"/>
    </row>
    <row r="10400" spans="16:17">
      <c r="P10400" s="4"/>
      <c r="Q10400" s="4"/>
    </row>
    <row r="10401" spans="16:17">
      <c r="P10401" s="4"/>
      <c r="Q10401" s="4"/>
    </row>
    <row r="10402" spans="16:17">
      <c r="P10402" s="4"/>
      <c r="Q10402" s="4"/>
    </row>
    <row r="10403" spans="16:17">
      <c r="P10403" s="4"/>
      <c r="Q10403" s="4"/>
    </row>
    <row r="10404" spans="16:17">
      <c r="P10404" s="4"/>
      <c r="Q10404" s="4"/>
    </row>
    <row r="10405" spans="16:17">
      <c r="P10405" s="4"/>
      <c r="Q10405" s="4"/>
    </row>
    <row r="10406" spans="16:17">
      <c r="P10406" s="4"/>
      <c r="Q10406" s="4"/>
    </row>
    <row r="10407" spans="16:17">
      <c r="P10407" s="4"/>
      <c r="Q10407" s="4"/>
    </row>
    <row r="10408" spans="16:17">
      <c r="P10408" s="4"/>
      <c r="Q10408" s="4"/>
    </row>
    <row r="10409" spans="16:17">
      <c r="P10409" s="4"/>
      <c r="Q10409" s="4"/>
    </row>
    <row r="10410" spans="16:17">
      <c r="P10410" s="4"/>
      <c r="Q10410" s="4"/>
    </row>
    <row r="10411" spans="16:17">
      <c r="P10411" s="4"/>
      <c r="Q10411" s="4"/>
    </row>
    <row r="10412" spans="16:17">
      <c r="P10412" s="4"/>
      <c r="Q10412" s="4"/>
    </row>
    <row r="10413" spans="16:17">
      <c r="P10413" s="4"/>
      <c r="Q10413" s="4"/>
    </row>
    <row r="10414" spans="16:17">
      <c r="P10414" s="4"/>
      <c r="Q10414" s="4"/>
    </row>
    <row r="10415" spans="16:17">
      <c r="P10415" s="4"/>
      <c r="Q10415" s="4"/>
    </row>
    <row r="10416" spans="16:17">
      <c r="P10416" s="4"/>
      <c r="Q10416" s="4"/>
    </row>
    <row r="10417" spans="16:17">
      <c r="P10417" s="4"/>
      <c r="Q10417" s="4"/>
    </row>
    <row r="10418" spans="16:17">
      <c r="P10418" s="4"/>
      <c r="Q10418" s="4"/>
    </row>
    <row r="10419" spans="16:17">
      <c r="P10419" s="4"/>
      <c r="Q10419" s="4"/>
    </row>
    <row r="10420" spans="16:17">
      <c r="P10420" s="4"/>
      <c r="Q10420" s="4"/>
    </row>
    <row r="10421" spans="16:17">
      <c r="P10421" s="4"/>
      <c r="Q10421" s="4"/>
    </row>
    <row r="10422" spans="16:17">
      <c r="P10422" s="4"/>
      <c r="Q10422" s="4"/>
    </row>
    <row r="10423" spans="16:17">
      <c r="P10423" s="4"/>
      <c r="Q10423" s="4"/>
    </row>
    <row r="10424" spans="16:17">
      <c r="P10424" s="4"/>
      <c r="Q10424" s="4"/>
    </row>
    <row r="10425" spans="16:17">
      <c r="P10425" s="4"/>
      <c r="Q10425" s="4"/>
    </row>
    <row r="10426" spans="16:17">
      <c r="P10426" s="4"/>
      <c r="Q10426" s="4"/>
    </row>
    <row r="10427" spans="16:17">
      <c r="P10427" s="4"/>
      <c r="Q10427" s="4"/>
    </row>
    <row r="10428" spans="16:17">
      <c r="P10428" s="4"/>
      <c r="Q10428" s="4"/>
    </row>
    <row r="10429" spans="16:17">
      <c r="P10429" s="4"/>
      <c r="Q10429" s="4"/>
    </row>
    <row r="10430" spans="16:17">
      <c r="P10430" s="4"/>
      <c r="Q10430" s="4"/>
    </row>
    <row r="10431" spans="16:17">
      <c r="P10431" s="4"/>
      <c r="Q10431" s="4"/>
    </row>
    <row r="10432" spans="16:17">
      <c r="P10432" s="4"/>
      <c r="Q10432" s="4"/>
    </row>
    <row r="10433" spans="16:17">
      <c r="P10433" s="4"/>
      <c r="Q10433" s="4"/>
    </row>
    <row r="10434" spans="16:17">
      <c r="P10434" s="4"/>
      <c r="Q10434" s="4"/>
    </row>
    <row r="10435" spans="16:17">
      <c r="P10435" s="4"/>
      <c r="Q10435" s="4"/>
    </row>
    <row r="10436" spans="16:17">
      <c r="P10436" s="4"/>
      <c r="Q10436" s="4"/>
    </row>
    <row r="10437" spans="16:17">
      <c r="P10437" s="4"/>
      <c r="Q10437" s="4"/>
    </row>
    <row r="10438" spans="16:17">
      <c r="P10438" s="4"/>
      <c r="Q10438" s="4"/>
    </row>
    <row r="10439" spans="16:17">
      <c r="P10439" s="4"/>
      <c r="Q10439" s="4"/>
    </row>
    <row r="10440" spans="16:17">
      <c r="P10440" s="4"/>
      <c r="Q10440" s="4"/>
    </row>
    <row r="10441" spans="16:17">
      <c r="P10441" s="4"/>
      <c r="Q10441" s="4"/>
    </row>
    <row r="10442" spans="16:17">
      <c r="P10442" s="4"/>
      <c r="Q10442" s="4"/>
    </row>
    <row r="10443" spans="16:17">
      <c r="P10443" s="4"/>
      <c r="Q10443" s="4"/>
    </row>
    <row r="10444" spans="16:17">
      <c r="P10444" s="4"/>
      <c r="Q10444" s="4"/>
    </row>
    <row r="10445" spans="16:17">
      <c r="P10445" s="4"/>
      <c r="Q10445" s="4"/>
    </row>
    <row r="10446" spans="16:17">
      <c r="P10446" s="4"/>
      <c r="Q10446" s="4"/>
    </row>
    <row r="10447" spans="16:17">
      <c r="P10447" s="4"/>
      <c r="Q10447" s="4"/>
    </row>
    <row r="10448" spans="16:17">
      <c r="P10448" s="4"/>
      <c r="Q10448" s="4"/>
    </row>
    <row r="10449" spans="16:17">
      <c r="P10449" s="4"/>
      <c r="Q10449" s="4"/>
    </row>
    <row r="10450" spans="16:17">
      <c r="P10450" s="4"/>
      <c r="Q10450" s="4"/>
    </row>
    <row r="10451" spans="16:17">
      <c r="P10451" s="4"/>
      <c r="Q10451" s="4"/>
    </row>
    <row r="10452" spans="16:17">
      <c r="P10452" s="4"/>
      <c r="Q10452" s="4"/>
    </row>
    <row r="10453" spans="16:17">
      <c r="P10453" s="4"/>
      <c r="Q10453" s="4"/>
    </row>
    <row r="10454" spans="16:17">
      <c r="P10454" s="4"/>
      <c r="Q10454" s="4"/>
    </row>
    <row r="10455" spans="16:17">
      <c r="P10455" s="4"/>
      <c r="Q10455" s="4"/>
    </row>
    <row r="10456" spans="16:17">
      <c r="P10456" s="4"/>
      <c r="Q10456" s="4"/>
    </row>
    <row r="10457" spans="16:17">
      <c r="P10457" s="4"/>
      <c r="Q10457" s="4"/>
    </row>
    <row r="10458" spans="16:17">
      <c r="P10458" s="4"/>
      <c r="Q10458" s="4"/>
    </row>
    <row r="10459" spans="16:17">
      <c r="P10459" s="4"/>
      <c r="Q10459" s="4"/>
    </row>
    <row r="10460" spans="16:17">
      <c r="P10460" s="4"/>
      <c r="Q10460" s="4"/>
    </row>
    <row r="10461" spans="16:17">
      <c r="P10461" s="4"/>
      <c r="Q10461" s="4"/>
    </row>
    <row r="10462" spans="16:17">
      <c r="P10462" s="4"/>
      <c r="Q10462" s="4"/>
    </row>
    <row r="10463" spans="16:17">
      <c r="P10463" s="4"/>
      <c r="Q10463" s="4"/>
    </row>
    <row r="10464" spans="16:17">
      <c r="P10464" s="4"/>
      <c r="Q10464" s="4"/>
    </row>
    <row r="10465" spans="16:17">
      <c r="P10465" s="4"/>
      <c r="Q10465" s="4"/>
    </row>
    <row r="10466" spans="16:17">
      <c r="P10466" s="4"/>
      <c r="Q10466" s="4"/>
    </row>
    <row r="10467" spans="16:17">
      <c r="P10467" s="4"/>
      <c r="Q10467" s="4"/>
    </row>
    <row r="10468" spans="16:17">
      <c r="P10468" s="4"/>
      <c r="Q10468" s="4"/>
    </row>
    <row r="10469" spans="16:17">
      <c r="P10469" s="4"/>
      <c r="Q10469" s="4"/>
    </row>
    <row r="10470" spans="16:17">
      <c r="P10470" s="4"/>
      <c r="Q10470" s="4"/>
    </row>
    <row r="10471" spans="16:17">
      <c r="P10471" s="4"/>
      <c r="Q10471" s="4"/>
    </row>
    <row r="10472" spans="16:17">
      <c r="P10472" s="4"/>
      <c r="Q10472" s="4"/>
    </row>
    <row r="10473" spans="16:17">
      <c r="P10473" s="4"/>
      <c r="Q10473" s="4"/>
    </row>
    <row r="10474" spans="16:17">
      <c r="P10474" s="4"/>
      <c r="Q10474" s="4"/>
    </row>
    <row r="10475" spans="16:17">
      <c r="P10475" s="4"/>
      <c r="Q10475" s="4"/>
    </row>
    <row r="10476" spans="16:17">
      <c r="P10476" s="4"/>
      <c r="Q10476" s="4"/>
    </row>
    <row r="10477" spans="16:17">
      <c r="P10477" s="4"/>
      <c r="Q10477" s="4"/>
    </row>
    <row r="10478" spans="16:17">
      <c r="P10478" s="4"/>
      <c r="Q10478" s="4"/>
    </row>
    <row r="10479" spans="16:17">
      <c r="P10479" s="4"/>
      <c r="Q10479" s="4"/>
    </row>
    <row r="10480" spans="16:17">
      <c r="P10480" s="4"/>
      <c r="Q10480" s="4"/>
    </row>
    <row r="10481" spans="16:17">
      <c r="P10481" s="4"/>
      <c r="Q10481" s="4"/>
    </row>
    <row r="10482" spans="16:17">
      <c r="P10482" s="4"/>
      <c r="Q10482" s="4"/>
    </row>
    <row r="10483" spans="16:17">
      <c r="P10483" s="4"/>
      <c r="Q10483" s="4"/>
    </row>
    <row r="10484" spans="16:17">
      <c r="P10484" s="4"/>
      <c r="Q10484" s="4"/>
    </row>
    <row r="10485" spans="16:17">
      <c r="P10485" s="4"/>
      <c r="Q10485" s="4"/>
    </row>
    <row r="10486" spans="16:17">
      <c r="P10486" s="4"/>
      <c r="Q10486" s="4"/>
    </row>
    <row r="10487" spans="16:17">
      <c r="P10487" s="4"/>
      <c r="Q10487" s="4"/>
    </row>
    <row r="10488" spans="16:17">
      <c r="P10488" s="4"/>
      <c r="Q10488" s="4"/>
    </row>
    <row r="10489" spans="16:17">
      <c r="P10489" s="4"/>
      <c r="Q10489" s="4"/>
    </row>
    <row r="10490" spans="16:17">
      <c r="P10490" s="4"/>
      <c r="Q10490" s="4"/>
    </row>
    <row r="10491" spans="16:17">
      <c r="P10491" s="4"/>
      <c r="Q10491" s="4"/>
    </row>
    <row r="10492" spans="16:17">
      <c r="P10492" s="4"/>
      <c r="Q10492" s="4"/>
    </row>
    <row r="10493" spans="16:17">
      <c r="P10493" s="4"/>
      <c r="Q10493" s="4"/>
    </row>
    <row r="10494" spans="16:17">
      <c r="P10494" s="4"/>
      <c r="Q10494" s="4"/>
    </row>
    <row r="10495" spans="16:17">
      <c r="P10495" s="4"/>
      <c r="Q10495" s="4"/>
    </row>
    <row r="10496" spans="16:17">
      <c r="P10496" s="4"/>
      <c r="Q10496" s="4"/>
    </row>
    <row r="10497" spans="16:17">
      <c r="P10497" s="4"/>
      <c r="Q10497" s="4"/>
    </row>
    <row r="10498" spans="16:17">
      <c r="P10498" s="4"/>
      <c r="Q10498" s="4"/>
    </row>
    <row r="10499" spans="16:17">
      <c r="P10499" s="4"/>
      <c r="Q10499" s="4"/>
    </row>
    <row r="10500" spans="16:17">
      <c r="P10500" s="4"/>
      <c r="Q10500" s="4"/>
    </row>
    <row r="10501" spans="16:17">
      <c r="P10501" s="4"/>
      <c r="Q10501" s="4"/>
    </row>
    <row r="10502" spans="16:17">
      <c r="P10502" s="4"/>
      <c r="Q10502" s="4"/>
    </row>
    <row r="10503" spans="16:17">
      <c r="P10503" s="4"/>
      <c r="Q10503" s="4"/>
    </row>
    <row r="10504" spans="16:17">
      <c r="P10504" s="4"/>
      <c r="Q10504" s="4"/>
    </row>
    <row r="10505" spans="16:17">
      <c r="P10505" s="4"/>
      <c r="Q10505" s="4"/>
    </row>
    <row r="10506" spans="16:17">
      <c r="P10506" s="4"/>
      <c r="Q10506" s="4"/>
    </row>
    <row r="10507" spans="16:17">
      <c r="P10507" s="4"/>
      <c r="Q10507" s="4"/>
    </row>
    <row r="10508" spans="16:17">
      <c r="P10508" s="4"/>
      <c r="Q10508" s="4"/>
    </row>
    <row r="10509" spans="16:17">
      <c r="P10509" s="4"/>
      <c r="Q10509" s="4"/>
    </row>
    <row r="10510" spans="16:17">
      <c r="P10510" s="4"/>
      <c r="Q10510" s="4"/>
    </row>
    <row r="10511" spans="16:17">
      <c r="P10511" s="4"/>
      <c r="Q10511" s="4"/>
    </row>
    <row r="10512" spans="16:17">
      <c r="P10512" s="4"/>
      <c r="Q10512" s="4"/>
    </row>
    <row r="10513" spans="16:17">
      <c r="P10513" s="4"/>
      <c r="Q10513" s="4"/>
    </row>
    <row r="10514" spans="16:17">
      <c r="P10514" s="4"/>
      <c r="Q10514" s="4"/>
    </row>
    <row r="10515" spans="16:17">
      <c r="P10515" s="4"/>
      <c r="Q10515" s="4"/>
    </row>
    <row r="10516" spans="16:17">
      <c r="P10516" s="4"/>
      <c r="Q10516" s="4"/>
    </row>
    <row r="10517" spans="16:17">
      <c r="P10517" s="4"/>
      <c r="Q10517" s="4"/>
    </row>
    <row r="10518" spans="16:17">
      <c r="P10518" s="4"/>
      <c r="Q10518" s="4"/>
    </row>
    <row r="10519" spans="16:17">
      <c r="P10519" s="4"/>
      <c r="Q10519" s="4"/>
    </row>
    <row r="10520" spans="16:17">
      <c r="P10520" s="4"/>
      <c r="Q10520" s="4"/>
    </row>
    <row r="10521" spans="16:17">
      <c r="P10521" s="4"/>
      <c r="Q10521" s="4"/>
    </row>
    <row r="10522" spans="16:17">
      <c r="P10522" s="4"/>
      <c r="Q10522" s="4"/>
    </row>
    <row r="10523" spans="16:17">
      <c r="P10523" s="4"/>
      <c r="Q10523" s="4"/>
    </row>
    <row r="10524" spans="16:17">
      <c r="P10524" s="4"/>
      <c r="Q10524" s="4"/>
    </row>
    <row r="10525" spans="16:17">
      <c r="P10525" s="4"/>
      <c r="Q10525" s="4"/>
    </row>
    <row r="10526" spans="16:17">
      <c r="P10526" s="4"/>
      <c r="Q10526" s="4"/>
    </row>
    <row r="10527" spans="16:17">
      <c r="P10527" s="4"/>
      <c r="Q10527" s="4"/>
    </row>
    <row r="10528" spans="16:17">
      <c r="P10528" s="4"/>
      <c r="Q10528" s="4"/>
    </row>
    <row r="10529" spans="16:17">
      <c r="P10529" s="4"/>
      <c r="Q10529" s="4"/>
    </row>
    <row r="10530" spans="16:17">
      <c r="P10530" s="4"/>
      <c r="Q10530" s="4"/>
    </row>
    <row r="10531" spans="16:17">
      <c r="P10531" s="4"/>
      <c r="Q10531" s="4"/>
    </row>
    <row r="10532" spans="16:17">
      <c r="P10532" s="4"/>
      <c r="Q10532" s="4"/>
    </row>
    <row r="10533" spans="16:17">
      <c r="P10533" s="4"/>
      <c r="Q10533" s="4"/>
    </row>
    <row r="10534" spans="16:17">
      <c r="P10534" s="4"/>
      <c r="Q10534" s="4"/>
    </row>
    <row r="10535" spans="16:17">
      <c r="P10535" s="4"/>
      <c r="Q10535" s="4"/>
    </row>
    <row r="10536" spans="16:17">
      <c r="P10536" s="4"/>
      <c r="Q10536" s="4"/>
    </row>
    <row r="10537" spans="16:17">
      <c r="P10537" s="4"/>
      <c r="Q10537" s="4"/>
    </row>
    <row r="10538" spans="16:17">
      <c r="P10538" s="4"/>
      <c r="Q10538" s="4"/>
    </row>
    <row r="10539" spans="16:17">
      <c r="P10539" s="4"/>
      <c r="Q10539" s="4"/>
    </row>
    <row r="10540" spans="16:17">
      <c r="P10540" s="4"/>
      <c r="Q10540" s="4"/>
    </row>
    <row r="10541" spans="16:17">
      <c r="P10541" s="4"/>
      <c r="Q10541" s="4"/>
    </row>
    <row r="10542" spans="16:17">
      <c r="P10542" s="4"/>
      <c r="Q10542" s="4"/>
    </row>
    <row r="10543" spans="16:17">
      <c r="P10543" s="4"/>
      <c r="Q10543" s="4"/>
    </row>
    <row r="10544" spans="16:17">
      <c r="P10544" s="4"/>
      <c r="Q10544" s="4"/>
    </row>
    <row r="10545" spans="16:17">
      <c r="P10545" s="4"/>
      <c r="Q10545" s="4"/>
    </row>
    <row r="10546" spans="16:17">
      <c r="P10546" s="4"/>
      <c r="Q10546" s="4"/>
    </row>
    <row r="10547" spans="16:17">
      <c r="P10547" s="4"/>
      <c r="Q10547" s="4"/>
    </row>
    <row r="10548" spans="16:17">
      <c r="P10548" s="4"/>
      <c r="Q10548" s="4"/>
    </row>
    <row r="10549" spans="16:17">
      <c r="P10549" s="4"/>
      <c r="Q10549" s="4"/>
    </row>
    <row r="10550" spans="16:17">
      <c r="P10550" s="4"/>
      <c r="Q10550" s="4"/>
    </row>
    <row r="10551" spans="16:17">
      <c r="P10551" s="4"/>
      <c r="Q10551" s="4"/>
    </row>
    <row r="10552" spans="16:17">
      <c r="P10552" s="4"/>
      <c r="Q10552" s="4"/>
    </row>
    <row r="10553" spans="16:17">
      <c r="P10553" s="4"/>
      <c r="Q10553" s="4"/>
    </row>
    <row r="10554" spans="16:17">
      <c r="P10554" s="4"/>
      <c r="Q10554" s="4"/>
    </row>
    <row r="10555" spans="16:17">
      <c r="P10555" s="4"/>
      <c r="Q10555" s="4"/>
    </row>
    <row r="10556" spans="16:17">
      <c r="P10556" s="4"/>
      <c r="Q10556" s="4"/>
    </row>
    <row r="10557" spans="16:17">
      <c r="P10557" s="4"/>
      <c r="Q10557" s="4"/>
    </row>
    <row r="10558" spans="16:17">
      <c r="P10558" s="4"/>
      <c r="Q10558" s="4"/>
    </row>
    <row r="10559" spans="16:17">
      <c r="P10559" s="4"/>
      <c r="Q10559" s="4"/>
    </row>
    <row r="10560" spans="16:17">
      <c r="P10560" s="4"/>
      <c r="Q10560" s="4"/>
    </row>
    <row r="10561" spans="16:17">
      <c r="P10561" s="4"/>
      <c r="Q10561" s="4"/>
    </row>
    <row r="10562" spans="16:17">
      <c r="P10562" s="4"/>
      <c r="Q10562" s="4"/>
    </row>
    <row r="10563" spans="16:17">
      <c r="P10563" s="4"/>
      <c r="Q10563" s="4"/>
    </row>
    <row r="10564" spans="16:17">
      <c r="P10564" s="4"/>
      <c r="Q10564" s="4"/>
    </row>
    <row r="10565" spans="16:17">
      <c r="P10565" s="4"/>
      <c r="Q10565" s="4"/>
    </row>
    <row r="10566" spans="16:17">
      <c r="P10566" s="4"/>
      <c r="Q10566" s="4"/>
    </row>
    <row r="10567" spans="16:17">
      <c r="P10567" s="4"/>
      <c r="Q10567" s="4"/>
    </row>
    <row r="10568" spans="16:17">
      <c r="P10568" s="4"/>
      <c r="Q10568" s="4"/>
    </row>
    <row r="10569" spans="16:17">
      <c r="P10569" s="4"/>
      <c r="Q10569" s="4"/>
    </row>
    <row r="10570" spans="16:17">
      <c r="P10570" s="4"/>
      <c r="Q10570" s="4"/>
    </row>
    <row r="10571" spans="16:17">
      <c r="P10571" s="4"/>
      <c r="Q10571" s="4"/>
    </row>
    <row r="10572" spans="16:17">
      <c r="P10572" s="4"/>
      <c r="Q10572" s="4"/>
    </row>
    <row r="10573" spans="16:17">
      <c r="P10573" s="4"/>
      <c r="Q10573" s="4"/>
    </row>
    <row r="10574" spans="16:17">
      <c r="P10574" s="4"/>
      <c r="Q10574" s="4"/>
    </row>
    <row r="10575" spans="16:17">
      <c r="P10575" s="4"/>
      <c r="Q10575" s="4"/>
    </row>
    <row r="10576" spans="16:17">
      <c r="P10576" s="4"/>
      <c r="Q10576" s="4"/>
    </row>
    <row r="10577" spans="16:17">
      <c r="P10577" s="4"/>
      <c r="Q10577" s="4"/>
    </row>
    <row r="10578" spans="16:17">
      <c r="P10578" s="4"/>
      <c r="Q10578" s="4"/>
    </row>
    <row r="10579" spans="16:17">
      <c r="P10579" s="4"/>
      <c r="Q10579" s="4"/>
    </row>
    <row r="10580" spans="16:17">
      <c r="P10580" s="4"/>
      <c r="Q10580" s="4"/>
    </row>
    <row r="10581" spans="16:17">
      <c r="P10581" s="4"/>
      <c r="Q10581" s="4"/>
    </row>
    <row r="10582" spans="16:17">
      <c r="P10582" s="4"/>
      <c r="Q10582" s="4"/>
    </row>
    <row r="10583" spans="16:17">
      <c r="P10583" s="4"/>
      <c r="Q10583" s="4"/>
    </row>
    <row r="10584" spans="16:17">
      <c r="P10584" s="4"/>
      <c r="Q10584" s="4"/>
    </row>
    <row r="10585" spans="16:17">
      <c r="P10585" s="4"/>
      <c r="Q10585" s="4"/>
    </row>
    <row r="10586" spans="16:17">
      <c r="P10586" s="4"/>
      <c r="Q10586" s="4"/>
    </row>
    <row r="10587" spans="16:17">
      <c r="P10587" s="4"/>
      <c r="Q10587" s="4"/>
    </row>
    <row r="10588" spans="16:17">
      <c r="P10588" s="4"/>
      <c r="Q10588" s="4"/>
    </row>
    <row r="10589" spans="16:17">
      <c r="P10589" s="4"/>
      <c r="Q10589" s="4"/>
    </row>
    <row r="10590" spans="16:17">
      <c r="P10590" s="4"/>
      <c r="Q10590" s="4"/>
    </row>
    <row r="10591" spans="16:17">
      <c r="P10591" s="4"/>
      <c r="Q10591" s="4"/>
    </row>
    <row r="10592" spans="16:17">
      <c r="P10592" s="4"/>
      <c r="Q10592" s="4"/>
    </row>
    <row r="10593" spans="16:17">
      <c r="P10593" s="4"/>
      <c r="Q10593" s="4"/>
    </row>
    <row r="10594" spans="16:17">
      <c r="P10594" s="4"/>
      <c r="Q10594" s="4"/>
    </row>
    <row r="10595" spans="16:17">
      <c r="P10595" s="4"/>
      <c r="Q10595" s="4"/>
    </row>
    <row r="10596" spans="16:17">
      <c r="P10596" s="4"/>
      <c r="Q10596" s="4"/>
    </row>
    <row r="10597" spans="16:17">
      <c r="P10597" s="4"/>
      <c r="Q10597" s="4"/>
    </row>
    <row r="10598" spans="16:17">
      <c r="P10598" s="4"/>
      <c r="Q10598" s="4"/>
    </row>
    <row r="10599" spans="16:17">
      <c r="P10599" s="4"/>
      <c r="Q10599" s="4"/>
    </row>
    <row r="10600" spans="16:17">
      <c r="P10600" s="4"/>
      <c r="Q10600" s="4"/>
    </row>
    <row r="10601" spans="16:17">
      <c r="P10601" s="4"/>
      <c r="Q10601" s="4"/>
    </row>
    <row r="10602" spans="16:17">
      <c r="P10602" s="4"/>
      <c r="Q10602" s="4"/>
    </row>
    <row r="10603" spans="16:17">
      <c r="P10603" s="4"/>
      <c r="Q10603" s="4"/>
    </row>
    <row r="10604" spans="16:17">
      <c r="P10604" s="4"/>
      <c r="Q10604" s="4"/>
    </row>
    <row r="10605" spans="16:17">
      <c r="P10605" s="4"/>
      <c r="Q10605" s="4"/>
    </row>
    <row r="10606" spans="16:17">
      <c r="P10606" s="4"/>
      <c r="Q10606" s="4"/>
    </row>
    <row r="10607" spans="16:17">
      <c r="P10607" s="4"/>
      <c r="Q10607" s="4"/>
    </row>
    <row r="10608" spans="16:17">
      <c r="P10608" s="4"/>
      <c r="Q10608" s="4"/>
    </row>
    <row r="10609" spans="16:17">
      <c r="P10609" s="4"/>
      <c r="Q10609" s="4"/>
    </row>
    <row r="10610" spans="16:17">
      <c r="P10610" s="4"/>
      <c r="Q10610" s="4"/>
    </row>
    <row r="10611" spans="16:17">
      <c r="P10611" s="4"/>
      <c r="Q10611" s="4"/>
    </row>
    <row r="10612" spans="16:17">
      <c r="P10612" s="4"/>
      <c r="Q10612" s="4"/>
    </row>
    <row r="10613" spans="16:17">
      <c r="P10613" s="4"/>
      <c r="Q10613" s="4"/>
    </row>
    <row r="10614" spans="16:17">
      <c r="P10614" s="4"/>
      <c r="Q10614" s="4"/>
    </row>
    <row r="10615" spans="16:17">
      <c r="P10615" s="4"/>
      <c r="Q10615" s="4"/>
    </row>
    <row r="10616" spans="16:17">
      <c r="P10616" s="4"/>
      <c r="Q10616" s="4"/>
    </row>
    <row r="10617" spans="16:17">
      <c r="P10617" s="4"/>
      <c r="Q10617" s="4"/>
    </row>
    <row r="10618" spans="16:17">
      <c r="P10618" s="4"/>
      <c r="Q10618" s="4"/>
    </row>
    <row r="10619" spans="16:17">
      <c r="P10619" s="4"/>
      <c r="Q10619" s="4"/>
    </row>
    <row r="10620" spans="16:17">
      <c r="P10620" s="4"/>
      <c r="Q10620" s="4"/>
    </row>
    <row r="10621" spans="16:17">
      <c r="P10621" s="4"/>
      <c r="Q10621" s="4"/>
    </row>
    <row r="10622" spans="16:17">
      <c r="P10622" s="4"/>
      <c r="Q10622" s="4"/>
    </row>
    <row r="10623" spans="16:17">
      <c r="P10623" s="4"/>
      <c r="Q10623" s="4"/>
    </row>
    <row r="10624" spans="16:17">
      <c r="P10624" s="4"/>
      <c r="Q10624" s="4"/>
    </row>
    <row r="10625" spans="16:17">
      <c r="P10625" s="4"/>
      <c r="Q10625" s="4"/>
    </row>
    <row r="10626" spans="16:17">
      <c r="P10626" s="4"/>
      <c r="Q10626" s="4"/>
    </row>
    <row r="10627" spans="16:17">
      <c r="P10627" s="4"/>
      <c r="Q10627" s="4"/>
    </row>
    <row r="10628" spans="16:17">
      <c r="P10628" s="4"/>
      <c r="Q10628" s="4"/>
    </row>
    <row r="10629" spans="16:17">
      <c r="P10629" s="4"/>
      <c r="Q10629" s="4"/>
    </row>
    <row r="10630" spans="16:17">
      <c r="P10630" s="4"/>
      <c r="Q10630" s="4"/>
    </row>
    <row r="10631" spans="16:17">
      <c r="P10631" s="4"/>
      <c r="Q10631" s="4"/>
    </row>
    <row r="10632" spans="16:17">
      <c r="P10632" s="4"/>
      <c r="Q10632" s="4"/>
    </row>
    <row r="10633" spans="16:17">
      <c r="P10633" s="4"/>
      <c r="Q10633" s="4"/>
    </row>
    <row r="10634" spans="16:17">
      <c r="P10634" s="4"/>
      <c r="Q10634" s="4"/>
    </row>
    <row r="10635" spans="16:17">
      <c r="P10635" s="4"/>
      <c r="Q10635" s="4"/>
    </row>
    <row r="10636" spans="16:17">
      <c r="P10636" s="4"/>
      <c r="Q10636" s="4"/>
    </row>
    <row r="10637" spans="16:17">
      <c r="P10637" s="4"/>
      <c r="Q10637" s="4"/>
    </row>
    <row r="10638" spans="16:17">
      <c r="P10638" s="4"/>
      <c r="Q10638" s="4"/>
    </row>
    <row r="10639" spans="16:17">
      <c r="P10639" s="4"/>
      <c r="Q10639" s="4"/>
    </row>
    <row r="10640" spans="16:17">
      <c r="P10640" s="4"/>
      <c r="Q10640" s="4"/>
    </row>
    <row r="10641" spans="16:17">
      <c r="P10641" s="4"/>
      <c r="Q10641" s="4"/>
    </row>
    <row r="10642" spans="16:17">
      <c r="P10642" s="4"/>
      <c r="Q10642" s="4"/>
    </row>
    <row r="10643" spans="16:17">
      <c r="P10643" s="4"/>
      <c r="Q10643" s="4"/>
    </row>
    <row r="10644" spans="16:17">
      <c r="P10644" s="4"/>
      <c r="Q10644" s="4"/>
    </row>
    <row r="10645" spans="16:17">
      <c r="P10645" s="4"/>
      <c r="Q10645" s="4"/>
    </row>
    <row r="10646" spans="16:17">
      <c r="P10646" s="4"/>
      <c r="Q10646" s="4"/>
    </row>
    <row r="10647" spans="16:17">
      <c r="P10647" s="4"/>
      <c r="Q10647" s="4"/>
    </row>
    <row r="10648" spans="16:17">
      <c r="P10648" s="4"/>
      <c r="Q10648" s="4"/>
    </row>
    <row r="10649" spans="16:17">
      <c r="P10649" s="4"/>
      <c r="Q10649" s="4"/>
    </row>
    <row r="10650" spans="16:17">
      <c r="P10650" s="4"/>
      <c r="Q10650" s="4"/>
    </row>
    <row r="10651" spans="16:17">
      <c r="P10651" s="4"/>
      <c r="Q10651" s="4"/>
    </row>
    <row r="10652" spans="16:17">
      <c r="P10652" s="4"/>
      <c r="Q10652" s="4"/>
    </row>
    <row r="10653" spans="16:17">
      <c r="P10653" s="4"/>
      <c r="Q10653" s="4"/>
    </row>
    <row r="10654" spans="16:17">
      <c r="P10654" s="4"/>
      <c r="Q10654" s="4"/>
    </row>
    <row r="10655" spans="16:17">
      <c r="P10655" s="4"/>
      <c r="Q10655" s="4"/>
    </row>
    <row r="10656" spans="16:17">
      <c r="P10656" s="4"/>
      <c r="Q10656" s="4"/>
    </row>
    <row r="10657" spans="16:17">
      <c r="P10657" s="4"/>
      <c r="Q10657" s="4"/>
    </row>
    <row r="10658" spans="16:17">
      <c r="P10658" s="4"/>
      <c r="Q10658" s="4"/>
    </row>
    <row r="10659" spans="16:17">
      <c r="P10659" s="4"/>
      <c r="Q10659" s="4"/>
    </row>
    <row r="10660" spans="16:17">
      <c r="P10660" s="4"/>
      <c r="Q10660" s="4"/>
    </row>
    <row r="10661" spans="16:17">
      <c r="P10661" s="4"/>
      <c r="Q10661" s="4"/>
    </row>
    <row r="10662" spans="16:17">
      <c r="P10662" s="4"/>
      <c r="Q10662" s="4"/>
    </row>
    <row r="10663" spans="16:17">
      <c r="P10663" s="4"/>
      <c r="Q10663" s="4"/>
    </row>
    <row r="10664" spans="16:17">
      <c r="P10664" s="4"/>
      <c r="Q10664" s="4"/>
    </row>
    <row r="10665" spans="16:17">
      <c r="P10665" s="4"/>
      <c r="Q10665" s="4"/>
    </row>
    <row r="10666" spans="16:17">
      <c r="P10666" s="4"/>
      <c r="Q10666" s="4"/>
    </row>
    <row r="10667" spans="16:17">
      <c r="P10667" s="4"/>
      <c r="Q10667" s="4"/>
    </row>
    <row r="10668" spans="16:17">
      <c r="P10668" s="4"/>
      <c r="Q10668" s="4"/>
    </row>
    <row r="10669" spans="16:17">
      <c r="P10669" s="4"/>
      <c r="Q10669" s="4"/>
    </row>
    <row r="10670" spans="16:17">
      <c r="P10670" s="4"/>
      <c r="Q10670" s="4"/>
    </row>
    <row r="10671" spans="16:17">
      <c r="P10671" s="4"/>
      <c r="Q10671" s="4"/>
    </row>
    <row r="10672" spans="16:17">
      <c r="P10672" s="4"/>
      <c r="Q10672" s="4"/>
    </row>
    <row r="10673" spans="16:17">
      <c r="P10673" s="4"/>
      <c r="Q10673" s="4"/>
    </row>
    <row r="10674" spans="16:17">
      <c r="P10674" s="4"/>
      <c r="Q10674" s="4"/>
    </row>
    <row r="10675" spans="16:17">
      <c r="P10675" s="4"/>
      <c r="Q10675" s="4"/>
    </row>
    <row r="10676" spans="16:17">
      <c r="P10676" s="4"/>
      <c r="Q10676" s="4"/>
    </row>
    <row r="10677" spans="16:17">
      <c r="P10677" s="4"/>
      <c r="Q10677" s="4"/>
    </row>
    <row r="10678" spans="16:17">
      <c r="P10678" s="4"/>
      <c r="Q10678" s="4"/>
    </row>
    <row r="10679" spans="16:17">
      <c r="P10679" s="4"/>
      <c r="Q10679" s="4"/>
    </row>
    <row r="10680" spans="16:17">
      <c r="P10680" s="4"/>
      <c r="Q10680" s="4"/>
    </row>
    <row r="10681" spans="16:17">
      <c r="P10681" s="4"/>
      <c r="Q10681" s="4"/>
    </row>
  </sheetData>
  <mergeCells count="12">
    <mergeCell ref="CL1:CV1"/>
    <mergeCell ref="CW1:DE1"/>
    <mergeCell ref="DG1:DO1"/>
    <mergeCell ref="A1:H1"/>
    <mergeCell ref="BX1:CA1"/>
    <mergeCell ref="CB1:CK1"/>
    <mergeCell ref="I1:Q1"/>
    <mergeCell ref="BM1:BW1"/>
    <mergeCell ref="R1:Z1"/>
    <mergeCell ref="AA1:AI1"/>
    <mergeCell ref="AJ1:AR1"/>
    <mergeCell ref="AS1:BL1"/>
  </mergeCells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3068"/>
  <sheetViews>
    <sheetView zoomScale="75" workbookViewId="0">
      <selection activeCell="A34" sqref="A34"/>
    </sheetView>
  </sheetViews>
  <sheetFormatPr defaultRowHeight="13.2"/>
  <cols>
    <col min="1" max="1" width="10.88671875" customWidth="1"/>
    <col min="2" max="2" width="9.5546875" bestFit="1" customWidth="1"/>
    <col min="11" max="11" width="9.88671875" customWidth="1"/>
    <col min="33" max="33" width="5.44140625" bestFit="1" customWidth="1"/>
    <col min="34" max="34" width="4.33203125" bestFit="1" customWidth="1"/>
    <col min="35" max="35" width="5.88671875" customWidth="1"/>
    <col min="36" max="36" width="3.6640625" bestFit="1" customWidth="1"/>
    <col min="37" max="37" width="4.88671875" bestFit="1" customWidth="1"/>
    <col min="40" max="40" width="2" bestFit="1" customWidth="1"/>
    <col min="41" max="41" width="18.44140625" customWidth="1"/>
    <col min="43" max="43" width="1.88671875" bestFit="1" customWidth="1"/>
    <col min="44" max="44" width="21.33203125" customWidth="1"/>
    <col min="46" max="46" width="1.88671875" bestFit="1" customWidth="1"/>
    <col min="47" max="47" width="7.109375" bestFit="1" customWidth="1"/>
    <col min="49" max="49" width="2" bestFit="1" customWidth="1"/>
    <col min="50" max="50" width="18.44140625" bestFit="1" customWidth="1"/>
  </cols>
  <sheetData>
    <row r="1" spans="1:51">
      <c r="A1" s="187" t="s">
        <v>1248</v>
      </c>
      <c r="G1" s="198" t="s">
        <v>1244</v>
      </c>
      <c r="H1" s="198" t="s">
        <v>1247</v>
      </c>
      <c r="AI1" s="101" t="s">
        <v>1427</v>
      </c>
    </row>
    <row r="2" spans="1:51">
      <c r="A2" s="193"/>
      <c r="B2" s="189" t="s">
        <v>29</v>
      </c>
      <c r="C2" s="189" t="s">
        <v>30</v>
      </c>
      <c r="D2" s="193"/>
      <c r="E2" s="193"/>
      <c r="G2" s="199" t="s">
        <v>1245</v>
      </c>
      <c r="H2" s="192">
        <f>IF(N13=2,AVERAGE(B14:M29),AVERAGE(B13:M28))</f>
        <v>0.99999535382526383</v>
      </c>
      <c r="I2" s="193"/>
      <c r="J2" s="193"/>
      <c r="K2" s="193"/>
      <c r="L2" s="193"/>
      <c r="M2" s="193"/>
      <c r="N2" s="193"/>
      <c r="O2" s="194"/>
      <c r="P2" s="194"/>
      <c r="AG2" s="194" t="s">
        <v>1252</v>
      </c>
      <c r="AH2" s="194" t="s">
        <v>1253</v>
      </c>
      <c r="AI2" s="206" t="s">
        <v>1254</v>
      </c>
      <c r="AJ2" s="194" t="s">
        <v>1255</v>
      </c>
      <c r="AK2" s="194" t="s">
        <v>1256</v>
      </c>
      <c r="AM2" s="110"/>
      <c r="AN2" s="110"/>
      <c r="AO2" s="110"/>
      <c r="AP2" s="110"/>
    </row>
    <row r="3" spans="1:51">
      <c r="A3" s="189" t="s">
        <v>18</v>
      </c>
      <c r="B3" s="195">
        <f>IF(N13=2,A14,A13)</f>
        <v>800</v>
      </c>
      <c r="C3" s="195">
        <f>IF(N29=1,A29,A28)</f>
        <v>2300</v>
      </c>
      <c r="D3" s="193"/>
      <c r="E3" s="193"/>
      <c r="G3" s="199" t="s">
        <v>1246</v>
      </c>
      <c r="H3" s="192">
        <f>AVERAGE(B7:M30)</f>
        <v>0.99999608592708278</v>
      </c>
      <c r="I3" s="193"/>
      <c r="J3" s="193"/>
      <c r="K3" s="193"/>
      <c r="L3" s="193"/>
      <c r="M3" s="193"/>
      <c r="N3" s="193"/>
      <c r="O3" s="194"/>
      <c r="P3" s="194"/>
      <c r="AG3" s="194" t="s">
        <v>1257</v>
      </c>
      <c r="AH3" s="194" t="s">
        <v>1257</v>
      </c>
      <c r="AI3" s="207" t="s">
        <v>1426</v>
      </c>
      <c r="AJ3" s="194"/>
      <c r="AK3" s="194"/>
      <c r="AM3" s="110"/>
      <c r="AN3" s="250">
        <v>1</v>
      </c>
      <c r="AO3" s="327" t="s">
        <v>1258</v>
      </c>
      <c r="AP3" s="110"/>
      <c r="AQ3" s="299">
        <v>7</v>
      </c>
      <c r="AR3" s="300" t="s">
        <v>1240</v>
      </c>
      <c r="AT3" s="304">
        <v>2</v>
      </c>
      <c r="AU3" s="305" t="s">
        <v>1258</v>
      </c>
      <c r="AW3" s="299">
        <v>2</v>
      </c>
      <c r="AX3" s="308" t="s">
        <v>1258</v>
      </c>
      <c r="AY3" s="310"/>
    </row>
    <row r="4" spans="1:51">
      <c r="A4" s="196"/>
      <c r="B4" s="494" t="s">
        <v>1421</v>
      </c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69"/>
      <c r="N4" s="197"/>
      <c r="O4" s="493" t="s">
        <v>1420</v>
      </c>
      <c r="P4" s="468"/>
      <c r="Q4" s="468"/>
      <c r="R4" s="468"/>
      <c r="S4" s="468"/>
      <c r="T4" s="468"/>
      <c r="U4" s="468"/>
      <c r="V4" s="468"/>
      <c r="W4" s="468"/>
      <c r="X4" s="468"/>
      <c r="Y4" s="468"/>
      <c r="Z4" s="469"/>
      <c r="AF4" s="205">
        <v>36557</v>
      </c>
      <c r="AG4" s="194">
        <v>21</v>
      </c>
      <c r="AH4" s="194">
        <v>4</v>
      </c>
      <c r="AI4" s="194">
        <v>4</v>
      </c>
      <c r="AJ4" s="194">
        <v>0</v>
      </c>
      <c r="AK4" s="194">
        <v>29</v>
      </c>
      <c r="AM4" s="113"/>
      <c r="AN4" s="248">
        <v>1</v>
      </c>
      <c r="AO4" s="249" t="s">
        <v>1311</v>
      </c>
      <c r="AP4" s="113"/>
      <c r="AQ4" s="301">
        <v>1</v>
      </c>
      <c r="AR4" s="302" t="s">
        <v>1227</v>
      </c>
      <c r="AT4" s="306">
        <v>1</v>
      </c>
      <c r="AU4" s="307" t="s">
        <v>24</v>
      </c>
      <c r="AW4" s="309">
        <v>1</v>
      </c>
      <c r="AX4" s="301" t="s">
        <v>1316</v>
      </c>
      <c r="AY4" s="310"/>
    </row>
    <row r="5" spans="1:51">
      <c r="A5" s="190"/>
      <c r="B5" s="191">
        <v>1</v>
      </c>
      <c r="C5" s="191">
        <v>2</v>
      </c>
      <c r="D5" s="191">
        <v>3</v>
      </c>
      <c r="E5" s="191">
        <v>4</v>
      </c>
      <c r="F5" s="191">
        <v>5</v>
      </c>
      <c r="G5" s="191">
        <v>6</v>
      </c>
      <c r="H5" s="191">
        <v>7</v>
      </c>
      <c r="I5" s="191">
        <v>8</v>
      </c>
      <c r="J5" s="191">
        <v>9</v>
      </c>
      <c r="K5" s="191">
        <v>10</v>
      </c>
      <c r="L5" s="191">
        <v>11</v>
      </c>
      <c r="M5" s="191">
        <v>12</v>
      </c>
      <c r="N5" s="190"/>
      <c r="O5" s="384">
        <v>1</v>
      </c>
      <c r="P5" s="191">
        <v>2</v>
      </c>
      <c r="Q5" s="191">
        <v>3</v>
      </c>
      <c r="R5" s="191">
        <v>4</v>
      </c>
      <c r="S5" s="191">
        <v>5</v>
      </c>
      <c r="T5" s="191">
        <v>6</v>
      </c>
      <c r="U5" s="191">
        <v>7</v>
      </c>
      <c r="V5" s="191">
        <v>8</v>
      </c>
      <c r="W5" s="191">
        <v>9</v>
      </c>
      <c r="X5" s="191">
        <v>10</v>
      </c>
      <c r="Y5" s="191">
        <v>11</v>
      </c>
      <c r="Z5" s="385">
        <v>12</v>
      </c>
      <c r="AF5" s="205">
        <v>36586</v>
      </c>
      <c r="AG5" s="194">
        <v>23</v>
      </c>
      <c r="AH5" s="194">
        <v>4</v>
      </c>
      <c r="AI5" s="194">
        <v>4</v>
      </c>
      <c r="AJ5" s="194">
        <v>0</v>
      </c>
      <c r="AK5" s="194">
        <v>31</v>
      </c>
      <c r="AM5" s="110"/>
      <c r="AN5" s="248">
        <v>2</v>
      </c>
      <c r="AO5" s="249" t="s">
        <v>1312</v>
      </c>
      <c r="AP5" s="110"/>
      <c r="AQ5" s="301">
        <v>2</v>
      </c>
      <c r="AR5" s="303" t="s">
        <v>1229</v>
      </c>
      <c r="AT5" s="306">
        <v>2</v>
      </c>
      <c r="AU5" s="307" t="s">
        <v>23</v>
      </c>
      <c r="AW5" s="309">
        <v>2</v>
      </c>
      <c r="AX5" s="311" t="s">
        <v>1317</v>
      </c>
      <c r="AY5" s="310"/>
    </row>
    <row r="6" spans="1:51">
      <c r="A6" s="189" t="s">
        <v>54</v>
      </c>
      <c r="B6" s="490" t="s">
        <v>1358</v>
      </c>
      <c r="C6" s="490"/>
      <c r="D6" s="490"/>
      <c r="E6" s="490"/>
      <c r="F6" s="490"/>
      <c r="G6" s="490"/>
      <c r="H6" s="490"/>
      <c r="I6" s="490"/>
      <c r="J6" s="490"/>
      <c r="K6" s="490"/>
      <c r="L6" s="490"/>
      <c r="M6" s="490"/>
      <c r="N6" s="441" t="s">
        <v>55</v>
      </c>
      <c r="O6" s="379"/>
      <c r="P6" s="386"/>
      <c r="Q6" s="2"/>
      <c r="R6" s="2"/>
      <c r="S6" s="2"/>
      <c r="T6" s="2"/>
      <c r="U6" s="2"/>
      <c r="V6" s="2"/>
      <c r="W6" s="2"/>
      <c r="X6" s="2"/>
      <c r="Y6" s="2"/>
      <c r="Z6" s="351"/>
      <c r="AF6" s="205">
        <v>36617</v>
      </c>
      <c r="AG6" s="194">
        <v>20</v>
      </c>
      <c r="AH6" s="194">
        <v>5</v>
      </c>
      <c r="AI6" s="194">
        <v>5</v>
      </c>
      <c r="AJ6" s="194">
        <v>0</v>
      </c>
      <c r="AK6" s="194">
        <v>30</v>
      </c>
      <c r="AM6" s="110"/>
      <c r="AN6" s="248">
        <v>3</v>
      </c>
      <c r="AO6" s="249" t="s">
        <v>1441</v>
      </c>
      <c r="AP6" s="110"/>
      <c r="AQ6" s="301">
        <v>3</v>
      </c>
      <c r="AR6" s="302" t="s">
        <v>1225</v>
      </c>
      <c r="AT6" s="306">
        <v>3</v>
      </c>
      <c r="AU6" s="307" t="s">
        <v>25</v>
      </c>
    </row>
    <row r="7" spans="1:51">
      <c r="A7" s="193">
        <v>100</v>
      </c>
      <c r="B7" s="296">
        <f>'Power Curves'!AT21</f>
        <v>0.84009140360859491</v>
      </c>
      <c r="C7" s="296">
        <f>'Power Curves'!AU21</f>
        <v>0.84009140360859491</v>
      </c>
      <c r="D7" s="296">
        <f>'Power Curves'!AV21</f>
        <v>0.88009140360859495</v>
      </c>
      <c r="E7" s="296">
        <f>'Power Curves'!AW21</f>
        <v>0.93009140360859499</v>
      </c>
      <c r="F7" s="296">
        <f>'Power Curves'!AX21</f>
        <v>0.99487413888798193</v>
      </c>
      <c r="G7" s="296">
        <f>'Power Curves'!AY21</f>
        <v>1.1566015393724096</v>
      </c>
      <c r="H7" s="296">
        <f>'Power Curves'!AZ21</f>
        <v>1.1151212088270464</v>
      </c>
      <c r="I7" s="296">
        <f>'Power Curves'!BA21</f>
        <v>1.091611616602268</v>
      </c>
      <c r="J7" s="296">
        <f>'Power Curves'!BB21</f>
        <v>0.99664578191253639</v>
      </c>
      <c r="K7" s="296">
        <f>'Power Curves'!BC21</f>
        <v>0.94950000000000001</v>
      </c>
      <c r="L7" s="296">
        <f>'Power Curves'!BD21</f>
        <v>0.92949999999999999</v>
      </c>
      <c r="M7" s="296">
        <f>'Power Curves'!BE21</f>
        <v>0.92949999999999999</v>
      </c>
      <c r="N7" s="444">
        <f>VALUE('Power Curves'!BF21)</f>
        <v>2</v>
      </c>
      <c r="O7" s="379">
        <f>IF(AND($N7=1,$N14=1),AVERAGE(B7:B14),0)</f>
        <v>0</v>
      </c>
      <c r="P7" s="386">
        <f t="shared" ref="P7:Z22" si="0">IF(AND($N7=1,$N14=1),AVERAGE(C7:C14),0)</f>
        <v>0</v>
      </c>
      <c r="Q7" s="386">
        <f t="shared" si="0"/>
        <v>0</v>
      </c>
      <c r="R7" s="386">
        <f t="shared" si="0"/>
        <v>0</v>
      </c>
      <c r="S7" s="386">
        <f t="shared" si="0"/>
        <v>0</v>
      </c>
      <c r="T7" s="386">
        <f t="shared" si="0"/>
        <v>0</v>
      </c>
      <c r="U7" s="386">
        <f t="shared" si="0"/>
        <v>0</v>
      </c>
      <c r="V7" s="386">
        <f t="shared" si="0"/>
        <v>0</v>
      </c>
      <c r="W7" s="386">
        <f t="shared" si="0"/>
        <v>0</v>
      </c>
      <c r="X7" s="386">
        <f t="shared" si="0"/>
        <v>0</v>
      </c>
      <c r="Y7" s="386">
        <f t="shared" si="0"/>
        <v>0</v>
      </c>
      <c r="Z7" s="273">
        <f t="shared" si="0"/>
        <v>0</v>
      </c>
      <c r="AF7" s="205">
        <v>36647</v>
      </c>
      <c r="AG7" s="194">
        <v>22</v>
      </c>
      <c r="AH7" s="194">
        <v>4</v>
      </c>
      <c r="AI7" s="194">
        <v>5</v>
      </c>
      <c r="AJ7" s="194">
        <v>1</v>
      </c>
      <c r="AK7" s="194">
        <v>31</v>
      </c>
      <c r="AM7" s="110"/>
      <c r="AN7" s="110"/>
      <c r="AO7" s="110"/>
      <c r="AP7" s="110"/>
      <c r="AQ7" s="301">
        <v>4</v>
      </c>
      <c r="AR7" s="302" t="s">
        <v>1228</v>
      </c>
      <c r="AT7" s="3"/>
      <c r="AU7" s="3"/>
      <c r="AX7" s="402" t="b">
        <v>0</v>
      </c>
      <c r="AY7" s="204" t="s">
        <v>1423</v>
      </c>
    </row>
    <row r="8" spans="1:51">
      <c r="A8" s="193">
        <v>200</v>
      </c>
      <c r="B8" s="296">
        <f>'Power Curves'!AT22</f>
        <v>0.82216545967600496</v>
      </c>
      <c r="C8" s="296">
        <f>'Power Curves'!AU22</f>
        <v>0.82216545967600496</v>
      </c>
      <c r="D8" s="296">
        <f>'Power Curves'!AV22</f>
        <v>0.83216545967600497</v>
      </c>
      <c r="E8" s="296">
        <f>'Power Curves'!AW22</f>
        <v>0.88216545967600501</v>
      </c>
      <c r="F8" s="296">
        <f>'Power Curves'!AX22</f>
        <v>0.89614417708707417</v>
      </c>
      <c r="G8" s="296">
        <f>'Power Curves'!AY22</f>
        <v>0.95825932504440481</v>
      </c>
      <c r="H8" s="296">
        <f>'Power Curves'!AZ22</f>
        <v>1.0185889770627239</v>
      </c>
      <c r="I8" s="296">
        <f>'Power Curves'!BA22</f>
        <v>0.98541692633678146</v>
      </c>
      <c r="J8" s="296">
        <f>'Power Curves'!BB22</f>
        <v>0.87437503955445783</v>
      </c>
      <c r="K8" s="296">
        <f>'Power Curves'!BC22</f>
        <v>0.9012</v>
      </c>
      <c r="L8" s="296">
        <f>'Power Curves'!BD22</f>
        <v>0.88119999999999998</v>
      </c>
      <c r="M8" s="296">
        <f>'Power Curves'!BE22</f>
        <v>0.88119999999999998</v>
      </c>
      <c r="N8" s="444">
        <f>VALUE('Power Curves'!BF22)</f>
        <v>2</v>
      </c>
      <c r="O8" s="379">
        <f t="shared" ref="O8:O23" si="1">IF(AND($N8=1,$N15=1),AVERAGE(B8:B15),0)</f>
        <v>0</v>
      </c>
      <c r="P8" s="386">
        <f t="shared" si="0"/>
        <v>0</v>
      </c>
      <c r="Q8" s="386">
        <f t="shared" si="0"/>
        <v>0</v>
      </c>
      <c r="R8" s="386">
        <f t="shared" si="0"/>
        <v>0</v>
      </c>
      <c r="S8" s="386">
        <f t="shared" si="0"/>
        <v>0</v>
      </c>
      <c r="T8" s="386">
        <f t="shared" si="0"/>
        <v>0</v>
      </c>
      <c r="U8" s="386">
        <f t="shared" si="0"/>
        <v>0</v>
      </c>
      <c r="V8" s="386">
        <f t="shared" si="0"/>
        <v>0</v>
      </c>
      <c r="W8" s="386">
        <f t="shared" si="0"/>
        <v>0</v>
      </c>
      <c r="X8" s="386">
        <f t="shared" si="0"/>
        <v>0</v>
      </c>
      <c r="Y8" s="386">
        <f t="shared" si="0"/>
        <v>0</v>
      </c>
      <c r="Z8" s="273">
        <f t="shared" si="0"/>
        <v>0</v>
      </c>
      <c r="AF8" s="205">
        <v>36678</v>
      </c>
      <c r="AG8" s="194">
        <v>22</v>
      </c>
      <c r="AH8" s="194">
        <v>4</v>
      </c>
      <c r="AI8" s="194">
        <v>4</v>
      </c>
      <c r="AJ8" s="194">
        <v>0</v>
      </c>
      <c r="AK8" s="194">
        <v>30</v>
      </c>
      <c r="AM8" s="110"/>
      <c r="AN8" s="250">
        <v>1</v>
      </c>
      <c r="AO8" s="327" t="s">
        <v>1258</v>
      </c>
      <c r="AP8" s="110"/>
      <c r="AQ8" s="301">
        <v>5</v>
      </c>
      <c r="AR8" s="302" t="s">
        <v>1230</v>
      </c>
      <c r="AT8" s="3"/>
    </row>
    <row r="9" spans="1:51" ht="13.8" thickBot="1">
      <c r="A9" s="193">
        <v>300</v>
      </c>
      <c r="B9" s="296">
        <f>'Power Curves'!AT23</f>
        <v>0.74669983553583485</v>
      </c>
      <c r="C9" s="296">
        <f>'Power Curves'!AU23</f>
        <v>0.74669983553583485</v>
      </c>
      <c r="D9" s="296">
        <f>'Power Curves'!AV23</f>
        <v>0.7966998355358349</v>
      </c>
      <c r="E9" s="296">
        <f>'Power Curves'!AW23</f>
        <v>0.84669983553583494</v>
      </c>
      <c r="F9" s="296">
        <f>'Power Curves'!AX23</f>
        <v>0.84808514806229396</v>
      </c>
      <c r="G9" s="296">
        <f>'Power Curves'!AY23</f>
        <v>0.80550621669626976</v>
      </c>
      <c r="H9" s="296">
        <f>'Power Curves'!AZ23</f>
        <v>0.97054027611696914</v>
      </c>
      <c r="I9" s="296">
        <f>'Power Curves'!BA23</f>
        <v>0.88495575221238931</v>
      </c>
      <c r="J9" s="296">
        <f>'Power Curves'!BB23</f>
        <v>0.81994810455034439</v>
      </c>
      <c r="K9" s="296">
        <f>'Power Curves'!BC23</f>
        <v>0.86570000000000003</v>
      </c>
      <c r="L9" s="296">
        <f>'Power Curves'!BD23</f>
        <v>0.84570000000000001</v>
      </c>
      <c r="M9" s="296">
        <f>'Power Curves'!BE23</f>
        <v>0.84570000000000001</v>
      </c>
      <c r="N9" s="444">
        <f>VALUE('Power Curves'!BF23)</f>
        <v>2</v>
      </c>
      <c r="O9" s="379">
        <f t="shared" si="1"/>
        <v>0</v>
      </c>
      <c r="P9" s="386">
        <f t="shared" si="0"/>
        <v>0</v>
      </c>
      <c r="Q9" s="386">
        <f t="shared" si="0"/>
        <v>0</v>
      </c>
      <c r="R9" s="386">
        <f t="shared" si="0"/>
        <v>0</v>
      </c>
      <c r="S9" s="386">
        <f t="shared" si="0"/>
        <v>0</v>
      </c>
      <c r="T9" s="386">
        <f t="shared" si="0"/>
        <v>0</v>
      </c>
      <c r="U9" s="386">
        <f t="shared" si="0"/>
        <v>0</v>
      </c>
      <c r="V9" s="386">
        <f t="shared" si="0"/>
        <v>0</v>
      </c>
      <c r="W9" s="386">
        <f t="shared" si="0"/>
        <v>0</v>
      </c>
      <c r="X9" s="386">
        <f t="shared" si="0"/>
        <v>0</v>
      </c>
      <c r="Y9" s="386">
        <f t="shared" si="0"/>
        <v>0</v>
      </c>
      <c r="Z9" s="273">
        <f t="shared" si="0"/>
        <v>0</v>
      </c>
      <c r="AF9" s="205">
        <v>36708</v>
      </c>
      <c r="AG9" s="194">
        <v>20</v>
      </c>
      <c r="AH9" s="194">
        <v>5</v>
      </c>
      <c r="AI9" s="194">
        <v>6</v>
      </c>
      <c r="AJ9" s="194">
        <v>1</v>
      </c>
      <c r="AK9" s="194">
        <v>31</v>
      </c>
      <c r="AN9" s="251">
        <v>1</v>
      </c>
      <c r="AO9" s="326" t="s">
        <v>1373</v>
      </c>
      <c r="AQ9" s="301">
        <v>6</v>
      </c>
      <c r="AR9" s="302" t="s">
        <v>1226</v>
      </c>
      <c r="AT9" s="3"/>
    </row>
    <row r="10" spans="1:51" ht="13.8" thickBot="1">
      <c r="A10" s="193">
        <v>400</v>
      </c>
      <c r="B10" s="296">
        <f>'Power Curves'!AT24</f>
        <v>0.74619999999999997</v>
      </c>
      <c r="C10" s="296">
        <f>'Power Curves'!AU24</f>
        <v>0.74619999999999997</v>
      </c>
      <c r="D10" s="296">
        <f>'Power Curves'!AV24</f>
        <v>0.79719995084774298</v>
      </c>
      <c r="E10" s="296">
        <f>'Power Curves'!AW24</f>
        <v>0.84719995084774302</v>
      </c>
      <c r="F10" s="296">
        <f>'Power Curves'!AX24</f>
        <v>0.82222730092396068</v>
      </c>
      <c r="G10" s="296">
        <f>'Power Curves'!AY24</f>
        <v>0.74777975133214913</v>
      </c>
      <c r="H10" s="296">
        <f>'Power Curves'!AZ24</f>
        <v>0.87400804435264667</v>
      </c>
      <c r="I10" s="296">
        <f>'Power Curves'!BA24</f>
        <v>0.83260625701109281</v>
      </c>
      <c r="J10" s="296">
        <f>'Power Curves'!BB24</f>
        <v>0.83209923422568155</v>
      </c>
      <c r="K10" s="296">
        <f>'Power Curves'!BC24</f>
        <v>0.86619999999999997</v>
      </c>
      <c r="L10" s="296">
        <f>'Power Curves'!BD24</f>
        <v>0.84619999999999995</v>
      </c>
      <c r="M10" s="296">
        <f>'Power Curves'!BE24</f>
        <v>0.84619999999999995</v>
      </c>
      <c r="N10" s="444">
        <f>VALUE('Power Curves'!BF24)</f>
        <v>2</v>
      </c>
      <c r="O10" s="379">
        <f t="shared" si="1"/>
        <v>0</v>
      </c>
      <c r="P10" s="386">
        <f t="shared" si="0"/>
        <v>0</v>
      </c>
      <c r="Q10" s="386">
        <f t="shared" si="0"/>
        <v>0</v>
      </c>
      <c r="R10" s="386">
        <f t="shared" si="0"/>
        <v>0</v>
      </c>
      <c r="S10" s="386">
        <f t="shared" si="0"/>
        <v>0</v>
      </c>
      <c r="T10" s="386">
        <f t="shared" si="0"/>
        <v>0</v>
      </c>
      <c r="U10" s="386">
        <f t="shared" si="0"/>
        <v>0</v>
      </c>
      <c r="V10" s="386">
        <f t="shared" si="0"/>
        <v>0</v>
      </c>
      <c r="W10" s="386">
        <f t="shared" si="0"/>
        <v>0</v>
      </c>
      <c r="X10" s="386">
        <f t="shared" si="0"/>
        <v>0</v>
      </c>
      <c r="Y10" s="386">
        <f t="shared" si="0"/>
        <v>0</v>
      </c>
      <c r="Z10" s="273">
        <f t="shared" si="0"/>
        <v>0</v>
      </c>
      <c r="AF10" s="205">
        <v>36739</v>
      </c>
      <c r="AG10" s="194">
        <v>23</v>
      </c>
      <c r="AH10" s="194">
        <v>4</v>
      </c>
      <c r="AI10" s="194">
        <v>4</v>
      </c>
      <c r="AJ10" s="194">
        <v>0</v>
      </c>
      <c r="AK10" s="194">
        <v>31</v>
      </c>
      <c r="AN10" s="251">
        <v>2</v>
      </c>
      <c r="AO10" s="326" t="s">
        <v>1372</v>
      </c>
      <c r="AQ10" s="301">
        <v>7</v>
      </c>
      <c r="AR10" s="302" t="s">
        <v>1412</v>
      </c>
      <c r="AT10" s="3"/>
      <c r="AX10" s="148" t="b">
        <v>1</v>
      </c>
      <c r="AY10" s="464" t="s">
        <v>1243</v>
      </c>
    </row>
    <row r="11" spans="1:51">
      <c r="A11" s="193">
        <v>500</v>
      </c>
      <c r="B11" s="296">
        <f>'Power Curves'!AT25</f>
        <v>0.76649999999999996</v>
      </c>
      <c r="C11" s="296">
        <f>'Power Curves'!AU25</f>
        <v>0.76649999999999996</v>
      </c>
      <c r="D11" s="296">
        <f>'Power Curves'!AV25</f>
        <v>0.85749044781089889</v>
      </c>
      <c r="E11" s="296">
        <f>'Power Curves'!AW25</f>
        <v>0.90749044781089894</v>
      </c>
      <c r="F11" s="296">
        <f>'Power Curves'!AX25</f>
        <v>0.89013679845897664</v>
      </c>
      <c r="G11" s="296">
        <f>'Power Curves'!AY25</f>
        <v>0.81113084665482538</v>
      </c>
      <c r="H11" s="296">
        <f>'Power Curves'!AZ25</f>
        <v>0.8296553973257963</v>
      </c>
      <c r="I11" s="296">
        <f>'Power Curves'!BA25</f>
        <v>0.86426523744235273</v>
      </c>
      <c r="J11" s="296">
        <f>'Power Curves'!BB25</f>
        <v>0.89842415037022905</v>
      </c>
      <c r="K11" s="296">
        <f>'Power Curves'!BC25</f>
        <v>0.92649999999999999</v>
      </c>
      <c r="L11" s="296">
        <f>'Power Curves'!BD25</f>
        <v>0.90649999999999997</v>
      </c>
      <c r="M11" s="296">
        <f>'Power Curves'!BE25</f>
        <v>0.90649999999999997</v>
      </c>
      <c r="N11" s="444">
        <f>VALUE('Power Curves'!BF25)</f>
        <v>2</v>
      </c>
      <c r="O11" s="379">
        <f t="shared" si="1"/>
        <v>0</v>
      </c>
      <c r="P11" s="386">
        <f t="shared" si="0"/>
        <v>0</v>
      </c>
      <c r="Q11" s="386">
        <f t="shared" si="0"/>
        <v>0</v>
      </c>
      <c r="R11" s="386">
        <f t="shared" si="0"/>
        <v>0</v>
      </c>
      <c r="S11" s="386">
        <f t="shared" si="0"/>
        <v>0</v>
      </c>
      <c r="T11" s="386">
        <f t="shared" si="0"/>
        <v>0</v>
      </c>
      <c r="U11" s="386">
        <f t="shared" si="0"/>
        <v>0</v>
      </c>
      <c r="V11" s="386">
        <f t="shared" si="0"/>
        <v>0</v>
      </c>
      <c r="W11" s="386">
        <f t="shared" si="0"/>
        <v>0</v>
      </c>
      <c r="X11" s="386">
        <f t="shared" si="0"/>
        <v>0</v>
      </c>
      <c r="Y11" s="386">
        <f t="shared" si="0"/>
        <v>0</v>
      </c>
      <c r="Z11" s="273">
        <f t="shared" si="0"/>
        <v>0</v>
      </c>
      <c r="AF11" s="205">
        <v>36770</v>
      </c>
      <c r="AG11" s="194">
        <v>20</v>
      </c>
      <c r="AH11" s="194">
        <v>5</v>
      </c>
      <c r="AI11" s="194">
        <v>5</v>
      </c>
      <c r="AJ11" s="194">
        <v>1</v>
      </c>
      <c r="AK11" s="194">
        <v>30</v>
      </c>
      <c r="AQ11" s="301">
        <v>8</v>
      </c>
      <c r="AR11" s="302" t="s">
        <v>1413</v>
      </c>
      <c r="AT11" s="3"/>
      <c r="AU11" s="3"/>
      <c r="AV11" s="3"/>
    </row>
    <row r="12" spans="1:51">
      <c r="A12" s="193">
        <v>600</v>
      </c>
      <c r="B12" s="296">
        <f>'Power Curves'!AT26</f>
        <v>0.82339999999999991</v>
      </c>
      <c r="C12" s="296">
        <f>'Power Curves'!AU26</f>
        <v>0.82339999999999991</v>
      </c>
      <c r="D12" s="296">
        <f>'Power Curves'!AV26</f>
        <v>0.99535202187631988</v>
      </c>
      <c r="E12" s="296">
        <f>'Power Curves'!AW26</f>
        <v>1.0453520218763199</v>
      </c>
      <c r="F12" s="296">
        <f>'Power Curves'!AX26</f>
        <v>1.079238630056482</v>
      </c>
      <c r="G12" s="296">
        <f>'Power Curves'!AY26</f>
        <v>0.98963883955002951</v>
      </c>
      <c r="H12" s="296">
        <f>'Power Curves'!AZ26</f>
        <v>0.91466463746059334</v>
      </c>
      <c r="I12" s="296">
        <f>'Power Curves'!BA26</f>
        <v>0.960239311978063</v>
      </c>
      <c r="J12" s="296">
        <f>'Power Curves'!BB26</f>
        <v>1.0396810328460215</v>
      </c>
      <c r="K12" s="296">
        <f>'Power Curves'!BC26</f>
        <v>1.0644</v>
      </c>
      <c r="L12" s="296">
        <f>'Power Curves'!BD26</f>
        <v>1.0444</v>
      </c>
      <c r="M12" s="296">
        <f>'Power Curves'!BE26</f>
        <v>1.0444</v>
      </c>
      <c r="N12" s="444">
        <f>VALUE('Power Curves'!BF26)</f>
        <v>2</v>
      </c>
      <c r="O12" s="379">
        <f t="shared" si="1"/>
        <v>0</v>
      </c>
      <c r="P12" s="386">
        <f t="shared" si="0"/>
        <v>0</v>
      </c>
      <c r="Q12" s="386">
        <f t="shared" si="0"/>
        <v>0</v>
      </c>
      <c r="R12" s="386">
        <f t="shared" si="0"/>
        <v>0</v>
      </c>
      <c r="S12" s="386">
        <f t="shared" si="0"/>
        <v>0</v>
      </c>
      <c r="T12" s="386">
        <f t="shared" si="0"/>
        <v>0</v>
      </c>
      <c r="U12" s="386">
        <f t="shared" si="0"/>
        <v>0</v>
      </c>
      <c r="V12" s="386">
        <f t="shared" si="0"/>
        <v>0</v>
      </c>
      <c r="W12" s="386">
        <f t="shared" si="0"/>
        <v>0</v>
      </c>
      <c r="X12" s="386">
        <f t="shared" si="0"/>
        <v>0</v>
      </c>
      <c r="Y12" s="386">
        <f t="shared" si="0"/>
        <v>0</v>
      </c>
      <c r="Z12" s="273">
        <f t="shared" si="0"/>
        <v>0</v>
      </c>
      <c r="AF12" s="205">
        <v>36800</v>
      </c>
      <c r="AG12" s="194">
        <v>22</v>
      </c>
      <c r="AH12" s="194">
        <v>4</v>
      </c>
      <c r="AI12" s="194">
        <v>5</v>
      </c>
      <c r="AJ12" s="194">
        <v>0</v>
      </c>
      <c r="AK12" s="194">
        <v>31</v>
      </c>
      <c r="AQ12" s="301">
        <v>9</v>
      </c>
      <c r="AR12" s="302" t="s">
        <v>1414</v>
      </c>
      <c r="AT12" s="3"/>
      <c r="AU12" s="3"/>
      <c r="AV12" s="3"/>
    </row>
    <row r="13" spans="1:51">
      <c r="A13" s="193">
        <v>700</v>
      </c>
      <c r="B13" s="296">
        <f>'Power Curves'!AT27</f>
        <v>2.0299999999999998</v>
      </c>
      <c r="C13" s="296">
        <f>'Power Curves'!AU27</f>
        <v>2.0299999999999998</v>
      </c>
      <c r="D13" s="296">
        <f>'Power Curves'!AV27</f>
        <v>1.7959999999999998</v>
      </c>
      <c r="E13" s="296">
        <f>'Power Curves'!AW27</f>
        <v>1.4909756812084298</v>
      </c>
      <c r="F13" s="296">
        <f>'Power Curves'!AX27</f>
        <v>1.2913252146658396</v>
      </c>
      <c r="G13" s="296">
        <f>'Power Curves'!AY27</f>
        <v>1.134695085849615</v>
      </c>
      <c r="H13" s="296">
        <f>'Power Curves'!AZ27</f>
        <v>1.0157625828894443</v>
      </c>
      <c r="I13" s="296">
        <f>'Power Curves'!BA27</f>
        <v>1.1172877975819515</v>
      </c>
      <c r="J13" s="296">
        <f>'Power Curves'!BB27</f>
        <v>1.4138345674324397</v>
      </c>
      <c r="K13" s="296">
        <f>'Power Curves'!BC27</f>
        <v>1.3759999999999999</v>
      </c>
      <c r="L13" s="296">
        <f>'Power Curves'!BD27</f>
        <v>1.496</v>
      </c>
      <c r="M13" s="296">
        <f>'Power Curves'!BE27</f>
        <v>1.496</v>
      </c>
      <c r="N13" s="444">
        <f>VALUE('Power Curves'!BF27)</f>
        <v>2</v>
      </c>
      <c r="O13" s="379">
        <f t="shared" si="1"/>
        <v>0</v>
      </c>
      <c r="P13" s="386">
        <f t="shared" si="0"/>
        <v>0</v>
      </c>
      <c r="Q13" s="386">
        <f t="shared" si="0"/>
        <v>0</v>
      </c>
      <c r="R13" s="386">
        <f t="shared" si="0"/>
        <v>0</v>
      </c>
      <c r="S13" s="386">
        <f t="shared" si="0"/>
        <v>0</v>
      </c>
      <c r="T13" s="386">
        <f t="shared" si="0"/>
        <v>0</v>
      </c>
      <c r="U13" s="386">
        <f t="shared" si="0"/>
        <v>0</v>
      </c>
      <c r="V13" s="386">
        <f t="shared" si="0"/>
        <v>0</v>
      </c>
      <c r="W13" s="386">
        <f t="shared" si="0"/>
        <v>0</v>
      </c>
      <c r="X13" s="386">
        <f t="shared" si="0"/>
        <v>0</v>
      </c>
      <c r="Y13" s="386">
        <f t="shared" si="0"/>
        <v>0</v>
      </c>
      <c r="Z13" s="273">
        <f t="shared" si="0"/>
        <v>0</v>
      </c>
      <c r="AF13" s="205">
        <v>36831</v>
      </c>
      <c r="AG13" s="194">
        <v>21</v>
      </c>
      <c r="AH13" s="194">
        <v>4</v>
      </c>
      <c r="AI13" s="194">
        <v>5</v>
      </c>
      <c r="AJ13" s="194">
        <v>1</v>
      </c>
      <c r="AK13" s="194">
        <v>30</v>
      </c>
      <c r="AT13" s="3"/>
      <c r="AU13" s="3"/>
      <c r="AV13" s="3"/>
    </row>
    <row r="14" spans="1:51">
      <c r="A14" s="193">
        <v>800</v>
      </c>
      <c r="B14" s="296">
        <f>'Power Curves'!AT28</f>
        <v>1.1000000000000001</v>
      </c>
      <c r="C14" s="296">
        <f>'Power Curves'!AU28</f>
        <v>1.1000000000000001</v>
      </c>
      <c r="D14" s="296">
        <f>'Power Curves'!AV28</f>
        <v>1.1358999999999999</v>
      </c>
      <c r="E14" s="296">
        <f>'Power Curves'!AW28</f>
        <v>1.1232726508202047</v>
      </c>
      <c r="F14" s="296">
        <f>'Power Curves'!AX28</f>
        <v>0.75</v>
      </c>
      <c r="G14" s="296">
        <f>'Power Curves'!AY28</f>
        <v>0.55000000000000004</v>
      </c>
      <c r="H14" s="296">
        <f>'Power Curves'!AZ28</f>
        <v>0.4</v>
      </c>
      <c r="I14" s="296">
        <f>'Power Curves'!BA28</f>
        <v>0.4</v>
      </c>
      <c r="J14" s="296">
        <f>'Power Curves'!BB28</f>
        <v>0.65</v>
      </c>
      <c r="K14" s="296">
        <f>'Power Curves'!BC28</f>
        <v>1.0615000000000001</v>
      </c>
      <c r="L14" s="296">
        <f>'Power Curves'!BD28</f>
        <v>1.0714999999999999</v>
      </c>
      <c r="M14" s="296">
        <f>'Power Curves'!BE28</f>
        <v>1.0874999999999999</v>
      </c>
      <c r="N14" s="444">
        <f>VALUE('Power Curves'!BF28)</f>
        <v>1</v>
      </c>
      <c r="O14" s="379">
        <f t="shared" si="1"/>
        <v>0.96249999999999991</v>
      </c>
      <c r="P14" s="386">
        <f t="shared" si="0"/>
        <v>0.96249999999999991</v>
      </c>
      <c r="Q14" s="386">
        <f t="shared" si="0"/>
        <v>1.0080875</v>
      </c>
      <c r="R14" s="386">
        <f t="shared" si="0"/>
        <v>1.0726952833823395</v>
      </c>
      <c r="S14" s="386">
        <f t="shared" si="0"/>
        <v>1</v>
      </c>
      <c r="T14" s="386">
        <f t="shared" si="0"/>
        <v>1</v>
      </c>
      <c r="U14" s="386">
        <f t="shared" si="0"/>
        <v>1</v>
      </c>
      <c r="V14" s="386">
        <f t="shared" si="0"/>
        <v>1</v>
      </c>
      <c r="W14" s="386">
        <f t="shared" si="0"/>
        <v>1</v>
      </c>
      <c r="X14" s="386">
        <f t="shared" si="0"/>
        <v>0.9991874999999999</v>
      </c>
      <c r="Y14" s="386">
        <f t="shared" si="0"/>
        <v>0.99765000000000015</v>
      </c>
      <c r="Z14" s="273">
        <f t="shared" si="0"/>
        <v>0.99618749999999989</v>
      </c>
      <c r="AF14" s="205">
        <v>36861</v>
      </c>
      <c r="AG14" s="194">
        <v>20</v>
      </c>
      <c r="AH14" s="194">
        <v>5</v>
      </c>
      <c r="AI14" s="194">
        <v>6</v>
      </c>
      <c r="AJ14" s="194">
        <v>1</v>
      </c>
      <c r="AK14" s="194">
        <v>31</v>
      </c>
    </row>
    <row r="15" spans="1:51">
      <c r="A15" s="193">
        <v>900</v>
      </c>
      <c r="B15" s="296">
        <f>'Power Curves'!AT29</f>
        <v>1.3</v>
      </c>
      <c r="C15" s="296">
        <f>'Power Curves'!AU29</f>
        <v>1.3</v>
      </c>
      <c r="D15" s="296">
        <f>'Power Curves'!AV29</f>
        <v>1.1898</v>
      </c>
      <c r="E15" s="296">
        <f>'Power Curves'!AW29</f>
        <v>1.1413154461256174</v>
      </c>
      <c r="F15" s="296">
        <f>'Power Curves'!AX29</f>
        <v>0.75</v>
      </c>
      <c r="G15" s="296">
        <f>'Power Curves'!AY29</f>
        <v>0.55000000000000004</v>
      </c>
      <c r="H15" s="296">
        <f>'Power Curves'!AZ29</f>
        <v>0.4</v>
      </c>
      <c r="I15" s="296">
        <f>'Power Curves'!BA29</f>
        <v>0.4</v>
      </c>
      <c r="J15" s="296">
        <f>'Power Curves'!BB29</f>
        <v>0.65</v>
      </c>
      <c r="K15" s="296">
        <f>'Power Curves'!BC29</f>
        <v>1.1326000000000001</v>
      </c>
      <c r="L15" s="296">
        <f>'Power Curves'!BD29</f>
        <v>1.1426000000000001</v>
      </c>
      <c r="M15" s="296">
        <f>'Power Curves'!BE29</f>
        <v>1.1637999999999999</v>
      </c>
      <c r="N15" s="444">
        <f>VALUE('Power Curves'!BF29)</f>
        <v>1</v>
      </c>
      <c r="O15" s="379">
        <f t="shared" si="1"/>
        <v>0.92499999999999993</v>
      </c>
      <c r="P15" s="386">
        <f t="shared" si="0"/>
        <v>0.92499999999999993</v>
      </c>
      <c r="Q15" s="386">
        <f t="shared" si="0"/>
        <v>0.96351249999999988</v>
      </c>
      <c r="R15" s="386">
        <f t="shared" si="0"/>
        <v>1.0437821465252826</v>
      </c>
      <c r="S15" s="386">
        <f t="shared" si="0"/>
        <v>1.09375</v>
      </c>
      <c r="T15" s="386">
        <f t="shared" si="0"/>
        <v>1.14375</v>
      </c>
      <c r="U15" s="386">
        <f t="shared" si="0"/>
        <v>1.1875</v>
      </c>
      <c r="V15" s="386">
        <f t="shared" si="0"/>
        <v>1.1875</v>
      </c>
      <c r="W15" s="386">
        <f t="shared" si="0"/>
        <v>1.09375</v>
      </c>
      <c r="X15" s="386">
        <f t="shared" si="0"/>
        <v>0.97141250000000001</v>
      </c>
      <c r="Y15" s="386">
        <f t="shared" si="0"/>
        <v>0.96687500000000015</v>
      </c>
      <c r="Z15" s="273">
        <f t="shared" si="0"/>
        <v>0.95791249999999994</v>
      </c>
      <c r="AF15" s="205">
        <v>36892</v>
      </c>
      <c r="AG15" s="194">
        <v>22</v>
      </c>
      <c r="AH15" s="194">
        <v>4</v>
      </c>
      <c r="AI15" s="194">
        <v>5</v>
      </c>
      <c r="AJ15" s="194">
        <v>1</v>
      </c>
      <c r="AK15" s="194">
        <v>31</v>
      </c>
    </row>
    <row r="16" spans="1:51">
      <c r="A16" s="193">
        <v>1000</v>
      </c>
      <c r="B16" s="296">
        <f>'Power Curves'!AT30</f>
        <v>1.3</v>
      </c>
      <c r="C16" s="296">
        <f>'Power Curves'!AU30</f>
        <v>1.3</v>
      </c>
      <c r="D16" s="296">
        <f>'Power Curves'!AV30</f>
        <v>1.1861999999999999</v>
      </c>
      <c r="E16" s="296">
        <f>'Power Curves'!AW30</f>
        <v>1.09378612004454</v>
      </c>
      <c r="F16" s="296">
        <f>'Power Curves'!AX30</f>
        <v>0.75</v>
      </c>
      <c r="G16" s="296">
        <f>'Power Curves'!AY30</f>
        <v>0.55000000000000004</v>
      </c>
      <c r="H16" s="296">
        <f>'Power Curves'!AZ30</f>
        <v>0.4</v>
      </c>
      <c r="I16" s="296">
        <f>'Power Curves'!BA30</f>
        <v>0.4</v>
      </c>
      <c r="J16" s="296">
        <f>'Power Curves'!BB30</f>
        <v>0.65</v>
      </c>
      <c r="K16" s="296">
        <f>'Power Curves'!BC30</f>
        <v>1.1291</v>
      </c>
      <c r="L16" s="296">
        <f>'Power Curves'!BD30</f>
        <v>1.1352</v>
      </c>
      <c r="M16" s="296">
        <f>'Power Curves'!BE30</f>
        <v>1.1578999999999999</v>
      </c>
      <c r="N16" s="444">
        <f>VALUE('Power Curves'!BF30)</f>
        <v>1</v>
      </c>
      <c r="O16" s="379">
        <f t="shared" si="1"/>
        <v>0.91249999999999998</v>
      </c>
      <c r="P16" s="386">
        <f t="shared" si="0"/>
        <v>0.91249999999999998</v>
      </c>
      <c r="Q16" s="386">
        <f t="shared" si="0"/>
        <v>0.92098749999999996</v>
      </c>
      <c r="R16" s="386">
        <f t="shared" si="0"/>
        <v>1.0098694170796942</v>
      </c>
      <c r="S16" s="386">
        <f t="shared" si="0"/>
        <v>1.1875</v>
      </c>
      <c r="T16" s="386">
        <f t="shared" si="0"/>
        <v>1.2874999999999999</v>
      </c>
      <c r="U16" s="386">
        <f t="shared" si="0"/>
        <v>1.3750000000000002</v>
      </c>
      <c r="V16" s="386">
        <f t="shared" si="0"/>
        <v>1.3750000000000002</v>
      </c>
      <c r="W16" s="386">
        <f t="shared" si="0"/>
        <v>1.1875000000000002</v>
      </c>
      <c r="X16" s="386">
        <f t="shared" si="0"/>
        <v>0.94103749999999997</v>
      </c>
      <c r="Y16" s="386">
        <f t="shared" si="0"/>
        <v>0.93487500000000012</v>
      </c>
      <c r="Z16" s="273">
        <f t="shared" si="0"/>
        <v>0.92238749999999992</v>
      </c>
      <c r="AF16" s="205">
        <v>36923</v>
      </c>
      <c r="AG16" s="194">
        <v>20</v>
      </c>
      <c r="AH16" s="194">
        <v>4</v>
      </c>
      <c r="AI16" s="194">
        <v>4</v>
      </c>
      <c r="AJ16" s="194">
        <v>0</v>
      </c>
      <c r="AK16" s="194">
        <v>28</v>
      </c>
    </row>
    <row r="17" spans="1:37">
      <c r="A17" s="193">
        <v>1100</v>
      </c>
      <c r="B17" s="296">
        <f>'Power Curves'!AT31</f>
        <v>0.8</v>
      </c>
      <c r="C17" s="296">
        <f>'Power Curves'!AU31</f>
        <v>0.8</v>
      </c>
      <c r="D17" s="296">
        <f>'Power Curves'!AV31</f>
        <v>1.1653</v>
      </c>
      <c r="E17" s="296">
        <f>'Power Curves'!AW31</f>
        <v>1.1163355903593366</v>
      </c>
      <c r="F17" s="296">
        <f>'Power Curves'!AX31</f>
        <v>0.75</v>
      </c>
      <c r="G17" s="296">
        <f>'Power Curves'!AY31</f>
        <v>0.55000000000000004</v>
      </c>
      <c r="H17" s="296">
        <f>'Power Curves'!AZ31</f>
        <v>0.4</v>
      </c>
      <c r="I17" s="296">
        <f>'Power Curves'!BA31</f>
        <v>0.4</v>
      </c>
      <c r="J17" s="296">
        <f>'Power Curves'!BB31</f>
        <v>0.65</v>
      </c>
      <c r="K17" s="296">
        <f>'Power Curves'!BC31</f>
        <v>1.1227</v>
      </c>
      <c r="L17" s="296">
        <f>'Power Curves'!BD31</f>
        <v>1.1133</v>
      </c>
      <c r="M17" s="296">
        <f>'Power Curves'!BE31</f>
        <v>1.1327</v>
      </c>
      <c r="N17" s="444">
        <f>VALUE('Power Curves'!BF31)</f>
        <v>1</v>
      </c>
      <c r="O17" s="379">
        <f t="shared" si="1"/>
        <v>0.9</v>
      </c>
      <c r="P17" s="386">
        <f t="shared" si="0"/>
        <v>0.9</v>
      </c>
      <c r="Q17" s="386">
        <f t="shared" si="0"/>
        <v>0.91749999999999998</v>
      </c>
      <c r="R17" s="386">
        <f t="shared" si="0"/>
        <v>0.98048348172834998</v>
      </c>
      <c r="S17" s="386">
        <f t="shared" si="0"/>
        <v>1.21875</v>
      </c>
      <c r="T17" s="386">
        <f t="shared" si="0"/>
        <v>1.3687499999999999</v>
      </c>
      <c r="U17" s="386">
        <f t="shared" si="0"/>
        <v>1.4875000000000003</v>
      </c>
      <c r="V17" s="386">
        <f t="shared" si="0"/>
        <v>1.4875000000000003</v>
      </c>
      <c r="W17" s="386">
        <f t="shared" si="0"/>
        <v>1.2687500000000003</v>
      </c>
      <c r="X17" s="386">
        <f t="shared" si="0"/>
        <v>0.94991249999999983</v>
      </c>
      <c r="Y17" s="386">
        <f t="shared" si="0"/>
        <v>0.94511250000000002</v>
      </c>
      <c r="Z17" s="273">
        <f t="shared" si="0"/>
        <v>0.93260740660789865</v>
      </c>
      <c r="AF17" s="205">
        <v>36951</v>
      </c>
      <c r="AG17" s="194">
        <v>22</v>
      </c>
      <c r="AH17" s="194">
        <v>5</v>
      </c>
      <c r="AI17" s="194">
        <v>4</v>
      </c>
      <c r="AJ17" s="194">
        <v>0</v>
      </c>
      <c r="AK17" s="194">
        <v>31</v>
      </c>
    </row>
    <row r="18" spans="1:37">
      <c r="A18" s="193">
        <v>1200</v>
      </c>
      <c r="B18" s="296">
        <f>'Power Curves'!AT32</f>
        <v>0.8</v>
      </c>
      <c r="C18" s="296">
        <f>'Power Curves'!AU32</f>
        <v>0.8</v>
      </c>
      <c r="D18" s="296">
        <f>'Power Curves'!AV32</f>
        <v>0.89039999999999997</v>
      </c>
      <c r="E18" s="296">
        <f>'Power Curves'!AW32</f>
        <v>1.1185245467924647</v>
      </c>
      <c r="F18" s="296">
        <f>'Power Curves'!AX32</f>
        <v>1</v>
      </c>
      <c r="G18" s="296">
        <f>'Power Curves'!AY32</f>
        <v>1.2</v>
      </c>
      <c r="H18" s="296">
        <f>'Power Curves'!AZ32</f>
        <v>1.3</v>
      </c>
      <c r="I18" s="296">
        <f>'Power Curves'!BA32</f>
        <v>1.3</v>
      </c>
      <c r="J18" s="296">
        <f>'Power Curves'!BB32</f>
        <v>1.3</v>
      </c>
      <c r="K18" s="296">
        <f>'Power Curves'!BC32</f>
        <v>0.94740000000000002</v>
      </c>
      <c r="L18" s="296">
        <f>'Power Curves'!BD32</f>
        <v>0.93740000000000001</v>
      </c>
      <c r="M18" s="296">
        <f>'Power Curves'!BE32</f>
        <v>0.9204</v>
      </c>
      <c r="N18" s="444">
        <f>VALUE('Power Curves'!BF32)</f>
        <v>1</v>
      </c>
      <c r="O18" s="379">
        <f t="shared" si="1"/>
        <v>0.95000000000000007</v>
      </c>
      <c r="P18" s="386">
        <f t="shared" si="0"/>
        <v>0.95000000000000007</v>
      </c>
      <c r="Q18" s="386">
        <f t="shared" si="0"/>
        <v>0.93082500000000001</v>
      </c>
      <c r="R18" s="386">
        <f t="shared" si="0"/>
        <v>0.94770345676056567</v>
      </c>
      <c r="S18" s="386">
        <f t="shared" si="0"/>
        <v>1.25</v>
      </c>
      <c r="T18" s="386">
        <f t="shared" si="0"/>
        <v>1.4499999999999997</v>
      </c>
      <c r="U18" s="386">
        <f t="shared" si="0"/>
        <v>1.6000000000000003</v>
      </c>
      <c r="V18" s="386">
        <f t="shared" si="0"/>
        <v>1.6000000000000003</v>
      </c>
      <c r="W18" s="386">
        <f t="shared" si="0"/>
        <v>1.3500000000000003</v>
      </c>
      <c r="X18" s="386">
        <f t="shared" si="0"/>
        <v>0.96076249999999996</v>
      </c>
      <c r="Y18" s="386">
        <f t="shared" si="0"/>
        <v>0.95931250000000023</v>
      </c>
      <c r="Z18" s="273">
        <f t="shared" si="0"/>
        <v>0.94494490660789876</v>
      </c>
      <c r="AF18" s="205">
        <v>36982</v>
      </c>
      <c r="AG18" s="194">
        <v>21</v>
      </c>
      <c r="AH18" s="194">
        <v>4</v>
      </c>
      <c r="AI18" s="194">
        <v>5</v>
      </c>
      <c r="AJ18" s="194">
        <v>0</v>
      </c>
      <c r="AK18" s="194">
        <v>30</v>
      </c>
    </row>
    <row r="19" spans="1:37">
      <c r="A19" s="193">
        <v>1300</v>
      </c>
      <c r="B19" s="296">
        <f>'Power Curves'!AT33</f>
        <v>0.8</v>
      </c>
      <c r="C19" s="296">
        <f>'Power Curves'!AU33</f>
        <v>0.8</v>
      </c>
      <c r="D19" s="296">
        <f>'Power Curves'!AV33</f>
        <v>0.86480000000000001</v>
      </c>
      <c r="E19" s="296">
        <f>'Power Curves'!AW33</f>
        <v>1.0164322625621052</v>
      </c>
      <c r="F19" s="296">
        <f>'Power Curves'!AX33</f>
        <v>1</v>
      </c>
      <c r="G19" s="296">
        <f>'Power Curves'!AY33</f>
        <v>1.2</v>
      </c>
      <c r="H19" s="296">
        <f>'Power Curves'!AZ33</f>
        <v>1.3</v>
      </c>
      <c r="I19" s="296">
        <f>'Power Curves'!BA33</f>
        <v>1.3</v>
      </c>
      <c r="J19" s="296">
        <f>'Power Curves'!BB33</f>
        <v>1.3</v>
      </c>
      <c r="K19" s="296">
        <f>'Power Curves'!BC33</f>
        <v>0.88990000000000002</v>
      </c>
      <c r="L19" s="296">
        <f>'Power Curves'!BD33</f>
        <v>0.88290000000000002</v>
      </c>
      <c r="M19" s="296">
        <f>'Power Curves'!BE33</f>
        <v>0.87490000000000001</v>
      </c>
      <c r="N19" s="444">
        <f>VALUE('Power Curves'!BF33)</f>
        <v>1</v>
      </c>
      <c r="O19" s="379">
        <f t="shared" si="1"/>
        <v>1</v>
      </c>
      <c r="P19" s="386">
        <f t="shared" si="0"/>
        <v>1</v>
      </c>
      <c r="Q19" s="386">
        <f t="shared" si="0"/>
        <v>0.97165000000000012</v>
      </c>
      <c r="R19" s="386">
        <f t="shared" si="0"/>
        <v>0.92498900994989341</v>
      </c>
      <c r="S19" s="386">
        <f t="shared" si="0"/>
        <v>1.21875</v>
      </c>
      <c r="T19" s="386">
        <f t="shared" si="0"/>
        <v>1.3687499999999999</v>
      </c>
      <c r="U19" s="386">
        <f t="shared" si="0"/>
        <v>1.4875000000000003</v>
      </c>
      <c r="V19" s="386">
        <f t="shared" si="0"/>
        <v>1.4875000000000003</v>
      </c>
      <c r="W19" s="386">
        <f t="shared" si="0"/>
        <v>1.2687500000000003</v>
      </c>
      <c r="X19" s="386">
        <f t="shared" si="0"/>
        <v>0.98692500000000005</v>
      </c>
      <c r="Y19" s="386">
        <f t="shared" si="0"/>
        <v>0.98922500000000002</v>
      </c>
      <c r="Z19" s="273">
        <f t="shared" si="0"/>
        <v>0.97851944514721489</v>
      </c>
      <c r="AF19" s="205">
        <v>37012</v>
      </c>
      <c r="AG19" s="194">
        <v>22</v>
      </c>
      <c r="AH19" s="194">
        <v>4</v>
      </c>
      <c r="AI19" s="194">
        <v>5</v>
      </c>
      <c r="AJ19" s="194">
        <v>1</v>
      </c>
      <c r="AK19" s="194">
        <v>31</v>
      </c>
    </row>
    <row r="20" spans="1:37">
      <c r="A20" s="193">
        <v>1400</v>
      </c>
      <c r="B20" s="296">
        <f>'Power Curves'!AT34</f>
        <v>0.8</v>
      </c>
      <c r="C20" s="296">
        <f>'Power Curves'!AU34</f>
        <v>0.8</v>
      </c>
      <c r="D20" s="296">
        <f>'Power Curves'!AV34</f>
        <v>0.83720000000000006</v>
      </c>
      <c r="E20" s="296">
        <f>'Power Curves'!AW34</f>
        <v>1.0175267407786688</v>
      </c>
      <c r="F20" s="296">
        <f>'Power Curves'!AX34</f>
        <v>1.5</v>
      </c>
      <c r="G20" s="296">
        <f>'Power Curves'!AY34</f>
        <v>1.7</v>
      </c>
      <c r="H20" s="296">
        <f>'Power Curves'!AZ34</f>
        <v>1.9</v>
      </c>
      <c r="I20" s="296">
        <f>'Power Curves'!BA34</f>
        <v>1.9</v>
      </c>
      <c r="J20" s="296">
        <f>'Power Curves'!BB34</f>
        <v>1.4</v>
      </c>
      <c r="K20" s="296">
        <f>'Power Curves'!BC34</f>
        <v>0.86519999999999997</v>
      </c>
      <c r="L20" s="296">
        <f>'Power Curves'!BD34</f>
        <v>0.85919999999999996</v>
      </c>
      <c r="M20" s="296">
        <f>'Power Curves'!BE34</f>
        <v>0.83720000000000006</v>
      </c>
      <c r="N20" s="444">
        <f>VALUE('Power Curves'!BF34)</f>
        <v>1</v>
      </c>
      <c r="O20" s="379">
        <f t="shared" si="1"/>
        <v>1.0375000000000001</v>
      </c>
      <c r="P20" s="386">
        <f t="shared" si="0"/>
        <v>1.0375000000000001</v>
      </c>
      <c r="Q20" s="386">
        <f t="shared" si="0"/>
        <v>1.0066875</v>
      </c>
      <c r="R20" s="386">
        <f t="shared" si="0"/>
        <v>0.94222704186077388</v>
      </c>
      <c r="S20" s="386">
        <f t="shared" si="0"/>
        <v>1.1875</v>
      </c>
      <c r="T20" s="386">
        <f t="shared" si="0"/>
        <v>1.2875000000000001</v>
      </c>
      <c r="U20" s="386">
        <f t="shared" si="0"/>
        <v>1.3750000000000002</v>
      </c>
      <c r="V20" s="386">
        <f t="shared" si="0"/>
        <v>1.3750000000000002</v>
      </c>
      <c r="W20" s="386">
        <f t="shared" si="0"/>
        <v>1.1875</v>
      </c>
      <c r="X20" s="386">
        <f t="shared" si="0"/>
        <v>1.0092999999999999</v>
      </c>
      <c r="Y20" s="386">
        <f t="shared" si="0"/>
        <v>1.0149750000000002</v>
      </c>
      <c r="Z20" s="273">
        <f t="shared" si="0"/>
        <v>1.0135384918063106</v>
      </c>
      <c r="AF20" s="205">
        <v>37043</v>
      </c>
      <c r="AG20" s="194">
        <v>21</v>
      </c>
      <c r="AH20" s="194">
        <v>5</v>
      </c>
      <c r="AI20" s="194">
        <v>4</v>
      </c>
      <c r="AJ20" s="194">
        <v>0</v>
      </c>
      <c r="AK20" s="194">
        <v>30</v>
      </c>
    </row>
    <row r="21" spans="1:37">
      <c r="A21" s="193">
        <v>1500</v>
      </c>
      <c r="B21" s="296">
        <f>'Power Curves'!AT35</f>
        <v>0.8</v>
      </c>
      <c r="C21" s="296">
        <f>'Power Curves'!AU35</f>
        <v>0.8</v>
      </c>
      <c r="D21" s="296">
        <f>'Power Curves'!AV35</f>
        <v>0.79510000000000003</v>
      </c>
      <c r="E21" s="296">
        <f>'Power Curves'!AW35</f>
        <v>0.95436890957577869</v>
      </c>
      <c r="F21" s="296">
        <f>'Power Curves'!AX35</f>
        <v>1.5</v>
      </c>
      <c r="G21" s="296">
        <f>'Power Curves'!AY35</f>
        <v>1.7</v>
      </c>
      <c r="H21" s="296">
        <f>'Power Curves'!AZ35</f>
        <v>1.9</v>
      </c>
      <c r="I21" s="296">
        <f>'Power Curves'!BA35</f>
        <v>1.9</v>
      </c>
      <c r="J21" s="296">
        <f>'Power Curves'!BB35</f>
        <v>1.4</v>
      </c>
      <c r="K21" s="296">
        <f>'Power Curves'!BC35</f>
        <v>0.84509999999999996</v>
      </c>
      <c r="L21" s="296">
        <f>'Power Curves'!BD35</f>
        <v>0.83909999999999996</v>
      </c>
      <c r="M21" s="296">
        <f>'Power Curves'!BE35</f>
        <v>0.79510000000000003</v>
      </c>
      <c r="N21" s="444">
        <f>VALUE('Power Curves'!BF35)</f>
        <v>1</v>
      </c>
      <c r="O21" s="379">
        <f t="shared" si="1"/>
        <v>1.0375000000000001</v>
      </c>
      <c r="P21" s="386">
        <f t="shared" si="0"/>
        <v>1.0375000000000001</v>
      </c>
      <c r="Q21" s="386">
        <f t="shared" si="0"/>
        <v>1.0059750000000001</v>
      </c>
      <c r="R21" s="386">
        <f t="shared" si="0"/>
        <v>0.9379839268631025</v>
      </c>
      <c r="S21" s="386">
        <f t="shared" si="0"/>
        <v>1.09375</v>
      </c>
      <c r="T21" s="386">
        <f t="shared" si="0"/>
        <v>1.1437500000000003</v>
      </c>
      <c r="U21" s="386">
        <f t="shared" si="0"/>
        <v>1.1875</v>
      </c>
      <c r="V21" s="386">
        <f t="shared" si="0"/>
        <v>1.1875</v>
      </c>
      <c r="W21" s="386">
        <f t="shared" si="0"/>
        <v>1.09375</v>
      </c>
      <c r="X21" s="386">
        <f t="shared" si="0"/>
        <v>1.0119875</v>
      </c>
      <c r="Y21" s="386">
        <f t="shared" si="0"/>
        <v>1.0158500000000001</v>
      </c>
      <c r="Z21" s="273">
        <f t="shared" si="0"/>
        <v>1.0153259918063107</v>
      </c>
      <c r="AF21" s="205">
        <v>37073</v>
      </c>
      <c r="AG21" s="194">
        <v>21</v>
      </c>
      <c r="AH21" s="194">
        <v>4</v>
      </c>
      <c r="AI21" s="194">
        <v>6</v>
      </c>
      <c r="AJ21" s="194">
        <v>1</v>
      </c>
      <c r="AK21" s="194">
        <v>31</v>
      </c>
    </row>
    <row r="22" spans="1:37">
      <c r="A22" s="193">
        <v>1600</v>
      </c>
      <c r="B22" s="296">
        <f>'Power Curves'!AT36</f>
        <v>0.8</v>
      </c>
      <c r="C22" s="296">
        <f>'Power Curves'!AU36</f>
        <v>0.8</v>
      </c>
      <c r="D22" s="296">
        <f>'Power Curves'!AV36</f>
        <v>0.77929999999999999</v>
      </c>
      <c r="E22" s="296">
        <f>'Power Curves'!AW36</f>
        <v>0.89196755596374933</v>
      </c>
      <c r="F22" s="296">
        <f>'Power Curves'!AX36</f>
        <v>1.5</v>
      </c>
      <c r="G22" s="296">
        <f>'Power Curves'!AY36</f>
        <v>1.7</v>
      </c>
      <c r="H22" s="296">
        <f>'Power Curves'!AZ36</f>
        <v>1.9</v>
      </c>
      <c r="I22" s="296">
        <f>'Power Curves'!BA36</f>
        <v>1.9</v>
      </c>
      <c r="J22" s="296">
        <f>'Power Curves'!BB36</f>
        <v>1.4</v>
      </c>
      <c r="K22" s="296">
        <f>'Power Curves'!BC36</f>
        <v>0.83930000000000005</v>
      </c>
      <c r="L22" s="296">
        <f>'Power Curves'!BD36</f>
        <v>0.82530000000000003</v>
      </c>
      <c r="M22" s="296">
        <f>'Power Curves'!BE36</f>
        <v>0.78129999999999999</v>
      </c>
      <c r="N22" s="444">
        <f>VALUE('Power Curves'!BF36)</f>
        <v>1</v>
      </c>
      <c r="O22" s="379">
        <f t="shared" si="1"/>
        <v>1.0375000000000001</v>
      </c>
      <c r="P22" s="386">
        <f t="shared" si="0"/>
        <v>1.0375000000000001</v>
      </c>
      <c r="Q22" s="386">
        <f t="shared" si="0"/>
        <v>0.99190000000000023</v>
      </c>
      <c r="R22" s="386">
        <f t="shared" si="0"/>
        <v>0.9273047166176599</v>
      </c>
      <c r="S22" s="386">
        <f t="shared" si="0"/>
        <v>1</v>
      </c>
      <c r="T22" s="386">
        <f t="shared" si="0"/>
        <v>0.99999999999999989</v>
      </c>
      <c r="U22" s="386">
        <f t="shared" si="0"/>
        <v>1</v>
      </c>
      <c r="V22" s="386">
        <f t="shared" si="0"/>
        <v>1</v>
      </c>
      <c r="W22" s="386">
        <f t="shared" si="0"/>
        <v>1</v>
      </c>
      <c r="X22" s="386">
        <f t="shared" si="0"/>
        <v>1.00085</v>
      </c>
      <c r="Y22" s="386">
        <f t="shared" si="0"/>
        <v>1.002275</v>
      </c>
      <c r="Z22" s="273">
        <f t="shared" si="0"/>
        <v>1.0037509918063106</v>
      </c>
      <c r="AF22" s="205">
        <v>37104</v>
      </c>
      <c r="AG22" s="194">
        <v>23</v>
      </c>
      <c r="AH22" s="194">
        <v>4</v>
      </c>
      <c r="AI22" s="194">
        <v>4</v>
      </c>
      <c r="AJ22" s="194">
        <v>0</v>
      </c>
      <c r="AK22" s="194">
        <v>31</v>
      </c>
    </row>
    <row r="23" spans="1:37">
      <c r="A23" s="193">
        <v>1700</v>
      </c>
      <c r="B23" s="296">
        <f>'Power Curves'!AT37</f>
        <v>1.2</v>
      </c>
      <c r="C23" s="296">
        <f>'Power Curves'!AU37</f>
        <v>1.2</v>
      </c>
      <c r="D23" s="296">
        <f>'Power Curves'!AV37</f>
        <v>0.84960000000000002</v>
      </c>
      <c r="E23" s="296">
        <f>'Power Curves'!AW37</f>
        <v>0.87001361056090987</v>
      </c>
      <c r="F23" s="296">
        <f>'Power Curves'!AX37</f>
        <v>1.5</v>
      </c>
      <c r="G23" s="296">
        <f>'Power Curves'!AY37</f>
        <v>1.7</v>
      </c>
      <c r="H23" s="296">
        <f>'Power Curves'!AZ37</f>
        <v>1.9</v>
      </c>
      <c r="I23" s="296">
        <f>'Power Curves'!BA37</f>
        <v>1.9</v>
      </c>
      <c r="J23" s="296">
        <f>'Power Curves'!BB37</f>
        <v>1.4</v>
      </c>
      <c r="K23" s="296">
        <f>'Power Curves'!BC37</f>
        <v>0.88959999999999995</v>
      </c>
      <c r="L23" s="296">
        <f>'Power Curves'!BD37</f>
        <v>0.88660000000000005</v>
      </c>
      <c r="M23" s="296">
        <f>'Power Curves'!BE37</f>
        <v>0.87960000000000005</v>
      </c>
      <c r="N23" s="444">
        <f>VALUE('Power Curves'!BF37)</f>
        <v>1</v>
      </c>
      <c r="O23" s="379">
        <f t="shared" si="1"/>
        <v>0</v>
      </c>
      <c r="P23" s="386">
        <f t="shared" ref="P23:Z23" si="2">IF(AND($N23=1,$N30=1),AVERAGE(C23:C30),0)</f>
        <v>0</v>
      </c>
      <c r="Q23" s="386">
        <f t="shared" si="2"/>
        <v>0</v>
      </c>
      <c r="R23" s="386">
        <f t="shared" si="2"/>
        <v>0</v>
      </c>
      <c r="S23" s="386">
        <f t="shared" si="2"/>
        <v>0</v>
      </c>
      <c r="T23" s="386">
        <f t="shared" si="2"/>
        <v>0</v>
      </c>
      <c r="U23" s="386">
        <f t="shared" si="2"/>
        <v>0</v>
      </c>
      <c r="V23" s="386">
        <f t="shared" si="2"/>
        <v>0</v>
      </c>
      <c r="W23" s="386">
        <f t="shared" si="2"/>
        <v>0</v>
      </c>
      <c r="X23" s="386">
        <f t="shared" si="2"/>
        <v>0</v>
      </c>
      <c r="Y23" s="386">
        <f t="shared" si="2"/>
        <v>0</v>
      </c>
      <c r="Z23" s="273">
        <f t="shared" si="2"/>
        <v>0</v>
      </c>
      <c r="AF23" s="205">
        <v>37135</v>
      </c>
      <c r="AG23" s="194">
        <v>19</v>
      </c>
      <c r="AH23" s="194">
        <v>5</v>
      </c>
      <c r="AI23" s="194">
        <v>6</v>
      </c>
      <c r="AJ23" s="194">
        <v>1</v>
      </c>
      <c r="AK23" s="194">
        <v>30</v>
      </c>
    </row>
    <row r="24" spans="1:37">
      <c r="A24" s="193">
        <v>1800</v>
      </c>
      <c r="B24" s="296">
        <f>'Power Curves'!AT38</f>
        <v>1.2</v>
      </c>
      <c r="C24" s="296">
        <f>'Power Curves'!AU38</f>
        <v>1.2</v>
      </c>
      <c r="D24" s="296">
        <f>'Power Curves'!AV38</f>
        <v>1.1583000000000001</v>
      </c>
      <c r="E24" s="296">
        <f>'Power Curves'!AW38</f>
        <v>0.8586986372337867</v>
      </c>
      <c r="F24" s="296">
        <f>'Power Curves'!AX38</f>
        <v>1</v>
      </c>
      <c r="G24" s="296">
        <f>'Power Curves'!AY38</f>
        <v>1.2</v>
      </c>
      <c r="H24" s="296">
        <f>'Power Curves'!AZ38</f>
        <v>1.3</v>
      </c>
      <c r="I24" s="296">
        <f>'Power Curves'!BA38</f>
        <v>1.3</v>
      </c>
      <c r="J24" s="296">
        <f>'Power Curves'!BB38</f>
        <v>1.3</v>
      </c>
      <c r="K24" s="296">
        <f>'Power Curves'!BC38</f>
        <v>1.2000999999999999</v>
      </c>
      <c r="L24" s="296">
        <f>'Power Curves'!BD38</f>
        <v>1.2171000000000001</v>
      </c>
      <c r="M24" s="296">
        <f>'Power Curves'!BE38</f>
        <v>1.2396592528631896</v>
      </c>
      <c r="N24" s="444">
        <f>VALUE('Power Curves'!BF38)</f>
        <v>1</v>
      </c>
      <c r="O24" s="379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273"/>
      <c r="AF24" s="205">
        <v>37165</v>
      </c>
      <c r="AG24" s="194">
        <v>23</v>
      </c>
      <c r="AH24" s="194">
        <v>4</v>
      </c>
      <c r="AI24" s="194">
        <v>4</v>
      </c>
      <c r="AJ24" s="194">
        <v>0</v>
      </c>
      <c r="AK24" s="194">
        <v>31</v>
      </c>
    </row>
    <row r="25" spans="1:37">
      <c r="A25" s="193">
        <v>1900</v>
      </c>
      <c r="B25" s="296">
        <f>'Power Curves'!AT39</f>
        <v>1.2</v>
      </c>
      <c r="C25" s="296">
        <f>'Power Curves'!AU39</f>
        <v>1.2</v>
      </c>
      <c r="D25" s="296">
        <f>'Power Curves'!AV39</f>
        <v>1.2719</v>
      </c>
      <c r="E25" s="296">
        <f>'Power Curves'!AW39</f>
        <v>0.85409539061706241</v>
      </c>
      <c r="F25" s="296">
        <f>'Power Curves'!AX39</f>
        <v>1</v>
      </c>
      <c r="G25" s="296">
        <f>'Power Curves'!AY39</f>
        <v>1.2</v>
      </c>
      <c r="H25" s="296">
        <f>'Power Curves'!AZ39</f>
        <v>1.3</v>
      </c>
      <c r="I25" s="296">
        <f>'Power Curves'!BA39</f>
        <v>1.3</v>
      </c>
      <c r="J25" s="296">
        <f>'Power Curves'!BB39</f>
        <v>1.3</v>
      </c>
      <c r="K25" s="296">
        <f>'Power Curves'!BC39</f>
        <v>1.2095</v>
      </c>
      <c r="L25" s="296">
        <f>'Power Curves'!BD39</f>
        <v>1.2269000000000001</v>
      </c>
      <c r="M25" s="296">
        <f>'Power Curves'!BE39</f>
        <v>1.2314000000000001</v>
      </c>
      <c r="N25" s="444">
        <f>VALUE('Power Curves'!BF39)</f>
        <v>1</v>
      </c>
      <c r="O25" s="379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273"/>
      <c r="AF25" s="205">
        <v>37196</v>
      </c>
      <c r="AG25" s="194">
        <v>21</v>
      </c>
      <c r="AH25" s="194">
        <v>4</v>
      </c>
      <c r="AI25" s="194">
        <v>5</v>
      </c>
      <c r="AJ25" s="194">
        <v>1</v>
      </c>
      <c r="AK25" s="194">
        <v>30</v>
      </c>
    </row>
    <row r="26" spans="1:37">
      <c r="A26" s="193">
        <v>2000</v>
      </c>
      <c r="B26" s="296">
        <f>'Power Curves'!AT40</f>
        <v>1.2</v>
      </c>
      <c r="C26" s="296">
        <f>'Power Curves'!AU40</f>
        <v>1.2</v>
      </c>
      <c r="D26" s="296">
        <f>'Power Curves'!AV40</f>
        <v>1.2170000000000001</v>
      </c>
      <c r="E26" s="296">
        <f>'Power Curves'!AW40</f>
        <v>0.93680897230708571</v>
      </c>
      <c r="F26" s="296">
        <f>'Power Curves'!AX40</f>
        <v>0.75</v>
      </c>
      <c r="G26" s="296">
        <f>'Power Curves'!AY40</f>
        <v>0.55000000000000004</v>
      </c>
      <c r="H26" s="296">
        <f>'Power Curves'!AZ40</f>
        <v>0.4</v>
      </c>
      <c r="I26" s="296">
        <f>'Power Curves'!BA40</f>
        <v>0.4</v>
      </c>
      <c r="J26" s="296">
        <f>'Power Curves'!BB40</f>
        <v>0.65</v>
      </c>
      <c r="K26" s="296">
        <f>'Power Curves'!BC40</f>
        <v>1.1567000000000001</v>
      </c>
      <c r="L26" s="296">
        <f>'Power Curves'!BD40</f>
        <v>1.1767000000000001</v>
      </c>
      <c r="M26" s="296">
        <f>'Power Curves'!BE40</f>
        <v>1.1889963083145296</v>
      </c>
      <c r="N26" s="444">
        <f>VALUE('Power Curves'!BF40)</f>
        <v>1</v>
      </c>
      <c r="O26" s="379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273"/>
      <c r="AF26" s="205">
        <v>37226</v>
      </c>
      <c r="AG26" s="194">
        <v>20</v>
      </c>
      <c r="AH26" s="194">
        <v>5</v>
      </c>
      <c r="AI26" s="194">
        <v>6</v>
      </c>
      <c r="AJ26" s="194">
        <v>1</v>
      </c>
      <c r="AK26" s="194">
        <v>31</v>
      </c>
    </row>
    <row r="27" spans="1:37">
      <c r="A27" s="193">
        <v>2100</v>
      </c>
      <c r="B27" s="296">
        <f>'Power Curves'!AT41</f>
        <v>1.1000000000000001</v>
      </c>
      <c r="C27" s="296">
        <f>'Power Curves'!AU41</f>
        <v>1.1000000000000001</v>
      </c>
      <c r="D27" s="296">
        <f>'Power Curves'!AV41</f>
        <v>1.1451</v>
      </c>
      <c r="E27" s="296">
        <f>'Power Curves'!AW41</f>
        <v>1.1543365178491491</v>
      </c>
      <c r="F27" s="296">
        <f>'Power Curves'!AX41</f>
        <v>0.75</v>
      </c>
      <c r="G27" s="296">
        <f>'Power Curves'!AY41</f>
        <v>0.55000000000000004</v>
      </c>
      <c r="H27" s="296">
        <f>'Power Curves'!AZ41</f>
        <v>0.4</v>
      </c>
      <c r="I27" s="296">
        <f>'Power Curves'!BA41</f>
        <v>0.4</v>
      </c>
      <c r="J27" s="296">
        <f>'Power Curves'!BB41</f>
        <v>0.65</v>
      </c>
      <c r="K27" s="296">
        <f>'Power Curves'!BC41</f>
        <v>1.0689</v>
      </c>
      <c r="L27" s="296">
        <f>'Power Curves'!BD41</f>
        <v>1.0889</v>
      </c>
      <c r="M27" s="296">
        <f>'Power Curves'!BE41</f>
        <v>1.1550523732727651</v>
      </c>
      <c r="N27" s="444">
        <f>VALUE('Power Curves'!BF41)</f>
        <v>1</v>
      </c>
      <c r="O27" s="379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273"/>
      <c r="AF27" s="205">
        <v>37257</v>
      </c>
      <c r="AG27" s="194">
        <v>22</v>
      </c>
      <c r="AH27" s="194">
        <v>4</v>
      </c>
      <c r="AI27" s="194">
        <v>5</v>
      </c>
      <c r="AJ27" s="194">
        <v>1</v>
      </c>
      <c r="AK27" s="194">
        <v>31</v>
      </c>
    </row>
    <row r="28" spans="1:37">
      <c r="A28" s="193">
        <v>2200</v>
      </c>
      <c r="B28" s="296">
        <f>'Power Curves'!AT42</f>
        <v>0.8</v>
      </c>
      <c r="C28" s="296">
        <f>'Power Curves'!AU42</f>
        <v>0.8</v>
      </c>
      <c r="D28" s="296">
        <f>'Power Curves'!AV42</f>
        <v>0.83150000000000002</v>
      </c>
      <c r="E28" s="296">
        <f>'Power Curves'!AW42</f>
        <v>0.98358182079729883</v>
      </c>
      <c r="F28" s="296">
        <f>'Power Curves'!AX42</f>
        <v>0.75</v>
      </c>
      <c r="G28" s="296">
        <f>'Power Curves'!AY42</f>
        <v>0.55000000000000004</v>
      </c>
      <c r="H28" s="296">
        <f>'Power Curves'!AZ42</f>
        <v>0.4</v>
      </c>
      <c r="I28" s="296">
        <f>'Power Curves'!BA42</f>
        <v>0.4</v>
      </c>
      <c r="J28" s="296">
        <f>'Power Curves'!BB42</f>
        <v>0.65</v>
      </c>
      <c r="K28" s="296">
        <f>'Power Curves'!BC42</f>
        <v>0.88670000000000004</v>
      </c>
      <c r="L28" s="296">
        <f>'Power Curves'!BD42</f>
        <v>0.86619999999999997</v>
      </c>
      <c r="M28" s="296">
        <f>'Power Curves'!BE42</f>
        <v>0.85150000000000003</v>
      </c>
      <c r="N28" s="444">
        <f>VALUE('Power Curves'!BF42)</f>
        <v>1</v>
      </c>
      <c r="O28" s="379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273"/>
      <c r="AF28" s="205">
        <v>37288</v>
      </c>
      <c r="AG28" s="194">
        <v>20</v>
      </c>
      <c r="AH28" s="194">
        <v>4</v>
      </c>
      <c r="AI28" s="194">
        <v>4</v>
      </c>
      <c r="AJ28" s="194">
        <v>0</v>
      </c>
      <c r="AK28" s="194">
        <v>28</v>
      </c>
    </row>
    <row r="29" spans="1:37">
      <c r="A29" s="193">
        <v>2300</v>
      </c>
      <c r="B29" s="296">
        <f>'Power Curves'!AT43</f>
        <v>0.8</v>
      </c>
      <c r="C29" s="296">
        <f>'Power Curves'!AU43</f>
        <v>0.8</v>
      </c>
      <c r="D29" s="296">
        <f>'Power Curves'!AV43</f>
        <v>0.6825</v>
      </c>
      <c r="E29" s="296">
        <f>'Power Curves'!AW43</f>
        <v>0.86893522761223685</v>
      </c>
      <c r="F29" s="296">
        <f>'Power Curves'!AX43</f>
        <v>0.75</v>
      </c>
      <c r="G29" s="296">
        <f>'Power Curves'!AY43</f>
        <v>0.55000000000000004</v>
      </c>
      <c r="H29" s="296">
        <f>'Power Curves'!AZ43</f>
        <v>0.4</v>
      </c>
      <c r="I29" s="296">
        <f>'Power Curves'!BA43</f>
        <v>0.4</v>
      </c>
      <c r="J29" s="296">
        <f>'Power Curves'!BB43</f>
        <v>0.65</v>
      </c>
      <c r="K29" s="296">
        <f>'Power Curves'!BC43</f>
        <v>0.75600000000000001</v>
      </c>
      <c r="L29" s="296">
        <f>'Power Curves'!BD43</f>
        <v>0.73050000000000004</v>
      </c>
      <c r="M29" s="296">
        <f>'Power Curves'!BE43</f>
        <v>0.70250000000000001</v>
      </c>
      <c r="N29" s="444">
        <f>VALUE('Power Curves'!BF43)</f>
        <v>1</v>
      </c>
      <c r="O29" s="379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273"/>
      <c r="AF29" s="205">
        <v>37316</v>
      </c>
      <c r="AG29" s="194">
        <v>21</v>
      </c>
      <c r="AH29" s="194">
        <v>5</v>
      </c>
      <c r="AI29" s="194">
        <v>5</v>
      </c>
      <c r="AJ29" s="194">
        <v>0</v>
      </c>
      <c r="AK29" s="194">
        <v>31</v>
      </c>
    </row>
    <row r="30" spans="1:37">
      <c r="A30" s="193">
        <v>2400</v>
      </c>
      <c r="B30" s="296">
        <f>'Power Curves'!AT44</f>
        <v>1.2250000000000001</v>
      </c>
      <c r="C30" s="296">
        <f>'Power Curves'!AU44</f>
        <v>1.2250000000000001</v>
      </c>
      <c r="D30" s="296">
        <f>'Power Curves'!AV44</f>
        <v>1.0449999999999999</v>
      </c>
      <c r="E30" s="296">
        <f>'Power Curves'!AW44</f>
        <v>1.0496774949890499</v>
      </c>
      <c r="F30" s="296">
        <f>'Power Curves'!AX44</f>
        <v>1.1779685918573899</v>
      </c>
      <c r="G30" s="296">
        <f>'Power Curves'!AY44</f>
        <v>1.3963883955002958</v>
      </c>
      <c r="H30" s="296">
        <f>'Power Curves'!AZ44</f>
        <v>1.2616588759647784</v>
      </c>
      <c r="I30" s="296">
        <f>'Power Curves'!BA44</f>
        <v>1.2636171008350987</v>
      </c>
      <c r="J30" s="296">
        <f>'Power Curves'!BB44</f>
        <v>1.1249920891082836</v>
      </c>
      <c r="K30" s="296">
        <f>'Power Curves'!BC44</f>
        <v>1.0505</v>
      </c>
      <c r="L30" s="296">
        <f>'Power Curves'!BD44</f>
        <v>1.0505</v>
      </c>
      <c r="M30" s="296">
        <f>'Power Curves'!BE44</f>
        <v>1.0505</v>
      </c>
      <c r="N30" s="444">
        <f>VALUE('Power Curves'!BF44)</f>
        <v>2</v>
      </c>
      <c r="O30" s="379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273"/>
      <c r="AF30" s="205">
        <v>37347</v>
      </c>
      <c r="AG30" s="194">
        <v>22</v>
      </c>
      <c r="AH30" s="194">
        <v>4</v>
      </c>
      <c r="AI30" s="194">
        <v>4</v>
      </c>
      <c r="AJ30" s="194">
        <v>0</v>
      </c>
      <c r="AK30" s="194">
        <v>30</v>
      </c>
    </row>
    <row r="31" spans="1:37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379"/>
      <c r="P31" s="386"/>
      <c r="Q31" s="2"/>
      <c r="R31" s="2"/>
      <c r="S31" s="2"/>
      <c r="T31" s="2"/>
      <c r="U31" s="2"/>
      <c r="V31" s="2"/>
      <c r="W31" s="2"/>
      <c r="X31" s="2"/>
      <c r="Y31" s="2"/>
      <c r="Z31" s="351"/>
      <c r="AF31" s="205">
        <v>37377</v>
      </c>
      <c r="AG31" s="194">
        <v>22</v>
      </c>
      <c r="AH31" s="194">
        <v>4</v>
      </c>
      <c r="AI31" s="194">
        <v>5</v>
      </c>
      <c r="AJ31" s="194">
        <v>1</v>
      </c>
      <c r="AK31" s="194">
        <v>31</v>
      </c>
    </row>
    <row r="32" spans="1:37">
      <c r="A32" s="315" t="s">
        <v>1250</v>
      </c>
      <c r="B32" s="316">
        <f>O32</f>
        <v>1.0375000000000001</v>
      </c>
      <c r="C32" s="316">
        <f t="shared" ref="C32:M32" si="3">P32</f>
        <v>1.0375000000000001</v>
      </c>
      <c r="D32" s="316">
        <f t="shared" si="3"/>
        <v>1.0080875</v>
      </c>
      <c r="E32" s="316">
        <f t="shared" si="3"/>
        <v>1.0726952833823395</v>
      </c>
      <c r="F32" s="316">
        <f t="shared" si="3"/>
        <v>1.25</v>
      </c>
      <c r="G32" s="316">
        <f t="shared" si="3"/>
        <v>1.4499999999999997</v>
      </c>
      <c r="H32" s="316">
        <f t="shared" si="3"/>
        <v>1.6000000000000003</v>
      </c>
      <c r="I32" s="316">
        <f t="shared" si="3"/>
        <v>1.6000000000000003</v>
      </c>
      <c r="J32" s="316">
        <f t="shared" si="3"/>
        <v>1.3500000000000003</v>
      </c>
      <c r="K32" s="316">
        <f t="shared" si="3"/>
        <v>1.0119875</v>
      </c>
      <c r="L32" s="316">
        <f t="shared" si="3"/>
        <v>1.0158500000000001</v>
      </c>
      <c r="M32" s="316">
        <f t="shared" si="3"/>
        <v>1.0153259918063107</v>
      </c>
      <c r="N32" s="194"/>
      <c r="O32" s="387">
        <f>MAX(O7:O30)</f>
        <v>1.0375000000000001</v>
      </c>
      <c r="P32" s="388">
        <f t="shared" ref="P32:Z32" si="4">MAX(P7:P30)</f>
        <v>1.0375000000000001</v>
      </c>
      <c r="Q32" s="388">
        <f t="shared" si="4"/>
        <v>1.0080875</v>
      </c>
      <c r="R32" s="388">
        <f t="shared" si="4"/>
        <v>1.0726952833823395</v>
      </c>
      <c r="S32" s="388">
        <f t="shared" si="4"/>
        <v>1.25</v>
      </c>
      <c r="T32" s="388">
        <f t="shared" si="4"/>
        <v>1.4499999999999997</v>
      </c>
      <c r="U32" s="388">
        <f t="shared" si="4"/>
        <v>1.6000000000000003</v>
      </c>
      <c r="V32" s="388">
        <f t="shared" si="4"/>
        <v>1.6000000000000003</v>
      </c>
      <c r="W32" s="388">
        <f t="shared" si="4"/>
        <v>1.3500000000000003</v>
      </c>
      <c r="X32" s="388">
        <f t="shared" si="4"/>
        <v>1.0119875</v>
      </c>
      <c r="Y32" s="388">
        <f t="shared" si="4"/>
        <v>1.0158500000000001</v>
      </c>
      <c r="Z32" s="389">
        <f t="shared" si="4"/>
        <v>1.0153259918063107</v>
      </c>
      <c r="AF32" s="205">
        <v>37408</v>
      </c>
      <c r="AG32" s="194">
        <v>20</v>
      </c>
      <c r="AH32" s="194">
        <v>5</v>
      </c>
      <c r="AI32" s="194">
        <v>5</v>
      </c>
      <c r="AJ32" s="194">
        <v>0</v>
      </c>
      <c r="AK32" s="194">
        <v>30</v>
      </c>
    </row>
    <row r="33" spans="1:37">
      <c r="A33" s="313" t="s">
        <v>1465</v>
      </c>
      <c r="B33" s="314"/>
      <c r="C33" s="314"/>
      <c r="D33" s="314"/>
      <c r="E33" s="314"/>
      <c r="F33" s="314"/>
      <c r="G33" s="314"/>
      <c r="H33" s="314"/>
      <c r="I33" s="314"/>
      <c r="J33" s="314"/>
      <c r="AF33" s="205">
        <v>37438</v>
      </c>
      <c r="AG33" s="194">
        <v>22</v>
      </c>
      <c r="AH33" s="194">
        <v>4</v>
      </c>
      <c r="AI33" s="194">
        <v>5</v>
      </c>
      <c r="AJ33" s="194">
        <v>1</v>
      </c>
      <c r="AK33" s="194">
        <v>31</v>
      </c>
    </row>
    <row r="34" spans="1:37" ht="13.8">
      <c r="A34" s="188" t="s">
        <v>1364</v>
      </c>
      <c r="E34" s="216"/>
      <c r="F34" s="67"/>
      <c r="G34" s="101"/>
      <c r="N34" s="491" t="s">
        <v>1357</v>
      </c>
      <c r="O34" s="492"/>
      <c r="P34" s="492"/>
      <c r="Q34" s="492"/>
      <c r="R34" s="492"/>
      <c r="S34" s="492"/>
      <c r="T34" s="492"/>
      <c r="U34" s="462"/>
      <c r="AF34" s="205">
        <v>37469</v>
      </c>
      <c r="AG34" s="194">
        <v>22</v>
      </c>
      <c r="AH34" s="194">
        <v>5</v>
      </c>
      <c r="AI34" s="194">
        <v>4</v>
      </c>
      <c r="AJ34" s="194">
        <v>0</v>
      </c>
      <c r="AK34" s="194">
        <v>31</v>
      </c>
    </row>
    <row r="35" spans="1:37">
      <c r="B35" s="209" t="s">
        <v>1375</v>
      </c>
      <c r="C35" s="204"/>
      <c r="D35" s="206" t="s">
        <v>1263</v>
      </c>
      <c r="E35" s="209" t="s">
        <v>1376</v>
      </c>
      <c r="F35" s="207" t="s">
        <v>1264</v>
      </c>
      <c r="G35" s="209" t="s">
        <v>1377</v>
      </c>
      <c r="H35" s="207" t="s">
        <v>1265</v>
      </c>
      <c r="I35" s="208" t="s">
        <v>1270</v>
      </c>
      <c r="J35" s="208" t="s">
        <v>1398</v>
      </c>
      <c r="K35" s="208" t="s">
        <v>1395</v>
      </c>
      <c r="L35" s="208" t="s">
        <v>1399</v>
      </c>
      <c r="N35" s="292" t="s">
        <v>1354</v>
      </c>
      <c r="O35" s="292" t="s">
        <v>1355</v>
      </c>
      <c r="P35" s="292" t="s">
        <v>1356</v>
      </c>
      <c r="Q35" s="292" t="s">
        <v>1270</v>
      </c>
      <c r="R35" s="292" t="s">
        <v>1395</v>
      </c>
      <c r="S35" s="292" t="s">
        <v>586</v>
      </c>
      <c r="T35" s="292" t="s">
        <v>1396</v>
      </c>
      <c r="U35" s="292" t="s">
        <v>1444</v>
      </c>
      <c r="AF35" s="205">
        <v>37500</v>
      </c>
      <c r="AG35" s="194">
        <v>20</v>
      </c>
      <c r="AH35" s="194">
        <v>4</v>
      </c>
      <c r="AI35" s="194">
        <v>6</v>
      </c>
      <c r="AJ35" s="194">
        <v>1</v>
      </c>
      <c r="AK35" s="194">
        <v>30</v>
      </c>
    </row>
    <row r="36" spans="1:37">
      <c r="A36" s="198" t="s">
        <v>1234</v>
      </c>
      <c r="B36" s="209" t="s">
        <v>1249</v>
      </c>
      <c r="C36" s="208" t="s">
        <v>1241</v>
      </c>
      <c r="D36" s="206" t="s">
        <v>1251</v>
      </c>
      <c r="E36" s="209" t="s">
        <v>1249</v>
      </c>
      <c r="F36" s="206" t="s">
        <v>1251</v>
      </c>
      <c r="G36" s="209" t="s">
        <v>1249</v>
      </c>
      <c r="H36" s="206" t="s">
        <v>1251</v>
      </c>
      <c r="I36" s="208" t="s">
        <v>1332</v>
      </c>
      <c r="J36" s="209" t="s">
        <v>1251</v>
      </c>
      <c r="K36" s="208" t="s">
        <v>1333</v>
      </c>
      <c r="L36" s="208" t="s">
        <v>1333</v>
      </c>
      <c r="N36" s="292" t="s">
        <v>1251</v>
      </c>
      <c r="O36" s="292" t="s">
        <v>1251</v>
      </c>
      <c r="P36" s="292" t="s">
        <v>1251</v>
      </c>
      <c r="Q36" s="292" t="s">
        <v>1332</v>
      </c>
      <c r="R36" s="292" t="s">
        <v>1333</v>
      </c>
      <c r="S36" s="292" t="s">
        <v>1333</v>
      </c>
      <c r="T36" s="292" t="s">
        <v>1213</v>
      </c>
      <c r="U36" s="292" t="s">
        <v>1289</v>
      </c>
      <c r="AF36" s="205">
        <v>37530</v>
      </c>
      <c r="AG36" s="194">
        <v>23</v>
      </c>
      <c r="AH36" s="194">
        <v>4</v>
      </c>
      <c r="AI36" s="194">
        <v>4</v>
      </c>
      <c r="AJ36" s="194">
        <v>0</v>
      </c>
      <c r="AK36" s="194">
        <v>31</v>
      </c>
    </row>
    <row r="37" spans="1:37">
      <c r="A37" s="176">
        <f>Calculations!A4</f>
        <v>36892</v>
      </c>
      <c r="B37" s="201">
        <f t="shared" ref="B37:B48" si="5">IF(A37="N/A"," ",N37*VLOOKUP(MONTH(A37),Curveadj,3))</f>
        <v>93</v>
      </c>
      <c r="C37" s="203">
        <f>IF(A37="N/A"," ",(IF(AND(MONTH(A37)&gt;=6,MONTH(A37)&lt;=8,OR($M$37="REGION 2",$M$37="REGION 2A",$M$37="REGION 2B",$M$37="REGION 3",$M$37="REGION 3A",$M$37="REGION 3B",$M$37="REGION 3C",$M$37="REGION 4",$M$37="REGION 4B",$M$37="REGION 4C",$M$37="REGION 5",$M$37="REGION 5A")),((0.059228/(B37/100))-(0.4980013/(SQRT(B37/100)))+2.137988),HLOOKUP(MONTH(A37),ScalarTable,28))))</f>
        <v>1.0375000000000001</v>
      </c>
      <c r="D37" s="202">
        <f>IF(A37="N/A"," ",C37*B37)</f>
        <v>96.487500000000011</v>
      </c>
      <c r="E37" s="201">
        <f t="shared" ref="E37:E48" si="6">IF(A37="N/A"," ",O37*VLOOKUP(MONTH(A37),Curveadj,3))</f>
        <v>60.304496765136719</v>
      </c>
      <c r="F37" s="202">
        <f>IF(A37="N/A"," ",E37*C37)</f>
        <v>62.56591539382935</v>
      </c>
      <c r="G37" s="201">
        <f t="shared" ref="G37:G48" si="7">IF(A37="N/A"," ",P37*VLOOKUP(MONTH(A37),Curveadj,3))</f>
        <v>56.603996276855469</v>
      </c>
      <c r="H37" s="202">
        <f>IF(A37="N/A"," ",G37*C37)</f>
        <v>58.726646137237552</v>
      </c>
      <c r="I37" s="202">
        <f t="shared" ref="I37:I48" si="8">IF(A37="N/A"," ",Q37)</f>
        <v>53.5</v>
      </c>
      <c r="J37" s="276" t="e">
        <f ca="1">IF(A37="N/A"," ",K37+L37+T37)</f>
        <v>#N/A</v>
      </c>
      <c r="K37" s="363" t="e">
        <f t="shared" ref="K37:K48" ca="1" si="9">IF(A37="N/A"," ",R37)</f>
        <v>#N/A</v>
      </c>
      <c r="L37" s="363" t="e">
        <f t="shared" ref="L37:L48" ca="1" si="10">IF(A37="N/A"," ",S37)</f>
        <v>#N/A</v>
      </c>
      <c r="M37" s="312" t="str">
        <f>PositionRegion</f>
        <v>REGION 1B</v>
      </c>
      <c r="N37" s="293">
        <f t="shared" ref="N37:N100" si="11">IF(A37="N/A"," ",VLOOKUP(A37,PeakPowerCurves,(IF(BMO=2,3,IF(BMO=1,2,4))),FALSE))</f>
        <v>93</v>
      </c>
      <c r="O37" s="293">
        <f t="shared" ref="O37:O100" si="12">IF(A37="N/A"," ",VLOOKUP(A37,SatSunPeakPwr,(IF(BMO=2,3,IF(BMO=1,2,4))),FALSE))</f>
        <v>60.304496765136719</v>
      </c>
      <c r="P37" s="293">
        <f t="shared" ref="P37:P100" si="13">IF(A37="N/A"," ",VLOOKUP(A37,SatSunPeakPwr,(IF(BMO=2,7,IF(BMO=1,6,8))),FALSE))</f>
        <v>56.603996276855469</v>
      </c>
      <c r="Q37" s="294">
        <f t="shared" ref="Q37:Q100" si="14">IF(A37="N/A"," ",(VLOOKUP(A37,OPPowerPrices,(IF(BMO=2,7,IF(BMO=1,6,8))),FALSE)))</f>
        <v>53.5</v>
      </c>
      <c r="R37" s="295" t="e">
        <f t="shared" ref="R37:R100" ca="1" si="15">IF(A37="N/A"," ",(VLOOKUP(A37,GasCurves,9,FALSE))+IF(BMO=1,Gasbmo,IF(BMO=3,-Gasbmo,0)))</f>
        <v>#N/A</v>
      </c>
      <c r="S37" s="295" t="e">
        <f t="shared" ref="S37:S100" ca="1" si="16">IF(A37="N/A"," ",IF(Basischeck=TRUE,(VLOOKUP(A37,GasCurves,IF(MONTH(A37)&gt;=4,IF(MONTH(A37)&lt;=10,11,12),12),FALSE)),0))</f>
        <v>#N/A</v>
      </c>
      <c r="T37" s="295">
        <f>IF(A37="N/A"," ",(IF(MONTH(A37)&gt;=4,IF(MONTH(A37)&lt;=10,Inputs!$H$2,Inputs!$H$3),Inputs!$H$3)))</f>
        <v>0.5</v>
      </c>
      <c r="U37" s="463">
        <f ca="1">IF(A37="N/A"," ",(VLOOKUP($A37,InterestRatesTable,2)))</f>
        <v>2</v>
      </c>
      <c r="AF37" s="205">
        <v>37561</v>
      </c>
      <c r="AG37" s="194">
        <v>20</v>
      </c>
      <c r="AH37" s="194">
        <v>5</v>
      </c>
      <c r="AI37" s="194">
        <v>5</v>
      </c>
      <c r="AJ37" s="194">
        <v>1</v>
      </c>
      <c r="AK37" s="194">
        <v>30</v>
      </c>
    </row>
    <row r="38" spans="1:37">
      <c r="A38" s="176">
        <f>Calculations!A5</f>
        <v>36923</v>
      </c>
      <c r="B38" s="201">
        <f t="shared" si="5"/>
        <v>93</v>
      </c>
      <c r="C38" s="203">
        <f t="shared" ref="C38:C100" si="17">IF(A38="N/A"," ",(IF(AND(MONTH(A38)&gt;=6,MONTH(A38)&lt;=8,OR($M$37="REGION 2",$M$37="REGION 2A",$M$37="REGION 2B",$M$37="REGION 3",$M$37="REGION 3A",$M$37="REGION 3B",$M$37="REGION 4",$M$37="REGION 4B",$M$37="REGION 4C",$M$37="REGION 5",$M$37="REGION 5A")),((0.059228/(B38/100))-(0.4980013/(SQRT(B38/100)))+2.137988),HLOOKUP(MONTH(A38),ScalarTable,28))))</f>
        <v>1.0375000000000001</v>
      </c>
      <c r="D38" s="202">
        <f t="shared" ref="D38:D101" si="18">IF(A38="N/A"," ",C38*B38)</f>
        <v>96.487500000000011</v>
      </c>
      <c r="E38" s="201">
        <f t="shared" si="6"/>
        <v>59.629493713378906</v>
      </c>
      <c r="F38" s="202">
        <f t="shared" ref="F38:F101" si="19">IF(A38="N/A"," ",E38*C38)</f>
        <v>61.865599727630624</v>
      </c>
      <c r="G38" s="201">
        <f t="shared" si="7"/>
        <v>56.003997802734375</v>
      </c>
      <c r="H38" s="202">
        <f t="shared" ref="H38:H101" si="20">IF(A38="N/A"," ",G38*C38)</f>
        <v>58.104147720336918</v>
      </c>
      <c r="I38" s="202">
        <f t="shared" si="8"/>
        <v>53.349998474121094</v>
      </c>
      <c r="J38" s="276">
        <f t="shared" ref="J38:J101" ca="1" si="21">IF(A38="N/A"," ",K38+L38+T38)</f>
        <v>9.3879999999999999</v>
      </c>
      <c r="K38" s="363">
        <f t="shared" ca="1" si="9"/>
        <v>9.1280000000000001</v>
      </c>
      <c r="L38" s="363">
        <f t="shared" ca="1" si="10"/>
        <v>-0.24</v>
      </c>
      <c r="M38" s="445"/>
      <c r="N38" s="293">
        <f t="shared" si="11"/>
        <v>93</v>
      </c>
      <c r="O38" s="293">
        <f t="shared" si="12"/>
        <v>59.629493713378906</v>
      </c>
      <c r="P38" s="293">
        <f t="shared" si="13"/>
        <v>56.003997802734375</v>
      </c>
      <c r="Q38" s="294">
        <f t="shared" si="14"/>
        <v>53.349998474121094</v>
      </c>
      <c r="R38" s="295">
        <f t="shared" ca="1" si="15"/>
        <v>9.1280000000000001</v>
      </c>
      <c r="S38" s="295">
        <f t="shared" ca="1" si="16"/>
        <v>-0.24</v>
      </c>
      <c r="T38" s="295">
        <f>IF(A38="N/A"," ",(IF(MONTH(A38)&gt;=4,IF(MONTH(A38)&lt;=10,Inputs!$H$2,Inputs!$H$3),Inputs!$H$3)))</f>
        <v>0.5</v>
      </c>
      <c r="U38" s="463">
        <f t="shared" ref="U38:U101" ca="1" si="22">IF(A38="N/A"," ",(VLOOKUP($A38,InterestRatesTable,2)))</f>
        <v>6.1210621866435007E-2</v>
      </c>
      <c r="AF38" s="205">
        <v>37591</v>
      </c>
      <c r="AG38" s="194">
        <v>21</v>
      </c>
      <c r="AH38" s="194">
        <v>4</v>
      </c>
      <c r="AI38" s="194">
        <v>6</v>
      </c>
      <c r="AJ38" s="194">
        <v>1</v>
      </c>
      <c r="AK38" s="194">
        <v>31</v>
      </c>
    </row>
    <row r="39" spans="1:37">
      <c r="A39" s="176" t="str">
        <f>Calculations!A6</f>
        <v>N/A</v>
      </c>
      <c r="B39" s="201" t="str">
        <f t="shared" si="5"/>
        <v xml:space="preserve"> </v>
      </c>
      <c r="C39" s="203" t="str">
        <f t="shared" si="17"/>
        <v xml:space="preserve"> </v>
      </c>
      <c r="D39" s="202" t="str">
        <f t="shared" si="18"/>
        <v xml:space="preserve"> </v>
      </c>
      <c r="E39" s="201" t="str">
        <f t="shared" si="6"/>
        <v xml:space="preserve"> </v>
      </c>
      <c r="F39" s="202" t="str">
        <f t="shared" si="19"/>
        <v xml:space="preserve"> </v>
      </c>
      <c r="G39" s="201" t="str">
        <f t="shared" si="7"/>
        <v xml:space="preserve"> </v>
      </c>
      <c r="H39" s="202" t="str">
        <f t="shared" si="20"/>
        <v xml:space="preserve"> </v>
      </c>
      <c r="I39" s="202" t="str">
        <f t="shared" si="8"/>
        <v xml:space="preserve"> </v>
      </c>
      <c r="J39" s="276" t="str">
        <f t="shared" si="21"/>
        <v xml:space="preserve"> </v>
      </c>
      <c r="K39" s="363" t="str">
        <f t="shared" si="9"/>
        <v xml:space="preserve"> </v>
      </c>
      <c r="L39" s="363" t="str">
        <f t="shared" si="10"/>
        <v xml:space="preserve"> </v>
      </c>
      <c r="M39" s="445"/>
      <c r="N39" s="293" t="str">
        <f t="shared" si="11"/>
        <v xml:space="preserve"> </v>
      </c>
      <c r="O39" s="293" t="str">
        <f t="shared" si="12"/>
        <v xml:space="preserve"> </v>
      </c>
      <c r="P39" s="293" t="str">
        <f t="shared" si="13"/>
        <v xml:space="preserve"> </v>
      </c>
      <c r="Q39" s="294" t="str">
        <f t="shared" si="14"/>
        <v xml:space="preserve"> </v>
      </c>
      <c r="R39" s="295" t="str">
        <f t="shared" si="15"/>
        <v xml:space="preserve"> </v>
      </c>
      <c r="S39" s="295" t="str">
        <f t="shared" si="16"/>
        <v xml:space="preserve"> </v>
      </c>
      <c r="T39" s="295" t="str">
        <f>IF(A39="N/A"," ",(IF(MONTH(A39)&gt;=4,IF(MONTH(A39)&lt;=10,Inputs!$H$2,Inputs!$H$3),Inputs!$H$3)))</f>
        <v xml:space="preserve"> </v>
      </c>
      <c r="U39" s="463" t="str">
        <f t="shared" si="22"/>
        <v xml:space="preserve"> </v>
      </c>
      <c r="AF39" s="205">
        <v>37622</v>
      </c>
      <c r="AG39" s="194">
        <v>22</v>
      </c>
      <c r="AH39" s="194">
        <v>4</v>
      </c>
      <c r="AI39" s="194">
        <v>5</v>
      </c>
      <c r="AJ39" s="194">
        <v>1</v>
      </c>
      <c r="AK39" s="194">
        <v>31</v>
      </c>
    </row>
    <row r="40" spans="1:37">
      <c r="A40" s="176" t="str">
        <f>Calculations!A7</f>
        <v>N/A</v>
      </c>
      <c r="B40" s="201" t="str">
        <f t="shared" si="5"/>
        <v xml:space="preserve"> </v>
      </c>
      <c r="C40" s="203" t="str">
        <f t="shared" si="17"/>
        <v xml:space="preserve"> </v>
      </c>
      <c r="D40" s="202" t="str">
        <f t="shared" si="18"/>
        <v xml:space="preserve"> </v>
      </c>
      <c r="E40" s="201" t="str">
        <f t="shared" si="6"/>
        <v xml:space="preserve"> </v>
      </c>
      <c r="F40" s="202" t="str">
        <f t="shared" si="19"/>
        <v xml:space="preserve"> </v>
      </c>
      <c r="G40" s="201" t="str">
        <f t="shared" si="7"/>
        <v xml:space="preserve"> </v>
      </c>
      <c r="H40" s="202" t="str">
        <f t="shared" si="20"/>
        <v xml:space="preserve"> </v>
      </c>
      <c r="I40" s="202" t="str">
        <f t="shared" si="8"/>
        <v xml:space="preserve"> </v>
      </c>
      <c r="J40" s="276" t="str">
        <f t="shared" si="21"/>
        <v xml:space="preserve"> </v>
      </c>
      <c r="K40" s="363" t="str">
        <f t="shared" si="9"/>
        <v xml:space="preserve"> </v>
      </c>
      <c r="L40" s="363" t="str">
        <f t="shared" si="10"/>
        <v xml:space="preserve"> </v>
      </c>
      <c r="M40" s="445"/>
      <c r="N40" s="293" t="str">
        <f t="shared" si="11"/>
        <v xml:space="preserve"> </v>
      </c>
      <c r="O40" s="293" t="str">
        <f t="shared" si="12"/>
        <v xml:space="preserve"> </v>
      </c>
      <c r="P40" s="293" t="str">
        <f t="shared" si="13"/>
        <v xml:space="preserve"> </v>
      </c>
      <c r="Q40" s="294" t="str">
        <f t="shared" si="14"/>
        <v xml:space="preserve"> </v>
      </c>
      <c r="R40" s="295" t="str">
        <f t="shared" si="15"/>
        <v xml:space="preserve"> </v>
      </c>
      <c r="S40" s="295" t="str">
        <f t="shared" si="16"/>
        <v xml:space="preserve"> </v>
      </c>
      <c r="T40" s="295" t="str">
        <f>IF(A40="N/A"," ",(IF(MONTH(A40)&gt;=4,IF(MONTH(A40)&lt;=10,Inputs!$H$2,Inputs!$H$3),Inputs!$H$3)))</f>
        <v xml:space="preserve"> </v>
      </c>
      <c r="U40" s="463" t="str">
        <f t="shared" si="22"/>
        <v xml:space="preserve"> </v>
      </c>
      <c r="AF40" s="205">
        <v>37653</v>
      </c>
      <c r="AG40" s="194">
        <v>20</v>
      </c>
      <c r="AH40" s="194">
        <v>4</v>
      </c>
      <c r="AI40" s="194">
        <v>4</v>
      </c>
      <c r="AJ40" s="194">
        <v>0</v>
      </c>
      <c r="AK40" s="194">
        <v>28</v>
      </c>
    </row>
    <row r="41" spans="1:37">
      <c r="A41" s="176" t="str">
        <f>Calculations!A8</f>
        <v>N/A</v>
      </c>
      <c r="B41" s="201" t="str">
        <f t="shared" si="5"/>
        <v xml:space="preserve"> </v>
      </c>
      <c r="C41" s="203" t="str">
        <f t="shared" si="17"/>
        <v xml:space="preserve"> </v>
      </c>
      <c r="D41" s="202" t="str">
        <f t="shared" si="18"/>
        <v xml:space="preserve"> </v>
      </c>
      <c r="E41" s="201" t="str">
        <f t="shared" si="6"/>
        <v xml:space="preserve"> </v>
      </c>
      <c r="F41" s="202" t="str">
        <f t="shared" si="19"/>
        <v xml:space="preserve"> </v>
      </c>
      <c r="G41" s="201" t="str">
        <f t="shared" si="7"/>
        <v xml:space="preserve"> </v>
      </c>
      <c r="H41" s="202" t="str">
        <f t="shared" si="20"/>
        <v xml:space="preserve"> </v>
      </c>
      <c r="I41" s="202" t="str">
        <f t="shared" si="8"/>
        <v xml:space="preserve"> </v>
      </c>
      <c r="J41" s="276" t="str">
        <f t="shared" si="21"/>
        <v xml:space="preserve"> </v>
      </c>
      <c r="K41" s="363" t="str">
        <f t="shared" si="9"/>
        <v xml:space="preserve"> </v>
      </c>
      <c r="L41" s="363" t="str">
        <f t="shared" si="10"/>
        <v xml:space="preserve"> </v>
      </c>
      <c r="M41" s="445"/>
      <c r="N41" s="293" t="str">
        <f t="shared" si="11"/>
        <v xml:space="preserve"> </v>
      </c>
      <c r="O41" s="293" t="str">
        <f t="shared" si="12"/>
        <v xml:space="preserve"> </v>
      </c>
      <c r="P41" s="293" t="str">
        <f t="shared" si="13"/>
        <v xml:space="preserve"> </v>
      </c>
      <c r="Q41" s="294" t="str">
        <f t="shared" si="14"/>
        <v xml:space="preserve"> </v>
      </c>
      <c r="R41" s="295" t="str">
        <f t="shared" si="15"/>
        <v xml:space="preserve"> </v>
      </c>
      <c r="S41" s="295" t="str">
        <f t="shared" si="16"/>
        <v xml:space="preserve"> </v>
      </c>
      <c r="T41" s="295" t="str">
        <f>IF(A41="N/A"," ",(IF(MONTH(A41)&gt;=4,IF(MONTH(A41)&lt;=10,Inputs!$H$2,Inputs!$H$3),Inputs!$H$3)))</f>
        <v xml:space="preserve"> </v>
      </c>
      <c r="U41" s="463" t="str">
        <f t="shared" si="22"/>
        <v xml:space="preserve"> </v>
      </c>
      <c r="AF41" s="205">
        <v>37681</v>
      </c>
      <c r="AG41" s="194">
        <v>21</v>
      </c>
      <c r="AH41" s="194">
        <v>5</v>
      </c>
      <c r="AI41" s="194">
        <v>5</v>
      </c>
      <c r="AJ41" s="194">
        <v>0</v>
      </c>
      <c r="AK41" s="194">
        <v>31</v>
      </c>
    </row>
    <row r="42" spans="1:37">
      <c r="A42" s="176" t="str">
        <f>Calculations!A9</f>
        <v>N/A</v>
      </c>
      <c r="B42" s="201" t="str">
        <f t="shared" si="5"/>
        <v xml:space="preserve"> </v>
      </c>
      <c r="C42" s="203" t="str">
        <f t="shared" si="17"/>
        <v xml:space="preserve"> </v>
      </c>
      <c r="D42" s="202" t="str">
        <f t="shared" si="18"/>
        <v xml:space="preserve"> </v>
      </c>
      <c r="E42" s="201" t="str">
        <f t="shared" si="6"/>
        <v xml:space="preserve"> </v>
      </c>
      <c r="F42" s="202" t="str">
        <f t="shared" si="19"/>
        <v xml:space="preserve"> </v>
      </c>
      <c r="G42" s="201" t="str">
        <f t="shared" si="7"/>
        <v xml:space="preserve"> </v>
      </c>
      <c r="H42" s="202" t="str">
        <f t="shared" si="20"/>
        <v xml:space="preserve"> </v>
      </c>
      <c r="I42" s="202" t="str">
        <f t="shared" si="8"/>
        <v xml:space="preserve"> </v>
      </c>
      <c r="J42" s="276" t="str">
        <f t="shared" si="21"/>
        <v xml:space="preserve"> </v>
      </c>
      <c r="K42" s="363" t="str">
        <f t="shared" si="9"/>
        <v xml:space="preserve"> </v>
      </c>
      <c r="L42" s="363" t="str">
        <f t="shared" si="10"/>
        <v xml:space="preserve"> </v>
      </c>
      <c r="M42" s="445"/>
      <c r="N42" s="293" t="str">
        <f t="shared" si="11"/>
        <v xml:space="preserve"> </v>
      </c>
      <c r="O42" s="293" t="str">
        <f t="shared" si="12"/>
        <v xml:space="preserve"> </v>
      </c>
      <c r="P42" s="293" t="str">
        <f t="shared" si="13"/>
        <v xml:space="preserve"> </v>
      </c>
      <c r="Q42" s="294" t="str">
        <f t="shared" si="14"/>
        <v xml:space="preserve"> </v>
      </c>
      <c r="R42" s="295" t="str">
        <f t="shared" si="15"/>
        <v xml:space="preserve"> </v>
      </c>
      <c r="S42" s="295" t="str">
        <f t="shared" si="16"/>
        <v xml:space="preserve"> </v>
      </c>
      <c r="T42" s="295" t="str">
        <f>IF(A42="N/A"," ",(IF(MONTH(A42)&gt;=4,IF(MONTH(A42)&lt;=10,Inputs!$H$2,Inputs!$H$3),Inputs!$H$3)))</f>
        <v xml:space="preserve"> </v>
      </c>
      <c r="U42" s="463" t="str">
        <f t="shared" si="22"/>
        <v xml:space="preserve"> </v>
      </c>
      <c r="AF42" s="205">
        <v>37712</v>
      </c>
      <c r="AG42" s="194">
        <v>22</v>
      </c>
      <c r="AH42" s="194">
        <v>4</v>
      </c>
      <c r="AI42" s="194">
        <v>4</v>
      </c>
      <c r="AJ42" s="194">
        <v>0</v>
      </c>
      <c r="AK42" s="194">
        <v>30</v>
      </c>
    </row>
    <row r="43" spans="1:37">
      <c r="A43" s="176" t="str">
        <f>Calculations!A10</f>
        <v>N/A</v>
      </c>
      <c r="B43" s="201" t="str">
        <f t="shared" si="5"/>
        <v xml:space="preserve"> </v>
      </c>
      <c r="C43" s="203" t="str">
        <f t="shared" si="17"/>
        <v xml:space="preserve"> </v>
      </c>
      <c r="D43" s="202" t="str">
        <f t="shared" si="18"/>
        <v xml:space="preserve"> </v>
      </c>
      <c r="E43" s="201" t="str">
        <f t="shared" si="6"/>
        <v xml:space="preserve"> </v>
      </c>
      <c r="F43" s="202" t="str">
        <f t="shared" si="19"/>
        <v xml:space="preserve"> </v>
      </c>
      <c r="G43" s="201" t="str">
        <f t="shared" si="7"/>
        <v xml:space="preserve"> </v>
      </c>
      <c r="H43" s="202" t="str">
        <f t="shared" si="20"/>
        <v xml:space="preserve"> </v>
      </c>
      <c r="I43" s="202" t="str">
        <f t="shared" si="8"/>
        <v xml:space="preserve"> </v>
      </c>
      <c r="J43" s="276" t="str">
        <f t="shared" si="21"/>
        <v xml:space="preserve"> </v>
      </c>
      <c r="K43" s="363" t="str">
        <f t="shared" si="9"/>
        <v xml:space="preserve"> </v>
      </c>
      <c r="L43" s="363" t="str">
        <f t="shared" si="10"/>
        <v xml:space="preserve"> </v>
      </c>
      <c r="M43" s="445"/>
      <c r="N43" s="293" t="str">
        <f t="shared" si="11"/>
        <v xml:space="preserve"> </v>
      </c>
      <c r="O43" s="293" t="str">
        <f t="shared" si="12"/>
        <v xml:space="preserve"> </v>
      </c>
      <c r="P43" s="293" t="str">
        <f t="shared" si="13"/>
        <v xml:space="preserve"> </v>
      </c>
      <c r="Q43" s="294" t="str">
        <f t="shared" si="14"/>
        <v xml:space="preserve"> </v>
      </c>
      <c r="R43" s="295" t="str">
        <f t="shared" si="15"/>
        <v xml:space="preserve"> </v>
      </c>
      <c r="S43" s="295" t="str">
        <f t="shared" si="16"/>
        <v xml:space="preserve"> </v>
      </c>
      <c r="T43" s="295" t="str">
        <f>IF(A43="N/A"," ",(IF(MONTH(A43)&gt;=4,IF(MONTH(A43)&lt;=10,Inputs!$H$2,Inputs!$H$3),Inputs!$H$3)))</f>
        <v xml:space="preserve"> </v>
      </c>
      <c r="U43" s="463" t="str">
        <f t="shared" si="22"/>
        <v xml:space="preserve"> </v>
      </c>
      <c r="AF43" s="205">
        <v>37742</v>
      </c>
      <c r="AG43" s="194">
        <v>21</v>
      </c>
      <c r="AH43" s="194">
        <v>5</v>
      </c>
      <c r="AI43" s="194">
        <v>5</v>
      </c>
      <c r="AJ43" s="194">
        <v>1</v>
      </c>
      <c r="AK43" s="194">
        <v>31</v>
      </c>
    </row>
    <row r="44" spans="1:37">
      <c r="A44" s="176" t="str">
        <f>Calculations!A11</f>
        <v>N/A</v>
      </c>
      <c r="B44" s="201" t="str">
        <f t="shared" si="5"/>
        <v xml:space="preserve"> </v>
      </c>
      <c r="C44" s="203" t="str">
        <f t="shared" si="17"/>
        <v xml:space="preserve"> </v>
      </c>
      <c r="D44" s="202" t="str">
        <f t="shared" si="18"/>
        <v xml:space="preserve"> </v>
      </c>
      <c r="E44" s="201" t="str">
        <f t="shared" si="6"/>
        <v xml:space="preserve"> </v>
      </c>
      <c r="F44" s="202" t="str">
        <f t="shared" si="19"/>
        <v xml:space="preserve"> </v>
      </c>
      <c r="G44" s="201" t="str">
        <f t="shared" si="7"/>
        <v xml:space="preserve"> </v>
      </c>
      <c r="H44" s="202" t="str">
        <f t="shared" si="20"/>
        <v xml:space="preserve"> </v>
      </c>
      <c r="I44" s="202" t="str">
        <f t="shared" si="8"/>
        <v xml:space="preserve"> </v>
      </c>
      <c r="J44" s="276" t="str">
        <f t="shared" si="21"/>
        <v xml:space="preserve"> </v>
      </c>
      <c r="K44" s="363" t="str">
        <f t="shared" si="9"/>
        <v xml:space="preserve"> </v>
      </c>
      <c r="L44" s="363" t="str">
        <f t="shared" si="10"/>
        <v xml:space="preserve"> </v>
      </c>
      <c r="M44" s="445"/>
      <c r="N44" s="293" t="str">
        <f t="shared" si="11"/>
        <v xml:space="preserve"> </v>
      </c>
      <c r="O44" s="293" t="str">
        <f t="shared" si="12"/>
        <v xml:space="preserve"> </v>
      </c>
      <c r="P44" s="293" t="str">
        <f t="shared" si="13"/>
        <v xml:space="preserve"> </v>
      </c>
      <c r="Q44" s="294" t="str">
        <f t="shared" si="14"/>
        <v xml:space="preserve"> </v>
      </c>
      <c r="R44" s="295" t="str">
        <f t="shared" si="15"/>
        <v xml:space="preserve"> </v>
      </c>
      <c r="S44" s="295" t="str">
        <f t="shared" si="16"/>
        <v xml:space="preserve"> </v>
      </c>
      <c r="T44" s="295" t="str">
        <f>IF(A44="N/A"," ",(IF(MONTH(A44)&gt;=4,IF(MONTH(A44)&lt;=10,Inputs!$H$2,Inputs!$H$3),Inputs!$H$3)))</f>
        <v xml:space="preserve"> </v>
      </c>
      <c r="U44" s="463" t="str">
        <f t="shared" si="22"/>
        <v xml:space="preserve"> </v>
      </c>
      <c r="AF44" s="205">
        <v>37773</v>
      </c>
      <c r="AG44" s="194">
        <v>21</v>
      </c>
      <c r="AH44" s="194">
        <v>4</v>
      </c>
      <c r="AI44" s="194">
        <v>5</v>
      </c>
      <c r="AJ44" s="194">
        <v>0</v>
      </c>
      <c r="AK44" s="194">
        <v>30</v>
      </c>
    </row>
    <row r="45" spans="1:37">
      <c r="A45" s="176" t="str">
        <f>Calculations!A12</f>
        <v>N/A</v>
      </c>
      <c r="B45" s="201" t="str">
        <f t="shared" si="5"/>
        <v xml:space="preserve"> </v>
      </c>
      <c r="C45" s="203" t="str">
        <f t="shared" si="17"/>
        <v xml:space="preserve"> </v>
      </c>
      <c r="D45" s="202" t="str">
        <f t="shared" si="18"/>
        <v xml:space="preserve"> </v>
      </c>
      <c r="E45" s="201" t="str">
        <f t="shared" si="6"/>
        <v xml:space="preserve"> </v>
      </c>
      <c r="F45" s="202" t="str">
        <f t="shared" si="19"/>
        <v xml:space="preserve"> </v>
      </c>
      <c r="G45" s="201" t="str">
        <f t="shared" si="7"/>
        <v xml:space="preserve"> </v>
      </c>
      <c r="H45" s="202" t="str">
        <f t="shared" si="20"/>
        <v xml:space="preserve"> </v>
      </c>
      <c r="I45" s="202" t="str">
        <f t="shared" si="8"/>
        <v xml:space="preserve"> </v>
      </c>
      <c r="J45" s="276" t="str">
        <f t="shared" si="21"/>
        <v xml:space="preserve"> </v>
      </c>
      <c r="K45" s="363" t="str">
        <f t="shared" si="9"/>
        <v xml:space="preserve"> </v>
      </c>
      <c r="L45" s="363" t="str">
        <f t="shared" si="10"/>
        <v xml:space="preserve"> </v>
      </c>
      <c r="M45" s="445"/>
      <c r="N45" s="293" t="str">
        <f t="shared" si="11"/>
        <v xml:space="preserve"> </v>
      </c>
      <c r="O45" s="293" t="str">
        <f t="shared" si="12"/>
        <v xml:space="preserve"> </v>
      </c>
      <c r="P45" s="293" t="str">
        <f t="shared" si="13"/>
        <v xml:space="preserve"> </v>
      </c>
      <c r="Q45" s="294" t="str">
        <f t="shared" si="14"/>
        <v xml:space="preserve"> </v>
      </c>
      <c r="R45" s="295" t="str">
        <f t="shared" si="15"/>
        <v xml:space="preserve"> </v>
      </c>
      <c r="S45" s="295" t="str">
        <f t="shared" si="16"/>
        <v xml:space="preserve"> </v>
      </c>
      <c r="T45" s="295" t="str">
        <f>IF(A45="N/A"," ",(IF(MONTH(A45)&gt;=4,IF(MONTH(A45)&lt;=10,Inputs!$H$2,Inputs!$H$3),Inputs!$H$3)))</f>
        <v xml:space="preserve"> </v>
      </c>
      <c r="U45" s="463" t="str">
        <f t="shared" si="22"/>
        <v xml:space="preserve"> </v>
      </c>
      <c r="AF45" s="205">
        <v>37803</v>
      </c>
      <c r="AG45" s="194">
        <v>22</v>
      </c>
      <c r="AH45" s="194">
        <v>4</v>
      </c>
      <c r="AI45" s="194">
        <v>5</v>
      </c>
      <c r="AJ45" s="194">
        <v>1</v>
      </c>
      <c r="AK45" s="194">
        <v>31</v>
      </c>
    </row>
    <row r="46" spans="1:37">
      <c r="A46" s="176" t="str">
        <f>Calculations!A13</f>
        <v>N/A</v>
      </c>
      <c r="B46" s="201" t="str">
        <f t="shared" si="5"/>
        <v xml:space="preserve"> </v>
      </c>
      <c r="C46" s="203" t="str">
        <f t="shared" si="17"/>
        <v xml:space="preserve"> </v>
      </c>
      <c r="D46" s="202" t="str">
        <f t="shared" si="18"/>
        <v xml:space="preserve"> </v>
      </c>
      <c r="E46" s="201" t="str">
        <f t="shared" si="6"/>
        <v xml:space="preserve"> </v>
      </c>
      <c r="F46" s="202" t="str">
        <f t="shared" si="19"/>
        <v xml:space="preserve"> </v>
      </c>
      <c r="G46" s="201" t="str">
        <f t="shared" si="7"/>
        <v xml:space="preserve"> </v>
      </c>
      <c r="H46" s="202" t="str">
        <f t="shared" si="20"/>
        <v xml:space="preserve"> </v>
      </c>
      <c r="I46" s="202" t="str">
        <f t="shared" si="8"/>
        <v xml:space="preserve"> </v>
      </c>
      <c r="J46" s="276" t="str">
        <f t="shared" si="21"/>
        <v xml:space="preserve"> </v>
      </c>
      <c r="K46" s="363" t="str">
        <f t="shared" si="9"/>
        <v xml:space="preserve"> </v>
      </c>
      <c r="L46" s="363" t="str">
        <f t="shared" si="10"/>
        <v xml:space="preserve"> </v>
      </c>
      <c r="M46" s="445"/>
      <c r="N46" s="293" t="str">
        <f t="shared" si="11"/>
        <v xml:space="preserve"> </v>
      </c>
      <c r="O46" s="293" t="str">
        <f t="shared" si="12"/>
        <v xml:space="preserve"> </v>
      </c>
      <c r="P46" s="293" t="str">
        <f t="shared" si="13"/>
        <v xml:space="preserve"> </v>
      </c>
      <c r="Q46" s="294" t="str">
        <f t="shared" si="14"/>
        <v xml:space="preserve"> </v>
      </c>
      <c r="R46" s="295" t="str">
        <f t="shared" si="15"/>
        <v xml:space="preserve"> </v>
      </c>
      <c r="S46" s="295" t="str">
        <f t="shared" si="16"/>
        <v xml:space="preserve"> </v>
      </c>
      <c r="T46" s="295" t="str">
        <f>IF(A46="N/A"," ",(IF(MONTH(A46)&gt;=4,IF(MONTH(A46)&lt;=10,Inputs!$H$2,Inputs!$H$3),Inputs!$H$3)))</f>
        <v xml:space="preserve"> </v>
      </c>
      <c r="U46" s="463" t="str">
        <f t="shared" si="22"/>
        <v xml:space="preserve"> </v>
      </c>
      <c r="AF46" s="205">
        <v>37834</v>
      </c>
      <c r="AG46" s="194">
        <v>21</v>
      </c>
      <c r="AH46" s="194">
        <v>5</v>
      </c>
      <c r="AI46" s="194">
        <v>5</v>
      </c>
      <c r="AJ46" s="194">
        <v>0</v>
      </c>
      <c r="AK46" s="194">
        <v>31</v>
      </c>
    </row>
    <row r="47" spans="1:37">
      <c r="A47" s="176" t="str">
        <f>Calculations!A14</f>
        <v>N/A</v>
      </c>
      <c r="B47" s="201" t="str">
        <f t="shared" si="5"/>
        <v xml:space="preserve"> </v>
      </c>
      <c r="C47" s="203" t="str">
        <f t="shared" si="17"/>
        <v xml:space="preserve"> </v>
      </c>
      <c r="D47" s="202" t="str">
        <f t="shared" si="18"/>
        <v xml:space="preserve"> </v>
      </c>
      <c r="E47" s="201" t="str">
        <f t="shared" si="6"/>
        <v xml:space="preserve"> </v>
      </c>
      <c r="F47" s="202" t="str">
        <f t="shared" si="19"/>
        <v xml:space="preserve"> </v>
      </c>
      <c r="G47" s="201" t="str">
        <f t="shared" si="7"/>
        <v xml:space="preserve"> </v>
      </c>
      <c r="H47" s="202" t="str">
        <f t="shared" si="20"/>
        <v xml:space="preserve"> </v>
      </c>
      <c r="I47" s="202" t="str">
        <f t="shared" si="8"/>
        <v xml:space="preserve"> </v>
      </c>
      <c r="J47" s="276" t="str">
        <f t="shared" si="21"/>
        <v xml:space="preserve"> </v>
      </c>
      <c r="K47" s="363" t="str">
        <f t="shared" si="9"/>
        <v xml:space="preserve"> </v>
      </c>
      <c r="L47" s="363" t="str">
        <f t="shared" si="10"/>
        <v xml:space="preserve"> </v>
      </c>
      <c r="M47" s="445"/>
      <c r="N47" s="293" t="str">
        <f t="shared" si="11"/>
        <v xml:space="preserve"> </v>
      </c>
      <c r="O47" s="293" t="str">
        <f t="shared" si="12"/>
        <v xml:space="preserve"> </v>
      </c>
      <c r="P47" s="293" t="str">
        <f t="shared" si="13"/>
        <v xml:space="preserve"> </v>
      </c>
      <c r="Q47" s="294" t="str">
        <f t="shared" si="14"/>
        <v xml:space="preserve"> </v>
      </c>
      <c r="R47" s="295" t="str">
        <f t="shared" si="15"/>
        <v xml:space="preserve"> </v>
      </c>
      <c r="S47" s="295" t="str">
        <f t="shared" si="16"/>
        <v xml:space="preserve"> </v>
      </c>
      <c r="T47" s="295" t="str">
        <f>IF(A47="N/A"," ",(IF(MONTH(A47)&gt;=4,IF(MONTH(A47)&lt;=10,Inputs!$H$2,Inputs!$H$3),Inputs!$H$3)))</f>
        <v xml:space="preserve"> </v>
      </c>
      <c r="U47" s="463" t="str">
        <f t="shared" si="22"/>
        <v xml:space="preserve"> </v>
      </c>
      <c r="AF47" s="205">
        <v>37865</v>
      </c>
      <c r="AG47" s="194">
        <v>21</v>
      </c>
      <c r="AH47" s="194">
        <v>4</v>
      </c>
      <c r="AI47" s="194">
        <v>5</v>
      </c>
      <c r="AJ47" s="194">
        <v>1</v>
      </c>
      <c r="AK47" s="194">
        <v>30</v>
      </c>
    </row>
    <row r="48" spans="1:37">
      <c r="A48" s="176" t="str">
        <f>Calculations!A15</f>
        <v>N/A</v>
      </c>
      <c r="B48" s="201" t="str">
        <f t="shared" si="5"/>
        <v xml:space="preserve"> </v>
      </c>
      <c r="C48" s="203" t="str">
        <f t="shared" si="17"/>
        <v xml:space="preserve"> </v>
      </c>
      <c r="D48" s="202" t="str">
        <f t="shared" si="18"/>
        <v xml:space="preserve"> </v>
      </c>
      <c r="E48" s="201" t="str">
        <f t="shared" si="6"/>
        <v xml:space="preserve"> </v>
      </c>
      <c r="F48" s="202" t="str">
        <f t="shared" si="19"/>
        <v xml:space="preserve"> </v>
      </c>
      <c r="G48" s="201" t="str">
        <f t="shared" si="7"/>
        <v xml:space="preserve"> </v>
      </c>
      <c r="H48" s="202" t="str">
        <f t="shared" si="20"/>
        <v xml:space="preserve"> </v>
      </c>
      <c r="I48" s="202" t="str">
        <f t="shared" si="8"/>
        <v xml:space="preserve"> </v>
      </c>
      <c r="J48" s="276" t="str">
        <f t="shared" si="21"/>
        <v xml:space="preserve"> </v>
      </c>
      <c r="K48" s="363" t="str">
        <f t="shared" si="9"/>
        <v xml:space="preserve"> </v>
      </c>
      <c r="L48" s="363" t="str">
        <f t="shared" si="10"/>
        <v xml:space="preserve"> </v>
      </c>
      <c r="M48" s="445"/>
      <c r="N48" s="293" t="str">
        <f t="shared" si="11"/>
        <v xml:space="preserve"> </v>
      </c>
      <c r="O48" s="293" t="str">
        <f t="shared" si="12"/>
        <v xml:space="preserve"> </v>
      </c>
      <c r="P48" s="293" t="str">
        <f t="shared" si="13"/>
        <v xml:space="preserve"> </v>
      </c>
      <c r="Q48" s="294" t="str">
        <f t="shared" si="14"/>
        <v xml:space="preserve"> </v>
      </c>
      <c r="R48" s="295" t="str">
        <f t="shared" si="15"/>
        <v xml:space="preserve"> </v>
      </c>
      <c r="S48" s="295" t="str">
        <f t="shared" si="16"/>
        <v xml:space="preserve"> </v>
      </c>
      <c r="T48" s="295" t="str">
        <f>IF(A48="N/A"," ",(IF(MONTH(A48)&gt;=4,IF(MONTH(A48)&lt;=10,Inputs!$H$2,Inputs!$H$3),Inputs!$H$3)))</f>
        <v xml:space="preserve"> </v>
      </c>
      <c r="U48" s="463" t="str">
        <f t="shared" si="22"/>
        <v xml:space="preserve"> </v>
      </c>
      <c r="AF48" s="205">
        <v>37895</v>
      </c>
      <c r="AG48" s="194">
        <v>23</v>
      </c>
      <c r="AH48" s="194">
        <v>4</v>
      </c>
      <c r="AI48" s="194">
        <v>4</v>
      </c>
      <c r="AJ48" s="194">
        <v>0</v>
      </c>
      <c r="AK48" s="194">
        <v>31</v>
      </c>
    </row>
    <row r="49" spans="1:37">
      <c r="A49" s="176" t="str">
        <f>Calculations!A16</f>
        <v>N/A</v>
      </c>
      <c r="B49" s="201" t="str">
        <f t="shared" ref="B49:B112" si="23">IF(A49="N/A"," ",IF(ISERROR(N49),B37*Pwresc,N49)*VLOOKUP(MONTH(A49),Curveadj,3))</f>
        <v xml:space="preserve"> </v>
      </c>
      <c r="C49" s="203" t="str">
        <f t="shared" si="17"/>
        <v xml:space="preserve"> </v>
      </c>
      <c r="D49" s="202" t="str">
        <f t="shared" si="18"/>
        <v xml:space="preserve"> </v>
      </c>
      <c r="E49" s="201" t="str">
        <f t="shared" ref="E49:E112" si="24">IF(A49="N/A"," ",IF(ISERROR(O49),E37*Pwresc,O49)*VLOOKUP(MONTH(A49),Curveadj,3))</f>
        <v xml:space="preserve"> </v>
      </c>
      <c r="F49" s="202" t="str">
        <f t="shared" si="19"/>
        <v xml:space="preserve"> </v>
      </c>
      <c r="G49" s="201" t="str">
        <f t="shared" ref="G49:G112" si="25">IF(A49="N/A"," ",IF(ISERROR(P49),G37*Pwresc,P49)*VLOOKUP(MONTH(A49),Curveadj,3))</f>
        <v xml:space="preserve"> </v>
      </c>
      <c r="H49" s="202" t="str">
        <f t="shared" si="20"/>
        <v xml:space="preserve"> </v>
      </c>
      <c r="I49" s="202" t="str">
        <f t="shared" ref="I49:I112" si="26">IF(A49="N/A"," ",IF(ISERROR(Q49),I37*Pwresc,Q49))</f>
        <v xml:space="preserve"> </v>
      </c>
      <c r="J49" s="276" t="str">
        <f t="shared" si="21"/>
        <v xml:space="preserve"> </v>
      </c>
      <c r="K49" s="363" t="str">
        <f t="shared" ref="K49:K112" si="27">IF(A49="N/A"," ",IF(ISERROR(R49),K37*Gasesc,R49))</f>
        <v xml:space="preserve"> </v>
      </c>
      <c r="L49" s="363" t="str">
        <f t="shared" ref="L49:L112" si="28">IF(A49="N/A"," ",IF(ISERROR(S49),L37*Gasesc,IF(S49=0,L37*Gasesc,S49)))</f>
        <v xml:space="preserve"> </v>
      </c>
      <c r="M49" s="445"/>
      <c r="N49" s="293" t="str">
        <f t="shared" si="11"/>
        <v xml:space="preserve"> </v>
      </c>
      <c r="O49" s="293" t="str">
        <f t="shared" si="12"/>
        <v xml:space="preserve"> </v>
      </c>
      <c r="P49" s="293" t="str">
        <f t="shared" si="13"/>
        <v xml:space="preserve"> </v>
      </c>
      <c r="Q49" s="294" t="str">
        <f t="shared" si="14"/>
        <v xml:space="preserve"> </v>
      </c>
      <c r="R49" s="295" t="str">
        <f t="shared" si="15"/>
        <v xml:space="preserve"> </v>
      </c>
      <c r="S49" s="295" t="str">
        <f t="shared" si="16"/>
        <v xml:space="preserve"> </v>
      </c>
      <c r="T49" s="295" t="str">
        <f>IF(A49="N/A"," ",(IF(MONTH(A49)&gt;=4,IF(MONTH(A49)&lt;=10,Inputs!$H$2,Inputs!$H$3),Inputs!$H$3)))</f>
        <v xml:space="preserve"> </v>
      </c>
      <c r="U49" s="463" t="str">
        <f t="shared" si="22"/>
        <v xml:space="preserve"> </v>
      </c>
      <c r="AF49" s="205">
        <v>37926</v>
      </c>
      <c r="AG49" s="194">
        <v>19</v>
      </c>
      <c r="AH49" s="194">
        <v>5</v>
      </c>
      <c r="AI49" s="194">
        <v>6</v>
      </c>
      <c r="AJ49" s="194">
        <v>1</v>
      </c>
      <c r="AK49" s="194">
        <v>30</v>
      </c>
    </row>
    <row r="50" spans="1:37">
      <c r="A50" s="176" t="str">
        <f>Calculations!A17</f>
        <v>N/A</v>
      </c>
      <c r="B50" s="201" t="str">
        <f t="shared" si="23"/>
        <v xml:space="preserve"> </v>
      </c>
      <c r="C50" s="203" t="str">
        <f t="shared" si="17"/>
        <v xml:space="preserve"> </v>
      </c>
      <c r="D50" s="202" t="str">
        <f t="shared" si="18"/>
        <v xml:space="preserve"> </v>
      </c>
      <c r="E50" s="201" t="str">
        <f t="shared" si="24"/>
        <v xml:space="preserve"> </v>
      </c>
      <c r="F50" s="202" t="str">
        <f t="shared" si="19"/>
        <v xml:space="preserve"> </v>
      </c>
      <c r="G50" s="201" t="str">
        <f t="shared" si="25"/>
        <v xml:space="preserve"> </v>
      </c>
      <c r="H50" s="202" t="str">
        <f t="shared" si="20"/>
        <v xml:space="preserve"> </v>
      </c>
      <c r="I50" s="202" t="str">
        <f t="shared" si="26"/>
        <v xml:space="preserve"> </v>
      </c>
      <c r="J50" s="276" t="str">
        <f t="shared" si="21"/>
        <v xml:space="preserve"> </v>
      </c>
      <c r="K50" s="363" t="str">
        <f t="shared" si="27"/>
        <v xml:space="preserve"> </v>
      </c>
      <c r="L50" s="363" t="str">
        <f t="shared" si="28"/>
        <v xml:space="preserve"> </v>
      </c>
      <c r="M50" s="445"/>
      <c r="N50" s="293" t="str">
        <f t="shared" si="11"/>
        <v xml:space="preserve"> </v>
      </c>
      <c r="O50" s="293" t="str">
        <f t="shared" si="12"/>
        <v xml:space="preserve"> </v>
      </c>
      <c r="P50" s="293" t="str">
        <f t="shared" si="13"/>
        <v xml:space="preserve"> </v>
      </c>
      <c r="Q50" s="294" t="str">
        <f t="shared" si="14"/>
        <v xml:space="preserve"> </v>
      </c>
      <c r="R50" s="295" t="str">
        <f t="shared" si="15"/>
        <v xml:space="preserve"> </v>
      </c>
      <c r="S50" s="295" t="str">
        <f t="shared" si="16"/>
        <v xml:space="preserve"> </v>
      </c>
      <c r="T50" s="295" t="str">
        <f>IF(A50="N/A"," ",(IF(MONTH(A50)&gt;=4,IF(MONTH(A50)&lt;=10,Inputs!$H$2,Inputs!$H$3),Inputs!$H$3)))</f>
        <v xml:space="preserve"> </v>
      </c>
      <c r="U50" s="463" t="str">
        <f t="shared" si="22"/>
        <v xml:space="preserve"> </v>
      </c>
      <c r="AF50" s="205">
        <v>37956</v>
      </c>
      <c r="AG50" s="194">
        <v>22</v>
      </c>
      <c r="AH50" s="194">
        <v>4</v>
      </c>
      <c r="AI50" s="194">
        <v>5</v>
      </c>
      <c r="AJ50" s="194">
        <v>1</v>
      </c>
      <c r="AK50" s="194">
        <v>31</v>
      </c>
    </row>
    <row r="51" spans="1:37">
      <c r="A51" s="176" t="str">
        <f>Calculations!A18</f>
        <v>N/A</v>
      </c>
      <c r="B51" s="201" t="str">
        <f t="shared" si="23"/>
        <v xml:space="preserve"> </v>
      </c>
      <c r="C51" s="203" t="str">
        <f t="shared" si="17"/>
        <v xml:space="preserve"> </v>
      </c>
      <c r="D51" s="202" t="str">
        <f t="shared" si="18"/>
        <v xml:space="preserve"> </v>
      </c>
      <c r="E51" s="201" t="str">
        <f t="shared" si="24"/>
        <v xml:space="preserve"> </v>
      </c>
      <c r="F51" s="202" t="str">
        <f t="shared" si="19"/>
        <v xml:space="preserve"> </v>
      </c>
      <c r="G51" s="201" t="str">
        <f t="shared" si="25"/>
        <v xml:space="preserve"> </v>
      </c>
      <c r="H51" s="202" t="str">
        <f t="shared" si="20"/>
        <v xml:space="preserve"> </v>
      </c>
      <c r="I51" s="202" t="str">
        <f t="shared" si="26"/>
        <v xml:space="preserve"> </v>
      </c>
      <c r="J51" s="276" t="str">
        <f t="shared" si="21"/>
        <v xml:space="preserve"> </v>
      </c>
      <c r="K51" s="363" t="str">
        <f t="shared" si="27"/>
        <v xml:space="preserve"> </v>
      </c>
      <c r="L51" s="363" t="str">
        <f t="shared" si="28"/>
        <v xml:space="preserve"> </v>
      </c>
      <c r="M51" s="445"/>
      <c r="N51" s="293" t="str">
        <f t="shared" si="11"/>
        <v xml:space="preserve"> </v>
      </c>
      <c r="O51" s="293" t="str">
        <f t="shared" si="12"/>
        <v xml:space="preserve"> </v>
      </c>
      <c r="P51" s="293" t="str">
        <f t="shared" si="13"/>
        <v xml:space="preserve"> </v>
      </c>
      <c r="Q51" s="294" t="str">
        <f t="shared" si="14"/>
        <v xml:space="preserve"> </v>
      </c>
      <c r="R51" s="295" t="str">
        <f t="shared" si="15"/>
        <v xml:space="preserve"> </v>
      </c>
      <c r="S51" s="295" t="str">
        <f t="shared" si="16"/>
        <v xml:space="preserve"> </v>
      </c>
      <c r="T51" s="295" t="str">
        <f>IF(A51="N/A"," ",(IF(MONTH(A51)&gt;=4,IF(MONTH(A51)&lt;=10,Inputs!$H$2,Inputs!$H$3),Inputs!$H$3)))</f>
        <v xml:space="preserve"> </v>
      </c>
      <c r="U51" s="463" t="str">
        <f t="shared" si="22"/>
        <v xml:space="preserve"> </v>
      </c>
      <c r="AF51" s="205">
        <v>37987</v>
      </c>
      <c r="AG51" s="194">
        <v>21</v>
      </c>
      <c r="AH51" s="194">
        <v>5</v>
      </c>
      <c r="AI51" s="194">
        <v>5</v>
      </c>
      <c r="AJ51" s="194">
        <v>1</v>
      </c>
      <c r="AK51" s="194">
        <v>31</v>
      </c>
    </row>
    <row r="52" spans="1:37">
      <c r="A52" s="176" t="str">
        <f>Calculations!A19</f>
        <v>N/A</v>
      </c>
      <c r="B52" s="201" t="str">
        <f t="shared" si="23"/>
        <v xml:space="preserve"> </v>
      </c>
      <c r="C52" s="203" t="str">
        <f t="shared" si="17"/>
        <v xml:space="preserve"> </v>
      </c>
      <c r="D52" s="202" t="str">
        <f t="shared" si="18"/>
        <v xml:space="preserve"> </v>
      </c>
      <c r="E52" s="201" t="str">
        <f t="shared" si="24"/>
        <v xml:space="preserve"> </v>
      </c>
      <c r="F52" s="202" t="str">
        <f t="shared" si="19"/>
        <v xml:space="preserve"> </v>
      </c>
      <c r="G52" s="201" t="str">
        <f t="shared" si="25"/>
        <v xml:space="preserve"> </v>
      </c>
      <c r="H52" s="202" t="str">
        <f t="shared" si="20"/>
        <v xml:space="preserve"> </v>
      </c>
      <c r="I52" s="202" t="str">
        <f t="shared" si="26"/>
        <v xml:space="preserve"> </v>
      </c>
      <c r="J52" s="276" t="str">
        <f t="shared" si="21"/>
        <v xml:space="preserve"> </v>
      </c>
      <c r="K52" s="363" t="str">
        <f t="shared" si="27"/>
        <v xml:space="preserve"> </v>
      </c>
      <c r="L52" s="363" t="str">
        <f t="shared" si="28"/>
        <v xml:space="preserve"> </v>
      </c>
      <c r="M52" s="445"/>
      <c r="N52" s="293" t="str">
        <f t="shared" si="11"/>
        <v xml:space="preserve"> </v>
      </c>
      <c r="O52" s="293" t="str">
        <f t="shared" si="12"/>
        <v xml:space="preserve"> </v>
      </c>
      <c r="P52" s="293" t="str">
        <f t="shared" si="13"/>
        <v xml:space="preserve"> </v>
      </c>
      <c r="Q52" s="294" t="str">
        <f t="shared" si="14"/>
        <v xml:space="preserve"> </v>
      </c>
      <c r="R52" s="295" t="str">
        <f t="shared" si="15"/>
        <v xml:space="preserve"> </v>
      </c>
      <c r="S52" s="295" t="str">
        <f t="shared" si="16"/>
        <v xml:space="preserve"> </v>
      </c>
      <c r="T52" s="295" t="str">
        <f>IF(A52="N/A"," ",(IF(MONTH(A52)&gt;=4,IF(MONTH(A52)&lt;=10,Inputs!$H$2,Inputs!$H$3),Inputs!$H$3)))</f>
        <v xml:space="preserve"> </v>
      </c>
      <c r="U52" s="463" t="str">
        <f t="shared" si="22"/>
        <v xml:space="preserve"> </v>
      </c>
      <c r="AF52" s="205">
        <v>38018</v>
      </c>
      <c r="AG52" s="194">
        <v>20</v>
      </c>
      <c r="AH52" s="194">
        <v>4</v>
      </c>
      <c r="AI52" s="194">
        <v>5</v>
      </c>
      <c r="AJ52" s="194">
        <v>0</v>
      </c>
      <c r="AK52" s="194">
        <v>29</v>
      </c>
    </row>
    <row r="53" spans="1:37">
      <c r="A53" s="176" t="str">
        <f>Calculations!A20</f>
        <v>N/A</v>
      </c>
      <c r="B53" s="201" t="str">
        <f t="shared" si="23"/>
        <v xml:space="preserve"> </v>
      </c>
      <c r="C53" s="203" t="str">
        <f t="shared" si="17"/>
        <v xml:space="preserve"> </v>
      </c>
      <c r="D53" s="202" t="str">
        <f t="shared" si="18"/>
        <v xml:space="preserve"> </v>
      </c>
      <c r="E53" s="201" t="str">
        <f t="shared" si="24"/>
        <v xml:space="preserve"> </v>
      </c>
      <c r="F53" s="202" t="str">
        <f t="shared" si="19"/>
        <v xml:space="preserve"> </v>
      </c>
      <c r="G53" s="201" t="str">
        <f t="shared" si="25"/>
        <v xml:space="preserve"> </v>
      </c>
      <c r="H53" s="202" t="str">
        <f t="shared" si="20"/>
        <v xml:space="preserve"> </v>
      </c>
      <c r="I53" s="202" t="str">
        <f t="shared" si="26"/>
        <v xml:space="preserve"> </v>
      </c>
      <c r="J53" s="276" t="str">
        <f t="shared" si="21"/>
        <v xml:space="preserve"> </v>
      </c>
      <c r="K53" s="363" t="str">
        <f t="shared" si="27"/>
        <v xml:space="preserve"> </v>
      </c>
      <c r="L53" s="363" t="str">
        <f t="shared" si="28"/>
        <v xml:space="preserve"> </v>
      </c>
      <c r="M53" s="445"/>
      <c r="N53" s="293" t="str">
        <f t="shared" si="11"/>
        <v xml:space="preserve"> </v>
      </c>
      <c r="O53" s="293" t="str">
        <f t="shared" si="12"/>
        <v xml:space="preserve"> </v>
      </c>
      <c r="P53" s="293" t="str">
        <f t="shared" si="13"/>
        <v xml:space="preserve"> </v>
      </c>
      <c r="Q53" s="294" t="str">
        <f t="shared" si="14"/>
        <v xml:space="preserve"> </v>
      </c>
      <c r="R53" s="295" t="str">
        <f t="shared" si="15"/>
        <v xml:space="preserve"> </v>
      </c>
      <c r="S53" s="295" t="str">
        <f t="shared" si="16"/>
        <v xml:space="preserve"> </v>
      </c>
      <c r="T53" s="295" t="str">
        <f>IF(A53="N/A"," ",(IF(MONTH(A53)&gt;=4,IF(MONTH(A53)&lt;=10,Inputs!$H$2,Inputs!$H$3),Inputs!$H$3)))</f>
        <v xml:space="preserve"> </v>
      </c>
      <c r="U53" s="463" t="str">
        <f t="shared" si="22"/>
        <v xml:space="preserve"> </v>
      </c>
      <c r="AF53" s="205">
        <v>38047</v>
      </c>
      <c r="AG53" s="194">
        <v>23</v>
      </c>
      <c r="AH53" s="194">
        <v>4</v>
      </c>
      <c r="AI53" s="194">
        <v>4</v>
      </c>
      <c r="AJ53" s="194">
        <v>0</v>
      </c>
      <c r="AK53" s="194">
        <v>31</v>
      </c>
    </row>
    <row r="54" spans="1:37">
      <c r="A54" s="176" t="str">
        <f>Calculations!A21</f>
        <v>N/A</v>
      </c>
      <c r="B54" s="201" t="str">
        <f t="shared" si="23"/>
        <v xml:space="preserve"> </v>
      </c>
      <c r="C54" s="203" t="str">
        <f t="shared" si="17"/>
        <v xml:space="preserve"> </v>
      </c>
      <c r="D54" s="202" t="str">
        <f t="shared" si="18"/>
        <v xml:space="preserve"> </v>
      </c>
      <c r="E54" s="201" t="str">
        <f t="shared" si="24"/>
        <v xml:space="preserve"> </v>
      </c>
      <c r="F54" s="202" t="str">
        <f t="shared" si="19"/>
        <v xml:space="preserve"> </v>
      </c>
      <c r="G54" s="201" t="str">
        <f t="shared" si="25"/>
        <v xml:space="preserve"> </v>
      </c>
      <c r="H54" s="202" t="str">
        <f t="shared" si="20"/>
        <v xml:space="preserve"> </v>
      </c>
      <c r="I54" s="202" t="str">
        <f t="shared" si="26"/>
        <v xml:space="preserve"> </v>
      </c>
      <c r="J54" s="276" t="str">
        <f t="shared" si="21"/>
        <v xml:space="preserve"> </v>
      </c>
      <c r="K54" s="363" t="str">
        <f t="shared" si="27"/>
        <v xml:space="preserve"> </v>
      </c>
      <c r="L54" s="363" t="str">
        <f t="shared" si="28"/>
        <v xml:space="preserve"> </v>
      </c>
      <c r="M54" s="445"/>
      <c r="N54" s="293" t="str">
        <f t="shared" si="11"/>
        <v xml:space="preserve"> </v>
      </c>
      <c r="O54" s="293" t="str">
        <f t="shared" si="12"/>
        <v xml:space="preserve"> </v>
      </c>
      <c r="P54" s="293" t="str">
        <f t="shared" si="13"/>
        <v xml:space="preserve"> </v>
      </c>
      <c r="Q54" s="294" t="str">
        <f t="shared" si="14"/>
        <v xml:space="preserve"> </v>
      </c>
      <c r="R54" s="295" t="str">
        <f t="shared" si="15"/>
        <v xml:space="preserve"> </v>
      </c>
      <c r="S54" s="295" t="str">
        <f t="shared" si="16"/>
        <v xml:space="preserve"> </v>
      </c>
      <c r="T54" s="295" t="str">
        <f>IF(A54="N/A"," ",(IF(MONTH(A54)&gt;=4,IF(MONTH(A54)&lt;=10,Inputs!$H$2,Inputs!$H$3),Inputs!$H$3)))</f>
        <v xml:space="preserve"> </v>
      </c>
      <c r="U54" s="463" t="str">
        <f t="shared" si="22"/>
        <v xml:space="preserve"> </v>
      </c>
      <c r="AF54" s="205">
        <v>38078</v>
      </c>
      <c r="AG54" s="194">
        <v>22</v>
      </c>
      <c r="AH54" s="194">
        <v>4</v>
      </c>
      <c r="AI54" s="194">
        <v>4</v>
      </c>
      <c r="AJ54" s="194">
        <v>0</v>
      </c>
      <c r="AK54" s="194">
        <v>30</v>
      </c>
    </row>
    <row r="55" spans="1:37">
      <c r="A55" s="176" t="str">
        <f>Calculations!A22</f>
        <v>N/A</v>
      </c>
      <c r="B55" s="201" t="str">
        <f t="shared" si="23"/>
        <v xml:space="preserve"> </v>
      </c>
      <c r="C55" s="203" t="str">
        <f t="shared" si="17"/>
        <v xml:space="preserve"> </v>
      </c>
      <c r="D55" s="202" t="str">
        <f t="shared" si="18"/>
        <v xml:space="preserve"> </v>
      </c>
      <c r="E55" s="201" t="str">
        <f t="shared" si="24"/>
        <v xml:space="preserve"> </v>
      </c>
      <c r="F55" s="202" t="str">
        <f t="shared" si="19"/>
        <v xml:space="preserve"> </v>
      </c>
      <c r="G55" s="201" t="str">
        <f t="shared" si="25"/>
        <v xml:space="preserve"> </v>
      </c>
      <c r="H55" s="202" t="str">
        <f t="shared" si="20"/>
        <v xml:space="preserve"> </v>
      </c>
      <c r="I55" s="202" t="str">
        <f t="shared" si="26"/>
        <v xml:space="preserve"> </v>
      </c>
      <c r="J55" s="276" t="str">
        <f t="shared" si="21"/>
        <v xml:space="preserve"> </v>
      </c>
      <c r="K55" s="363" t="str">
        <f t="shared" si="27"/>
        <v xml:space="preserve"> </v>
      </c>
      <c r="L55" s="363" t="str">
        <f t="shared" si="28"/>
        <v xml:space="preserve"> </v>
      </c>
      <c r="M55" s="445"/>
      <c r="N55" s="293" t="str">
        <f t="shared" si="11"/>
        <v xml:space="preserve"> </v>
      </c>
      <c r="O55" s="293" t="str">
        <f t="shared" si="12"/>
        <v xml:space="preserve"> </v>
      </c>
      <c r="P55" s="293" t="str">
        <f t="shared" si="13"/>
        <v xml:space="preserve"> </v>
      </c>
      <c r="Q55" s="294" t="str">
        <f t="shared" si="14"/>
        <v xml:space="preserve"> </v>
      </c>
      <c r="R55" s="295" t="str">
        <f t="shared" si="15"/>
        <v xml:space="preserve"> </v>
      </c>
      <c r="S55" s="295" t="str">
        <f t="shared" si="16"/>
        <v xml:space="preserve"> </v>
      </c>
      <c r="T55" s="295" t="str">
        <f>IF(A55="N/A"," ",(IF(MONTH(A55)&gt;=4,IF(MONTH(A55)&lt;=10,Inputs!$H$2,Inputs!$H$3),Inputs!$H$3)))</f>
        <v xml:space="preserve"> </v>
      </c>
      <c r="U55" s="463" t="str">
        <f t="shared" si="22"/>
        <v xml:space="preserve"> </v>
      </c>
      <c r="AF55" s="205">
        <v>38108</v>
      </c>
      <c r="AG55" s="194">
        <v>20</v>
      </c>
      <c r="AH55" s="194">
        <v>5</v>
      </c>
      <c r="AI55" s="194">
        <v>6</v>
      </c>
      <c r="AJ55" s="194">
        <v>1</v>
      </c>
      <c r="AK55" s="194">
        <v>31</v>
      </c>
    </row>
    <row r="56" spans="1:37">
      <c r="A56" s="176" t="str">
        <f>Calculations!A23</f>
        <v>N/A</v>
      </c>
      <c r="B56" s="201" t="str">
        <f t="shared" si="23"/>
        <v xml:space="preserve"> </v>
      </c>
      <c r="C56" s="203" t="str">
        <f t="shared" si="17"/>
        <v xml:space="preserve"> </v>
      </c>
      <c r="D56" s="202" t="str">
        <f t="shared" si="18"/>
        <v xml:space="preserve"> </v>
      </c>
      <c r="E56" s="201" t="str">
        <f t="shared" si="24"/>
        <v xml:space="preserve"> </v>
      </c>
      <c r="F56" s="202" t="str">
        <f t="shared" si="19"/>
        <v xml:space="preserve"> </v>
      </c>
      <c r="G56" s="201" t="str">
        <f t="shared" si="25"/>
        <v xml:space="preserve"> </v>
      </c>
      <c r="H56" s="202" t="str">
        <f t="shared" si="20"/>
        <v xml:space="preserve"> </v>
      </c>
      <c r="I56" s="202" t="str">
        <f t="shared" si="26"/>
        <v xml:space="preserve"> </v>
      </c>
      <c r="J56" s="276" t="str">
        <f t="shared" si="21"/>
        <v xml:space="preserve"> </v>
      </c>
      <c r="K56" s="363" t="str">
        <f t="shared" si="27"/>
        <v xml:space="preserve"> </v>
      </c>
      <c r="L56" s="363" t="str">
        <f t="shared" si="28"/>
        <v xml:space="preserve"> </v>
      </c>
      <c r="M56" s="445"/>
      <c r="N56" s="293" t="str">
        <f t="shared" si="11"/>
        <v xml:space="preserve"> </v>
      </c>
      <c r="O56" s="293" t="str">
        <f t="shared" si="12"/>
        <v xml:space="preserve"> </v>
      </c>
      <c r="P56" s="293" t="str">
        <f t="shared" si="13"/>
        <v xml:space="preserve"> </v>
      </c>
      <c r="Q56" s="294" t="str">
        <f t="shared" si="14"/>
        <v xml:space="preserve"> </v>
      </c>
      <c r="R56" s="295" t="str">
        <f t="shared" si="15"/>
        <v xml:space="preserve"> </v>
      </c>
      <c r="S56" s="295" t="str">
        <f t="shared" si="16"/>
        <v xml:space="preserve"> </v>
      </c>
      <c r="T56" s="295" t="str">
        <f>IF(A56="N/A"," ",(IF(MONTH(A56)&gt;=4,IF(MONTH(A56)&lt;=10,Inputs!$H$2,Inputs!$H$3),Inputs!$H$3)))</f>
        <v xml:space="preserve"> </v>
      </c>
      <c r="U56" s="463" t="str">
        <f t="shared" si="22"/>
        <v xml:space="preserve"> </v>
      </c>
      <c r="AF56" s="205">
        <v>38139</v>
      </c>
      <c r="AG56" s="194">
        <v>22</v>
      </c>
      <c r="AH56" s="194">
        <v>4</v>
      </c>
      <c r="AI56" s="194">
        <v>4</v>
      </c>
      <c r="AJ56" s="194">
        <v>0</v>
      </c>
      <c r="AK56" s="194">
        <v>30</v>
      </c>
    </row>
    <row r="57" spans="1:37">
      <c r="A57" s="176" t="str">
        <f>Calculations!A24</f>
        <v>N/A</v>
      </c>
      <c r="B57" s="201" t="str">
        <f t="shared" si="23"/>
        <v xml:space="preserve"> </v>
      </c>
      <c r="C57" s="203" t="str">
        <f t="shared" si="17"/>
        <v xml:space="preserve"> </v>
      </c>
      <c r="D57" s="202" t="str">
        <f t="shared" si="18"/>
        <v xml:space="preserve"> </v>
      </c>
      <c r="E57" s="201" t="str">
        <f t="shared" si="24"/>
        <v xml:space="preserve"> </v>
      </c>
      <c r="F57" s="202" t="str">
        <f t="shared" si="19"/>
        <v xml:space="preserve"> </v>
      </c>
      <c r="G57" s="201" t="str">
        <f t="shared" si="25"/>
        <v xml:space="preserve"> </v>
      </c>
      <c r="H57" s="202" t="str">
        <f t="shared" si="20"/>
        <v xml:space="preserve"> </v>
      </c>
      <c r="I57" s="202" t="str">
        <f t="shared" si="26"/>
        <v xml:space="preserve"> </v>
      </c>
      <c r="J57" s="276" t="str">
        <f t="shared" si="21"/>
        <v xml:space="preserve"> </v>
      </c>
      <c r="K57" s="363" t="str">
        <f t="shared" si="27"/>
        <v xml:space="preserve"> </v>
      </c>
      <c r="L57" s="363" t="str">
        <f t="shared" si="28"/>
        <v xml:space="preserve"> </v>
      </c>
      <c r="M57" s="445"/>
      <c r="N57" s="293" t="str">
        <f t="shared" si="11"/>
        <v xml:space="preserve"> </v>
      </c>
      <c r="O57" s="293" t="str">
        <f t="shared" si="12"/>
        <v xml:space="preserve"> </v>
      </c>
      <c r="P57" s="293" t="str">
        <f t="shared" si="13"/>
        <v xml:space="preserve"> </v>
      </c>
      <c r="Q57" s="294" t="str">
        <f t="shared" si="14"/>
        <v xml:space="preserve"> </v>
      </c>
      <c r="R57" s="295" t="str">
        <f t="shared" si="15"/>
        <v xml:space="preserve"> </v>
      </c>
      <c r="S57" s="295" t="str">
        <f t="shared" si="16"/>
        <v xml:space="preserve"> </v>
      </c>
      <c r="T57" s="295" t="str">
        <f>IF(A57="N/A"," ",(IF(MONTH(A57)&gt;=4,IF(MONTH(A57)&lt;=10,Inputs!$H$2,Inputs!$H$3),Inputs!$H$3)))</f>
        <v xml:space="preserve"> </v>
      </c>
      <c r="U57" s="463" t="str">
        <f t="shared" si="22"/>
        <v xml:space="preserve"> </v>
      </c>
      <c r="AF57" s="205">
        <v>38169</v>
      </c>
      <c r="AG57" s="194">
        <v>21</v>
      </c>
      <c r="AH57" s="194">
        <v>5</v>
      </c>
      <c r="AI57" s="194">
        <v>5</v>
      </c>
      <c r="AJ57" s="194">
        <v>1</v>
      </c>
      <c r="AK57" s="194">
        <v>31</v>
      </c>
    </row>
    <row r="58" spans="1:37">
      <c r="A58" s="176" t="str">
        <f>Calculations!A25</f>
        <v>N/A</v>
      </c>
      <c r="B58" s="201" t="str">
        <f t="shared" si="23"/>
        <v xml:space="preserve"> </v>
      </c>
      <c r="C58" s="203" t="str">
        <f t="shared" si="17"/>
        <v xml:space="preserve"> </v>
      </c>
      <c r="D58" s="202" t="str">
        <f t="shared" si="18"/>
        <v xml:space="preserve"> </v>
      </c>
      <c r="E58" s="201" t="str">
        <f t="shared" si="24"/>
        <v xml:space="preserve"> </v>
      </c>
      <c r="F58" s="202" t="str">
        <f t="shared" si="19"/>
        <v xml:space="preserve"> </v>
      </c>
      <c r="G58" s="201" t="str">
        <f t="shared" si="25"/>
        <v xml:space="preserve"> </v>
      </c>
      <c r="H58" s="202" t="str">
        <f t="shared" si="20"/>
        <v xml:space="preserve"> </v>
      </c>
      <c r="I58" s="202" t="str">
        <f t="shared" si="26"/>
        <v xml:space="preserve"> </v>
      </c>
      <c r="J58" s="276" t="str">
        <f t="shared" si="21"/>
        <v xml:space="preserve"> </v>
      </c>
      <c r="K58" s="363" t="str">
        <f t="shared" si="27"/>
        <v xml:space="preserve"> </v>
      </c>
      <c r="L58" s="363" t="str">
        <f t="shared" si="28"/>
        <v xml:space="preserve"> </v>
      </c>
      <c r="M58" s="445"/>
      <c r="N58" s="293" t="str">
        <f t="shared" si="11"/>
        <v xml:space="preserve"> </v>
      </c>
      <c r="O58" s="293" t="str">
        <f t="shared" si="12"/>
        <v xml:space="preserve"> </v>
      </c>
      <c r="P58" s="293" t="str">
        <f t="shared" si="13"/>
        <v xml:space="preserve"> </v>
      </c>
      <c r="Q58" s="294" t="str">
        <f t="shared" si="14"/>
        <v xml:space="preserve"> </v>
      </c>
      <c r="R58" s="295" t="str">
        <f t="shared" si="15"/>
        <v xml:space="preserve"> </v>
      </c>
      <c r="S58" s="295" t="str">
        <f t="shared" si="16"/>
        <v xml:space="preserve"> </v>
      </c>
      <c r="T58" s="295" t="str">
        <f>IF(A58="N/A"," ",(IF(MONTH(A58)&gt;=4,IF(MONTH(A58)&lt;=10,Inputs!$H$2,Inputs!$H$3),Inputs!$H$3)))</f>
        <v xml:space="preserve"> </v>
      </c>
      <c r="U58" s="463" t="str">
        <f t="shared" si="22"/>
        <v xml:space="preserve"> </v>
      </c>
      <c r="AF58" s="205">
        <v>38200</v>
      </c>
      <c r="AG58" s="194">
        <v>22</v>
      </c>
      <c r="AH58" s="194">
        <v>4</v>
      </c>
      <c r="AI58" s="194">
        <v>5</v>
      </c>
      <c r="AJ58" s="194">
        <v>0</v>
      </c>
      <c r="AK58" s="194">
        <v>31</v>
      </c>
    </row>
    <row r="59" spans="1:37">
      <c r="A59" s="176" t="str">
        <f>Calculations!A26</f>
        <v>N/A</v>
      </c>
      <c r="B59" s="201" t="str">
        <f t="shared" si="23"/>
        <v xml:space="preserve"> </v>
      </c>
      <c r="C59" s="203" t="str">
        <f t="shared" si="17"/>
        <v xml:space="preserve"> </v>
      </c>
      <c r="D59" s="202" t="str">
        <f t="shared" si="18"/>
        <v xml:space="preserve"> </v>
      </c>
      <c r="E59" s="201" t="str">
        <f t="shared" si="24"/>
        <v xml:space="preserve"> </v>
      </c>
      <c r="F59" s="202" t="str">
        <f t="shared" si="19"/>
        <v xml:space="preserve"> </v>
      </c>
      <c r="G59" s="201" t="str">
        <f t="shared" si="25"/>
        <v xml:space="preserve"> </v>
      </c>
      <c r="H59" s="202" t="str">
        <f t="shared" si="20"/>
        <v xml:space="preserve"> </v>
      </c>
      <c r="I59" s="202" t="str">
        <f t="shared" si="26"/>
        <v xml:space="preserve"> </v>
      </c>
      <c r="J59" s="276" t="str">
        <f t="shared" si="21"/>
        <v xml:space="preserve"> </v>
      </c>
      <c r="K59" s="363" t="str">
        <f t="shared" si="27"/>
        <v xml:space="preserve"> </v>
      </c>
      <c r="L59" s="363" t="str">
        <f t="shared" si="28"/>
        <v xml:space="preserve"> </v>
      </c>
      <c r="M59" s="445"/>
      <c r="N59" s="293" t="str">
        <f t="shared" si="11"/>
        <v xml:space="preserve"> </v>
      </c>
      <c r="O59" s="293" t="str">
        <f t="shared" si="12"/>
        <v xml:space="preserve"> </v>
      </c>
      <c r="P59" s="293" t="str">
        <f t="shared" si="13"/>
        <v xml:space="preserve"> </v>
      </c>
      <c r="Q59" s="294" t="str">
        <f t="shared" si="14"/>
        <v xml:space="preserve"> </v>
      </c>
      <c r="R59" s="295" t="str">
        <f t="shared" si="15"/>
        <v xml:space="preserve"> </v>
      </c>
      <c r="S59" s="295" t="str">
        <f t="shared" si="16"/>
        <v xml:space="preserve"> </v>
      </c>
      <c r="T59" s="295" t="str">
        <f>IF(A59="N/A"," ",(IF(MONTH(A59)&gt;=4,IF(MONTH(A59)&lt;=10,Inputs!$H$2,Inputs!$H$3),Inputs!$H$3)))</f>
        <v xml:space="preserve"> </v>
      </c>
      <c r="U59" s="463" t="str">
        <f t="shared" si="22"/>
        <v xml:space="preserve"> </v>
      </c>
      <c r="AF59" s="205">
        <v>38231</v>
      </c>
      <c r="AG59" s="194">
        <v>21</v>
      </c>
      <c r="AH59" s="194">
        <v>4</v>
      </c>
      <c r="AI59" s="194">
        <v>5</v>
      </c>
      <c r="AJ59" s="194">
        <v>1</v>
      </c>
      <c r="AK59" s="194">
        <v>30</v>
      </c>
    </row>
    <row r="60" spans="1:37">
      <c r="A60" s="176" t="str">
        <f>Calculations!A27</f>
        <v>N/A</v>
      </c>
      <c r="B60" s="201" t="str">
        <f t="shared" si="23"/>
        <v xml:space="preserve"> </v>
      </c>
      <c r="C60" s="203" t="str">
        <f t="shared" si="17"/>
        <v xml:space="preserve"> </v>
      </c>
      <c r="D60" s="202" t="str">
        <f t="shared" si="18"/>
        <v xml:space="preserve"> </v>
      </c>
      <c r="E60" s="201" t="str">
        <f t="shared" si="24"/>
        <v xml:space="preserve"> </v>
      </c>
      <c r="F60" s="202" t="str">
        <f t="shared" si="19"/>
        <v xml:space="preserve"> </v>
      </c>
      <c r="G60" s="201" t="str">
        <f t="shared" si="25"/>
        <v xml:space="preserve"> </v>
      </c>
      <c r="H60" s="202" t="str">
        <f t="shared" si="20"/>
        <v xml:space="preserve"> </v>
      </c>
      <c r="I60" s="202" t="str">
        <f t="shared" si="26"/>
        <v xml:space="preserve"> </v>
      </c>
      <c r="J60" s="276" t="str">
        <f t="shared" si="21"/>
        <v xml:space="preserve"> </v>
      </c>
      <c r="K60" s="363" t="str">
        <f t="shared" si="27"/>
        <v xml:space="preserve"> </v>
      </c>
      <c r="L60" s="363" t="str">
        <f t="shared" si="28"/>
        <v xml:space="preserve"> </v>
      </c>
      <c r="M60" s="445"/>
      <c r="N60" s="293" t="str">
        <f t="shared" si="11"/>
        <v xml:space="preserve"> </v>
      </c>
      <c r="O60" s="293" t="str">
        <f t="shared" si="12"/>
        <v xml:space="preserve"> </v>
      </c>
      <c r="P60" s="293" t="str">
        <f t="shared" si="13"/>
        <v xml:space="preserve"> </v>
      </c>
      <c r="Q60" s="294" t="str">
        <f t="shared" si="14"/>
        <v xml:space="preserve"> </v>
      </c>
      <c r="R60" s="295" t="str">
        <f t="shared" si="15"/>
        <v xml:space="preserve"> </v>
      </c>
      <c r="S60" s="295" t="str">
        <f t="shared" si="16"/>
        <v xml:space="preserve"> </v>
      </c>
      <c r="T60" s="295" t="str">
        <f>IF(A60="N/A"," ",(IF(MONTH(A60)&gt;=4,IF(MONTH(A60)&lt;=10,Inputs!$H$2,Inputs!$H$3),Inputs!$H$3)))</f>
        <v xml:space="preserve"> </v>
      </c>
      <c r="U60" s="463" t="str">
        <f t="shared" si="22"/>
        <v xml:space="preserve"> </v>
      </c>
      <c r="AF60" s="205">
        <v>38261</v>
      </c>
      <c r="AG60" s="194">
        <v>21</v>
      </c>
      <c r="AH60" s="194">
        <v>5</v>
      </c>
      <c r="AI60" s="194">
        <v>5</v>
      </c>
      <c r="AJ60" s="194">
        <v>0</v>
      </c>
      <c r="AK60" s="194">
        <v>31</v>
      </c>
    </row>
    <row r="61" spans="1:37">
      <c r="A61" s="176" t="str">
        <f>Calculations!A28</f>
        <v>N/A</v>
      </c>
      <c r="B61" s="201" t="str">
        <f t="shared" si="23"/>
        <v xml:space="preserve"> </v>
      </c>
      <c r="C61" s="203" t="str">
        <f t="shared" si="17"/>
        <v xml:space="preserve"> </v>
      </c>
      <c r="D61" s="202" t="str">
        <f t="shared" si="18"/>
        <v xml:space="preserve"> </v>
      </c>
      <c r="E61" s="201" t="str">
        <f t="shared" si="24"/>
        <v xml:space="preserve"> </v>
      </c>
      <c r="F61" s="202" t="str">
        <f t="shared" si="19"/>
        <v xml:space="preserve"> </v>
      </c>
      <c r="G61" s="201" t="str">
        <f t="shared" si="25"/>
        <v xml:space="preserve"> </v>
      </c>
      <c r="H61" s="202" t="str">
        <f t="shared" si="20"/>
        <v xml:space="preserve"> </v>
      </c>
      <c r="I61" s="202" t="str">
        <f t="shared" si="26"/>
        <v xml:space="preserve"> </v>
      </c>
      <c r="J61" s="276" t="str">
        <f t="shared" si="21"/>
        <v xml:space="preserve"> </v>
      </c>
      <c r="K61" s="363" t="str">
        <f t="shared" si="27"/>
        <v xml:space="preserve"> </v>
      </c>
      <c r="L61" s="363" t="str">
        <f t="shared" si="28"/>
        <v xml:space="preserve"> </v>
      </c>
      <c r="M61" s="445"/>
      <c r="N61" s="293" t="str">
        <f t="shared" si="11"/>
        <v xml:space="preserve"> </v>
      </c>
      <c r="O61" s="293" t="str">
        <f t="shared" si="12"/>
        <v xml:space="preserve"> </v>
      </c>
      <c r="P61" s="293" t="str">
        <f t="shared" si="13"/>
        <v xml:space="preserve"> </v>
      </c>
      <c r="Q61" s="294" t="str">
        <f t="shared" si="14"/>
        <v xml:space="preserve"> </v>
      </c>
      <c r="R61" s="295" t="str">
        <f t="shared" si="15"/>
        <v xml:space="preserve"> </v>
      </c>
      <c r="S61" s="295" t="str">
        <f t="shared" si="16"/>
        <v xml:space="preserve"> </v>
      </c>
      <c r="T61" s="295" t="str">
        <f>IF(A61="N/A"," ",(IF(MONTH(A61)&gt;=4,IF(MONTH(A61)&lt;=10,Inputs!$H$2,Inputs!$H$3),Inputs!$H$3)))</f>
        <v xml:space="preserve"> </v>
      </c>
      <c r="U61" s="463" t="str">
        <f t="shared" si="22"/>
        <v xml:space="preserve"> </v>
      </c>
      <c r="AF61" s="205">
        <v>38292</v>
      </c>
      <c r="AG61" s="194">
        <v>21</v>
      </c>
      <c r="AH61" s="194">
        <v>4</v>
      </c>
      <c r="AI61" s="194">
        <v>5</v>
      </c>
      <c r="AJ61" s="194">
        <v>1</v>
      </c>
      <c r="AK61" s="194">
        <v>30</v>
      </c>
    </row>
    <row r="62" spans="1:37">
      <c r="A62" s="176" t="str">
        <f>Calculations!A29</f>
        <v>N/A</v>
      </c>
      <c r="B62" s="201" t="str">
        <f t="shared" si="23"/>
        <v xml:space="preserve"> </v>
      </c>
      <c r="C62" s="203" t="str">
        <f t="shared" si="17"/>
        <v xml:space="preserve"> </v>
      </c>
      <c r="D62" s="202" t="str">
        <f t="shared" si="18"/>
        <v xml:space="preserve"> </v>
      </c>
      <c r="E62" s="201" t="str">
        <f t="shared" si="24"/>
        <v xml:space="preserve"> </v>
      </c>
      <c r="F62" s="202" t="str">
        <f t="shared" si="19"/>
        <v xml:space="preserve"> </v>
      </c>
      <c r="G62" s="201" t="str">
        <f t="shared" si="25"/>
        <v xml:space="preserve"> </v>
      </c>
      <c r="H62" s="202" t="str">
        <f t="shared" si="20"/>
        <v xml:space="preserve"> </v>
      </c>
      <c r="I62" s="202" t="str">
        <f t="shared" si="26"/>
        <v xml:space="preserve"> </v>
      </c>
      <c r="J62" s="276" t="str">
        <f t="shared" si="21"/>
        <v xml:space="preserve"> </v>
      </c>
      <c r="K62" s="363" t="str">
        <f t="shared" si="27"/>
        <v xml:space="preserve"> </v>
      </c>
      <c r="L62" s="363" t="str">
        <f t="shared" si="28"/>
        <v xml:space="preserve"> </v>
      </c>
      <c r="M62" s="445"/>
      <c r="N62" s="293" t="str">
        <f t="shared" si="11"/>
        <v xml:space="preserve"> </v>
      </c>
      <c r="O62" s="293" t="str">
        <f t="shared" si="12"/>
        <v xml:space="preserve"> </v>
      </c>
      <c r="P62" s="293" t="str">
        <f t="shared" si="13"/>
        <v xml:space="preserve"> </v>
      </c>
      <c r="Q62" s="294" t="str">
        <f t="shared" si="14"/>
        <v xml:space="preserve"> </v>
      </c>
      <c r="R62" s="295" t="str">
        <f t="shared" si="15"/>
        <v xml:space="preserve"> </v>
      </c>
      <c r="S62" s="295" t="str">
        <f t="shared" si="16"/>
        <v xml:space="preserve"> </v>
      </c>
      <c r="T62" s="295" t="str">
        <f>IF(A62="N/A"," ",(IF(MONTH(A62)&gt;=4,IF(MONTH(A62)&lt;=10,Inputs!$H$2,Inputs!$H$3),Inputs!$H$3)))</f>
        <v xml:space="preserve"> </v>
      </c>
      <c r="U62" s="463" t="str">
        <f t="shared" si="22"/>
        <v xml:space="preserve"> </v>
      </c>
      <c r="AF62" s="205">
        <v>38322</v>
      </c>
      <c r="AG62" s="194">
        <v>23</v>
      </c>
      <c r="AH62" s="194">
        <v>3</v>
      </c>
      <c r="AI62" s="194">
        <v>5</v>
      </c>
      <c r="AJ62" s="194">
        <v>1</v>
      </c>
      <c r="AK62" s="194">
        <v>31</v>
      </c>
    </row>
    <row r="63" spans="1:37">
      <c r="A63" s="176" t="str">
        <f>Calculations!A30</f>
        <v>N/A</v>
      </c>
      <c r="B63" s="201" t="str">
        <f t="shared" si="23"/>
        <v xml:space="preserve"> </v>
      </c>
      <c r="C63" s="203" t="str">
        <f t="shared" si="17"/>
        <v xml:space="preserve"> </v>
      </c>
      <c r="D63" s="202" t="str">
        <f t="shared" si="18"/>
        <v xml:space="preserve"> </v>
      </c>
      <c r="E63" s="201" t="str">
        <f t="shared" si="24"/>
        <v xml:space="preserve"> </v>
      </c>
      <c r="F63" s="202" t="str">
        <f t="shared" si="19"/>
        <v xml:space="preserve"> </v>
      </c>
      <c r="G63" s="201" t="str">
        <f t="shared" si="25"/>
        <v xml:space="preserve"> </v>
      </c>
      <c r="H63" s="202" t="str">
        <f t="shared" si="20"/>
        <v xml:space="preserve"> </v>
      </c>
      <c r="I63" s="202" t="str">
        <f t="shared" si="26"/>
        <v xml:space="preserve"> </v>
      </c>
      <c r="J63" s="276" t="str">
        <f t="shared" si="21"/>
        <v xml:space="preserve"> </v>
      </c>
      <c r="K63" s="363" t="str">
        <f t="shared" si="27"/>
        <v xml:space="preserve"> </v>
      </c>
      <c r="L63" s="363" t="str">
        <f t="shared" si="28"/>
        <v xml:space="preserve"> </v>
      </c>
      <c r="M63" s="445"/>
      <c r="N63" s="293" t="str">
        <f t="shared" si="11"/>
        <v xml:space="preserve"> </v>
      </c>
      <c r="O63" s="293" t="str">
        <f t="shared" si="12"/>
        <v xml:space="preserve"> </v>
      </c>
      <c r="P63" s="293" t="str">
        <f t="shared" si="13"/>
        <v xml:space="preserve"> </v>
      </c>
      <c r="Q63" s="294" t="str">
        <f t="shared" si="14"/>
        <v xml:space="preserve"> </v>
      </c>
      <c r="R63" s="295" t="str">
        <f t="shared" si="15"/>
        <v xml:space="preserve"> </v>
      </c>
      <c r="S63" s="295" t="str">
        <f t="shared" si="16"/>
        <v xml:space="preserve"> </v>
      </c>
      <c r="T63" s="295" t="str">
        <f>IF(A63="N/A"," ",(IF(MONTH(A63)&gt;=4,IF(MONTH(A63)&lt;=10,Inputs!$H$2,Inputs!$H$3),Inputs!$H$3)))</f>
        <v xml:space="preserve"> </v>
      </c>
      <c r="U63" s="463" t="str">
        <f t="shared" si="22"/>
        <v xml:space="preserve"> </v>
      </c>
      <c r="AF63" s="205">
        <v>38353</v>
      </c>
      <c r="AG63" s="194">
        <v>21</v>
      </c>
      <c r="AH63" s="194">
        <v>4</v>
      </c>
      <c r="AI63" s="194">
        <v>6</v>
      </c>
      <c r="AJ63" s="194">
        <v>1</v>
      </c>
      <c r="AK63" s="194">
        <v>31</v>
      </c>
    </row>
    <row r="64" spans="1:37">
      <c r="A64" s="176" t="str">
        <f>Calculations!A31</f>
        <v>N/A</v>
      </c>
      <c r="B64" s="201" t="str">
        <f t="shared" si="23"/>
        <v xml:space="preserve"> </v>
      </c>
      <c r="C64" s="203" t="str">
        <f t="shared" si="17"/>
        <v xml:space="preserve"> </v>
      </c>
      <c r="D64" s="202" t="str">
        <f t="shared" si="18"/>
        <v xml:space="preserve"> </v>
      </c>
      <c r="E64" s="201" t="str">
        <f t="shared" si="24"/>
        <v xml:space="preserve"> </v>
      </c>
      <c r="F64" s="202" t="str">
        <f t="shared" si="19"/>
        <v xml:space="preserve"> </v>
      </c>
      <c r="G64" s="201" t="str">
        <f t="shared" si="25"/>
        <v xml:space="preserve"> </v>
      </c>
      <c r="H64" s="202" t="str">
        <f t="shared" si="20"/>
        <v xml:space="preserve"> </v>
      </c>
      <c r="I64" s="202" t="str">
        <f t="shared" si="26"/>
        <v xml:space="preserve"> </v>
      </c>
      <c r="J64" s="276" t="str">
        <f t="shared" si="21"/>
        <v xml:space="preserve"> </v>
      </c>
      <c r="K64" s="363" t="str">
        <f t="shared" si="27"/>
        <v xml:space="preserve"> </v>
      </c>
      <c r="L64" s="363" t="str">
        <f t="shared" si="28"/>
        <v xml:space="preserve"> </v>
      </c>
      <c r="M64" s="445"/>
      <c r="N64" s="293" t="str">
        <f t="shared" si="11"/>
        <v xml:space="preserve"> </v>
      </c>
      <c r="O64" s="293" t="str">
        <f t="shared" si="12"/>
        <v xml:space="preserve"> </v>
      </c>
      <c r="P64" s="293" t="str">
        <f t="shared" si="13"/>
        <v xml:space="preserve"> </v>
      </c>
      <c r="Q64" s="294" t="str">
        <f t="shared" si="14"/>
        <v xml:space="preserve"> </v>
      </c>
      <c r="R64" s="295" t="str">
        <f t="shared" si="15"/>
        <v xml:space="preserve"> </v>
      </c>
      <c r="S64" s="295" t="str">
        <f t="shared" si="16"/>
        <v xml:space="preserve"> </v>
      </c>
      <c r="T64" s="295" t="str">
        <f>IF(A64="N/A"," ",(IF(MONTH(A64)&gt;=4,IF(MONTH(A64)&lt;=10,Inputs!$H$2,Inputs!$H$3),Inputs!$H$3)))</f>
        <v xml:space="preserve"> </v>
      </c>
      <c r="U64" s="463" t="str">
        <f t="shared" si="22"/>
        <v xml:space="preserve"> </v>
      </c>
      <c r="AF64" s="205">
        <v>38384</v>
      </c>
      <c r="AG64" s="194">
        <v>20</v>
      </c>
      <c r="AH64" s="194">
        <v>4</v>
      </c>
      <c r="AI64" s="194">
        <v>4</v>
      </c>
      <c r="AJ64" s="194">
        <v>0</v>
      </c>
      <c r="AK64" s="194">
        <v>28</v>
      </c>
    </row>
    <row r="65" spans="1:37">
      <c r="A65" s="176" t="str">
        <f>Calculations!A32</f>
        <v>N/A</v>
      </c>
      <c r="B65" s="201" t="str">
        <f t="shared" si="23"/>
        <v xml:space="preserve"> </v>
      </c>
      <c r="C65" s="203" t="str">
        <f t="shared" si="17"/>
        <v xml:space="preserve"> </v>
      </c>
      <c r="D65" s="202" t="str">
        <f t="shared" si="18"/>
        <v xml:space="preserve"> </v>
      </c>
      <c r="E65" s="201" t="str">
        <f t="shared" si="24"/>
        <v xml:space="preserve"> </v>
      </c>
      <c r="F65" s="202" t="str">
        <f t="shared" si="19"/>
        <v xml:space="preserve"> </v>
      </c>
      <c r="G65" s="201" t="str">
        <f t="shared" si="25"/>
        <v xml:space="preserve"> </v>
      </c>
      <c r="H65" s="202" t="str">
        <f t="shared" si="20"/>
        <v xml:space="preserve"> </v>
      </c>
      <c r="I65" s="202" t="str">
        <f t="shared" si="26"/>
        <v xml:space="preserve"> </v>
      </c>
      <c r="J65" s="276" t="str">
        <f t="shared" si="21"/>
        <v xml:space="preserve"> </v>
      </c>
      <c r="K65" s="363" t="str">
        <f t="shared" si="27"/>
        <v xml:space="preserve"> </v>
      </c>
      <c r="L65" s="363" t="str">
        <f t="shared" si="28"/>
        <v xml:space="preserve"> </v>
      </c>
      <c r="M65" s="445"/>
      <c r="N65" s="293" t="str">
        <f t="shared" si="11"/>
        <v xml:space="preserve"> </v>
      </c>
      <c r="O65" s="293" t="str">
        <f t="shared" si="12"/>
        <v xml:space="preserve"> </v>
      </c>
      <c r="P65" s="293" t="str">
        <f t="shared" si="13"/>
        <v xml:space="preserve"> </v>
      </c>
      <c r="Q65" s="294" t="str">
        <f t="shared" si="14"/>
        <v xml:space="preserve"> </v>
      </c>
      <c r="R65" s="295" t="str">
        <f t="shared" si="15"/>
        <v xml:space="preserve"> </v>
      </c>
      <c r="S65" s="295" t="str">
        <f t="shared" si="16"/>
        <v xml:space="preserve"> </v>
      </c>
      <c r="T65" s="295" t="str">
        <f>IF(A65="N/A"," ",(IF(MONTH(A65)&gt;=4,IF(MONTH(A65)&lt;=10,Inputs!$H$2,Inputs!$H$3),Inputs!$H$3)))</f>
        <v xml:space="preserve"> </v>
      </c>
      <c r="U65" s="463" t="str">
        <f t="shared" si="22"/>
        <v xml:space="preserve"> </v>
      </c>
      <c r="AF65" s="205">
        <v>38412</v>
      </c>
      <c r="AG65" s="194">
        <v>23</v>
      </c>
      <c r="AH65" s="194">
        <v>4</v>
      </c>
      <c r="AI65" s="194">
        <v>4</v>
      </c>
      <c r="AJ65" s="194">
        <v>0</v>
      </c>
      <c r="AK65" s="194">
        <v>31</v>
      </c>
    </row>
    <row r="66" spans="1:37">
      <c r="A66" s="176" t="str">
        <f>Calculations!A33</f>
        <v>N/A</v>
      </c>
      <c r="B66" s="201" t="str">
        <f t="shared" si="23"/>
        <v xml:space="preserve"> </v>
      </c>
      <c r="C66" s="203" t="str">
        <f t="shared" si="17"/>
        <v xml:space="preserve"> </v>
      </c>
      <c r="D66" s="202" t="str">
        <f t="shared" si="18"/>
        <v xml:space="preserve"> </v>
      </c>
      <c r="E66" s="201" t="str">
        <f t="shared" si="24"/>
        <v xml:space="preserve"> </v>
      </c>
      <c r="F66" s="202" t="str">
        <f t="shared" si="19"/>
        <v xml:space="preserve"> </v>
      </c>
      <c r="G66" s="201" t="str">
        <f t="shared" si="25"/>
        <v xml:space="preserve"> </v>
      </c>
      <c r="H66" s="202" t="str">
        <f t="shared" si="20"/>
        <v xml:space="preserve"> </v>
      </c>
      <c r="I66" s="202" t="str">
        <f t="shared" si="26"/>
        <v xml:space="preserve"> </v>
      </c>
      <c r="J66" s="276" t="str">
        <f t="shared" si="21"/>
        <v xml:space="preserve"> </v>
      </c>
      <c r="K66" s="363" t="str">
        <f t="shared" si="27"/>
        <v xml:space="preserve"> </v>
      </c>
      <c r="L66" s="363" t="str">
        <f t="shared" si="28"/>
        <v xml:space="preserve"> </v>
      </c>
      <c r="M66" s="445"/>
      <c r="N66" s="293" t="str">
        <f t="shared" si="11"/>
        <v xml:space="preserve"> </v>
      </c>
      <c r="O66" s="293" t="str">
        <f t="shared" si="12"/>
        <v xml:space="preserve"> </v>
      </c>
      <c r="P66" s="293" t="str">
        <f t="shared" si="13"/>
        <v xml:space="preserve"> </v>
      </c>
      <c r="Q66" s="294" t="str">
        <f t="shared" si="14"/>
        <v xml:space="preserve"> </v>
      </c>
      <c r="R66" s="295" t="str">
        <f t="shared" si="15"/>
        <v xml:space="preserve"> </v>
      </c>
      <c r="S66" s="295" t="str">
        <f t="shared" si="16"/>
        <v xml:space="preserve"> </v>
      </c>
      <c r="T66" s="295" t="str">
        <f>IF(A66="N/A"," ",(IF(MONTH(A66)&gt;=4,IF(MONTH(A66)&lt;=10,Inputs!$H$2,Inputs!$H$3),Inputs!$H$3)))</f>
        <v xml:space="preserve"> </v>
      </c>
      <c r="U66" s="463" t="str">
        <f t="shared" si="22"/>
        <v xml:space="preserve"> </v>
      </c>
      <c r="AF66" s="205">
        <v>38443</v>
      </c>
      <c r="AG66" s="194">
        <v>21</v>
      </c>
      <c r="AH66" s="194">
        <v>5</v>
      </c>
      <c r="AI66" s="194">
        <v>4</v>
      </c>
      <c r="AJ66" s="194">
        <v>0</v>
      </c>
      <c r="AK66" s="194">
        <v>30</v>
      </c>
    </row>
    <row r="67" spans="1:37">
      <c r="A67" s="176" t="str">
        <f>Calculations!A34</f>
        <v>N/A</v>
      </c>
      <c r="B67" s="201" t="str">
        <f t="shared" si="23"/>
        <v xml:space="preserve"> </v>
      </c>
      <c r="C67" s="203" t="str">
        <f t="shared" si="17"/>
        <v xml:space="preserve"> </v>
      </c>
      <c r="D67" s="202" t="str">
        <f t="shared" si="18"/>
        <v xml:space="preserve"> </v>
      </c>
      <c r="E67" s="201" t="str">
        <f t="shared" si="24"/>
        <v xml:space="preserve"> </v>
      </c>
      <c r="F67" s="202" t="str">
        <f t="shared" si="19"/>
        <v xml:space="preserve"> </v>
      </c>
      <c r="G67" s="201" t="str">
        <f t="shared" si="25"/>
        <v xml:space="preserve"> </v>
      </c>
      <c r="H67" s="202" t="str">
        <f t="shared" si="20"/>
        <v xml:space="preserve"> </v>
      </c>
      <c r="I67" s="202" t="str">
        <f t="shared" si="26"/>
        <v xml:space="preserve"> </v>
      </c>
      <c r="J67" s="276" t="str">
        <f t="shared" si="21"/>
        <v xml:space="preserve"> </v>
      </c>
      <c r="K67" s="363" t="str">
        <f t="shared" si="27"/>
        <v xml:space="preserve"> </v>
      </c>
      <c r="L67" s="363" t="str">
        <f t="shared" si="28"/>
        <v xml:space="preserve"> </v>
      </c>
      <c r="M67" s="445"/>
      <c r="N67" s="293" t="str">
        <f t="shared" si="11"/>
        <v xml:space="preserve"> </v>
      </c>
      <c r="O67" s="293" t="str">
        <f t="shared" si="12"/>
        <v xml:space="preserve"> </v>
      </c>
      <c r="P67" s="293" t="str">
        <f t="shared" si="13"/>
        <v xml:space="preserve"> </v>
      </c>
      <c r="Q67" s="294" t="str">
        <f t="shared" si="14"/>
        <v xml:space="preserve"> </v>
      </c>
      <c r="R67" s="295" t="str">
        <f t="shared" si="15"/>
        <v xml:space="preserve"> </v>
      </c>
      <c r="S67" s="295" t="str">
        <f t="shared" si="16"/>
        <v xml:space="preserve"> </v>
      </c>
      <c r="T67" s="295" t="str">
        <f>IF(A67="N/A"," ",(IF(MONTH(A67)&gt;=4,IF(MONTH(A67)&lt;=10,Inputs!$H$2,Inputs!$H$3),Inputs!$H$3)))</f>
        <v xml:space="preserve"> </v>
      </c>
      <c r="U67" s="463" t="str">
        <f t="shared" si="22"/>
        <v xml:space="preserve"> </v>
      </c>
      <c r="AF67" s="205">
        <v>38473</v>
      </c>
      <c r="AG67" s="194">
        <v>21</v>
      </c>
      <c r="AH67" s="194">
        <v>4</v>
      </c>
      <c r="AI67" s="194">
        <v>6</v>
      </c>
      <c r="AJ67" s="194">
        <v>1</v>
      </c>
      <c r="AK67" s="194">
        <v>31</v>
      </c>
    </row>
    <row r="68" spans="1:37">
      <c r="A68" s="176" t="str">
        <f>Calculations!A35</f>
        <v>N/A</v>
      </c>
      <c r="B68" s="201" t="str">
        <f t="shared" si="23"/>
        <v xml:space="preserve"> </v>
      </c>
      <c r="C68" s="203" t="str">
        <f t="shared" si="17"/>
        <v xml:space="preserve"> </v>
      </c>
      <c r="D68" s="202" t="str">
        <f t="shared" si="18"/>
        <v xml:space="preserve"> </v>
      </c>
      <c r="E68" s="201" t="str">
        <f t="shared" si="24"/>
        <v xml:space="preserve"> </v>
      </c>
      <c r="F68" s="202" t="str">
        <f t="shared" si="19"/>
        <v xml:space="preserve"> </v>
      </c>
      <c r="G68" s="201" t="str">
        <f t="shared" si="25"/>
        <v xml:space="preserve"> </v>
      </c>
      <c r="H68" s="202" t="str">
        <f t="shared" si="20"/>
        <v xml:space="preserve"> </v>
      </c>
      <c r="I68" s="202" t="str">
        <f t="shared" si="26"/>
        <v xml:space="preserve"> </v>
      </c>
      <c r="J68" s="276" t="str">
        <f t="shared" si="21"/>
        <v xml:space="preserve"> </v>
      </c>
      <c r="K68" s="363" t="str">
        <f t="shared" si="27"/>
        <v xml:space="preserve"> </v>
      </c>
      <c r="L68" s="363" t="str">
        <f t="shared" si="28"/>
        <v xml:space="preserve"> </v>
      </c>
      <c r="M68" s="445"/>
      <c r="N68" s="293" t="str">
        <f t="shared" si="11"/>
        <v xml:space="preserve"> </v>
      </c>
      <c r="O68" s="293" t="str">
        <f t="shared" si="12"/>
        <v xml:space="preserve"> </v>
      </c>
      <c r="P68" s="293" t="str">
        <f t="shared" si="13"/>
        <v xml:space="preserve"> </v>
      </c>
      <c r="Q68" s="294" t="str">
        <f t="shared" si="14"/>
        <v xml:space="preserve"> </v>
      </c>
      <c r="R68" s="295" t="str">
        <f t="shared" si="15"/>
        <v xml:space="preserve"> </v>
      </c>
      <c r="S68" s="295" t="str">
        <f t="shared" si="16"/>
        <v xml:space="preserve"> </v>
      </c>
      <c r="T68" s="295" t="str">
        <f>IF(A68="N/A"," ",(IF(MONTH(A68)&gt;=4,IF(MONTH(A68)&lt;=10,Inputs!$H$2,Inputs!$H$3),Inputs!$H$3)))</f>
        <v xml:space="preserve"> </v>
      </c>
      <c r="U68" s="463" t="str">
        <f t="shared" si="22"/>
        <v xml:space="preserve"> </v>
      </c>
      <c r="AF68" s="205">
        <v>38504</v>
      </c>
      <c r="AG68" s="194">
        <v>22</v>
      </c>
      <c r="AH68" s="194">
        <v>4</v>
      </c>
      <c r="AI68" s="194">
        <v>4</v>
      </c>
      <c r="AJ68" s="194">
        <v>0</v>
      </c>
      <c r="AK68" s="194">
        <v>30</v>
      </c>
    </row>
    <row r="69" spans="1:37">
      <c r="A69" s="176" t="str">
        <f>Calculations!A36</f>
        <v>N/A</v>
      </c>
      <c r="B69" s="201" t="str">
        <f t="shared" si="23"/>
        <v xml:space="preserve"> </v>
      </c>
      <c r="C69" s="203" t="str">
        <f t="shared" si="17"/>
        <v xml:space="preserve"> </v>
      </c>
      <c r="D69" s="202" t="str">
        <f t="shared" si="18"/>
        <v xml:space="preserve"> </v>
      </c>
      <c r="E69" s="201" t="str">
        <f t="shared" si="24"/>
        <v xml:space="preserve"> </v>
      </c>
      <c r="F69" s="202" t="str">
        <f t="shared" si="19"/>
        <v xml:space="preserve"> </v>
      </c>
      <c r="G69" s="201" t="str">
        <f t="shared" si="25"/>
        <v xml:space="preserve"> </v>
      </c>
      <c r="H69" s="202" t="str">
        <f t="shared" si="20"/>
        <v xml:space="preserve"> </v>
      </c>
      <c r="I69" s="202" t="str">
        <f t="shared" si="26"/>
        <v xml:space="preserve"> </v>
      </c>
      <c r="J69" s="276" t="str">
        <f t="shared" si="21"/>
        <v xml:space="preserve"> </v>
      </c>
      <c r="K69" s="363" t="str">
        <f t="shared" si="27"/>
        <v xml:space="preserve"> </v>
      </c>
      <c r="L69" s="363" t="str">
        <f t="shared" si="28"/>
        <v xml:space="preserve"> </v>
      </c>
      <c r="M69" s="445"/>
      <c r="N69" s="293" t="str">
        <f t="shared" si="11"/>
        <v xml:space="preserve"> </v>
      </c>
      <c r="O69" s="293" t="str">
        <f t="shared" si="12"/>
        <v xml:space="preserve"> </v>
      </c>
      <c r="P69" s="293" t="str">
        <f t="shared" si="13"/>
        <v xml:space="preserve"> </v>
      </c>
      <c r="Q69" s="294" t="str">
        <f t="shared" si="14"/>
        <v xml:space="preserve"> </v>
      </c>
      <c r="R69" s="295" t="str">
        <f t="shared" si="15"/>
        <v xml:space="preserve"> </v>
      </c>
      <c r="S69" s="295" t="str">
        <f t="shared" si="16"/>
        <v xml:space="preserve"> </v>
      </c>
      <c r="T69" s="295" t="str">
        <f>IF(A69="N/A"," ",(IF(MONTH(A69)&gt;=4,IF(MONTH(A69)&lt;=10,Inputs!$H$2,Inputs!$H$3),Inputs!$H$3)))</f>
        <v xml:space="preserve"> </v>
      </c>
      <c r="U69" s="463" t="str">
        <f t="shared" si="22"/>
        <v xml:space="preserve"> </v>
      </c>
      <c r="AF69" s="205">
        <v>38534</v>
      </c>
      <c r="AG69" s="194">
        <v>20</v>
      </c>
      <c r="AH69" s="194">
        <v>5</v>
      </c>
      <c r="AI69" s="194">
        <v>6</v>
      </c>
      <c r="AJ69" s="194">
        <v>1</v>
      </c>
      <c r="AK69" s="194">
        <v>31</v>
      </c>
    </row>
    <row r="70" spans="1:37">
      <c r="A70" s="176" t="str">
        <f>Calculations!A37</f>
        <v>N/A</v>
      </c>
      <c r="B70" s="201" t="str">
        <f t="shared" si="23"/>
        <v xml:space="preserve"> </v>
      </c>
      <c r="C70" s="203" t="str">
        <f t="shared" si="17"/>
        <v xml:space="preserve"> </v>
      </c>
      <c r="D70" s="202" t="str">
        <f t="shared" si="18"/>
        <v xml:space="preserve"> </v>
      </c>
      <c r="E70" s="201" t="str">
        <f t="shared" si="24"/>
        <v xml:space="preserve"> </v>
      </c>
      <c r="F70" s="202" t="str">
        <f t="shared" si="19"/>
        <v xml:space="preserve"> </v>
      </c>
      <c r="G70" s="201" t="str">
        <f t="shared" si="25"/>
        <v xml:space="preserve"> </v>
      </c>
      <c r="H70" s="202" t="str">
        <f t="shared" si="20"/>
        <v xml:space="preserve"> </v>
      </c>
      <c r="I70" s="202" t="str">
        <f t="shared" si="26"/>
        <v xml:space="preserve"> </v>
      </c>
      <c r="J70" s="276" t="str">
        <f t="shared" si="21"/>
        <v xml:space="preserve"> </v>
      </c>
      <c r="K70" s="363" t="str">
        <f t="shared" si="27"/>
        <v xml:space="preserve"> </v>
      </c>
      <c r="L70" s="363" t="str">
        <f t="shared" si="28"/>
        <v xml:space="preserve"> </v>
      </c>
      <c r="M70" s="445"/>
      <c r="N70" s="293" t="str">
        <f t="shared" si="11"/>
        <v xml:space="preserve"> </v>
      </c>
      <c r="O70" s="293" t="str">
        <f t="shared" si="12"/>
        <v xml:space="preserve"> </v>
      </c>
      <c r="P70" s="293" t="str">
        <f t="shared" si="13"/>
        <v xml:space="preserve"> </v>
      </c>
      <c r="Q70" s="294" t="str">
        <f t="shared" si="14"/>
        <v xml:space="preserve"> </v>
      </c>
      <c r="R70" s="295" t="str">
        <f t="shared" si="15"/>
        <v xml:space="preserve"> </v>
      </c>
      <c r="S70" s="295" t="str">
        <f t="shared" si="16"/>
        <v xml:space="preserve"> </v>
      </c>
      <c r="T70" s="295" t="str">
        <f>IF(A70="N/A"," ",(IF(MONTH(A70)&gt;=4,IF(MONTH(A70)&lt;=10,Inputs!$H$2,Inputs!$H$3),Inputs!$H$3)))</f>
        <v xml:space="preserve"> </v>
      </c>
      <c r="U70" s="463" t="str">
        <f t="shared" si="22"/>
        <v xml:space="preserve"> </v>
      </c>
      <c r="AF70" s="205">
        <v>38565</v>
      </c>
      <c r="AG70" s="194">
        <v>23</v>
      </c>
      <c r="AH70" s="194">
        <v>4</v>
      </c>
      <c r="AI70" s="194">
        <v>4</v>
      </c>
      <c r="AJ70" s="194">
        <v>0</v>
      </c>
      <c r="AK70" s="194">
        <v>31</v>
      </c>
    </row>
    <row r="71" spans="1:37">
      <c r="A71" s="176" t="str">
        <f>Calculations!A38</f>
        <v>N/A</v>
      </c>
      <c r="B71" s="201" t="str">
        <f t="shared" si="23"/>
        <v xml:space="preserve"> </v>
      </c>
      <c r="C71" s="203" t="str">
        <f t="shared" si="17"/>
        <v xml:space="preserve"> </v>
      </c>
      <c r="D71" s="202" t="str">
        <f t="shared" si="18"/>
        <v xml:space="preserve"> </v>
      </c>
      <c r="E71" s="201" t="str">
        <f t="shared" si="24"/>
        <v xml:space="preserve"> </v>
      </c>
      <c r="F71" s="202" t="str">
        <f t="shared" si="19"/>
        <v xml:space="preserve"> </v>
      </c>
      <c r="G71" s="201" t="str">
        <f t="shared" si="25"/>
        <v xml:space="preserve"> </v>
      </c>
      <c r="H71" s="202" t="str">
        <f t="shared" si="20"/>
        <v xml:space="preserve"> </v>
      </c>
      <c r="I71" s="202" t="str">
        <f t="shared" si="26"/>
        <v xml:space="preserve"> </v>
      </c>
      <c r="J71" s="276" t="str">
        <f t="shared" si="21"/>
        <v xml:space="preserve"> </v>
      </c>
      <c r="K71" s="363" t="str">
        <f t="shared" si="27"/>
        <v xml:space="preserve"> </v>
      </c>
      <c r="L71" s="363" t="str">
        <f t="shared" si="28"/>
        <v xml:space="preserve"> </v>
      </c>
      <c r="M71" s="445"/>
      <c r="N71" s="293" t="str">
        <f t="shared" si="11"/>
        <v xml:space="preserve"> </v>
      </c>
      <c r="O71" s="293" t="str">
        <f t="shared" si="12"/>
        <v xml:space="preserve"> </v>
      </c>
      <c r="P71" s="293" t="str">
        <f t="shared" si="13"/>
        <v xml:space="preserve"> </v>
      </c>
      <c r="Q71" s="294" t="str">
        <f t="shared" si="14"/>
        <v xml:space="preserve"> </v>
      </c>
      <c r="R71" s="295" t="str">
        <f t="shared" si="15"/>
        <v xml:space="preserve"> </v>
      </c>
      <c r="S71" s="295" t="str">
        <f t="shared" si="16"/>
        <v xml:space="preserve"> </v>
      </c>
      <c r="T71" s="295" t="str">
        <f>IF(A71="N/A"," ",(IF(MONTH(A71)&gt;=4,IF(MONTH(A71)&lt;=10,Inputs!$H$2,Inputs!$H$3),Inputs!$H$3)))</f>
        <v xml:space="preserve"> </v>
      </c>
      <c r="U71" s="463" t="str">
        <f t="shared" si="22"/>
        <v xml:space="preserve"> </v>
      </c>
      <c r="AF71" s="205">
        <v>38596</v>
      </c>
      <c r="AG71" s="194">
        <v>21</v>
      </c>
      <c r="AH71" s="194">
        <v>4</v>
      </c>
      <c r="AI71" s="194">
        <v>5</v>
      </c>
      <c r="AJ71" s="194">
        <v>1</v>
      </c>
      <c r="AK71" s="194">
        <v>30</v>
      </c>
    </row>
    <row r="72" spans="1:37">
      <c r="A72" s="176" t="str">
        <f>Calculations!A39</f>
        <v>N/A</v>
      </c>
      <c r="B72" s="201" t="str">
        <f t="shared" si="23"/>
        <v xml:space="preserve"> </v>
      </c>
      <c r="C72" s="203" t="str">
        <f t="shared" si="17"/>
        <v xml:space="preserve"> </v>
      </c>
      <c r="D72" s="202" t="str">
        <f t="shared" si="18"/>
        <v xml:space="preserve"> </v>
      </c>
      <c r="E72" s="201" t="str">
        <f t="shared" si="24"/>
        <v xml:space="preserve"> </v>
      </c>
      <c r="F72" s="202" t="str">
        <f t="shared" si="19"/>
        <v xml:space="preserve"> </v>
      </c>
      <c r="G72" s="201" t="str">
        <f t="shared" si="25"/>
        <v xml:space="preserve"> </v>
      </c>
      <c r="H72" s="202" t="str">
        <f t="shared" si="20"/>
        <v xml:space="preserve"> </v>
      </c>
      <c r="I72" s="202" t="str">
        <f t="shared" si="26"/>
        <v xml:space="preserve"> </v>
      </c>
      <c r="J72" s="276" t="str">
        <f t="shared" si="21"/>
        <v xml:space="preserve"> </v>
      </c>
      <c r="K72" s="363" t="str">
        <f t="shared" si="27"/>
        <v xml:space="preserve"> </v>
      </c>
      <c r="L72" s="363" t="str">
        <f t="shared" si="28"/>
        <v xml:space="preserve"> </v>
      </c>
      <c r="M72" s="445"/>
      <c r="N72" s="293" t="str">
        <f t="shared" si="11"/>
        <v xml:space="preserve"> </v>
      </c>
      <c r="O72" s="293" t="str">
        <f t="shared" si="12"/>
        <v xml:space="preserve"> </v>
      </c>
      <c r="P72" s="293" t="str">
        <f t="shared" si="13"/>
        <v xml:space="preserve"> </v>
      </c>
      <c r="Q72" s="294" t="str">
        <f t="shared" si="14"/>
        <v xml:space="preserve"> </v>
      </c>
      <c r="R72" s="295" t="str">
        <f t="shared" si="15"/>
        <v xml:space="preserve"> </v>
      </c>
      <c r="S72" s="295" t="str">
        <f t="shared" si="16"/>
        <v xml:space="preserve"> </v>
      </c>
      <c r="T72" s="295" t="str">
        <f>IF(A72="N/A"," ",(IF(MONTH(A72)&gt;=4,IF(MONTH(A72)&lt;=10,Inputs!$H$2,Inputs!$H$3),Inputs!$H$3)))</f>
        <v xml:space="preserve"> </v>
      </c>
      <c r="U72" s="463" t="str">
        <f t="shared" si="22"/>
        <v xml:space="preserve"> </v>
      </c>
      <c r="AF72" s="205">
        <v>38626</v>
      </c>
      <c r="AG72" s="194">
        <v>21</v>
      </c>
      <c r="AH72" s="194">
        <v>5</v>
      </c>
      <c r="AI72" s="194">
        <v>5</v>
      </c>
      <c r="AJ72" s="194">
        <v>0</v>
      </c>
      <c r="AK72" s="194">
        <v>31</v>
      </c>
    </row>
    <row r="73" spans="1:37">
      <c r="A73" s="176" t="str">
        <f>Calculations!A40</f>
        <v>N/A</v>
      </c>
      <c r="B73" s="201" t="str">
        <f t="shared" si="23"/>
        <v xml:space="preserve"> </v>
      </c>
      <c r="C73" s="203" t="str">
        <f t="shared" si="17"/>
        <v xml:space="preserve"> </v>
      </c>
      <c r="D73" s="202" t="str">
        <f t="shared" si="18"/>
        <v xml:space="preserve"> </v>
      </c>
      <c r="E73" s="201" t="str">
        <f t="shared" si="24"/>
        <v xml:space="preserve"> </v>
      </c>
      <c r="F73" s="202" t="str">
        <f t="shared" si="19"/>
        <v xml:space="preserve"> </v>
      </c>
      <c r="G73" s="201" t="str">
        <f t="shared" si="25"/>
        <v xml:space="preserve"> </v>
      </c>
      <c r="H73" s="202" t="str">
        <f t="shared" si="20"/>
        <v xml:space="preserve"> </v>
      </c>
      <c r="I73" s="202" t="str">
        <f t="shared" si="26"/>
        <v xml:space="preserve"> </v>
      </c>
      <c r="J73" s="276" t="str">
        <f t="shared" si="21"/>
        <v xml:space="preserve"> </v>
      </c>
      <c r="K73" s="363" t="str">
        <f t="shared" si="27"/>
        <v xml:space="preserve"> </v>
      </c>
      <c r="L73" s="363" t="str">
        <f t="shared" si="28"/>
        <v xml:space="preserve"> </v>
      </c>
      <c r="M73" s="445"/>
      <c r="N73" s="293" t="str">
        <f t="shared" si="11"/>
        <v xml:space="preserve"> </v>
      </c>
      <c r="O73" s="293" t="str">
        <f t="shared" si="12"/>
        <v xml:space="preserve"> </v>
      </c>
      <c r="P73" s="293" t="str">
        <f t="shared" si="13"/>
        <v xml:space="preserve"> </v>
      </c>
      <c r="Q73" s="294" t="str">
        <f t="shared" si="14"/>
        <v xml:space="preserve"> </v>
      </c>
      <c r="R73" s="295" t="str">
        <f t="shared" si="15"/>
        <v xml:space="preserve"> </v>
      </c>
      <c r="S73" s="295" t="str">
        <f t="shared" si="16"/>
        <v xml:space="preserve"> </v>
      </c>
      <c r="T73" s="295" t="str">
        <f>IF(A73="N/A"," ",(IF(MONTH(A73)&gt;=4,IF(MONTH(A73)&lt;=10,Inputs!$H$2,Inputs!$H$3),Inputs!$H$3)))</f>
        <v xml:space="preserve"> </v>
      </c>
      <c r="U73" s="463" t="str">
        <f t="shared" si="22"/>
        <v xml:space="preserve"> </v>
      </c>
      <c r="AF73" s="205">
        <v>38657</v>
      </c>
      <c r="AG73" s="194">
        <v>21</v>
      </c>
      <c r="AH73" s="194">
        <v>4</v>
      </c>
      <c r="AI73" s="194">
        <v>5</v>
      </c>
      <c r="AJ73" s="194">
        <v>1</v>
      </c>
      <c r="AK73" s="194">
        <v>30</v>
      </c>
    </row>
    <row r="74" spans="1:37">
      <c r="A74" s="176" t="str">
        <f>Calculations!A41</f>
        <v>N/A</v>
      </c>
      <c r="B74" s="201" t="str">
        <f t="shared" si="23"/>
        <v xml:space="preserve"> </v>
      </c>
      <c r="C74" s="203" t="str">
        <f t="shared" si="17"/>
        <v xml:space="preserve"> </v>
      </c>
      <c r="D74" s="202" t="str">
        <f t="shared" si="18"/>
        <v xml:space="preserve"> </v>
      </c>
      <c r="E74" s="201" t="str">
        <f t="shared" si="24"/>
        <v xml:space="preserve"> </v>
      </c>
      <c r="F74" s="202" t="str">
        <f t="shared" si="19"/>
        <v xml:space="preserve"> </v>
      </c>
      <c r="G74" s="201" t="str">
        <f t="shared" si="25"/>
        <v xml:space="preserve"> </v>
      </c>
      <c r="H74" s="202" t="str">
        <f t="shared" si="20"/>
        <v xml:space="preserve"> </v>
      </c>
      <c r="I74" s="202" t="str">
        <f t="shared" si="26"/>
        <v xml:space="preserve"> </v>
      </c>
      <c r="J74" s="276" t="str">
        <f t="shared" si="21"/>
        <v xml:space="preserve"> </v>
      </c>
      <c r="K74" s="363" t="str">
        <f t="shared" si="27"/>
        <v xml:space="preserve"> </v>
      </c>
      <c r="L74" s="363" t="str">
        <f t="shared" si="28"/>
        <v xml:space="preserve"> </v>
      </c>
      <c r="M74" s="445"/>
      <c r="N74" s="293" t="str">
        <f t="shared" si="11"/>
        <v xml:space="preserve"> </v>
      </c>
      <c r="O74" s="293" t="str">
        <f t="shared" si="12"/>
        <v xml:space="preserve"> </v>
      </c>
      <c r="P74" s="293" t="str">
        <f t="shared" si="13"/>
        <v xml:space="preserve"> </v>
      </c>
      <c r="Q74" s="294" t="str">
        <f t="shared" si="14"/>
        <v xml:space="preserve"> </v>
      </c>
      <c r="R74" s="295" t="str">
        <f t="shared" si="15"/>
        <v xml:space="preserve"> </v>
      </c>
      <c r="S74" s="295" t="str">
        <f t="shared" si="16"/>
        <v xml:space="preserve"> </v>
      </c>
      <c r="T74" s="295" t="str">
        <f>IF(A74="N/A"," ",(IF(MONTH(A74)&gt;=4,IF(MONTH(A74)&lt;=10,Inputs!$H$2,Inputs!$H$3),Inputs!$H$3)))</f>
        <v xml:space="preserve"> </v>
      </c>
      <c r="U74" s="463" t="str">
        <f t="shared" si="22"/>
        <v xml:space="preserve"> </v>
      </c>
      <c r="AF74" s="205">
        <v>38687</v>
      </c>
      <c r="AG74" s="194">
        <v>21</v>
      </c>
      <c r="AH74" s="194">
        <v>5</v>
      </c>
      <c r="AI74" s="194">
        <v>5</v>
      </c>
      <c r="AJ74" s="194">
        <v>1</v>
      </c>
      <c r="AK74" s="194">
        <v>31</v>
      </c>
    </row>
    <row r="75" spans="1:37">
      <c r="A75" s="176" t="str">
        <f>Calculations!A42</f>
        <v>N/A</v>
      </c>
      <c r="B75" s="201" t="str">
        <f t="shared" si="23"/>
        <v xml:space="preserve"> </v>
      </c>
      <c r="C75" s="203" t="str">
        <f t="shared" si="17"/>
        <v xml:space="preserve"> </v>
      </c>
      <c r="D75" s="202" t="str">
        <f t="shared" si="18"/>
        <v xml:space="preserve"> </v>
      </c>
      <c r="E75" s="201" t="str">
        <f t="shared" si="24"/>
        <v xml:space="preserve"> </v>
      </c>
      <c r="F75" s="202" t="str">
        <f t="shared" si="19"/>
        <v xml:space="preserve"> </v>
      </c>
      <c r="G75" s="201" t="str">
        <f t="shared" si="25"/>
        <v xml:space="preserve"> </v>
      </c>
      <c r="H75" s="202" t="str">
        <f t="shared" si="20"/>
        <v xml:space="preserve"> </v>
      </c>
      <c r="I75" s="202" t="str">
        <f t="shared" si="26"/>
        <v xml:space="preserve"> </v>
      </c>
      <c r="J75" s="276" t="str">
        <f t="shared" si="21"/>
        <v xml:space="preserve"> </v>
      </c>
      <c r="K75" s="363" t="str">
        <f t="shared" si="27"/>
        <v xml:space="preserve"> </v>
      </c>
      <c r="L75" s="363" t="str">
        <f t="shared" si="28"/>
        <v xml:space="preserve"> </v>
      </c>
      <c r="M75" s="445"/>
      <c r="N75" s="293" t="str">
        <f t="shared" si="11"/>
        <v xml:space="preserve"> </v>
      </c>
      <c r="O75" s="293" t="str">
        <f t="shared" si="12"/>
        <v xml:space="preserve"> </v>
      </c>
      <c r="P75" s="293" t="str">
        <f t="shared" si="13"/>
        <v xml:space="preserve"> </v>
      </c>
      <c r="Q75" s="294" t="str">
        <f t="shared" si="14"/>
        <v xml:space="preserve"> </v>
      </c>
      <c r="R75" s="295" t="str">
        <f t="shared" si="15"/>
        <v xml:space="preserve"> </v>
      </c>
      <c r="S75" s="295" t="str">
        <f t="shared" si="16"/>
        <v xml:space="preserve"> </v>
      </c>
      <c r="T75" s="295" t="str">
        <f>IF(A75="N/A"," ",(IF(MONTH(A75)&gt;=4,IF(MONTH(A75)&lt;=10,Inputs!$H$2,Inputs!$H$3),Inputs!$H$3)))</f>
        <v xml:space="preserve"> </v>
      </c>
      <c r="U75" s="463" t="str">
        <f t="shared" si="22"/>
        <v xml:space="preserve"> </v>
      </c>
      <c r="AF75" s="205">
        <v>38718</v>
      </c>
      <c r="AG75" s="194">
        <v>21</v>
      </c>
      <c r="AH75" s="194">
        <v>4</v>
      </c>
      <c r="AI75" s="194">
        <v>6</v>
      </c>
      <c r="AJ75" s="194">
        <v>1</v>
      </c>
      <c r="AK75" s="194">
        <v>31</v>
      </c>
    </row>
    <row r="76" spans="1:37">
      <c r="A76" s="176" t="str">
        <f>Calculations!A43</f>
        <v>N/A</v>
      </c>
      <c r="B76" s="201" t="str">
        <f t="shared" si="23"/>
        <v xml:space="preserve"> </v>
      </c>
      <c r="C76" s="203" t="str">
        <f t="shared" si="17"/>
        <v xml:space="preserve"> </v>
      </c>
      <c r="D76" s="202" t="str">
        <f t="shared" si="18"/>
        <v xml:space="preserve"> </v>
      </c>
      <c r="E76" s="201" t="str">
        <f t="shared" si="24"/>
        <v xml:space="preserve"> </v>
      </c>
      <c r="F76" s="202" t="str">
        <f t="shared" si="19"/>
        <v xml:space="preserve"> </v>
      </c>
      <c r="G76" s="201" t="str">
        <f t="shared" si="25"/>
        <v xml:space="preserve"> </v>
      </c>
      <c r="H76" s="202" t="str">
        <f t="shared" si="20"/>
        <v xml:space="preserve"> </v>
      </c>
      <c r="I76" s="202" t="str">
        <f t="shared" si="26"/>
        <v xml:space="preserve"> </v>
      </c>
      <c r="J76" s="276" t="str">
        <f t="shared" si="21"/>
        <v xml:space="preserve"> </v>
      </c>
      <c r="K76" s="363" t="str">
        <f t="shared" si="27"/>
        <v xml:space="preserve"> </v>
      </c>
      <c r="L76" s="363" t="str">
        <f t="shared" si="28"/>
        <v xml:space="preserve"> </v>
      </c>
      <c r="M76" s="445"/>
      <c r="N76" s="293" t="str">
        <f t="shared" si="11"/>
        <v xml:space="preserve"> </v>
      </c>
      <c r="O76" s="293" t="str">
        <f t="shared" si="12"/>
        <v xml:space="preserve"> </v>
      </c>
      <c r="P76" s="293" t="str">
        <f t="shared" si="13"/>
        <v xml:space="preserve"> </v>
      </c>
      <c r="Q76" s="294" t="str">
        <f t="shared" si="14"/>
        <v xml:space="preserve"> </v>
      </c>
      <c r="R76" s="295" t="str">
        <f t="shared" si="15"/>
        <v xml:space="preserve"> </v>
      </c>
      <c r="S76" s="295" t="str">
        <f t="shared" si="16"/>
        <v xml:space="preserve"> </v>
      </c>
      <c r="T76" s="295" t="str">
        <f>IF(A76="N/A"," ",(IF(MONTH(A76)&gt;=4,IF(MONTH(A76)&lt;=10,Inputs!$H$2,Inputs!$H$3),Inputs!$H$3)))</f>
        <v xml:space="preserve"> </v>
      </c>
      <c r="U76" s="463" t="str">
        <f t="shared" si="22"/>
        <v xml:space="preserve"> </v>
      </c>
      <c r="AF76" s="205">
        <v>38749</v>
      </c>
      <c r="AG76" s="194">
        <v>20</v>
      </c>
      <c r="AH76" s="194">
        <v>4</v>
      </c>
      <c r="AI76" s="194">
        <v>4</v>
      </c>
      <c r="AJ76" s="194">
        <v>0</v>
      </c>
      <c r="AK76" s="194">
        <v>28</v>
      </c>
    </row>
    <row r="77" spans="1:37">
      <c r="A77" s="176" t="str">
        <f>Calculations!A44</f>
        <v>N/A</v>
      </c>
      <c r="B77" s="201" t="str">
        <f t="shared" si="23"/>
        <v xml:space="preserve"> </v>
      </c>
      <c r="C77" s="203" t="str">
        <f t="shared" si="17"/>
        <v xml:space="preserve"> </v>
      </c>
      <c r="D77" s="202" t="str">
        <f t="shared" si="18"/>
        <v xml:space="preserve"> </v>
      </c>
      <c r="E77" s="201" t="str">
        <f t="shared" si="24"/>
        <v xml:space="preserve"> </v>
      </c>
      <c r="F77" s="202" t="str">
        <f t="shared" si="19"/>
        <v xml:space="preserve"> </v>
      </c>
      <c r="G77" s="201" t="str">
        <f t="shared" si="25"/>
        <v xml:space="preserve"> </v>
      </c>
      <c r="H77" s="202" t="str">
        <f t="shared" si="20"/>
        <v xml:space="preserve"> </v>
      </c>
      <c r="I77" s="202" t="str">
        <f t="shared" si="26"/>
        <v xml:space="preserve"> </v>
      </c>
      <c r="J77" s="276" t="str">
        <f t="shared" si="21"/>
        <v xml:space="preserve"> </v>
      </c>
      <c r="K77" s="363" t="str">
        <f t="shared" si="27"/>
        <v xml:space="preserve"> </v>
      </c>
      <c r="L77" s="363" t="str">
        <f t="shared" si="28"/>
        <v xml:space="preserve"> </v>
      </c>
      <c r="M77" s="445"/>
      <c r="N77" s="293" t="str">
        <f t="shared" si="11"/>
        <v xml:space="preserve"> </v>
      </c>
      <c r="O77" s="293" t="str">
        <f t="shared" si="12"/>
        <v xml:space="preserve"> </v>
      </c>
      <c r="P77" s="293" t="str">
        <f t="shared" si="13"/>
        <v xml:space="preserve"> </v>
      </c>
      <c r="Q77" s="294" t="str">
        <f t="shared" si="14"/>
        <v xml:space="preserve"> </v>
      </c>
      <c r="R77" s="295" t="str">
        <f t="shared" si="15"/>
        <v xml:space="preserve"> </v>
      </c>
      <c r="S77" s="295" t="str">
        <f t="shared" si="16"/>
        <v xml:space="preserve"> </v>
      </c>
      <c r="T77" s="295" t="str">
        <f>IF(A77="N/A"," ",(IF(MONTH(A77)&gt;=4,IF(MONTH(A77)&lt;=10,Inputs!$H$2,Inputs!$H$3),Inputs!$H$3)))</f>
        <v xml:space="preserve"> </v>
      </c>
      <c r="U77" s="463" t="str">
        <f t="shared" si="22"/>
        <v xml:space="preserve"> </v>
      </c>
      <c r="AF77" s="205">
        <v>38777</v>
      </c>
      <c r="AG77" s="194">
        <v>23</v>
      </c>
      <c r="AH77" s="194">
        <v>4</v>
      </c>
      <c r="AI77" s="194">
        <v>4</v>
      </c>
      <c r="AJ77" s="194">
        <v>0</v>
      </c>
      <c r="AK77" s="194">
        <v>31</v>
      </c>
    </row>
    <row r="78" spans="1:37">
      <c r="A78" s="176" t="str">
        <f>Calculations!A45</f>
        <v>N/A</v>
      </c>
      <c r="B78" s="201" t="str">
        <f t="shared" si="23"/>
        <v xml:space="preserve"> </v>
      </c>
      <c r="C78" s="203" t="str">
        <f t="shared" si="17"/>
        <v xml:space="preserve"> </v>
      </c>
      <c r="D78" s="202" t="str">
        <f t="shared" si="18"/>
        <v xml:space="preserve"> </v>
      </c>
      <c r="E78" s="201" t="str">
        <f t="shared" si="24"/>
        <v xml:space="preserve"> </v>
      </c>
      <c r="F78" s="202" t="str">
        <f t="shared" si="19"/>
        <v xml:space="preserve"> </v>
      </c>
      <c r="G78" s="201" t="str">
        <f t="shared" si="25"/>
        <v xml:space="preserve"> </v>
      </c>
      <c r="H78" s="202" t="str">
        <f t="shared" si="20"/>
        <v xml:space="preserve"> </v>
      </c>
      <c r="I78" s="202" t="str">
        <f t="shared" si="26"/>
        <v xml:space="preserve"> </v>
      </c>
      <c r="J78" s="276" t="str">
        <f t="shared" si="21"/>
        <v xml:space="preserve"> </v>
      </c>
      <c r="K78" s="363" t="str">
        <f t="shared" si="27"/>
        <v xml:space="preserve"> </v>
      </c>
      <c r="L78" s="363" t="str">
        <f t="shared" si="28"/>
        <v xml:space="preserve"> </v>
      </c>
      <c r="M78" s="445"/>
      <c r="N78" s="293" t="str">
        <f t="shared" si="11"/>
        <v xml:space="preserve"> </v>
      </c>
      <c r="O78" s="293" t="str">
        <f t="shared" si="12"/>
        <v xml:space="preserve"> </v>
      </c>
      <c r="P78" s="293" t="str">
        <f t="shared" si="13"/>
        <v xml:space="preserve"> </v>
      </c>
      <c r="Q78" s="294" t="str">
        <f t="shared" si="14"/>
        <v xml:space="preserve"> </v>
      </c>
      <c r="R78" s="295" t="str">
        <f t="shared" si="15"/>
        <v xml:space="preserve"> </v>
      </c>
      <c r="S78" s="295" t="str">
        <f t="shared" si="16"/>
        <v xml:space="preserve"> </v>
      </c>
      <c r="T78" s="295" t="str">
        <f>IF(A78="N/A"," ",(IF(MONTH(A78)&gt;=4,IF(MONTH(A78)&lt;=10,Inputs!$H$2,Inputs!$H$3),Inputs!$H$3)))</f>
        <v xml:space="preserve"> </v>
      </c>
      <c r="U78" s="463" t="str">
        <f t="shared" si="22"/>
        <v xml:space="preserve"> </v>
      </c>
      <c r="AF78" s="205">
        <v>38808</v>
      </c>
      <c r="AG78" s="194">
        <v>20</v>
      </c>
      <c r="AH78" s="194">
        <v>5</v>
      </c>
      <c r="AI78" s="194">
        <v>5</v>
      </c>
      <c r="AJ78" s="194">
        <v>0</v>
      </c>
      <c r="AK78" s="194">
        <v>30</v>
      </c>
    </row>
    <row r="79" spans="1:37">
      <c r="A79" s="176" t="str">
        <f>Calculations!A46</f>
        <v>N/A</v>
      </c>
      <c r="B79" s="201" t="str">
        <f t="shared" si="23"/>
        <v xml:space="preserve"> </v>
      </c>
      <c r="C79" s="203" t="str">
        <f t="shared" si="17"/>
        <v xml:space="preserve"> </v>
      </c>
      <c r="D79" s="202" t="str">
        <f t="shared" si="18"/>
        <v xml:space="preserve"> </v>
      </c>
      <c r="E79" s="201" t="str">
        <f t="shared" si="24"/>
        <v xml:space="preserve"> </v>
      </c>
      <c r="F79" s="202" t="str">
        <f t="shared" si="19"/>
        <v xml:space="preserve"> </v>
      </c>
      <c r="G79" s="201" t="str">
        <f t="shared" si="25"/>
        <v xml:space="preserve"> </v>
      </c>
      <c r="H79" s="202" t="str">
        <f t="shared" si="20"/>
        <v xml:space="preserve"> </v>
      </c>
      <c r="I79" s="202" t="str">
        <f t="shared" si="26"/>
        <v xml:space="preserve"> </v>
      </c>
      <c r="J79" s="276" t="str">
        <f t="shared" si="21"/>
        <v xml:space="preserve"> </v>
      </c>
      <c r="K79" s="363" t="str">
        <f t="shared" si="27"/>
        <v xml:space="preserve"> </v>
      </c>
      <c r="L79" s="363" t="str">
        <f t="shared" si="28"/>
        <v xml:space="preserve"> </v>
      </c>
      <c r="M79" s="445"/>
      <c r="N79" s="293" t="str">
        <f t="shared" si="11"/>
        <v xml:space="preserve"> </v>
      </c>
      <c r="O79" s="293" t="str">
        <f t="shared" si="12"/>
        <v xml:space="preserve"> </v>
      </c>
      <c r="P79" s="293" t="str">
        <f t="shared" si="13"/>
        <v xml:space="preserve"> </v>
      </c>
      <c r="Q79" s="294" t="str">
        <f t="shared" si="14"/>
        <v xml:space="preserve"> </v>
      </c>
      <c r="R79" s="295" t="str">
        <f t="shared" si="15"/>
        <v xml:space="preserve"> </v>
      </c>
      <c r="S79" s="295" t="str">
        <f t="shared" si="16"/>
        <v xml:space="preserve"> </v>
      </c>
      <c r="T79" s="295" t="str">
        <f>IF(A79="N/A"," ",(IF(MONTH(A79)&gt;=4,IF(MONTH(A79)&lt;=10,Inputs!$H$2,Inputs!$H$3),Inputs!$H$3)))</f>
        <v xml:space="preserve"> </v>
      </c>
      <c r="U79" s="463" t="str">
        <f t="shared" si="22"/>
        <v xml:space="preserve"> </v>
      </c>
      <c r="AF79" s="205">
        <v>38838</v>
      </c>
      <c r="AG79" s="194">
        <v>22</v>
      </c>
      <c r="AH79" s="194">
        <v>4</v>
      </c>
      <c r="AI79" s="194">
        <v>5</v>
      </c>
      <c r="AJ79" s="194">
        <v>1</v>
      </c>
      <c r="AK79" s="194">
        <v>31</v>
      </c>
    </row>
    <row r="80" spans="1:37">
      <c r="A80" s="176" t="str">
        <f>Calculations!A47</f>
        <v>N/A</v>
      </c>
      <c r="B80" s="201" t="str">
        <f t="shared" si="23"/>
        <v xml:space="preserve"> </v>
      </c>
      <c r="C80" s="203" t="str">
        <f t="shared" si="17"/>
        <v xml:space="preserve"> </v>
      </c>
      <c r="D80" s="202" t="str">
        <f t="shared" si="18"/>
        <v xml:space="preserve"> </v>
      </c>
      <c r="E80" s="201" t="str">
        <f t="shared" si="24"/>
        <v xml:space="preserve"> </v>
      </c>
      <c r="F80" s="202" t="str">
        <f t="shared" si="19"/>
        <v xml:space="preserve"> </v>
      </c>
      <c r="G80" s="201" t="str">
        <f t="shared" si="25"/>
        <v xml:space="preserve"> </v>
      </c>
      <c r="H80" s="202" t="str">
        <f t="shared" si="20"/>
        <v xml:space="preserve"> </v>
      </c>
      <c r="I80" s="202" t="str">
        <f t="shared" si="26"/>
        <v xml:space="preserve"> </v>
      </c>
      <c r="J80" s="276" t="str">
        <f t="shared" si="21"/>
        <v xml:space="preserve"> </v>
      </c>
      <c r="K80" s="363" t="str">
        <f t="shared" si="27"/>
        <v xml:space="preserve"> </v>
      </c>
      <c r="L80" s="363" t="str">
        <f t="shared" si="28"/>
        <v xml:space="preserve"> </v>
      </c>
      <c r="M80" s="445"/>
      <c r="N80" s="293" t="str">
        <f t="shared" si="11"/>
        <v xml:space="preserve"> </v>
      </c>
      <c r="O80" s="293" t="str">
        <f t="shared" si="12"/>
        <v xml:space="preserve"> </v>
      </c>
      <c r="P80" s="293" t="str">
        <f t="shared" si="13"/>
        <v xml:space="preserve"> </v>
      </c>
      <c r="Q80" s="294" t="str">
        <f t="shared" si="14"/>
        <v xml:space="preserve"> </v>
      </c>
      <c r="R80" s="295" t="str">
        <f t="shared" si="15"/>
        <v xml:space="preserve"> </v>
      </c>
      <c r="S80" s="295" t="str">
        <f t="shared" si="16"/>
        <v xml:space="preserve"> </v>
      </c>
      <c r="T80" s="295" t="str">
        <f>IF(A80="N/A"," ",(IF(MONTH(A80)&gt;=4,IF(MONTH(A80)&lt;=10,Inputs!$H$2,Inputs!$H$3),Inputs!$H$3)))</f>
        <v xml:space="preserve"> </v>
      </c>
      <c r="U80" s="463" t="str">
        <f t="shared" si="22"/>
        <v xml:space="preserve"> </v>
      </c>
      <c r="AF80" s="205">
        <v>38869</v>
      </c>
      <c r="AG80" s="194">
        <v>22</v>
      </c>
      <c r="AH80" s="194">
        <v>4</v>
      </c>
      <c r="AI80" s="194">
        <v>4</v>
      </c>
      <c r="AJ80" s="194">
        <v>0</v>
      </c>
      <c r="AK80" s="194">
        <v>30</v>
      </c>
    </row>
    <row r="81" spans="1:37">
      <c r="A81" s="176" t="str">
        <f>Calculations!A48</f>
        <v>N/A</v>
      </c>
      <c r="B81" s="201" t="str">
        <f t="shared" si="23"/>
        <v xml:space="preserve"> </v>
      </c>
      <c r="C81" s="203" t="str">
        <f t="shared" si="17"/>
        <v xml:space="preserve"> </v>
      </c>
      <c r="D81" s="202" t="str">
        <f t="shared" si="18"/>
        <v xml:space="preserve"> </v>
      </c>
      <c r="E81" s="201" t="str">
        <f t="shared" si="24"/>
        <v xml:space="preserve"> </v>
      </c>
      <c r="F81" s="202" t="str">
        <f t="shared" si="19"/>
        <v xml:space="preserve"> </v>
      </c>
      <c r="G81" s="201" t="str">
        <f t="shared" si="25"/>
        <v xml:space="preserve"> </v>
      </c>
      <c r="H81" s="202" t="str">
        <f t="shared" si="20"/>
        <v xml:space="preserve"> </v>
      </c>
      <c r="I81" s="202" t="str">
        <f t="shared" si="26"/>
        <v xml:space="preserve"> </v>
      </c>
      <c r="J81" s="276" t="str">
        <f t="shared" si="21"/>
        <v xml:space="preserve"> </v>
      </c>
      <c r="K81" s="363" t="str">
        <f t="shared" si="27"/>
        <v xml:space="preserve"> </v>
      </c>
      <c r="L81" s="363" t="str">
        <f t="shared" si="28"/>
        <v xml:space="preserve"> </v>
      </c>
      <c r="M81" s="445"/>
      <c r="N81" s="293" t="str">
        <f t="shared" si="11"/>
        <v xml:space="preserve"> </v>
      </c>
      <c r="O81" s="293" t="str">
        <f t="shared" si="12"/>
        <v xml:space="preserve"> </v>
      </c>
      <c r="P81" s="293" t="str">
        <f t="shared" si="13"/>
        <v xml:space="preserve"> </v>
      </c>
      <c r="Q81" s="294" t="str">
        <f t="shared" si="14"/>
        <v xml:space="preserve"> </v>
      </c>
      <c r="R81" s="295" t="str">
        <f t="shared" si="15"/>
        <v xml:space="preserve"> </v>
      </c>
      <c r="S81" s="295" t="str">
        <f t="shared" si="16"/>
        <v xml:space="preserve"> </v>
      </c>
      <c r="T81" s="295" t="str">
        <f>IF(A81="N/A"," ",(IF(MONTH(A81)&gt;=4,IF(MONTH(A81)&lt;=10,Inputs!$H$2,Inputs!$H$3),Inputs!$H$3)))</f>
        <v xml:space="preserve"> </v>
      </c>
      <c r="U81" s="463" t="str">
        <f t="shared" si="22"/>
        <v xml:space="preserve"> </v>
      </c>
      <c r="AF81" s="205">
        <v>38899</v>
      </c>
      <c r="AG81" s="194">
        <v>20</v>
      </c>
      <c r="AH81" s="194">
        <v>5</v>
      </c>
      <c r="AI81" s="194">
        <v>6</v>
      </c>
      <c r="AJ81" s="194">
        <v>1</v>
      </c>
      <c r="AK81" s="194">
        <v>31</v>
      </c>
    </row>
    <row r="82" spans="1:37">
      <c r="A82" s="176" t="str">
        <f>Calculations!A49</f>
        <v>N/A</v>
      </c>
      <c r="B82" s="201" t="str">
        <f t="shared" si="23"/>
        <v xml:space="preserve"> </v>
      </c>
      <c r="C82" s="203" t="str">
        <f t="shared" si="17"/>
        <v xml:space="preserve"> </v>
      </c>
      <c r="D82" s="202" t="str">
        <f t="shared" si="18"/>
        <v xml:space="preserve"> </v>
      </c>
      <c r="E82" s="201" t="str">
        <f t="shared" si="24"/>
        <v xml:space="preserve"> </v>
      </c>
      <c r="F82" s="202" t="str">
        <f t="shared" si="19"/>
        <v xml:space="preserve"> </v>
      </c>
      <c r="G82" s="201" t="str">
        <f t="shared" si="25"/>
        <v xml:space="preserve"> </v>
      </c>
      <c r="H82" s="202" t="str">
        <f t="shared" si="20"/>
        <v xml:space="preserve"> </v>
      </c>
      <c r="I82" s="202" t="str">
        <f t="shared" si="26"/>
        <v xml:space="preserve"> </v>
      </c>
      <c r="J82" s="276" t="str">
        <f t="shared" si="21"/>
        <v xml:space="preserve"> </v>
      </c>
      <c r="K82" s="363" t="str">
        <f t="shared" si="27"/>
        <v xml:space="preserve"> </v>
      </c>
      <c r="L82" s="363" t="str">
        <f t="shared" si="28"/>
        <v xml:space="preserve"> </v>
      </c>
      <c r="M82" s="445"/>
      <c r="N82" s="293" t="str">
        <f t="shared" si="11"/>
        <v xml:space="preserve"> </v>
      </c>
      <c r="O82" s="293" t="str">
        <f t="shared" si="12"/>
        <v xml:space="preserve"> </v>
      </c>
      <c r="P82" s="293" t="str">
        <f t="shared" si="13"/>
        <v xml:space="preserve"> </v>
      </c>
      <c r="Q82" s="294" t="str">
        <f t="shared" si="14"/>
        <v xml:space="preserve"> </v>
      </c>
      <c r="R82" s="295" t="str">
        <f t="shared" si="15"/>
        <v xml:space="preserve"> </v>
      </c>
      <c r="S82" s="295" t="str">
        <f t="shared" si="16"/>
        <v xml:space="preserve"> </v>
      </c>
      <c r="T82" s="295" t="str">
        <f>IF(A82="N/A"," ",(IF(MONTH(A82)&gt;=4,IF(MONTH(A82)&lt;=10,Inputs!$H$2,Inputs!$H$3),Inputs!$H$3)))</f>
        <v xml:space="preserve"> </v>
      </c>
      <c r="U82" s="463" t="str">
        <f t="shared" si="22"/>
        <v xml:space="preserve"> </v>
      </c>
      <c r="AF82" s="205">
        <v>38930</v>
      </c>
      <c r="AG82" s="194">
        <v>23</v>
      </c>
      <c r="AH82" s="194">
        <v>4</v>
      </c>
      <c r="AI82" s="194">
        <v>4</v>
      </c>
      <c r="AJ82" s="194">
        <v>0</v>
      </c>
      <c r="AK82" s="194">
        <v>31</v>
      </c>
    </row>
    <row r="83" spans="1:37">
      <c r="A83" s="176" t="str">
        <f>Calculations!A50</f>
        <v>N/A</v>
      </c>
      <c r="B83" s="201" t="str">
        <f t="shared" si="23"/>
        <v xml:space="preserve"> </v>
      </c>
      <c r="C83" s="203" t="str">
        <f t="shared" si="17"/>
        <v xml:space="preserve"> </v>
      </c>
      <c r="D83" s="202" t="str">
        <f t="shared" si="18"/>
        <v xml:space="preserve"> </v>
      </c>
      <c r="E83" s="201" t="str">
        <f t="shared" si="24"/>
        <v xml:space="preserve"> </v>
      </c>
      <c r="F83" s="202" t="str">
        <f t="shared" si="19"/>
        <v xml:space="preserve"> </v>
      </c>
      <c r="G83" s="201" t="str">
        <f t="shared" si="25"/>
        <v xml:space="preserve"> </v>
      </c>
      <c r="H83" s="202" t="str">
        <f t="shared" si="20"/>
        <v xml:space="preserve"> </v>
      </c>
      <c r="I83" s="202" t="str">
        <f t="shared" si="26"/>
        <v xml:space="preserve"> </v>
      </c>
      <c r="J83" s="276" t="str">
        <f t="shared" si="21"/>
        <v xml:space="preserve"> </v>
      </c>
      <c r="K83" s="363" t="str">
        <f t="shared" si="27"/>
        <v xml:space="preserve"> </v>
      </c>
      <c r="L83" s="363" t="str">
        <f t="shared" si="28"/>
        <v xml:space="preserve"> </v>
      </c>
      <c r="M83" s="445"/>
      <c r="N83" s="293" t="str">
        <f t="shared" si="11"/>
        <v xml:space="preserve"> </v>
      </c>
      <c r="O83" s="293" t="str">
        <f t="shared" si="12"/>
        <v xml:space="preserve"> </v>
      </c>
      <c r="P83" s="293" t="str">
        <f t="shared" si="13"/>
        <v xml:space="preserve"> </v>
      </c>
      <c r="Q83" s="294" t="str">
        <f t="shared" si="14"/>
        <v xml:space="preserve"> </v>
      </c>
      <c r="R83" s="295" t="str">
        <f t="shared" si="15"/>
        <v xml:space="preserve"> </v>
      </c>
      <c r="S83" s="295" t="str">
        <f t="shared" si="16"/>
        <v xml:space="preserve"> </v>
      </c>
      <c r="T83" s="295" t="str">
        <f>IF(A83="N/A"," ",(IF(MONTH(A83)&gt;=4,IF(MONTH(A83)&lt;=10,Inputs!$H$2,Inputs!$H$3),Inputs!$H$3)))</f>
        <v xml:space="preserve"> </v>
      </c>
      <c r="U83" s="463" t="str">
        <f t="shared" si="22"/>
        <v xml:space="preserve"> </v>
      </c>
      <c r="AF83" s="205">
        <v>38961</v>
      </c>
      <c r="AG83" s="194">
        <v>20</v>
      </c>
      <c r="AH83" s="194">
        <v>5</v>
      </c>
      <c r="AI83" s="194">
        <v>5</v>
      </c>
      <c r="AJ83" s="194">
        <v>1</v>
      </c>
      <c r="AK83" s="194">
        <v>30</v>
      </c>
    </row>
    <row r="84" spans="1:37">
      <c r="A84" s="176" t="str">
        <f>Calculations!A51</f>
        <v>N/A</v>
      </c>
      <c r="B84" s="201" t="str">
        <f t="shared" si="23"/>
        <v xml:space="preserve"> </v>
      </c>
      <c r="C84" s="203" t="str">
        <f t="shared" si="17"/>
        <v xml:space="preserve"> </v>
      </c>
      <c r="D84" s="202" t="str">
        <f t="shared" si="18"/>
        <v xml:space="preserve"> </v>
      </c>
      <c r="E84" s="201" t="str">
        <f t="shared" si="24"/>
        <v xml:space="preserve"> </v>
      </c>
      <c r="F84" s="202" t="str">
        <f t="shared" si="19"/>
        <v xml:space="preserve"> </v>
      </c>
      <c r="G84" s="201" t="str">
        <f t="shared" si="25"/>
        <v xml:space="preserve"> </v>
      </c>
      <c r="H84" s="202" t="str">
        <f t="shared" si="20"/>
        <v xml:space="preserve"> </v>
      </c>
      <c r="I84" s="202" t="str">
        <f t="shared" si="26"/>
        <v xml:space="preserve"> </v>
      </c>
      <c r="J84" s="276" t="str">
        <f t="shared" si="21"/>
        <v xml:space="preserve"> </v>
      </c>
      <c r="K84" s="363" t="str">
        <f t="shared" si="27"/>
        <v xml:space="preserve"> </v>
      </c>
      <c r="L84" s="363" t="str">
        <f t="shared" si="28"/>
        <v xml:space="preserve"> </v>
      </c>
      <c r="M84" s="445"/>
      <c r="N84" s="293" t="str">
        <f t="shared" si="11"/>
        <v xml:space="preserve"> </v>
      </c>
      <c r="O84" s="293" t="str">
        <f t="shared" si="12"/>
        <v xml:space="preserve"> </v>
      </c>
      <c r="P84" s="293" t="str">
        <f t="shared" si="13"/>
        <v xml:space="preserve"> </v>
      </c>
      <c r="Q84" s="294" t="str">
        <f t="shared" si="14"/>
        <v xml:space="preserve"> </v>
      </c>
      <c r="R84" s="295" t="str">
        <f t="shared" si="15"/>
        <v xml:space="preserve"> </v>
      </c>
      <c r="S84" s="295" t="str">
        <f t="shared" si="16"/>
        <v xml:space="preserve"> </v>
      </c>
      <c r="T84" s="295" t="str">
        <f>IF(A84="N/A"," ",(IF(MONTH(A84)&gt;=4,IF(MONTH(A84)&lt;=10,Inputs!$H$2,Inputs!$H$3),Inputs!$H$3)))</f>
        <v xml:space="preserve"> </v>
      </c>
      <c r="U84" s="463" t="str">
        <f t="shared" si="22"/>
        <v xml:space="preserve"> </v>
      </c>
      <c r="AF84" s="205">
        <v>38991</v>
      </c>
      <c r="AG84" s="194">
        <v>22</v>
      </c>
      <c r="AH84" s="194">
        <v>4</v>
      </c>
      <c r="AI84" s="194">
        <v>5</v>
      </c>
      <c r="AJ84" s="194">
        <v>0</v>
      </c>
      <c r="AK84" s="194">
        <v>31</v>
      </c>
    </row>
    <row r="85" spans="1:37">
      <c r="A85" s="176" t="str">
        <f>Calculations!A52</f>
        <v>N/A</v>
      </c>
      <c r="B85" s="201" t="str">
        <f t="shared" si="23"/>
        <v xml:space="preserve"> </v>
      </c>
      <c r="C85" s="203" t="str">
        <f t="shared" si="17"/>
        <v xml:space="preserve"> </v>
      </c>
      <c r="D85" s="202" t="str">
        <f t="shared" si="18"/>
        <v xml:space="preserve"> </v>
      </c>
      <c r="E85" s="201" t="str">
        <f t="shared" si="24"/>
        <v xml:space="preserve"> </v>
      </c>
      <c r="F85" s="202" t="str">
        <f t="shared" si="19"/>
        <v xml:space="preserve"> </v>
      </c>
      <c r="G85" s="201" t="str">
        <f t="shared" si="25"/>
        <v xml:space="preserve"> </v>
      </c>
      <c r="H85" s="202" t="str">
        <f t="shared" si="20"/>
        <v xml:space="preserve"> </v>
      </c>
      <c r="I85" s="202" t="str">
        <f t="shared" si="26"/>
        <v xml:space="preserve"> </v>
      </c>
      <c r="J85" s="276" t="str">
        <f t="shared" si="21"/>
        <v xml:space="preserve"> </v>
      </c>
      <c r="K85" s="363" t="str">
        <f t="shared" si="27"/>
        <v xml:space="preserve"> </v>
      </c>
      <c r="L85" s="363" t="str">
        <f t="shared" si="28"/>
        <v xml:space="preserve"> </v>
      </c>
      <c r="M85" s="445"/>
      <c r="N85" s="293" t="str">
        <f t="shared" si="11"/>
        <v xml:space="preserve"> </v>
      </c>
      <c r="O85" s="293" t="str">
        <f t="shared" si="12"/>
        <v xml:space="preserve"> </v>
      </c>
      <c r="P85" s="293" t="str">
        <f t="shared" si="13"/>
        <v xml:space="preserve"> </v>
      </c>
      <c r="Q85" s="294" t="str">
        <f t="shared" si="14"/>
        <v xml:space="preserve"> </v>
      </c>
      <c r="R85" s="295" t="str">
        <f t="shared" si="15"/>
        <v xml:space="preserve"> </v>
      </c>
      <c r="S85" s="295" t="str">
        <f t="shared" si="16"/>
        <v xml:space="preserve"> </v>
      </c>
      <c r="T85" s="295" t="str">
        <f>IF(A85="N/A"," ",(IF(MONTH(A85)&gt;=4,IF(MONTH(A85)&lt;=10,Inputs!$H$2,Inputs!$H$3),Inputs!$H$3)))</f>
        <v xml:space="preserve"> </v>
      </c>
      <c r="U85" s="463" t="str">
        <f t="shared" si="22"/>
        <v xml:space="preserve"> </v>
      </c>
      <c r="AF85" s="205">
        <v>39022</v>
      </c>
      <c r="AG85" s="194">
        <v>21</v>
      </c>
      <c r="AH85" s="194">
        <v>4</v>
      </c>
      <c r="AI85" s="194">
        <v>5</v>
      </c>
      <c r="AJ85" s="194">
        <v>1</v>
      </c>
      <c r="AK85" s="194">
        <v>30</v>
      </c>
    </row>
    <row r="86" spans="1:37">
      <c r="A86" s="176" t="str">
        <f>Calculations!A53</f>
        <v>N/A</v>
      </c>
      <c r="B86" s="201" t="str">
        <f t="shared" si="23"/>
        <v xml:space="preserve"> </v>
      </c>
      <c r="C86" s="203" t="str">
        <f t="shared" si="17"/>
        <v xml:space="preserve"> </v>
      </c>
      <c r="D86" s="202" t="str">
        <f t="shared" si="18"/>
        <v xml:space="preserve"> </v>
      </c>
      <c r="E86" s="201" t="str">
        <f t="shared" si="24"/>
        <v xml:space="preserve"> </v>
      </c>
      <c r="F86" s="202" t="str">
        <f t="shared" si="19"/>
        <v xml:space="preserve"> </v>
      </c>
      <c r="G86" s="201" t="str">
        <f t="shared" si="25"/>
        <v xml:space="preserve"> </v>
      </c>
      <c r="H86" s="202" t="str">
        <f t="shared" si="20"/>
        <v xml:space="preserve"> </v>
      </c>
      <c r="I86" s="202" t="str">
        <f t="shared" si="26"/>
        <v xml:space="preserve"> </v>
      </c>
      <c r="J86" s="276" t="str">
        <f t="shared" si="21"/>
        <v xml:space="preserve"> </v>
      </c>
      <c r="K86" s="363" t="str">
        <f t="shared" si="27"/>
        <v xml:space="preserve"> </v>
      </c>
      <c r="L86" s="363" t="str">
        <f t="shared" si="28"/>
        <v xml:space="preserve"> </v>
      </c>
      <c r="M86" s="445"/>
      <c r="N86" s="293" t="str">
        <f t="shared" si="11"/>
        <v xml:space="preserve"> </v>
      </c>
      <c r="O86" s="293" t="str">
        <f t="shared" si="12"/>
        <v xml:space="preserve"> </v>
      </c>
      <c r="P86" s="293" t="str">
        <f t="shared" si="13"/>
        <v xml:space="preserve"> </v>
      </c>
      <c r="Q86" s="294" t="str">
        <f t="shared" si="14"/>
        <v xml:space="preserve"> </v>
      </c>
      <c r="R86" s="295" t="str">
        <f t="shared" si="15"/>
        <v xml:space="preserve"> </v>
      </c>
      <c r="S86" s="295" t="str">
        <f t="shared" si="16"/>
        <v xml:space="preserve"> </v>
      </c>
      <c r="T86" s="295" t="str">
        <f>IF(A86="N/A"," ",(IF(MONTH(A86)&gt;=4,IF(MONTH(A86)&lt;=10,Inputs!$H$2,Inputs!$H$3),Inputs!$H$3)))</f>
        <v xml:space="preserve"> </v>
      </c>
      <c r="U86" s="463" t="str">
        <f t="shared" si="22"/>
        <v xml:space="preserve"> </v>
      </c>
      <c r="AF86" s="205">
        <v>39052</v>
      </c>
      <c r="AG86" s="194">
        <v>20</v>
      </c>
      <c r="AH86" s="194">
        <v>5</v>
      </c>
      <c r="AI86" s="194">
        <v>6</v>
      </c>
      <c r="AJ86" s="194">
        <v>1</v>
      </c>
      <c r="AK86" s="194">
        <v>31</v>
      </c>
    </row>
    <row r="87" spans="1:37">
      <c r="A87" s="176" t="str">
        <f>Calculations!A54</f>
        <v>N/A</v>
      </c>
      <c r="B87" s="201" t="str">
        <f t="shared" si="23"/>
        <v xml:space="preserve"> </v>
      </c>
      <c r="C87" s="203" t="str">
        <f t="shared" si="17"/>
        <v xml:space="preserve"> </v>
      </c>
      <c r="D87" s="202" t="str">
        <f t="shared" si="18"/>
        <v xml:space="preserve"> </v>
      </c>
      <c r="E87" s="201" t="str">
        <f t="shared" si="24"/>
        <v xml:space="preserve"> </v>
      </c>
      <c r="F87" s="202" t="str">
        <f t="shared" si="19"/>
        <v xml:space="preserve"> </v>
      </c>
      <c r="G87" s="201" t="str">
        <f t="shared" si="25"/>
        <v xml:space="preserve"> </v>
      </c>
      <c r="H87" s="202" t="str">
        <f t="shared" si="20"/>
        <v xml:space="preserve"> </v>
      </c>
      <c r="I87" s="202" t="str">
        <f t="shared" si="26"/>
        <v xml:space="preserve"> </v>
      </c>
      <c r="J87" s="276" t="str">
        <f t="shared" si="21"/>
        <v xml:space="preserve"> </v>
      </c>
      <c r="K87" s="363" t="str">
        <f t="shared" si="27"/>
        <v xml:space="preserve"> </v>
      </c>
      <c r="L87" s="363" t="str">
        <f t="shared" si="28"/>
        <v xml:space="preserve"> </v>
      </c>
      <c r="M87" s="445"/>
      <c r="N87" s="293" t="str">
        <f t="shared" si="11"/>
        <v xml:space="preserve"> </v>
      </c>
      <c r="O87" s="293" t="str">
        <f t="shared" si="12"/>
        <v xml:space="preserve"> </v>
      </c>
      <c r="P87" s="293" t="str">
        <f t="shared" si="13"/>
        <v xml:space="preserve"> </v>
      </c>
      <c r="Q87" s="294" t="str">
        <f t="shared" si="14"/>
        <v xml:space="preserve"> </v>
      </c>
      <c r="R87" s="295" t="str">
        <f t="shared" si="15"/>
        <v xml:space="preserve"> </v>
      </c>
      <c r="S87" s="295" t="str">
        <f t="shared" si="16"/>
        <v xml:space="preserve"> </v>
      </c>
      <c r="T87" s="295" t="str">
        <f>IF(A87="N/A"," ",(IF(MONTH(A87)&gt;=4,IF(MONTH(A87)&lt;=10,Inputs!$H$2,Inputs!$H$3),Inputs!$H$3)))</f>
        <v xml:space="preserve"> </v>
      </c>
      <c r="U87" s="463" t="str">
        <f t="shared" si="22"/>
        <v xml:space="preserve"> </v>
      </c>
      <c r="AF87" s="205">
        <v>39083</v>
      </c>
      <c r="AG87" s="194">
        <v>22</v>
      </c>
      <c r="AH87" s="194">
        <v>4</v>
      </c>
      <c r="AI87" s="194">
        <v>5</v>
      </c>
      <c r="AJ87" s="194">
        <v>1</v>
      </c>
      <c r="AK87" s="194">
        <v>31</v>
      </c>
    </row>
    <row r="88" spans="1:37">
      <c r="A88" s="176" t="str">
        <f>Calculations!A55</f>
        <v>N/A</v>
      </c>
      <c r="B88" s="201" t="str">
        <f t="shared" si="23"/>
        <v xml:space="preserve"> </v>
      </c>
      <c r="C88" s="203" t="str">
        <f t="shared" si="17"/>
        <v xml:space="preserve"> </v>
      </c>
      <c r="D88" s="202" t="str">
        <f t="shared" si="18"/>
        <v xml:space="preserve"> </v>
      </c>
      <c r="E88" s="201" t="str">
        <f t="shared" si="24"/>
        <v xml:space="preserve"> </v>
      </c>
      <c r="F88" s="202" t="str">
        <f t="shared" si="19"/>
        <v xml:space="preserve"> </v>
      </c>
      <c r="G88" s="201" t="str">
        <f t="shared" si="25"/>
        <v xml:space="preserve"> </v>
      </c>
      <c r="H88" s="202" t="str">
        <f t="shared" si="20"/>
        <v xml:space="preserve"> </v>
      </c>
      <c r="I88" s="202" t="str">
        <f t="shared" si="26"/>
        <v xml:space="preserve"> </v>
      </c>
      <c r="J88" s="276" t="str">
        <f t="shared" si="21"/>
        <v xml:space="preserve"> </v>
      </c>
      <c r="K88" s="363" t="str">
        <f t="shared" si="27"/>
        <v xml:space="preserve"> </v>
      </c>
      <c r="L88" s="363" t="str">
        <f t="shared" si="28"/>
        <v xml:space="preserve"> </v>
      </c>
      <c r="M88" s="445"/>
      <c r="N88" s="293" t="str">
        <f t="shared" si="11"/>
        <v xml:space="preserve"> </v>
      </c>
      <c r="O88" s="293" t="str">
        <f t="shared" si="12"/>
        <v xml:space="preserve"> </v>
      </c>
      <c r="P88" s="293" t="str">
        <f t="shared" si="13"/>
        <v xml:space="preserve"> </v>
      </c>
      <c r="Q88" s="294" t="str">
        <f t="shared" si="14"/>
        <v xml:space="preserve"> </v>
      </c>
      <c r="R88" s="295" t="str">
        <f t="shared" si="15"/>
        <v xml:space="preserve"> </v>
      </c>
      <c r="S88" s="295" t="str">
        <f t="shared" si="16"/>
        <v xml:space="preserve"> </v>
      </c>
      <c r="T88" s="295" t="str">
        <f>IF(A88="N/A"," ",(IF(MONTH(A88)&gt;=4,IF(MONTH(A88)&lt;=10,Inputs!$H$2,Inputs!$H$3),Inputs!$H$3)))</f>
        <v xml:space="preserve"> </v>
      </c>
      <c r="U88" s="463" t="str">
        <f t="shared" si="22"/>
        <v xml:space="preserve"> </v>
      </c>
      <c r="AF88" s="205">
        <v>39114</v>
      </c>
      <c r="AG88" s="194">
        <v>20</v>
      </c>
      <c r="AH88" s="194">
        <v>4</v>
      </c>
      <c r="AI88" s="194">
        <v>4</v>
      </c>
      <c r="AJ88" s="194">
        <v>0</v>
      </c>
      <c r="AK88" s="194">
        <v>28</v>
      </c>
    </row>
    <row r="89" spans="1:37">
      <c r="A89" s="176" t="str">
        <f>Calculations!A56</f>
        <v>N/A</v>
      </c>
      <c r="B89" s="201" t="str">
        <f t="shared" si="23"/>
        <v xml:space="preserve"> </v>
      </c>
      <c r="C89" s="203" t="str">
        <f t="shared" si="17"/>
        <v xml:space="preserve"> </v>
      </c>
      <c r="D89" s="202" t="str">
        <f t="shared" si="18"/>
        <v xml:space="preserve"> </v>
      </c>
      <c r="E89" s="201" t="str">
        <f t="shared" si="24"/>
        <v xml:space="preserve"> </v>
      </c>
      <c r="F89" s="202" t="str">
        <f t="shared" si="19"/>
        <v xml:space="preserve"> </v>
      </c>
      <c r="G89" s="201" t="str">
        <f t="shared" si="25"/>
        <v xml:space="preserve"> </v>
      </c>
      <c r="H89" s="202" t="str">
        <f t="shared" si="20"/>
        <v xml:space="preserve"> </v>
      </c>
      <c r="I89" s="202" t="str">
        <f t="shared" si="26"/>
        <v xml:space="preserve"> </v>
      </c>
      <c r="J89" s="276" t="str">
        <f t="shared" si="21"/>
        <v xml:space="preserve"> </v>
      </c>
      <c r="K89" s="363" t="str">
        <f t="shared" si="27"/>
        <v xml:space="preserve"> </v>
      </c>
      <c r="L89" s="363" t="str">
        <f t="shared" si="28"/>
        <v xml:space="preserve"> </v>
      </c>
      <c r="M89" s="445"/>
      <c r="N89" s="293" t="str">
        <f t="shared" si="11"/>
        <v xml:space="preserve"> </v>
      </c>
      <c r="O89" s="293" t="str">
        <f t="shared" si="12"/>
        <v xml:space="preserve"> </v>
      </c>
      <c r="P89" s="293" t="str">
        <f t="shared" si="13"/>
        <v xml:space="preserve"> </v>
      </c>
      <c r="Q89" s="294" t="str">
        <f t="shared" si="14"/>
        <v xml:space="preserve"> </v>
      </c>
      <c r="R89" s="295" t="str">
        <f t="shared" si="15"/>
        <v xml:space="preserve"> </v>
      </c>
      <c r="S89" s="295" t="str">
        <f t="shared" si="16"/>
        <v xml:space="preserve"> </v>
      </c>
      <c r="T89" s="295" t="str">
        <f>IF(A89="N/A"," ",(IF(MONTH(A89)&gt;=4,IF(MONTH(A89)&lt;=10,Inputs!$H$2,Inputs!$H$3),Inputs!$H$3)))</f>
        <v xml:space="preserve"> </v>
      </c>
      <c r="U89" s="463" t="str">
        <f t="shared" si="22"/>
        <v xml:space="preserve"> </v>
      </c>
      <c r="AF89" s="205">
        <v>39142</v>
      </c>
      <c r="AG89" s="194">
        <v>22</v>
      </c>
      <c r="AH89" s="194">
        <v>5</v>
      </c>
      <c r="AI89" s="194">
        <v>4</v>
      </c>
      <c r="AJ89" s="194">
        <v>0</v>
      </c>
      <c r="AK89" s="194">
        <v>31</v>
      </c>
    </row>
    <row r="90" spans="1:37">
      <c r="A90" s="176" t="str">
        <f>Calculations!A57</f>
        <v>N/A</v>
      </c>
      <c r="B90" s="201" t="str">
        <f t="shared" si="23"/>
        <v xml:space="preserve"> </v>
      </c>
      <c r="C90" s="203" t="str">
        <f t="shared" si="17"/>
        <v xml:space="preserve"> </v>
      </c>
      <c r="D90" s="202" t="str">
        <f t="shared" si="18"/>
        <v xml:space="preserve"> </v>
      </c>
      <c r="E90" s="201" t="str">
        <f t="shared" si="24"/>
        <v xml:space="preserve"> </v>
      </c>
      <c r="F90" s="202" t="str">
        <f t="shared" si="19"/>
        <v xml:space="preserve"> </v>
      </c>
      <c r="G90" s="201" t="str">
        <f t="shared" si="25"/>
        <v xml:space="preserve"> </v>
      </c>
      <c r="H90" s="202" t="str">
        <f t="shared" si="20"/>
        <v xml:space="preserve"> </v>
      </c>
      <c r="I90" s="202" t="str">
        <f t="shared" si="26"/>
        <v xml:space="preserve"> </v>
      </c>
      <c r="J90" s="276" t="str">
        <f t="shared" si="21"/>
        <v xml:space="preserve"> </v>
      </c>
      <c r="K90" s="363" t="str">
        <f t="shared" si="27"/>
        <v xml:space="preserve"> </v>
      </c>
      <c r="L90" s="363" t="str">
        <f t="shared" si="28"/>
        <v xml:space="preserve"> </v>
      </c>
      <c r="M90" s="445"/>
      <c r="N90" s="293" t="str">
        <f t="shared" si="11"/>
        <v xml:space="preserve"> </v>
      </c>
      <c r="O90" s="293" t="str">
        <f t="shared" si="12"/>
        <v xml:space="preserve"> </v>
      </c>
      <c r="P90" s="293" t="str">
        <f t="shared" si="13"/>
        <v xml:space="preserve"> </v>
      </c>
      <c r="Q90" s="294" t="str">
        <f t="shared" si="14"/>
        <v xml:space="preserve"> </v>
      </c>
      <c r="R90" s="295" t="str">
        <f t="shared" si="15"/>
        <v xml:space="preserve"> </v>
      </c>
      <c r="S90" s="295" t="str">
        <f t="shared" si="16"/>
        <v xml:space="preserve"> </v>
      </c>
      <c r="T90" s="295" t="str">
        <f>IF(A90="N/A"," ",(IF(MONTH(A90)&gt;=4,IF(MONTH(A90)&lt;=10,Inputs!$H$2,Inputs!$H$3),Inputs!$H$3)))</f>
        <v xml:space="preserve"> </v>
      </c>
      <c r="U90" s="463" t="str">
        <f t="shared" si="22"/>
        <v xml:space="preserve"> </v>
      </c>
      <c r="AF90" s="205">
        <v>39173</v>
      </c>
      <c r="AG90" s="194">
        <v>21</v>
      </c>
      <c r="AH90" s="194">
        <v>4</v>
      </c>
      <c r="AI90" s="194">
        <v>5</v>
      </c>
      <c r="AJ90" s="194">
        <v>0</v>
      </c>
      <c r="AK90" s="194">
        <v>30</v>
      </c>
    </row>
    <row r="91" spans="1:37">
      <c r="A91" s="176" t="str">
        <f>Calculations!A58</f>
        <v>N/A</v>
      </c>
      <c r="B91" s="201" t="str">
        <f t="shared" si="23"/>
        <v xml:space="preserve"> </v>
      </c>
      <c r="C91" s="203" t="str">
        <f t="shared" si="17"/>
        <v xml:space="preserve"> </v>
      </c>
      <c r="D91" s="202" t="str">
        <f t="shared" si="18"/>
        <v xml:space="preserve"> </v>
      </c>
      <c r="E91" s="201" t="str">
        <f t="shared" si="24"/>
        <v xml:space="preserve"> </v>
      </c>
      <c r="F91" s="202" t="str">
        <f t="shared" si="19"/>
        <v xml:space="preserve"> </v>
      </c>
      <c r="G91" s="201" t="str">
        <f t="shared" si="25"/>
        <v xml:space="preserve"> </v>
      </c>
      <c r="H91" s="202" t="str">
        <f t="shared" si="20"/>
        <v xml:space="preserve"> </v>
      </c>
      <c r="I91" s="202" t="str">
        <f t="shared" si="26"/>
        <v xml:space="preserve"> </v>
      </c>
      <c r="J91" s="276" t="str">
        <f t="shared" si="21"/>
        <v xml:space="preserve"> </v>
      </c>
      <c r="K91" s="363" t="str">
        <f t="shared" si="27"/>
        <v xml:space="preserve"> </v>
      </c>
      <c r="L91" s="363" t="str">
        <f t="shared" si="28"/>
        <v xml:space="preserve"> </v>
      </c>
      <c r="M91" s="445"/>
      <c r="N91" s="293" t="str">
        <f t="shared" si="11"/>
        <v xml:space="preserve"> </v>
      </c>
      <c r="O91" s="293" t="str">
        <f t="shared" si="12"/>
        <v xml:space="preserve"> </v>
      </c>
      <c r="P91" s="293" t="str">
        <f t="shared" si="13"/>
        <v xml:space="preserve"> </v>
      </c>
      <c r="Q91" s="294" t="str">
        <f t="shared" si="14"/>
        <v xml:space="preserve"> </v>
      </c>
      <c r="R91" s="295" t="str">
        <f t="shared" si="15"/>
        <v xml:space="preserve"> </v>
      </c>
      <c r="S91" s="295" t="str">
        <f t="shared" si="16"/>
        <v xml:space="preserve"> </v>
      </c>
      <c r="T91" s="295" t="str">
        <f>IF(A91="N/A"," ",(IF(MONTH(A91)&gt;=4,IF(MONTH(A91)&lt;=10,Inputs!$H$2,Inputs!$H$3),Inputs!$H$3)))</f>
        <v xml:space="preserve"> </v>
      </c>
      <c r="U91" s="463" t="str">
        <f t="shared" si="22"/>
        <v xml:space="preserve"> </v>
      </c>
      <c r="AF91" s="205">
        <v>39203</v>
      </c>
      <c r="AG91" s="194">
        <v>22</v>
      </c>
      <c r="AH91" s="194">
        <v>4</v>
      </c>
      <c r="AI91" s="194">
        <v>5</v>
      </c>
      <c r="AJ91" s="194">
        <v>1</v>
      </c>
      <c r="AK91" s="194">
        <v>31</v>
      </c>
    </row>
    <row r="92" spans="1:37">
      <c r="A92" s="176" t="str">
        <f>Calculations!A59</f>
        <v>N/A</v>
      </c>
      <c r="B92" s="201" t="str">
        <f t="shared" si="23"/>
        <v xml:space="preserve"> </v>
      </c>
      <c r="C92" s="203" t="str">
        <f t="shared" si="17"/>
        <v xml:space="preserve"> </v>
      </c>
      <c r="D92" s="202" t="str">
        <f t="shared" si="18"/>
        <v xml:space="preserve"> </v>
      </c>
      <c r="E92" s="201" t="str">
        <f t="shared" si="24"/>
        <v xml:space="preserve"> </v>
      </c>
      <c r="F92" s="202" t="str">
        <f t="shared" si="19"/>
        <v xml:space="preserve"> </v>
      </c>
      <c r="G92" s="201" t="str">
        <f t="shared" si="25"/>
        <v xml:space="preserve"> </v>
      </c>
      <c r="H92" s="202" t="str">
        <f t="shared" si="20"/>
        <v xml:space="preserve"> </v>
      </c>
      <c r="I92" s="202" t="str">
        <f t="shared" si="26"/>
        <v xml:space="preserve"> </v>
      </c>
      <c r="J92" s="276" t="str">
        <f t="shared" si="21"/>
        <v xml:space="preserve"> </v>
      </c>
      <c r="K92" s="363" t="str">
        <f t="shared" si="27"/>
        <v xml:space="preserve"> </v>
      </c>
      <c r="L92" s="363" t="str">
        <f t="shared" si="28"/>
        <v xml:space="preserve"> </v>
      </c>
      <c r="M92" s="445"/>
      <c r="N92" s="293" t="str">
        <f t="shared" si="11"/>
        <v xml:space="preserve"> </v>
      </c>
      <c r="O92" s="293" t="str">
        <f t="shared" si="12"/>
        <v xml:space="preserve"> </v>
      </c>
      <c r="P92" s="293" t="str">
        <f t="shared" si="13"/>
        <v xml:space="preserve"> </v>
      </c>
      <c r="Q92" s="294" t="str">
        <f t="shared" si="14"/>
        <v xml:space="preserve"> </v>
      </c>
      <c r="R92" s="295" t="str">
        <f t="shared" si="15"/>
        <v xml:space="preserve"> </v>
      </c>
      <c r="S92" s="295" t="str">
        <f t="shared" si="16"/>
        <v xml:space="preserve"> </v>
      </c>
      <c r="T92" s="295" t="str">
        <f>IF(A92="N/A"," ",(IF(MONTH(A92)&gt;=4,IF(MONTH(A92)&lt;=10,Inputs!$H$2,Inputs!$H$3),Inputs!$H$3)))</f>
        <v xml:space="preserve"> </v>
      </c>
      <c r="U92" s="463" t="str">
        <f t="shared" si="22"/>
        <v xml:space="preserve"> </v>
      </c>
      <c r="AF92" s="205">
        <v>39234</v>
      </c>
      <c r="AG92" s="194">
        <v>21</v>
      </c>
      <c r="AH92" s="194">
        <v>5</v>
      </c>
      <c r="AI92" s="194">
        <v>4</v>
      </c>
      <c r="AJ92" s="194">
        <v>0</v>
      </c>
      <c r="AK92" s="194">
        <v>30</v>
      </c>
    </row>
    <row r="93" spans="1:37">
      <c r="A93" s="176" t="str">
        <f>Calculations!A60</f>
        <v>N/A</v>
      </c>
      <c r="B93" s="201" t="str">
        <f t="shared" si="23"/>
        <v xml:space="preserve"> </v>
      </c>
      <c r="C93" s="203" t="str">
        <f t="shared" si="17"/>
        <v xml:space="preserve"> </v>
      </c>
      <c r="D93" s="202" t="str">
        <f t="shared" si="18"/>
        <v xml:space="preserve"> </v>
      </c>
      <c r="E93" s="201" t="str">
        <f t="shared" si="24"/>
        <v xml:space="preserve"> </v>
      </c>
      <c r="F93" s="202" t="str">
        <f t="shared" si="19"/>
        <v xml:space="preserve"> </v>
      </c>
      <c r="G93" s="201" t="str">
        <f t="shared" si="25"/>
        <v xml:space="preserve"> </v>
      </c>
      <c r="H93" s="202" t="str">
        <f t="shared" si="20"/>
        <v xml:space="preserve"> </v>
      </c>
      <c r="I93" s="202" t="str">
        <f t="shared" si="26"/>
        <v xml:space="preserve"> </v>
      </c>
      <c r="J93" s="276" t="str">
        <f t="shared" si="21"/>
        <v xml:space="preserve"> </v>
      </c>
      <c r="K93" s="363" t="str">
        <f t="shared" si="27"/>
        <v xml:space="preserve"> </v>
      </c>
      <c r="L93" s="363" t="str">
        <f t="shared" si="28"/>
        <v xml:space="preserve"> </v>
      </c>
      <c r="M93" s="445"/>
      <c r="N93" s="293" t="str">
        <f t="shared" si="11"/>
        <v xml:space="preserve"> </v>
      </c>
      <c r="O93" s="293" t="str">
        <f t="shared" si="12"/>
        <v xml:space="preserve"> </v>
      </c>
      <c r="P93" s="293" t="str">
        <f t="shared" si="13"/>
        <v xml:space="preserve"> </v>
      </c>
      <c r="Q93" s="294" t="str">
        <f t="shared" si="14"/>
        <v xml:space="preserve"> </v>
      </c>
      <c r="R93" s="295" t="str">
        <f t="shared" si="15"/>
        <v xml:space="preserve"> </v>
      </c>
      <c r="S93" s="295" t="str">
        <f t="shared" si="16"/>
        <v xml:space="preserve"> </v>
      </c>
      <c r="T93" s="295" t="str">
        <f>IF(A93="N/A"," ",(IF(MONTH(A93)&gt;=4,IF(MONTH(A93)&lt;=10,Inputs!$H$2,Inputs!$H$3),Inputs!$H$3)))</f>
        <v xml:space="preserve"> </v>
      </c>
      <c r="U93" s="463" t="str">
        <f t="shared" si="22"/>
        <v xml:space="preserve"> </v>
      </c>
      <c r="AF93" s="205">
        <v>39264</v>
      </c>
      <c r="AG93" s="194">
        <v>21</v>
      </c>
      <c r="AH93" s="194">
        <v>4</v>
      </c>
      <c r="AI93" s="194">
        <v>6</v>
      </c>
      <c r="AJ93" s="194">
        <v>1</v>
      </c>
      <c r="AK93" s="194">
        <v>31</v>
      </c>
    </row>
    <row r="94" spans="1:37">
      <c r="A94" s="176" t="str">
        <f>Calculations!A61</f>
        <v>N/A</v>
      </c>
      <c r="B94" s="201" t="str">
        <f t="shared" si="23"/>
        <v xml:space="preserve"> </v>
      </c>
      <c r="C94" s="203" t="str">
        <f t="shared" si="17"/>
        <v xml:space="preserve"> </v>
      </c>
      <c r="D94" s="202" t="str">
        <f t="shared" si="18"/>
        <v xml:space="preserve"> </v>
      </c>
      <c r="E94" s="201" t="str">
        <f t="shared" si="24"/>
        <v xml:space="preserve"> </v>
      </c>
      <c r="F94" s="202" t="str">
        <f t="shared" si="19"/>
        <v xml:space="preserve"> </v>
      </c>
      <c r="G94" s="201" t="str">
        <f t="shared" si="25"/>
        <v xml:space="preserve"> </v>
      </c>
      <c r="H94" s="202" t="str">
        <f t="shared" si="20"/>
        <v xml:space="preserve"> </v>
      </c>
      <c r="I94" s="202" t="str">
        <f t="shared" si="26"/>
        <v xml:space="preserve"> </v>
      </c>
      <c r="J94" s="276" t="str">
        <f t="shared" si="21"/>
        <v xml:space="preserve"> </v>
      </c>
      <c r="K94" s="363" t="str">
        <f t="shared" si="27"/>
        <v xml:space="preserve"> </v>
      </c>
      <c r="L94" s="363" t="str">
        <f t="shared" si="28"/>
        <v xml:space="preserve"> </v>
      </c>
      <c r="M94" s="445"/>
      <c r="N94" s="293" t="str">
        <f t="shared" si="11"/>
        <v xml:space="preserve"> </v>
      </c>
      <c r="O94" s="293" t="str">
        <f t="shared" si="12"/>
        <v xml:space="preserve"> </v>
      </c>
      <c r="P94" s="293" t="str">
        <f t="shared" si="13"/>
        <v xml:space="preserve"> </v>
      </c>
      <c r="Q94" s="294" t="str">
        <f t="shared" si="14"/>
        <v xml:space="preserve"> </v>
      </c>
      <c r="R94" s="295" t="str">
        <f t="shared" si="15"/>
        <v xml:space="preserve"> </v>
      </c>
      <c r="S94" s="295" t="str">
        <f t="shared" si="16"/>
        <v xml:space="preserve"> </v>
      </c>
      <c r="T94" s="295" t="str">
        <f>IF(A94="N/A"," ",(IF(MONTH(A94)&gt;=4,IF(MONTH(A94)&lt;=10,Inputs!$H$2,Inputs!$H$3),Inputs!$H$3)))</f>
        <v xml:space="preserve"> </v>
      </c>
      <c r="U94" s="463" t="str">
        <f t="shared" si="22"/>
        <v xml:space="preserve"> </v>
      </c>
      <c r="AF94" s="205">
        <v>39295</v>
      </c>
      <c r="AG94" s="194">
        <v>23</v>
      </c>
      <c r="AH94" s="194">
        <v>4</v>
      </c>
      <c r="AI94" s="194">
        <v>4</v>
      </c>
      <c r="AJ94" s="194">
        <v>0</v>
      </c>
      <c r="AK94" s="194">
        <v>31</v>
      </c>
    </row>
    <row r="95" spans="1:37">
      <c r="A95" s="176" t="str">
        <f>Calculations!A62</f>
        <v>N/A</v>
      </c>
      <c r="B95" s="201" t="str">
        <f t="shared" si="23"/>
        <v xml:space="preserve"> </v>
      </c>
      <c r="C95" s="203" t="str">
        <f t="shared" si="17"/>
        <v xml:space="preserve"> </v>
      </c>
      <c r="D95" s="202" t="str">
        <f t="shared" si="18"/>
        <v xml:space="preserve"> </v>
      </c>
      <c r="E95" s="201" t="str">
        <f t="shared" si="24"/>
        <v xml:space="preserve"> </v>
      </c>
      <c r="F95" s="202" t="str">
        <f t="shared" si="19"/>
        <v xml:space="preserve"> </v>
      </c>
      <c r="G95" s="201" t="str">
        <f t="shared" si="25"/>
        <v xml:space="preserve"> </v>
      </c>
      <c r="H95" s="202" t="str">
        <f t="shared" si="20"/>
        <v xml:space="preserve"> </v>
      </c>
      <c r="I95" s="202" t="str">
        <f t="shared" si="26"/>
        <v xml:space="preserve"> </v>
      </c>
      <c r="J95" s="276" t="str">
        <f t="shared" si="21"/>
        <v xml:space="preserve"> </v>
      </c>
      <c r="K95" s="363" t="str">
        <f t="shared" si="27"/>
        <v xml:space="preserve"> </v>
      </c>
      <c r="L95" s="363" t="str">
        <f t="shared" si="28"/>
        <v xml:space="preserve"> </v>
      </c>
      <c r="M95" s="445"/>
      <c r="N95" s="293" t="str">
        <f t="shared" si="11"/>
        <v xml:space="preserve"> </v>
      </c>
      <c r="O95" s="293" t="str">
        <f t="shared" si="12"/>
        <v xml:space="preserve"> </v>
      </c>
      <c r="P95" s="293" t="str">
        <f t="shared" si="13"/>
        <v xml:space="preserve"> </v>
      </c>
      <c r="Q95" s="294" t="str">
        <f t="shared" si="14"/>
        <v xml:space="preserve"> </v>
      </c>
      <c r="R95" s="295" t="str">
        <f t="shared" si="15"/>
        <v xml:space="preserve"> </v>
      </c>
      <c r="S95" s="295" t="str">
        <f t="shared" si="16"/>
        <v xml:space="preserve"> </v>
      </c>
      <c r="T95" s="295" t="str">
        <f>IF(A95="N/A"," ",(IF(MONTH(A95)&gt;=4,IF(MONTH(A95)&lt;=10,Inputs!$H$2,Inputs!$H$3),Inputs!$H$3)))</f>
        <v xml:space="preserve"> </v>
      </c>
      <c r="U95" s="463" t="str">
        <f t="shared" si="22"/>
        <v xml:space="preserve"> </v>
      </c>
      <c r="AF95" s="205">
        <v>39326</v>
      </c>
      <c r="AG95" s="194">
        <v>19</v>
      </c>
      <c r="AH95" s="194">
        <v>5</v>
      </c>
      <c r="AI95" s="194">
        <v>6</v>
      </c>
      <c r="AJ95" s="194">
        <v>1</v>
      </c>
      <c r="AK95" s="194">
        <v>30</v>
      </c>
    </row>
    <row r="96" spans="1:37">
      <c r="A96" s="176" t="str">
        <f>Calculations!A63</f>
        <v>N/A</v>
      </c>
      <c r="B96" s="201" t="str">
        <f t="shared" si="23"/>
        <v xml:space="preserve"> </v>
      </c>
      <c r="C96" s="203" t="str">
        <f t="shared" si="17"/>
        <v xml:space="preserve"> </v>
      </c>
      <c r="D96" s="202" t="str">
        <f t="shared" si="18"/>
        <v xml:space="preserve"> </v>
      </c>
      <c r="E96" s="201" t="str">
        <f t="shared" si="24"/>
        <v xml:space="preserve"> </v>
      </c>
      <c r="F96" s="202" t="str">
        <f t="shared" si="19"/>
        <v xml:space="preserve"> </v>
      </c>
      <c r="G96" s="201" t="str">
        <f t="shared" si="25"/>
        <v xml:space="preserve"> </v>
      </c>
      <c r="H96" s="202" t="str">
        <f t="shared" si="20"/>
        <v xml:space="preserve"> </v>
      </c>
      <c r="I96" s="202" t="str">
        <f t="shared" si="26"/>
        <v xml:space="preserve"> </v>
      </c>
      <c r="J96" s="276" t="str">
        <f t="shared" si="21"/>
        <v xml:space="preserve"> </v>
      </c>
      <c r="K96" s="363" t="str">
        <f t="shared" si="27"/>
        <v xml:space="preserve"> </v>
      </c>
      <c r="L96" s="363" t="str">
        <f t="shared" si="28"/>
        <v xml:space="preserve"> </v>
      </c>
      <c r="M96" s="445"/>
      <c r="N96" s="293" t="str">
        <f t="shared" si="11"/>
        <v xml:space="preserve"> </v>
      </c>
      <c r="O96" s="293" t="str">
        <f t="shared" si="12"/>
        <v xml:space="preserve"> </v>
      </c>
      <c r="P96" s="293" t="str">
        <f t="shared" si="13"/>
        <v xml:space="preserve"> </v>
      </c>
      <c r="Q96" s="294" t="str">
        <f t="shared" si="14"/>
        <v xml:space="preserve"> </v>
      </c>
      <c r="R96" s="295" t="str">
        <f t="shared" si="15"/>
        <v xml:space="preserve"> </v>
      </c>
      <c r="S96" s="295" t="str">
        <f t="shared" si="16"/>
        <v xml:space="preserve"> </v>
      </c>
      <c r="T96" s="295" t="str">
        <f>IF(A96="N/A"," ",(IF(MONTH(A96)&gt;=4,IF(MONTH(A96)&lt;=10,Inputs!$H$2,Inputs!$H$3),Inputs!$H$3)))</f>
        <v xml:space="preserve"> </v>
      </c>
      <c r="U96" s="463" t="str">
        <f t="shared" si="22"/>
        <v xml:space="preserve"> </v>
      </c>
      <c r="AF96" s="205">
        <v>39356</v>
      </c>
      <c r="AG96" s="194">
        <v>23</v>
      </c>
      <c r="AH96" s="194">
        <v>4</v>
      </c>
      <c r="AI96" s="194">
        <v>4</v>
      </c>
      <c r="AJ96" s="194">
        <v>0</v>
      </c>
      <c r="AK96" s="194">
        <v>31</v>
      </c>
    </row>
    <row r="97" spans="1:37">
      <c r="A97" s="176" t="str">
        <f>Calculations!A64</f>
        <v>N/A</v>
      </c>
      <c r="B97" s="201" t="str">
        <f t="shared" si="23"/>
        <v xml:space="preserve"> </v>
      </c>
      <c r="C97" s="203" t="str">
        <f t="shared" si="17"/>
        <v xml:space="preserve"> </v>
      </c>
      <c r="D97" s="202" t="str">
        <f t="shared" si="18"/>
        <v xml:space="preserve"> </v>
      </c>
      <c r="E97" s="201" t="str">
        <f t="shared" si="24"/>
        <v xml:space="preserve"> </v>
      </c>
      <c r="F97" s="202" t="str">
        <f t="shared" si="19"/>
        <v xml:space="preserve"> </v>
      </c>
      <c r="G97" s="201" t="str">
        <f t="shared" si="25"/>
        <v xml:space="preserve"> </v>
      </c>
      <c r="H97" s="202" t="str">
        <f t="shared" si="20"/>
        <v xml:space="preserve"> </v>
      </c>
      <c r="I97" s="202" t="str">
        <f t="shared" si="26"/>
        <v xml:space="preserve"> </v>
      </c>
      <c r="J97" s="276" t="str">
        <f t="shared" si="21"/>
        <v xml:space="preserve"> </v>
      </c>
      <c r="K97" s="363" t="str">
        <f t="shared" si="27"/>
        <v xml:space="preserve"> </v>
      </c>
      <c r="L97" s="363" t="str">
        <f t="shared" si="28"/>
        <v xml:space="preserve"> </v>
      </c>
      <c r="M97" s="445"/>
      <c r="N97" s="293" t="str">
        <f t="shared" si="11"/>
        <v xml:space="preserve"> </v>
      </c>
      <c r="O97" s="293" t="str">
        <f t="shared" si="12"/>
        <v xml:space="preserve"> </v>
      </c>
      <c r="P97" s="293" t="str">
        <f t="shared" si="13"/>
        <v xml:space="preserve"> </v>
      </c>
      <c r="Q97" s="294" t="str">
        <f t="shared" si="14"/>
        <v xml:space="preserve"> </v>
      </c>
      <c r="R97" s="295" t="str">
        <f t="shared" si="15"/>
        <v xml:space="preserve"> </v>
      </c>
      <c r="S97" s="295" t="str">
        <f t="shared" si="16"/>
        <v xml:space="preserve"> </v>
      </c>
      <c r="T97" s="295" t="str">
        <f>IF(A97="N/A"," ",(IF(MONTH(A97)&gt;=4,IF(MONTH(A97)&lt;=10,Inputs!$H$2,Inputs!$H$3),Inputs!$H$3)))</f>
        <v xml:space="preserve"> </v>
      </c>
      <c r="U97" s="463" t="str">
        <f t="shared" si="22"/>
        <v xml:space="preserve"> </v>
      </c>
      <c r="AF97" s="205">
        <v>39387</v>
      </c>
      <c r="AG97" s="194">
        <v>21</v>
      </c>
      <c r="AH97" s="194">
        <v>4</v>
      </c>
      <c r="AI97" s="194">
        <v>5</v>
      </c>
      <c r="AJ97" s="194">
        <v>1</v>
      </c>
      <c r="AK97" s="194">
        <v>30</v>
      </c>
    </row>
    <row r="98" spans="1:37">
      <c r="A98" s="176" t="str">
        <f>Calculations!A65</f>
        <v>N/A</v>
      </c>
      <c r="B98" s="201" t="str">
        <f t="shared" si="23"/>
        <v xml:space="preserve"> </v>
      </c>
      <c r="C98" s="203" t="str">
        <f t="shared" si="17"/>
        <v xml:space="preserve"> </v>
      </c>
      <c r="D98" s="202" t="str">
        <f t="shared" si="18"/>
        <v xml:space="preserve"> </v>
      </c>
      <c r="E98" s="201" t="str">
        <f t="shared" si="24"/>
        <v xml:space="preserve"> </v>
      </c>
      <c r="F98" s="202" t="str">
        <f t="shared" si="19"/>
        <v xml:space="preserve"> </v>
      </c>
      <c r="G98" s="201" t="str">
        <f t="shared" si="25"/>
        <v xml:space="preserve"> </v>
      </c>
      <c r="H98" s="202" t="str">
        <f t="shared" si="20"/>
        <v xml:space="preserve"> </v>
      </c>
      <c r="I98" s="202" t="str">
        <f t="shared" si="26"/>
        <v xml:space="preserve"> </v>
      </c>
      <c r="J98" s="276" t="str">
        <f t="shared" si="21"/>
        <v xml:space="preserve"> </v>
      </c>
      <c r="K98" s="363" t="str">
        <f t="shared" si="27"/>
        <v xml:space="preserve"> </v>
      </c>
      <c r="L98" s="363" t="str">
        <f t="shared" si="28"/>
        <v xml:space="preserve"> </v>
      </c>
      <c r="M98" s="445"/>
      <c r="N98" s="293" t="str">
        <f t="shared" si="11"/>
        <v xml:space="preserve"> </v>
      </c>
      <c r="O98" s="293" t="str">
        <f t="shared" si="12"/>
        <v xml:space="preserve"> </v>
      </c>
      <c r="P98" s="293" t="str">
        <f t="shared" si="13"/>
        <v xml:space="preserve"> </v>
      </c>
      <c r="Q98" s="294" t="str">
        <f t="shared" si="14"/>
        <v xml:space="preserve"> </v>
      </c>
      <c r="R98" s="295" t="str">
        <f t="shared" si="15"/>
        <v xml:space="preserve"> </v>
      </c>
      <c r="S98" s="295" t="str">
        <f t="shared" si="16"/>
        <v xml:space="preserve"> </v>
      </c>
      <c r="T98" s="295" t="str">
        <f>IF(A98="N/A"," ",(IF(MONTH(A98)&gt;=4,IF(MONTH(A98)&lt;=10,Inputs!$H$2,Inputs!$H$3),Inputs!$H$3)))</f>
        <v xml:space="preserve"> </v>
      </c>
      <c r="U98" s="463" t="str">
        <f t="shared" si="22"/>
        <v xml:space="preserve"> </v>
      </c>
      <c r="AF98" s="205">
        <v>39417</v>
      </c>
      <c r="AG98" s="194">
        <v>20</v>
      </c>
      <c r="AH98" s="194">
        <v>5</v>
      </c>
      <c r="AI98" s="194">
        <v>6</v>
      </c>
      <c r="AJ98" s="194">
        <v>1</v>
      </c>
      <c r="AK98" s="194">
        <v>31</v>
      </c>
    </row>
    <row r="99" spans="1:37">
      <c r="A99" s="176" t="str">
        <f>Calculations!A66</f>
        <v>N/A</v>
      </c>
      <c r="B99" s="201" t="str">
        <f t="shared" si="23"/>
        <v xml:space="preserve"> </v>
      </c>
      <c r="C99" s="203" t="str">
        <f t="shared" si="17"/>
        <v xml:space="preserve"> </v>
      </c>
      <c r="D99" s="202" t="str">
        <f t="shared" si="18"/>
        <v xml:space="preserve"> </v>
      </c>
      <c r="E99" s="201" t="str">
        <f t="shared" si="24"/>
        <v xml:space="preserve"> </v>
      </c>
      <c r="F99" s="202" t="str">
        <f t="shared" si="19"/>
        <v xml:space="preserve"> </v>
      </c>
      <c r="G99" s="201" t="str">
        <f t="shared" si="25"/>
        <v xml:space="preserve"> </v>
      </c>
      <c r="H99" s="202" t="str">
        <f t="shared" si="20"/>
        <v xml:space="preserve"> </v>
      </c>
      <c r="I99" s="202" t="str">
        <f t="shared" si="26"/>
        <v xml:space="preserve"> </v>
      </c>
      <c r="J99" s="276" t="str">
        <f t="shared" si="21"/>
        <v xml:space="preserve"> </v>
      </c>
      <c r="K99" s="363" t="str">
        <f t="shared" si="27"/>
        <v xml:space="preserve"> </v>
      </c>
      <c r="L99" s="363" t="str">
        <f t="shared" si="28"/>
        <v xml:space="preserve"> </v>
      </c>
      <c r="M99" s="445"/>
      <c r="N99" s="293" t="str">
        <f t="shared" si="11"/>
        <v xml:space="preserve"> </v>
      </c>
      <c r="O99" s="293" t="str">
        <f t="shared" si="12"/>
        <v xml:space="preserve"> </v>
      </c>
      <c r="P99" s="293" t="str">
        <f t="shared" si="13"/>
        <v xml:space="preserve"> </v>
      </c>
      <c r="Q99" s="294" t="str">
        <f t="shared" si="14"/>
        <v xml:space="preserve"> </v>
      </c>
      <c r="R99" s="295" t="str">
        <f t="shared" si="15"/>
        <v xml:space="preserve"> </v>
      </c>
      <c r="S99" s="295" t="str">
        <f t="shared" si="16"/>
        <v xml:space="preserve"> </v>
      </c>
      <c r="T99" s="295" t="str">
        <f>IF(A99="N/A"," ",(IF(MONTH(A99)&gt;=4,IF(MONTH(A99)&lt;=10,Inputs!$H$2,Inputs!$H$3),Inputs!$H$3)))</f>
        <v xml:space="preserve"> </v>
      </c>
      <c r="U99" s="463" t="str">
        <f t="shared" si="22"/>
        <v xml:space="preserve"> </v>
      </c>
      <c r="AF99" s="205">
        <v>39448</v>
      </c>
      <c r="AG99" s="194">
        <v>22</v>
      </c>
      <c r="AH99" s="194">
        <v>4</v>
      </c>
      <c r="AI99" s="194">
        <v>5</v>
      </c>
      <c r="AJ99" s="194">
        <v>1</v>
      </c>
      <c r="AK99" s="194">
        <v>31</v>
      </c>
    </row>
    <row r="100" spans="1:37">
      <c r="A100" s="176" t="str">
        <f>Calculations!A67</f>
        <v>N/A</v>
      </c>
      <c r="B100" s="201" t="str">
        <f t="shared" si="23"/>
        <v xml:space="preserve"> </v>
      </c>
      <c r="C100" s="203" t="str">
        <f t="shared" si="17"/>
        <v xml:space="preserve"> </v>
      </c>
      <c r="D100" s="202" t="str">
        <f t="shared" si="18"/>
        <v xml:space="preserve"> </v>
      </c>
      <c r="E100" s="201" t="str">
        <f t="shared" si="24"/>
        <v xml:space="preserve"> </v>
      </c>
      <c r="F100" s="202" t="str">
        <f t="shared" si="19"/>
        <v xml:space="preserve"> </v>
      </c>
      <c r="G100" s="201" t="str">
        <f t="shared" si="25"/>
        <v xml:space="preserve"> </v>
      </c>
      <c r="H100" s="202" t="str">
        <f t="shared" si="20"/>
        <v xml:space="preserve"> </v>
      </c>
      <c r="I100" s="202" t="str">
        <f t="shared" si="26"/>
        <v xml:space="preserve"> </v>
      </c>
      <c r="J100" s="276" t="str">
        <f t="shared" si="21"/>
        <v xml:space="preserve"> </v>
      </c>
      <c r="K100" s="363" t="str">
        <f t="shared" si="27"/>
        <v xml:space="preserve"> </v>
      </c>
      <c r="L100" s="363" t="str">
        <f t="shared" si="28"/>
        <v xml:space="preserve"> </v>
      </c>
      <c r="M100" s="445"/>
      <c r="N100" s="293" t="str">
        <f t="shared" si="11"/>
        <v xml:space="preserve"> </v>
      </c>
      <c r="O100" s="293" t="str">
        <f t="shared" si="12"/>
        <v xml:space="preserve"> </v>
      </c>
      <c r="P100" s="293" t="str">
        <f t="shared" si="13"/>
        <v xml:space="preserve"> </v>
      </c>
      <c r="Q100" s="294" t="str">
        <f t="shared" si="14"/>
        <v xml:space="preserve"> </v>
      </c>
      <c r="R100" s="295" t="str">
        <f t="shared" si="15"/>
        <v xml:space="preserve"> </v>
      </c>
      <c r="S100" s="295" t="str">
        <f t="shared" si="16"/>
        <v xml:space="preserve"> </v>
      </c>
      <c r="T100" s="295" t="str">
        <f>IF(A100="N/A"," ",(IF(MONTH(A100)&gt;=4,IF(MONTH(A100)&lt;=10,Inputs!$H$2,Inputs!$H$3),Inputs!$H$3)))</f>
        <v xml:space="preserve"> </v>
      </c>
      <c r="U100" s="463" t="str">
        <f t="shared" si="22"/>
        <v xml:space="preserve"> </v>
      </c>
      <c r="AF100" s="205">
        <v>39479</v>
      </c>
      <c r="AG100" s="194">
        <v>21</v>
      </c>
      <c r="AH100" s="194">
        <v>4</v>
      </c>
      <c r="AI100" s="194">
        <v>4</v>
      </c>
      <c r="AJ100" s="194">
        <v>0</v>
      </c>
      <c r="AK100" s="194">
        <v>29</v>
      </c>
    </row>
    <row r="101" spans="1:37">
      <c r="A101" s="176" t="str">
        <f>Calculations!A68</f>
        <v>N/A</v>
      </c>
      <c r="B101" s="201" t="str">
        <f t="shared" si="23"/>
        <v xml:space="preserve"> </v>
      </c>
      <c r="C101" s="203" t="str">
        <f t="shared" ref="C101:C164" si="29">IF(A101="N/A"," ",(IF(AND(MONTH(A101)&gt;=6,MONTH(A101)&lt;=8,OR($M$37="REGION 2",$M$37="REGION 2A",$M$37="REGION 2B",$M$37="REGION 3",$M$37="REGION 3A",$M$37="REGION 3B",$M$37="REGION 4",$M$37="REGION 4B",$M$37="REGION 4C",$M$37="REGION 5",$M$37="REGION 5A")),((0.059228/(B101/100))-(0.4980013/(SQRT(B101/100)))+2.137988),HLOOKUP(MONTH(A101),ScalarTable,28))))</f>
        <v xml:space="preserve"> </v>
      </c>
      <c r="D101" s="202" t="str">
        <f t="shared" si="18"/>
        <v xml:space="preserve"> </v>
      </c>
      <c r="E101" s="201" t="str">
        <f t="shared" si="24"/>
        <v xml:space="preserve"> </v>
      </c>
      <c r="F101" s="202" t="str">
        <f t="shared" si="19"/>
        <v xml:space="preserve"> </v>
      </c>
      <c r="G101" s="201" t="str">
        <f t="shared" si="25"/>
        <v xml:space="preserve"> </v>
      </c>
      <c r="H101" s="202" t="str">
        <f t="shared" si="20"/>
        <v xml:space="preserve"> </v>
      </c>
      <c r="I101" s="202" t="str">
        <f t="shared" si="26"/>
        <v xml:space="preserve"> </v>
      </c>
      <c r="J101" s="276" t="str">
        <f t="shared" si="21"/>
        <v xml:space="preserve"> </v>
      </c>
      <c r="K101" s="363" t="str">
        <f t="shared" si="27"/>
        <v xml:space="preserve"> </v>
      </c>
      <c r="L101" s="363" t="str">
        <f t="shared" si="28"/>
        <v xml:space="preserve"> </v>
      </c>
      <c r="M101" s="445"/>
      <c r="N101" s="293" t="str">
        <f t="shared" ref="N101:N164" si="30">IF(A101="N/A"," ",VLOOKUP(A101,PeakPowerCurves,(IF(BMO=2,3,IF(BMO=1,2,4))),FALSE))</f>
        <v xml:space="preserve"> </v>
      </c>
      <c r="O101" s="293" t="str">
        <f t="shared" ref="O101:O164" si="31">IF(A101="N/A"," ",VLOOKUP(A101,SatSunPeakPwr,(IF(BMO=2,3,IF(BMO=1,2,4))),FALSE))</f>
        <v xml:space="preserve"> </v>
      </c>
      <c r="P101" s="293" t="str">
        <f t="shared" ref="P101:P164" si="32">IF(A101="N/A"," ",VLOOKUP(A101,SatSunPeakPwr,(IF(BMO=2,7,IF(BMO=1,6,8))),FALSE))</f>
        <v xml:space="preserve"> </v>
      </c>
      <c r="Q101" s="294" t="str">
        <f t="shared" ref="Q101:Q164" si="33">IF(A101="N/A"," ",(VLOOKUP(A101,OPPowerPrices,(IF(BMO=2,7,IF(BMO=1,6,8))),FALSE)))</f>
        <v xml:space="preserve"> </v>
      </c>
      <c r="R101" s="295" t="str">
        <f t="shared" ref="R101:R164" si="34">IF(A101="N/A"," ",(VLOOKUP(A101,GasCurves,9,FALSE))+IF(BMO=1,Gasbmo,IF(BMO=3,-Gasbmo,0)))</f>
        <v xml:space="preserve"> </v>
      </c>
      <c r="S101" s="295" t="str">
        <f t="shared" ref="S101:S164" si="35">IF(A101="N/A"," ",IF(Basischeck=TRUE,(VLOOKUP(A101,GasCurves,IF(MONTH(A101)&gt;=4,IF(MONTH(A101)&lt;=10,11,12),12),FALSE)),0))</f>
        <v xml:space="preserve"> </v>
      </c>
      <c r="T101" s="295" t="str">
        <f>IF(A101="N/A"," ",(IF(MONTH(A101)&gt;=4,IF(MONTH(A101)&lt;=10,Inputs!$H$2,Inputs!$H$3),Inputs!$H$3)))</f>
        <v xml:space="preserve"> </v>
      </c>
      <c r="U101" s="463" t="str">
        <f t="shared" si="22"/>
        <v xml:space="preserve"> </v>
      </c>
      <c r="AF101" s="205">
        <v>39508</v>
      </c>
      <c r="AG101" s="194">
        <v>21</v>
      </c>
      <c r="AH101" s="194">
        <v>5</v>
      </c>
      <c r="AI101" s="194">
        <v>5</v>
      </c>
      <c r="AJ101" s="194">
        <v>0</v>
      </c>
      <c r="AK101" s="194">
        <v>31</v>
      </c>
    </row>
    <row r="102" spans="1:37">
      <c r="A102" s="176" t="str">
        <f>Calculations!A69</f>
        <v>N/A</v>
      </c>
      <c r="B102" s="201" t="str">
        <f t="shared" si="23"/>
        <v xml:space="preserve"> </v>
      </c>
      <c r="C102" s="203" t="str">
        <f t="shared" si="29"/>
        <v xml:space="preserve"> </v>
      </c>
      <c r="D102" s="202" t="str">
        <f t="shared" ref="D102:D165" si="36">IF(A102="N/A"," ",C102*B102)</f>
        <v xml:space="preserve"> </v>
      </c>
      <c r="E102" s="201" t="str">
        <f t="shared" si="24"/>
        <v xml:space="preserve"> </v>
      </c>
      <c r="F102" s="202" t="str">
        <f t="shared" ref="F102:F165" si="37">IF(A102="N/A"," ",E102*C102)</f>
        <v xml:space="preserve"> </v>
      </c>
      <c r="G102" s="201" t="str">
        <f t="shared" si="25"/>
        <v xml:space="preserve"> </v>
      </c>
      <c r="H102" s="202" t="str">
        <f t="shared" ref="H102:H165" si="38">IF(A102="N/A"," ",G102*C102)</f>
        <v xml:space="preserve"> </v>
      </c>
      <c r="I102" s="202" t="str">
        <f t="shared" si="26"/>
        <v xml:space="preserve"> </v>
      </c>
      <c r="J102" s="276" t="str">
        <f t="shared" ref="J102:J165" si="39">IF(A102="N/A"," ",K102+L102+T102)</f>
        <v xml:space="preserve"> </v>
      </c>
      <c r="K102" s="363" t="str">
        <f t="shared" si="27"/>
        <v xml:space="preserve"> </v>
      </c>
      <c r="L102" s="363" t="str">
        <f t="shared" si="28"/>
        <v xml:space="preserve"> </v>
      </c>
      <c r="M102" s="445"/>
      <c r="N102" s="293" t="str">
        <f t="shared" si="30"/>
        <v xml:space="preserve"> </v>
      </c>
      <c r="O102" s="293" t="str">
        <f t="shared" si="31"/>
        <v xml:space="preserve"> </v>
      </c>
      <c r="P102" s="293" t="str">
        <f t="shared" si="32"/>
        <v xml:space="preserve"> </v>
      </c>
      <c r="Q102" s="294" t="str">
        <f t="shared" si="33"/>
        <v xml:space="preserve"> </v>
      </c>
      <c r="R102" s="295" t="str">
        <f t="shared" si="34"/>
        <v xml:space="preserve"> </v>
      </c>
      <c r="S102" s="295" t="str">
        <f t="shared" si="35"/>
        <v xml:space="preserve"> </v>
      </c>
      <c r="T102" s="295" t="str">
        <f>IF(A102="N/A"," ",(IF(MONTH(A102)&gt;=4,IF(MONTH(A102)&lt;=10,Inputs!$H$2,Inputs!$H$3),Inputs!$H$3)))</f>
        <v xml:space="preserve"> </v>
      </c>
      <c r="U102" s="463" t="str">
        <f t="shared" ref="U102:U165" si="40">IF(A102="N/A"," ",(VLOOKUP($A102,InterestRatesTable,2)))</f>
        <v xml:space="preserve"> </v>
      </c>
      <c r="AF102" s="205">
        <v>39539</v>
      </c>
      <c r="AG102" s="194">
        <v>22</v>
      </c>
      <c r="AH102" s="194">
        <v>4</v>
      </c>
      <c r="AI102" s="194">
        <v>4</v>
      </c>
      <c r="AJ102" s="194">
        <v>0</v>
      </c>
      <c r="AK102" s="194">
        <v>30</v>
      </c>
    </row>
    <row r="103" spans="1:37">
      <c r="A103" s="176" t="str">
        <f>Calculations!A70</f>
        <v>N/A</v>
      </c>
      <c r="B103" s="201" t="str">
        <f t="shared" si="23"/>
        <v xml:space="preserve"> </v>
      </c>
      <c r="C103" s="203" t="str">
        <f t="shared" si="29"/>
        <v xml:space="preserve"> </v>
      </c>
      <c r="D103" s="202" t="str">
        <f t="shared" si="36"/>
        <v xml:space="preserve"> </v>
      </c>
      <c r="E103" s="201" t="str">
        <f t="shared" si="24"/>
        <v xml:space="preserve"> </v>
      </c>
      <c r="F103" s="202" t="str">
        <f t="shared" si="37"/>
        <v xml:space="preserve"> </v>
      </c>
      <c r="G103" s="201" t="str">
        <f t="shared" si="25"/>
        <v xml:space="preserve"> </v>
      </c>
      <c r="H103" s="202" t="str">
        <f t="shared" si="38"/>
        <v xml:space="preserve"> </v>
      </c>
      <c r="I103" s="202" t="str">
        <f t="shared" si="26"/>
        <v xml:space="preserve"> </v>
      </c>
      <c r="J103" s="276" t="str">
        <f t="shared" si="39"/>
        <v xml:space="preserve"> </v>
      </c>
      <c r="K103" s="363" t="str">
        <f t="shared" si="27"/>
        <v xml:space="preserve"> </v>
      </c>
      <c r="L103" s="363" t="str">
        <f t="shared" si="28"/>
        <v xml:space="preserve"> </v>
      </c>
      <c r="M103" s="445"/>
      <c r="N103" s="293" t="str">
        <f t="shared" si="30"/>
        <v xml:space="preserve"> </v>
      </c>
      <c r="O103" s="293" t="str">
        <f t="shared" si="31"/>
        <v xml:space="preserve"> </v>
      </c>
      <c r="P103" s="293" t="str">
        <f t="shared" si="32"/>
        <v xml:space="preserve"> </v>
      </c>
      <c r="Q103" s="294" t="str">
        <f t="shared" si="33"/>
        <v xml:space="preserve"> </v>
      </c>
      <c r="R103" s="295" t="str">
        <f t="shared" si="34"/>
        <v xml:space="preserve"> </v>
      </c>
      <c r="S103" s="295" t="str">
        <f t="shared" si="35"/>
        <v xml:space="preserve"> </v>
      </c>
      <c r="T103" s="295" t="str">
        <f>IF(A103="N/A"," ",(IF(MONTH(A103)&gt;=4,IF(MONTH(A103)&lt;=10,Inputs!$H$2,Inputs!$H$3),Inputs!$H$3)))</f>
        <v xml:space="preserve"> </v>
      </c>
      <c r="U103" s="463" t="str">
        <f t="shared" si="40"/>
        <v xml:space="preserve"> </v>
      </c>
      <c r="AF103" s="205">
        <v>39569</v>
      </c>
      <c r="AG103" s="194">
        <v>21</v>
      </c>
      <c r="AH103" s="194">
        <v>5</v>
      </c>
      <c r="AI103" s="194">
        <v>5</v>
      </c>
      <c r="AJ103" s="194">
        <v>1</v>
      </c>
      <c r="AK103" s="194">
        <v>31</v>
      </c>
    </row>
    <row r="104" spans="1:37">
      <c r="A104" s="176" t="str">
        <f>Calculations!A71</f>
        <v>N/A</v>
      </c>
      <c r="B104" s="201" t="str">
        <f t="shared" si="23"/>
        <v xml:space="preserve"> </v>
      </c>
      <c r="C104" s="203" t="str">
        <f t="shared" si="29"/>
        <v xml:space="preserve"> </v>
      </c>
      <c r="D104" s="202" t="str">
        <f t="shared" si="36"/>
        <v xml:space="preserve"> </v>
      </c>
      <c r="E104" s="201" t="str">
        <f t="shared" si="24"/>
        <v xml:space="preserve"> </v>
      </c>
      <c r="F104" s="202" t="str">
        <f t="shared" si="37"/>
        <v xml:space="preserve"> </v>
      </c>
      <c r="G104" s="201" t="str">
        <f t="shared" si="25"/>
        <v xml:space="preserve"> </v>
      </c>
      <c r="H104" s="202" t="str">
        <f t="shared" si="38"/>
        <v xml:space="preserve"> </v>
      </c>
      <c r="I104" s="202" t="str">
        <f t="shared" si="26"/>
        <v xml:space="preserve"> </v>
      </c>
      <c r="J104" s="276" t="str">
        <f t="shared" si="39"/>
        <v xml:space="preserve"> </v>
      </c>
      <c r="K104" s="363" t="str">
        <f t="shared" si="27"/>
        <v xml:space="preserve"> </v>
      </c>
      <c r="L104" s="363" t="str">
        <f t="shared" si="28"/>
        <v xml:space="preserve"> </v>
      </c>
      <c r="M104" s="445"/>
      <c r="N104" s="293" t="str">
        <f t="shared" si="30"/>
        <v xml:space="preserve"> </v>
      </c>
      <c r="O104" s="293" t="str">
        <f t="shared" si="31"/>
        <v xml:space="preserve"> </v>
      </c>
      <c r="P104" s="293" t="str">
        <f t="shared" si="32"/>
        <v xml:space="preserve"> </v>
      </c>
      <c r="Q104" s="294" t="str">
        <f t="shared" si="33"/>
        <v xml:space="preserve"> </v>
      </c>
      <c r="R104" s="295" t="str">
        <f t="shared" si="34"/>
        <v xml:space="preserve"> </v>
      </c>
      <c r="S104" s="295" t="str">
        <f t="shared" si="35"/>
        <v xml:space="preserve"> </v>
      </c>
      <c r="T104" s="295" t="str">
        <f>IF(A104="N/A"," ",(IF(MONTH(A104)&gt;=4,IF(MONTH(A104)&lt;=10,Inputs!$H$2,Inputs!$H$3),Inputs!$H$3)))</f>
        <v xml:space="preserve"> </v>
      </c>
      <c r="U104" s="463" t="str">
        <f t="shared" si="40"/>
        <v xml:space="preserve"> </v>
      </c>
      <c r="AF104" s="205">
        <v>39600</v>
      </c>
      <c r="AG104" s="194">
        <v>21</v>
      </c>
      <c r="AH104" s="194">
        <v>4</v>
      </c>
      <c r="AI104" s="194">
        <v>5</v>
      </c>
      <c r="AJ104" s="194">
        <v>0</v>
      </c>
      <c r="AK104" s="194">
        <v>30</v>
      </c>
    </row>
    <row r="105" spans="1:37">
      <c r="A105" s="176" t="str">
        <f>Calculations!A72</f>
        <v>N/A</v>
      </c>
      <c r="B105" s="201" t="str">
        <f t="shared" si="23"/>
        <v xml:space="preserve"> </v>
      </c>
      <c r="C105" s="203" t="str">
        <f t="shared" si="29"/>
        <v xml:space="preserve"> </v>
      </c>
      <c r="D105" s="202" t="str">
        <f t="shared" si="36"/>
        <v xml:space="preserve"> </v>
      </c>
      <c r="E105" s="201" t="str">
        <f t="shared" si="24"/>
        <v xml:space="preserve"> </v>
      </c>
      <c r="F105" s="202" t="str">
        <f t="shared" si="37"/>
        <v xml:space="preserve"> </v>
      </c>
      <c r="G105" s="201" t="str">
        <f t="shared" si="25"/>
        <v xml:space="preserve"> </v>
      </c>
      <c r="H105" s="202" t="str">
        <f t="shared" si="38"/>
        <v xml:space="preserve"> </v>
      </c>
      <c r="I105" s="202" t="str">
        <f t="shared" si="26"/>
        <v xml:space="preserve"> </v>
      </c>
      <c r="J105" s="276" t="str">
        <f t="shared" si="39"/>
        <v xml:space="preserve"> </v>
      </c>
      <c r="K105" s="363" t="str">
        <f t="shared" si="27"/>
        <v xml:space="preserve"> </v>
      </c>
      <c r="L105" s="363" t="str">
        <f t="shared" si="28"/>
        <v xml:space="preserve"> </v>
      </c>
      <c r="M105" s="445"/>
      <c r="N105" s="293" t="str">
        <f t="shared" si="30"/>
        <v xml:space="preserve"> </v>
      </c>
      <c r="O105" s="293" t="str">
        <f t="shared" si="31"/>
        <v xml:space="preserve"> </v>
      </c>
      <c r="P105" s="293" t="str">
        <f t="shared" si="32"/>
        <v xml:space="preserve"> </v>
      </c>
      <c r="Q105" s="294" t="str">
        <f t="shared" si="33"/>
        <v xml:space="preserve"> </v>
      </c>
      <c r="R105" s="295" t="str">
        <f t="shared" si="34"/>
        <v xml:space="preserve"> </v>
      </c>
      <c r="S105" s="295" t="str">
        <f t="shared" si="35"/>
        <v xml:space="preserve"> </v>
      </c>
      <c r="T105" s="295" t="str">
        <f>IF(A105="N/A"," ",(IF(MONTH(A105)&gt;=4,IF(MONTH(A105)&lt;=10,Inputs!$H$2,Inputs!$H$3),Inputs!$H$3)))</f>
        <v xml:space="preserve"> </v>
      </c>
      <c r="U105" s="463" t="str">
        <f t="shared" si="40"/>
        <v xml:space="preserve"> </v>
      </c>
      <c r="AF105" s="205">
        <v>39630</v>
      </c>
      <c r="AG105" s="194">
        <v>22</v>
      </c>
      <c r="AH105" s="194">
        <v>4</v>
      </c>
      <c r="AI105" s="194">
        <v>5</v>
      </c>
      <c r="AJ105" s="194">
        <v>1</v>
      </c>
      <c r="AK105" s="194">
        <v>31</v>
      </c>
    </row>
    <row r="106" spans="1:37">
      <c r="A106" s="176" t="str">
        <f>Calculations!A73</f>
        <v>N/A</v>
      </c>
      <c r="B106" s="201" t="str">
        <f t="shared" si="23"/>
        <v xml:space="preserve"> </v>
      </c>
      <c r="C106" s="203" t="str">
        <f t="shared" si="29"/>
        <v xml:space="preserve"> </v>
      </c>
      <c r="D106" s="202" t="str">
        <f t="shared" si="36"/>
        <v xml:space="preserve"> </v>
      </c>
      <c r="E106" s="201" t="str">
        <f t="shared" si="24"/>
        <v xml:space="preserve"> </v>
      </c>
      <c r="F106" s="202" t="str">
        <f t="shared" si="37"/>
        <v xml:space="preserve"> </v>
      </c>
      <c r="G106" s="201" t="str">
        <f t="shared" si="25"/>
        <v xml:space="preserve"> </v>
      </c>
      <c r="H106" s="202" t="str">
        <f t="shared" si="38"/>
        <v xml:space="preserve"> </v>
      </c>
      <c r="I106" s="202" t="str">
        <f t="shared" si="26"/>
        <v xml:space="preserve"> </v>
      </c>
      <c r="J106" s="276" t="str">
        <f t="shared" si="39"/>
        <v xml:space="preserve"> </v>
      </c>
      <c r="K106" s="363" t="str">
        <f t="shared" si="27"/>
        <v xml:space="preserve"> </v>
      </c>
      <c r="L106" s="363" t="str">
        <f t="shared" si="28"/>
        <v xml:space="preserve"> </v>
      </c>
      <c r="M106" s="445"/>
      <c r="N106" s="293" t="str">
        <f t="shared" si="30"/>
        <v xml:space="preserve"> </v>
      </c>
      <c r="O106" s="293" t="str">
        <f t="shared" si="31"/>
        <v xml:space="preserve"> </v>
      </c>
      <c r="P106" s="293" t="str">
        <f t="shared" si="32"/>
        <v xml:space="preserve"> </v>
      </c>
      <c r="Q106" s="294" t="str">
        <f t="shared" si="33"/>
        <v xml:space="preserve"> </v>
      </c>
      <c r="R106" s="295" t="str">
        <f t="shared" si="34"/>
        <v xml:space="preserve"> </v>
      </c>
      <c r="S106" s="295" t="str">
        <f t="shared" si="35"/>
        <v xml:space="preserve"> </v>
      </c>
      <c r="T106" s="295" t="str">
        <f>IF(A106="N/A"," ",(IF(MONTH(A106)&gt;=4,IF(MONTH(A106)&lt;=10,Inputs!$H$2,Inputs!$H$3),Inputs!$H$3)))</f>
        <v xml:space="preserve"> </v>
      </c>
      <c r="U106" s="463" t="str">
        <f t="shared" si="40"/>
        <v xml:space="preserve"> </v>
      </c>
      <c r="AF106" s="205">
        <v>39661</v>
      </c>
      <c r="AG106" s="194">
        <v>21</v>
      </c>
      <c r="AH106" s="194">
        <v>5</v>
      </c>
      <c r="AI106" s="194">
        <v>5</v>
      </c>
      <c r="AJ106" s="194">
        <v>0</v>
      </c>
      <c r="AK106" s="194">
        <v>31</v>
      </c>
    </row>
    <row r="107" spans="1:37">
      <c r="A107" s="176" t="str">
        <f>Calculations!A74</f>
        <v>N/A</v>
      </c>
      <c r="B107" s="201" t="str">
        <f t="shared" si="23"/>
        <v xml:space="preserve"> </v>
      </c>
      <c r="C107" s="203" t="str">
        <f t="shared" si="29"/>
        <v xml:space="preserve"> </v>
      </c>
      <c r="D107" s="202" t="str">
        <f t="shared" si="36"/>
        <v xml:space="preserve"> </v>
      </c>
      <c r="E107" s="201" t="str">
        <f t="shared" si="24"/>
        <v xml:space="preserve"> </v>
      </c>
      <c r="F107" s="202" t="str">
        <f t="shared" si="37"/>
        <v xml:space="preserve"> </v>
      </c>
      <c r="G107" s="201" t="str">
        <f t="shared" si="25"/>
        <v xml:space="preserve"> </v>
      </c>
      <c r="H107" s="202" t="str">
        <f t="shared" si="38"/>
        <v xml:space="preserve"> </v>
      </c>
      <c r="I107" s="202" t="str">
        <f t="shared" si="26"/>
        <v xml:space="preserve"> </v>
      </c>
      <c r="J107" s="276" t="str">
        <f t="shared" si="39"/>
        <v xml:space="preserve"> </v>
      </c>
      <c r="K107" s="363" t="str">
        <f t="shared" si="27"/>
        <v xml:space="preserve"> </v>
      </c>
      <c r="L107" s="363" t="str">
        <f t="shared" si="28"/>
        <v xml:space="preserve"> </v>
      </c>
      <c r="M107" s="445"/>
      <c r="N107" s="293" t="str">
        <f t="shared" si="30"/>
        <v xml:space="preserve"> </v>
      </c>
      <c r="O107" s="293" t="str">
        <f t="shared" si="31"/>
        <v xml:space="preserve"> </v>
      </c>
      <c r="P107" s="293" t="str">
        <f t="shared" si="32"/>
        <v xml:space="preserve"> </v>
      </c>
      <c r="Q107" s="294" t="str">
        <f t="shared" si="33"/>
        <v xml:space="preserve"> </v>
      </c>
      <c r="R107" s="295" t="str">
        <f t="shared" si="34"/>
        <v xml:space="preserve"> </v>
      </c>
      <c r="S107" s="295" t="str">
        <f t="shared" si="35"/>
        <v xml:space="preserve"> </v>
      </c>
      <c r="T107" s="295" t="str">
        <f>IF(A107="N/A"," ",(IF(MONTH(A107)&gt;=4,IF(MONTH(A107)&lt;=10,Inputs!$H$2,Inputs!$H$3),Inputs!$H$3)))</f>
        <v xml:space="preserve"> </v>
      </c>
      <c r="U107" s="463" t="str">
        <f t="shared" si="40"/>
        <v xml:space="preserve"> </v>
      </c>
      <c r="AF107" s="205">
        <v>39692</v>
      </c>
      <c r="AG107" s="194">
        <v>21</v>
      </c>
      <c r="AH107" s="194">
        <v>4</v>
      </c>
      <c r="AI107" s="194">
        <v>5</v>
      </c>
      <c r="AJ107" s="194">
        <v>1</v>
      </c>
      <c r="AK107" s="194">
        <v>30</v>
      </c>
    </row>
    <row r="108" spans="1:37">
      <c r="A108" s="176" t="str">
        <f>Calculations!A75</f>
        <v>N/A</v>
      </c>
      <c r="B108" s="201" t="str">
        <f t="shared" si="23"/>
        <v xml:space="preserve"> </v>
      </c>
      <c r="C108" s="203" t="str">
        <f t="shared" si="29"/>
        <v xml:space="preserve"> </v>
      </c>
      <c r="D108" s="202" t="str">
        <f t="shared" si="36"/>
        <v xml:space="preserve"> </v>
      </c>
      <c r="E108" s="201" t="str">
        <f t="shared" si="24"/>
        <v xml:space="preserve"> </v>
      </c>
      <c r="F108" s="202" t="str">
        <f t="shared" si="37"/>
        <v xml:space="preserve"> </v>
      </c>
      <c r="G108" s="201" t="str">
        <f t="shared" si="25"/>
        <v xml:space="preserve"> </v>
      </c>
      <c r="H108" s="202" t="str">
        <f t="shared" si="38"/>
        <v xml:space="preserve"> </v>
      </c>
      <c r="I108" s="202" t="str">
        <f t="shared" si="26"/>
        <v xml:space="preserve"> </v>
      </c>
      <c r="J108" s="276" t="str">
        <f t="shared" si="39"/>
        <v xml:space="preserve"> </v>
      </c>
      <c r="K108" s="363" t="str">
        <f t="shared" si="27"/>
        <v xml:space="preserve"> </v>
      </c>
      <c r="L108" s="363" t="str">
        <f t="shared" si="28"/>
        <v xml:space="preserve"> </v>
      </c>
      <c r="M108" s="445"/>
      <c r="N108" s="293" t="str">
        <f t="shared" si="30"/>
        <v xml:space="preserve"> </v>
      </c>
      <c r="O108" s="293" t="str">
        <f t="shared" si="31"/>
        <v xml:space="preserve"> </v>
      </c>
      <c r="P108" s="293" t="str">
        <f t="shared" si="32"/>
        <v xml:space="preserve"> </v>
      </c>
      <c r="Q108" s="294" t="str">
        <f t="shared" si="33"/>
        <v xml:space="preserve"> </v>
      </c>
      <c r="R108" s="295" t="str">
        <f t="shared" si="34"/>
        <v xml:space="preserve"> </v>
      </c>
      <c r="S108" s="295" t="str">
        <f t="shared" si="35"/>
        <v xml:space="preserve"> </v>
      </c>
      <c r="T108" s="295" t="str">
        <f>IF(A108="N/A"," ",(IF(MONTH(A108)&gt;=4,IF(MONTH(A108)&lt;=10,Inputs!$H$2,Inputs!$H$3),Inputs!$H$3)))</f>
        <v xml:space="preserve"> </v>
      </c>
      <c r="U108" s="463" t="str">
        <f t="shared" si="40"/>
        <v xml:space="preserve"> </v>
      </c>
      <c r="AF108" s="205">
        <v>39722</v>
      </c>
      <c r="AG108" s="194">
        <v>23</v>
      </c>
      <c r="AH108" s="194">
        <v>4</v>
      </c>
      <c r="AI108" s="194">
        <v>4</v>
      </c>
      <c r="AJ108" s="194">
        <v>0</v>
      </c>
      <c r="AK108" s="194">
        <v>31</v>
      </c>
    </row>
    <row r="109" spans="1:37">
      <c r="A109" s="176" t="str">
        <f>Calculations!A76</f>
        <v>N/A</v>
      </c>
      <c r="B109" s="201" t="str">
        <f t="shared" si="23"/>
        <v xml:space="preserve"> </v>
      </c>
      <c r="C109" s="203" t="str">
        <f t="shared" si="29"/>
        <v xml:space="preserve"> </v>
      </c>
      <c r="D109" s="202" t="str">
        <f t="shared" si="36"/>
        <v xml:space="preserve"> </v>
      </c>
      <c r="E109" s="201" t="str">
        <f t="shared" si="24"/>
        <v xml:space="preserve"> </v>
      </c>
      <c r="F109" s="202" t="str">
        <f t="shared" si="37"/>
        <v xml:space="preserve"> </v>
      </c>
      <c r="G109" s="201" t="str">
        <f t="shared" si="25"/>
        <v xml:space="preserve"> </v>
      </c>
      <c r="H109" s="202" t="str">
        <f t="shared" si="38"/>
        <v xml:space="preserve"> </v>
      </c>
      <c r="I109" s="202" t="str">
        <f t="shared" si="26"/>
        <v xml:space="preserve"> </v>
      </c>
      <c r="J109" s="276" t="str">
        <f t="shared" si="39"/>
        <v xml:space="preserve"> </v>
      </c>
      <c r="K109" s="363" t="str">
        <f t="shared" si="27"/>
        <v xml:space="preserve"> </v>
      </c>
      <c r="L109" s="363" t="str">
        <f t="shared" si="28"/>
        <v xml:space="preserve"> </v>
      </c>
      <c r="M109" s="445"/>
      <c r="N109" s="293" t="str">
        <f t="shared" si="30"/>
        <v xml:space="preserve"> </v>
      </c>
      <c r="O109" s="293" t="str">
        <f t="shared" si="31"/>
        <v xml:space="preserve"> </v>
      </c>
      <c r="P109" s="293" t="str">
        <f t="shared" si="32"/>
        <v xml:space="preserve"> </v>
      </c>
      <c r="Q109" s="294" t="str">
        <f t="shared" si="33"/>
        <v xml:space="preserve"> </v>
      </c>
      <c r="R109" s="295" t="str">
        <f t="shared" si="34"/>
        <v xml:space="preserve"> </v>
      </c>
      <c r="S109" s="295" t="str">
        <f t="shared" si="35"/>
        <v xml:space="preserve"> </v>
      </c>
      <c r="T109" s="295" t="str">
        <f>IF(A109="N/A"," ",(IF(MONTH(A109)&gt;=4,IF(MONTH(A109)&lt;=10,Inputs!$H$2,Inputs!$H$3),Inputs!$H$3)))</f>
        <v xml:space="preserve"> </v>
      </c>
      <c r="U109" s="463" t="str">
        <f t="shared" si="40"/>
        <v xml:space="preserve"> </v>
      </c>
      <c r="AF109" s="205">
        <v>39753</v>
      </c>
      <c r="AG109" s="194">
        <v>19</v>
      </c>
      <c r="AH109" s="194">
        <v>5</v>
      </c>
      <c r="AI109" s="194">
        <v>6</v>
      </c>
      <c r="AJ109" s="194">
        <v>1</v>
      </c>
      <c r="AK109" s="194">
        <v>30</v>
      </c>
    </row>
    <row r="110" spans="1:37">
      <c r="A110" s="176" t="str">
        <f>Calculations!A77</f>
        <v>N/A</v>
      </c>
      <c r="B110" s="201" t="str">
        <f t="shared" si="23"/>
        <v xml:space="preserve"> </v>
      </c>
      <c r="C110" s="203" t="str">
        <f t="shared" si="29"/>
        <v xml:space="preserve"> </v>
      </c>
      <c r="D110" s="202" t="str">
        <f t="shared" si="36"/>
        <v xml:space="preserve"> </v>
      </c>
      <c r="E110" s="201" t="str">
        <f t="shared" si="24"/>
        <v xml:space="preserve"> </v>
      </c>
      <c r="F110" s="202" t="str">
        <f t="shared" si="37"/>
        <v xml:space="preserve"> </v>
      </c>
      <c r="G110" s="201" t="str">
        <f t="shared" si="25"/>
        <v xml:space="preserve"> </v>
      </c>
      <c r="H110" s="202" t="str">
        <f t="shared" si="38"/>
        <v xml:space="preserve"> </v>
      </c>
      <c r="I110" s="202" t="str">
        <f t="shared" si="26"/>
        <v xml:space="preserve"> </v>
      </c>
      <c r="J110" s="276" t="str">
        <f t="shared" si="39"/>
        <v xml:space="preserve"> </v>
      </c>
      <c r="K110" s="363" t="str">
        <f t="shared" si="27"/>
        <v xml:space="preserve"> </v>
      </c>
      <c r="L110" s="363" t="str">
        <f t="shared" si="28"/>
        <v xml:space="preserve"> </v>
      </c>
      <c r="M110" s="445"/>
      <c r="N110" s="293" t="str">
        <f t="shared" si="30"/>
        <v xml:space="preserve"> </v>
      </c>
      <c r="O110" s="293" t="str">
        <f t="shared" si="31"/>
        <v xml:space="preserve"> </v>
      </c>
      <c r="P110" s="293" t="str">
        <f t="shared" si="32"/>
        <v xml:space="preserve"> </v>
      </c>
      <c r="Q110" s="294" t="str">
        <f t="shared" si="33"/>
        <v xml:space="preserve"> </v>
      </c>
      <c r="R110" s="295" t="str">
        <f t="shared" si="34"/>
        <v xml:space="preserve"> </v>
      </c>
      <c r="S110" s="295" t="str">
        <f t="shared" si="35"/>
        <v xml:space="preserve"> </v>
      </c>
      <c r="T110" s="295" t="str">
        <f>IF(A110="N/A"," ",(IF(MONTH(A110)&gt;=4,IF(MONTH(A110)&lt;=10,Inputs!$H$2,Inputs!$H$3),Inputs!$H$3)))</f>
        <v xml:space="preserve"> </v>
      </c>
      <c r="U110" s="463" t="str">
        <f t="shared" si="40"/>
        <v xml:space="preserve"> </v>
      </c>
      <c r="AF110" s="205">
        <v>39783</v>
      </c>
      <c r="AG110" s="194">
        <v>22</v>
      </c>
      <c r="AH110" s="194">
        <v>4</v>
      </c>
      <c r="AI110" s="194">
        <v>5</v>
      </c>
      <c r="AJ110" s="194">
        <v>1</v>
      </c>
      <c r="AK110" s="194">
        <v>31</v>
      </c>
    </row>
    <row r="111" spans="1:37">
      <c r="A111" s="176" t="str">
        <f>Calculations!A78</f>
        <v>N/A</v>
      </c>
      <c r="B111" s="201" t="str">
        <f t="shared" si="23"/>
        <v xml:space="preserve"> </v>
      </c>
      <c r="C111" s="203" t="str">
        <f t="shared" si="29"/>
        <v xml:space="preserve"> </v>
      </c>
      <c r="D111" s="202" t="str">
        <f t="shared" si="36"/>
        <v xml:space="preserve"> </v>
      </c>
      <c r="E111" s="201" t="str">
        <f t="shared" si="24"/>
        <v xml:space="preserve"> </v>
      </c>
      <c r="F111" s="202" t="str">
        <f t="shared" si="37"/>
        <v xml:space="preserve"> </v>
      </c>
      <c r="G111" s="201" t="str">
        <f t="shared" si="25"/>
        <v xml:space="preserve"> </v>
      </c>
      <c r="H111" s="202" t="str">
        <f t="shared" si="38"/>
        <v xml:space="preserve"> </v>
      </c>
      <c r="I111" s="202" t="str">
        <f t="shared" si="26"/>
        <v xml:space="preserve"> </v>
      </c>
      <c r="J111" s="276" t="str">
        <f t="shared" si="39"/>
        <v xml:space="preserve"> </v>
      </c>
      <c r="K111" s="363" t="str">
        <f t="shared" si="27"/>
        <v xml:space="preserve"> </v>
      </c>
      <c r="L111" s="363" t="str">
        <f t="shared" si="28"/>
        <v xml:space="preserve"> </v>
      </c>
      <c r="M111" s="445"/>
      <c r="N111" s="293" t="str">
        <f t="shared" si="30"/>
        <v xml:space="preserve"> </v>
      </c>
      <c r="O111" s="293" t="str">
        <f t="shared" si="31"/>
        <v xml:space="preserve"> </v>
      </c>
      <c r="P111" s="293" t="str">
        <f t="shared" si="32"/>
        <v xml:space="preserve"> </v>
      </c>
      <c r="Q111" s="294" t="str">
        <f t="shared" si="33"/>
        <v xml:space="preserve"> </v>
      </c>
      <c r="R111" s="295" t="str">
        <f t="shared" si="34"/>
        <v xml:space="preserve"> </v>
      </c>
      <c r="S111" s="295" t="str">
        <f t="shared" si="35"/>
        <v xml:space="preserve"> </v>
      </c>
      <c r="T111" s="295" t="str">
        <f>IF(A111="N/A"," ",(IF(MONTH(A111)&gt;=4,IF(MONTH(A111)&lt;=10,Inputs!$H$2,Inputs!$H$3),Inputs!$H$3)))</f>
        <v xml:space="preserve"> </v>
      </c>
      <c r="U111" s="463" t="str">
        <f t="shared" si="40"/>
        <v xml:space="preserve"> </v>
      </c>
      <c r="AF111" s="205">
        <v>39814</v>
      </c>
      <c r="AG111" s="194">
        <v>21</v>
      </c>
      <c r="AH111" s="194">
        <v>5</v>
      </c>
      <c r="AI111" s="194">
        <v>5</v>
      </c>
      <c r="AJ111" s="194">
        <v>1</v>
      </c>
      <c r="AK111" s="194">
        <v>31</v>
      </c>
    </row>
    <row r="112" spans="1:37">
      <c r="A112" s="176" t="str">
        <f>Calculations!A79</f>
        <v>N/A</v>
      </c>
      <c r="B112" s="201" t="str">
        <f t="shared" si="23"/>
        <v xml:space="preserve"> </v>
      </c>
      <c r="C112" s="203" t="str">
        <f t="shared" si="29"/>
        <v xml:space="preserve"> </v>
      </c>
      <c r="D112" s="202" t="str">
        <f t="shared" si="36"/>
        <v xml:space="preserve"> </v>
      </c>
      <c r="E112" s="201" t="str">
        <f t="shared" si="24"/>
        <v xml:space="preserve"> </v>
      </c>
      <c r="F112" s="202" t="str">
        <f t="shared" si="37"/>
        <v xml:space="preserve"> </v>
      </c>
      <c r="G112" s="201" t="str">
        <f t="shared" si="25"/>
        <v xml:space="preserve"> </v>
      </c>
      <c r="H112" s="202" t="str">
        <f t="shared" si="38"/>
        <v xml:space="preserve"> </v>
      </c>
      <c r="I112" s="202" t="str">
        <f t="shared" si="26"/>
        <v xml:space="preserve"> </v>
      </c>
      <c r="J112" s="276" t="str">
        <f t="shared" si="39"/>
        <v xml:space="preserve"> </v>
      </c>
      <c r="K112" s="363" t="str">
        <f t="shared" si="27"/>
        <v xml:space="preserve"> </v>
      </c>
      <c r="L112" s="363" t="str">
        <f t="shared" si="28"/>
        <v xml:space="preserve"> </v>
      </c>
      <c r="M112" s="445"/>
      <c r="N112" s="293" t="str">
        <f t="shared" si="30"/>
        <v xml:space="preserve"> </v>
      </c>
      <c r="O112" s="293" t="str">
        <f t="shared" si="31"/>
        <v xml:space="preserve"> </v>
      </c>
      <c r="P112" s="293" t="str">
        <f t="shared" si="32"/>
        <v xml:space="preserve"> </v>
      </c>
      <c r="Q112" s="294" t="str">
        <f t="shared" si="33"/>
        <v xml:space="preserve"> </v>
      </c>
      <c r="R112" s="295" t="str">
        <f t="shared" si="34"/>
        <v xml:space="preserve"> </v>
      </c>
      <c r="S112" s="295" t="str">
        <f t="shared" si="35"/>
        <v xml:space="preserve"> </v>
      </c>
      <c r="T112" s="295" t="str">
        <f>IF(A112="N/A"," ",(IF(MONTH(A112)&gt;=4,IF(MONTH(A112)&lt;=10,Inputs!$H$2,Inputs!$H$3),Inputs!$H$3)))</f>
        <v xml:space="preserve"> </v>
      </c>
      <c r="U112" s="463" t="str">
        <f t="shared" si="40"/>
        <v xml:space="preserve"> </v>
      </c>
      <c r="AF112" s="205">
        <v>39845</v>
      </c>
      <c r="AG112" s="194">
        <v>20</v>
      </c>
      <c r="AH112" s="194">
        <v>4</v>
      </c>
      <c r="AI112" s="194">
        <v>4</v>
      </c>
      <c r="AJ112" s="194">
        <v>0</v>
      </c>
      <c r="AK112" s="194">
        <v>28</v>
      </c>
    </row>
    <row r="113" spans="1:37">
      <c r="A113" s="176" t="str">
        <f>Calculations!A80</f>
        <v>N/A</v>
      </c>
      <c r="B113" s="201" t="str">
        <f t="shared" ref="B113:B176" si="41">IF(A113="N/A"," ",IF(ISERROR(N113),B101*Pwresc,N113)*VLOOKUP(MONTH(A113),Curveadj,3))</f>
        <v xml:space="preserve"> </v>
      </c>
      <c r="C113" s="203" t="str">
        <f t="shared" si="29"/>
        <v xml:space="preserve"> </v>
      </c>
      <c r="D113" s="202" t="str">
        <f t="shared" si="36"/>
        <v xml:space="preserve"> </v>
      </c>
      <c r="E113" s="201" t="str">
        <f t="shared" ref="E113:E176" si="42">IF(A113="N/A"," ",IF(ISERROR(O113),E101*Pwresc,O113)*VLOOKUP(MONTH(A113),Curveadj,3))</f>
        <v xml:space="preserve"> </v>
      </c>
      <c r="F113" s="202" t="str">
        <f t="shared" si="37"/>
        <v xml:space="preserve"> </v>
      </c>
      <c r="G113" s="201" t="str">
        <f t="shared" ref="G113:G176" si="43">IF(A113="N/A"," ",IF(ISERROR(P113),G101*Pwresc,P113)*VLOOKUP(MONTH(A113),Curveadj,3))</f>
        <v xml:space="preserve"> </v>
      </c>
      <c r="H113" s="202" t="str">
        <f t="shared" si="38"/>
        <v xml:space="preserve"> </v>
      </c>
      <c r="I113" s="202" t="str">
        <f t="shared" ref="I113:I176" si="44">IF(A113="N/A"," ",IF(ISERROR(Q113),I101*Pwresc,Q113))</f>
        <v xml:space="preserve"> </v>
      </c>
      <c r="J113" s="276" t="str">
        <f t="shared" si="39"/>
        <v xml:space="preserve"> </v>
      </c>
      <c r="K113" s="363" t="str">
        <f t="shared" ref="K113:K176" si="45">IF(A113="N/A"," ",IF(ISERROR(R113),K101*Gasesc,R113))</f>
        <v xml:space="preserve"> </v>
      </c>
      <c r="L113" s="363" t="str">
        <f t="shared" ref="L113:L176" si="46">IF(A113="N/A"," ",IF(ISERROR(S113),L101*Gasesc,IF(S113=0,L101*Gasesc,S113)))</f>
        <v xml:space="preserve"> </v>
      </c>
      <c r="M113" s="445"/>
      <c r="N113" s="293" t="str">
        <f t="shared" si="30"/>
        <v xml:space="preserve"> </v>
      </c>
      <c r="O113" s="293" t="str">
        <f t="shared" si="31"/>
        <v xml:space="preserve"> </v>
      </c>
      <c r="P113" s="293" t="str">
        <f t="shared" si="32"/>
        <v xml:space="preserve"> </v>
      </c>
      <c r="Q113" s="294" t="str">
        <f t="shared" si="33"/>
        <v xml:space="preserve"> </v>
      </c>
      <c r="R113" s="295" t="str">
        <f t="shared" si="34"/>
        <v xml:space="preserve"> </v>
      </c>
      <c r="S113" s="295" t="str">
        <f t="shared" si="35"/>
        <v xml:space="preserve"> </v>
      </c>
      <c r="T113" s="295" t="str">
        <f>IF(A113="N/A"," ",(IF(MONTH(A113)&gt;=4,IF(MONTH(A113)&lt;=10,Inputs!$H$2,Inputs!$H$3),Inputs!$H$3)))</f>
        <v xml:space="preserve"> </v>
      </c>
      <c r="U113" s="463" t="str">
        <f t="shared" si="40"/>
        <v xml:space="preserve"> </v>
      </c>
      <c r="AF113" s="205">
        <v>39873</v>
      </c>
      <c r="AG113" s="194">
        <v>22</v>
      </c>
      <c r="AH113" s="194">
        <v>4</v>
      </c>
      <c r="AI113" s="194">
        <v>5</v>
      </c>
      <c r="AJ113" s="194">
        <v>0</v>
      </c>
      <c r="AK113" s="194">
        <v>31</v>
      </c>
    </row>
    <row r="114" spans="1:37">
      <c r="A114" s="176" t="str">
        <f>Calculations!A81</f>
        <v>N/A</v>
      </c>
      <c r="B114" s="201" t="str">
        <f t="shared" si="41"/>
        <v xml:space="preserve"> </v>
      </c>
      <c r="C114" s="203" t="str">
        <f t="shared" si="29"/>
        <v xml:space="preserve"> </v>
      </c>
      <c r="D114" s="202" t="str">
        <f t="shared" si="36"/>
        <v xml:space="preserve"> </v>
      </c>
      <c r="E114" s="201" t="str">
        <f t="shared" si="42"/>
        <v xml:space="preserve"> </v>
      </c>
      <c r="F114" s="202" t="str">
        <f t="shared" si="37"/>
        <v xml:space="preserve"> </v>
      </c>
      <c r="G114" s="201" t="str">
        <f t="shared" si="43"/>
        <v xml:space="preserve"> </v>
      </c>
      <c r="H114" s="202" t="str">
        <f t="shared" si="38"/>
        <v xml:space="preserve"> </v>
      </c>
      <c r="I114" s="202" t="str">
        <f t="shared" si="44"/>
        <v xml:space="preserve"> </v>
      </c>
      <c r="J114" s="276" t="str">
        <f t="shared" si="39"/>
        <v xml:space="preserve"> </v>
      </c>
      <c r="K114" s="363" t="str">
        <f t="shared" si="45"/>
        <v xml:space="preserve"> </v>
      </c>
      <c r="L114" s="363" t="str">
        <f t="shared" si="46"/>
        <v xml:space="preserve"> </v>
      </c>
      <c r="M114" s="445"/>
      <c r="N114" s="293" t="str">
        <f t="shared" si="30"/>
        <v xml:space="preserve"> </v>
      </c>
      <c r="O114" s="293" t="str">
        <f t="shared" si="31"/>
        <v xml:space="preserve"> </v>
      </c>
      <c r="P114" s="293" t="str">
        <f t="shared" si="32"/>
        <v xml:space="preserve"> </v>
      </c>
      <c r="Q114" s="294" t="str">
        <f t="shared" si="33"/>
        <v xml:space="preserve"> </v>
      </c>
      <c r="R114" s="295" t="str">
        <f t="shared" si="34"/>
        <v xml:space="preserve"> </v>
      </c>
      <c r="S114" s="295" t="str">
        <f t="shared" si="35"/>
        <v xml:space="preserve"> </v>
      </c>
      <c r="T114" s="295" t="str">
        <f>IF(A114="N/A"," ",(IF(MONTH(A114)&gt;=4,IF(MONTH(A114)&lt;=10,Inputs!$H$2,Inputs!$H$3),Inputs!$H$3)))</f>
        <v xml:space="preserve"> </v>
      </c>
      <c r="U114" s="463" t="str">
        <f t="shared" si="40"/>
        <v xml:space="preserve"> </v>
      </c>
      <c r="AF114" s="205">
        <v>39904</v>
      </c>
      <c r="AG114" s="194">
        <v>22</v>
      </c>
      <c r="AH114" s="194">
        <v>4</v>
      </c>
      <c r="AI114" s="194">
        <v>4</v>
      </c>
      <c r="AJ114" s="194">
        <v>0</v>
      </c>
      <c r="AK114" s="194">
        <v>30</v>
      </c>
    </row>
    <row r="115" spans="1:37">
      <c r="A115" s="176" t="str">
        <f>Calculations!A82</f>
        <v>N/A</v>
      </c>
      <c r="B115" s="201" t="str">
        <f t="shared" si="41"/>
        <v xml:space="preserve"> </v>
      </c>
      <c r="C115" s="203" t="str">
        <f t="shared" si="29"/>
        <v xml:space="preserve"> </v>
      </c>
      <c r="D115" s="202" t="str">
        <f t="shared" si="36"/>
        <v xml:space="preserve"> </v>
      </c>
      <c r="E115" s="201" t="str">
        <f t="shared" si="42"/>
        <v xml:space="preserve"> </v>
      </c>
      <c r="F115" s="202" t="str">
        <f t="shared" si="37"/>
        <v xml:space="preserve"> </v>
      </c>
      <c r="G115" s="201" t="str">
        <f t="shared" si="43"/>
        <v xml:space="preserve"> </v>
      </c>
      <c r="H115" s="202" t="str">
        <f t="shared" si="38"/>
        <v xml:space="preserve"> </v>
      </c>
      <c r="I115" s="202" t="str">
        <f t="shared" si="44"/>
        <v xml:space="preserve"> </v>
      </c>
      <c r="J115" s="276" t="str">
        <f t="shared" si="39"/>
        <v xml:space="preserve"> </v>
      </c>
      <c r="K115" s="363" t="str">
        <f t="shared" si="45"/>
        <v xml:space="preserve"> </v>
      </c>
      <c r="L115" s="363" t="str">
        <f t="shared" si="46"/>
        <v xml:space="preserve"> </v>
      </c>
      <c r="M115" s="445"/>
      <c r="N115" s="293" t="str">
        <f t="shared" si="30"/>
        <v xml:space="preserve"> </v>
      </c>
      <c r="O115" s="293" t="str">
        <f t="shared" si="31"/>
        <v xml:space="preserve"> </v>
      </c>
      <c r="P115" s="293" t="str">
        <f t="shared" si="32"/>
        <v xml:space="preserve"> </v>
      </c>
      <c r="Q115" s="294" t="str">
        <f t="shared" si="33"/>
        <v xml:space="preserve"> </v>
      </c>
      <c r="R115" s="295" t="str">
        <f t="shared" si="34"/>
        <v xml:space="preserve"> </v>
      </c>
      <c r="S115" s="295" t="str">
        <f t="shared" si="35"/>
        <v xml:space="preserve"> </v>
      </c>
      <c r="T115" s="295" t="str">
        <f>IF(A115="N/A"," ",(IF(MONTH(A115)&gt;=4,IF(MONTH(A115)&lt;=10,Inputs!$H$2,Inputs!$H$3),Inputs!$H$3)))</f>
        <v xml:space="preserve"> </v>
      </c>
      <c r="U115" s="463" t="str">
        <f t="shared" si="40"/>
        <v xml:space="preserve"> </v>
      </c>
      <c r="AF115" s="205">
        <v>39934</v>
      </c>
      <c r="AG115" s="194">
        <v>20</v>
      </c>
      <c r="AH115" s="194">
        <v>5</v>
      </c>
      <c r="AI115" s="194">
        <v>6</v>
      </c>
      <c r="AJ115" s="194">
        <v>1</v>
      </c>
      <c r="AK115" s="194">
        <v>31</v>
      </c>
    </row>
    <row r="116" spans="1:37">
      <c r="A116" s="176" t="str">
        <f>Calculations!A83</f>
        <v>N/A</v>
      </c>
      <c r="B116" s="201" t="str">
        <f t="shared" si="41"/>
        <v xml:space="preserve"> </v>
      </c>
      <c r="C116" s="203" t="str">
        <f t="shared" si="29"/>
        <v xml:space="preserve"> </v>
      </c>
      <c r="D116" s="202" t="str">
        <f t="shared" si="36"/>
        <v xml:space="preserve"> </v>
      </c>
      <c r="E116" s="201" t="str">
        <f t="shared" si="42"/>
        <v xml:space="preserve"> </v>
      </c>
      <c r="F116" s="202" t="str">
        <f t="shared" si="37"/>
        <v xml:space="preserve"> </v>
      </c>
      <c r="G116" s="201" t="str">
        <f t="shared" si="43"/>
        <v xml:space="preserve"> </v>
      </c>
      <c r="H116" s="202" t="str">
        <f t="shared" si="38"/>
        <v xml:space="preserve"> </v>
      </c>
      <c r="I116" s="202" t="str">
        <f t="shared" si="44"/>
        <v xml:space="preserve"> </v>
      </c>
      <c r="J116" s="276" t="str">
        <f t="shared" si="39"/>
        <v xml:space="preserve"> </v>
      </c>
      <c r="K116" s="363" t="str">
        <f t="shared" si="45"/>
        <v xml:space="preserve"> </v>
      </c>
      <c r="L116" s="363" t="str">
        <f t="shared" si="46"/>
        <v xml:space="preserve"> </v>
      </c>
      <c r="M116" s="445"/>
      <c r="N116" s="293" t="str">
        <f t="shared" si="30"/>
        <v xml:space="preserve"> </v>
      </c>
      <c r="O116" s="293" t="str">
        <f t="shared" si="31"/>
        <v xml:space="preserve"> </v>
      </c>
      <c r="P116" s="293" t="str">
        <f t="shared" si="32"/>
        <v xml:space="preserve"> </v>
      </c>
      <c r="Q116" s="294" t="str">
        <f t="shared" si="33"/>
        <v xml:space="preserve"> </v>
      </c>
      <c r="R116" s="295" t="str">
        <f t="shared" si="34"/>
        <v xml:space="preserve"> </v>
      </c>
      <c r="S116" s="295" t="str">
        <f t="shared" si="35"/>
        <v xml:space="preserve"> </v>
      </c>
      <c r="T116" s="295" t="str">
        <f>IF(A116="N/A"," ",(IF(MONTH(A116)&gt;=4,IF(MONTH(A116)&lt;=10,Inputs!$H$2,Inputs!$H$3),Inputs!$H$3)))</f>
        <v xml:space="preserve"> </v>
      </c>
      <c r="U116" s="463" t="str">
        <f t="shared" si="40"/>
        <v xml:space="preserve"> </v>
      </c>
      <c r="AF116" s="205">
        <v>39965</v>
      </c>
      <c r="AG116" s="194">
        <v>22</v>
      </c>
      <c r="AH116" s="194">
        <v>4</v>
      </c>
      <c r="AI116" s="194">
        <v>4</v>
      </c>
      <c r="AJ116" s="194">
        <v>0</v>
      </c>
      <c r="AK116" s="194">
        <v>30</v>
      </c>
    </row>
    <row r="117" spans="1:37">
      <c r="A117" s="176" t="str">
        <f>Calculations!A84</f>
        <v>N/A</v>
      </c>
      <c r="B117" s="201" t="str">
        <f t="shared" si="41"/>
        <v xml:space="preserve"> </v>
      </c>
      <c r="C117" s="203" t="str">
        <f t="shared" si="29"/>
        <v xml:space="preserve"> </v>
      </c>
      <c r="D117" s="202" t="str">
        <f t="shared" si="36"/>
        <v xml:space="preserve"> </v>
      </c>
      <c r="E117" s="201" t="str">
        <f t="shared" si="42"/>
        <v xml:space="preserve"> </v>
      </c>
      <c r="F117" s="202" t="str">
        <f t="shared" si="37"/>
        <v xml:space="preserve"> </v>
      </c>
      <c r="G117" s="201" t="str">
        <f t="shared" si="43"/>
        <v xml:space="preserve"> </v>
      </c>
      <c r="H117" s="202" t="str">
        <f t="shared" si="38"/>
        <v xml:space="preserve"> </v>
      </c>
      <c r="I117" s="202" t="str">
        <f t="shared" si="44"/>
        <v xml:space="preserve"> </v>
      </c>
      <c r="J117" s="276" t="str">
        <f t="shared" si="39"/>
        <v xml:space="preserve"> </v>
      </c>
      <c r="K117" s="363" t="str">
        <f t="shared" si="45"/>
        <v xml:space="preserve"> </v>
      </c>
      <c r="L117" s="363" t="str">
        <f t="shared" si="46"/>
        <v xml:space="preserve"> </v>
      </c>
      <c r="M117" s="445"/>
      <c r="N117" s="293" t="str">
        <f t="shared" si="30"/>
        <v xml:space="preserve"> </v>
      </c>
      <c r="O117" s="293" t="str">
        <f t="shared" si="31"/>
        <v xml:space="preserve"> </v>
      </c>
      <c r="P117" s="293" t="str">
        <f t="shared" si="32"/>
        <v xml:space="preserve"> </v>
      </c>
      <c r="Q117" s="294" t="str">
        <f t="shared" si="33"/>
        <v xml:space="preserve"> </v>
      </c>
      <c r="R117" s="295" t="str">
        <f t="shared" si="34"/>
        <v xml:space="preserve"> </v>
      </c>
      <c r="S117" s="295" t="str">
        <f t="shared" si="35"/>
        <v xml:space="preserve"> </v>
      </c>
      <c r="T117" s="295" t="str">
        <f>IF(A117="N/A"," ",(IF(MONTH(A117)&gt;=4,IF(MONTH(A117)&lt;=10,Inputs!$H$2,Inputs!$H$3),Inputs!$H$3)))</f>
        <v xml:space="preserve"> </v>
      </c>
      <c r="U117" s="463" t="str">
        <f t="shared" si="40"/>
        <v xml:space="preserve"> </v>
      </c>
      <c r="AF117" s="205">
        <v>39995</v>
      </c>
      <c r="AG117" s="194">
        <v>23</v>
      </c>
      <c r="AH117" s="194">
        <v>3</v>
      </c>
      <c r="AI117" s="194">
        <v>5</v>
      </c>
      <c r="AJ117" s="194">
        <v>1</v>
      </c>
      <c r="AK117" s="194">
        <v>31</v>
      </c>
    </row>
    <row r="118" spans="1:37">
      <c r="A118" s="176" t="str">
        <f>Calculations!A85</f>
        <v>N/A</v>
      </c>
      <c r="B118" s="201" t="str">
        <f t="shared" si="41"/>
        <v xml:space="preserve"> </v>
      </c>
      <c r="C118" s="203" t="str">
        <f t="shared" si="29"/>
        <v xml:space="preserve"> </v>
      </c>
      <c r="D118" s="202" t="str">
        <f t="shared" si="36"/>
        <v xml:space="preserve"> </v>
      </c>
      <c r="E118" s="201" t="str">
        <f t="shared" si="42"/>
        <v xml:space="preserve"> </v>
      </c>
      <c r="F118" s="202" t="str">
        <f t="shared" si="37"/>
        <v xml:space="preserve"> </v>
      </c>
      <c r="G118" s="201" t="str">
        <f t="shared" si="43"/>
        <v xml:space="preserve"> </v>
      </c>
      <c r="H118" s="202" t="str">
        <f t="shared" si="38"/>
        <v xml:space="preserve"> </v>
      </c>
      <c r="I118" s="202" t="str">
        <f t="shared" si="44"/>
        <v xml:space="preserve"> </v>
      </c>
      <c r="J118" s="276" t="str">
        <f t="shared" si="39"/>
        <v xml:space="preserve"> </v>
      </c>
      <c r="K118" s="363" t="str">
        <f t="shared" si="45"/>
        <v xml:space="preserve"> </v>
      </c>
      <c r="L118" s="363" t="str">
        <f t="shared" si="46"/>
        <v xml:space="preserve"> </v>
      </c>
      <c r="M118" s="445"/>
      <c r="N118" s="293" t="str">
        <f t="shared" si="30"/>
        <v xml:space="preserve"> </v>
      </c>
      <c r="O118" s="293" t="str">
        <f t="shared" si="31"/>
        <v xml:space="preserve"> </v>
      </c>
      <c r="P118" s="293" t="str">
        <f t="shared" si="32"/>
        <v xml:space="preserve"> </v>
      </c>
      <c r="Q118" s="294" t="str">
        <f t="shared" si="33"/>
        <v xml:space="preserve"> </v>
      </c>
      <c r="R118" s="295" t="str">
        <f t="shared" si="34"/>
        <v xml:space="preserve"> </v>
      </c>
      <c r="S118" s="295" t="str">
        <f t="shared" si="35"/>
        <v xml:space="preserve"> </v>
      </c>
      <c r="T118" s="295" t="str">
        <f>IF(A118="N/A"," ",(IF(MONTH(A118)&gt;=4,IF(MONTH(A118)&lt;=10,Inputs!$H$2,Inputs!$H$3),Inputs!$H$3)))</f>
        <v xml:space="preserve"> </v>
      </c>
      <c r="U118" s="463" t="str">
        <f t="shared" si="40"/>
        <v xml:space="preserve"> </v>
      </c>
      <c r="AF118" s="205">
        <v>40026</v>
      </c>
      <c r="AG118" s="194">
        <v>21</v>
      </c>
      <c r="AH118" s="194">
        <v>5</v>
      </c>
      <c r="AI118" s="194">
        <v>5</v>
      </c>
      <c r="AJ118" s="194">
        <v>0</v>
      </c>
      <c r="AK118" s="194">
        <v>31</v>
      </c>
    </row>
    <row r="119" spans="1:37">
      <c r="A119" s="176" t="str">
        <f>Calculations!A86</f>
        <v>N/A</v>
      </c>
      <c r="B119" s="201" t="str">
        <f t="shared" si="41"/>
        <v xml:space="preserve"> </v>
      </c>
      <c r="C119" s="203" t="str">
        <f t="shared" si="29"/>
        <v xml:space="preserve"> </v>
      </c>
      <c r="D119" s="202" t="str">
        <f t="shared" si="36"/>
        <v xml:space="preserve"> </v>
      </c>
      <c r="E119" s="201" t="str">
        <f t="shared" si="42"/>
        <v xml:space="preserve"> </v>
      </c>
      <c r="F119" s="202" t="str">
        <f t="shared" si="37"/>
        <v xml:space="preserve"> </v>
      </c>
      <c r="G119" s="201" t="str">
        <f t="shared" si="43"/>
        <v xml:space="preserve"> </v>
      </c>
      <c r="H119" s="202" t="str">
        <f t="shared" si="38"/>
        <v xml:space="preserve"> </v>
      </c>
      <c r="I119" s="202" t="str">
        <f t="shared" si="44"/>
        <v xml:space="preserve"> </v>
      </c>
      <c r="J119" s="276" t="str">
        <f t="shared" si="39"/>
        <v xml:space="preserve"> </v>
      </c>
      <c r="K119" s="363" t="str">
        <f t="shared" si="45"/>
        <v xml:space="preserve"> </v>
      </c>
      <c r="L119" s="363" t="str">
        <f t="shared" si="46"/>
        <v xml:space="preserve"> </v>
      </c>
      <c r="M119" s="445"/>
      <c r="N119" s="293" t="str">
        <f t="shared" si="30"/>
        <v xml:space="preserve"> </v>
      </c>
      <c r="O119" s="293" t="str">
        <f t="shared" si="31"/>
        <v xml:space="preserve"> </v>
      </c>
      <c r="P119" s="293" t="str">
        <f t="shared" si="32"/>
        <v xml:space="preserve"> </v>
      </c>
      <c r="Q119" s="294" t="str">
        <f t="shared" si="33"/>
        <v xml:space="preserve"> </v>
      </c>
      <c r="R119" s="295" t="str">
        <f t="shared" si="34"/>
        <v xml:space="preserve"> </v>
      </c>
      <c r="S119" s="295" t="str">
        <f t="shared" si="35"/>
        <v xml:space="preserve"> </v>
      </c>
      <c r="T119" s="295" t="str">
        <f>IF(A119="N/A"," ",(IF(MONTH(A119)&gt;=4,IF(MONTH(A119)&lt;=10,Inputs!$H$2,Inputs!$H$3),Inputs!$H$3)))</f>
        <v xml:space="preserve"> </v>
      </c>
      <c r="U119" s="463" t="str">
        <f t="shared" si="40"/>
        <v xml:space="preserve"> </v>
      </c>
      <c r="AF119" s="205">
        <v>40057</v>
      </c>
      <c r="AG119" s="194">
        <v>21</v>
      </c>
      <c r="AH119" s="194">
        <v>4</v>
      </c>
      <c r="AI119" s="194">
        <v>5</v>
      </c>
      <c r="AJ119" s="194">
        <v>1</v>
      </c>
      <c r="AK119" s="194">
        <v>30</v>
      </c>
    </row>
    <row r="120" spans="1:37">
      <c r="A120" s="176" t="str">
        <f>Calculations!A87</f>
        <v>N/A</v>
      </c>
      <c r="B120" s="201" t="str">
        <f t="shared" si="41"/>
        <v xml:space="preserve"> </v>
      </c>
      <c r="C120" s="203" t="str">
        <f t="shared" si="29"/>
        <v xml:space="preserve"> </v>
      </c>
      <c r="D120" s="202" t="str">
        <f t="shared" si="36"/>
        <v xml:space="preserve"> </v>
      </c>
      <c r="E120" s="201" t="str">
        <f t="shared" si="42"/>
        <v xml:space="preserve"> </v>
      </c>
      <c r="F120" s="202" t="str">
        <f t="shared" si="37"/>
        <v xml:space="preserve"> </v>
      </c>
      <c r="G120" s="201" t="str">
        <f t="shared" si="43"/>
        <v xml:space="preserve"> </v>
      </c>
      <c r="H120" s="202" t="str">
        <f t="shared" si="38"/>
        <v xml:space="preserve"> </v>
      </c>
      <c r="I120" s="202" t="str">
        <f t="shared" si="44"/>
        <v xml:space="preserve"> </v>
      </c>
      <c r="J120" s="276" t="str">
        <f t="shared" si="39"/>
        <v xml:space="preserve"> </v>
      </c>
      <c r="K120" s="363" t="str">
        <f t="shared" si="45"/>
        <v xml:space="preserve"> </v>
      </c>
      <c r="L120" s="363" t="str">
        <f t="shared" si="46"/>
        <v xml:space="preserve"> </v>
      </c>
      <c r="M120" s="445"/>
      <c r="N120" s="293" t="str">
        <f t="shared" si="30"/>
        <v xml:space="preserve"> </v>
      </c>
      <c r="O120" s="293" t="str">
        <f t="shared" si="31"/>
        <v xml:space="preserve"> </v>
      </c>
      <c r="P120" s="293" t="str">
        <f t="shared" si="32"/>
        <v xml:space="preserve"> </v>
      </c>
      <c r="Q120" s="294" t="str">
        <f t="shared" si="33"/>
        <v xml:space="preserve"> </v>
      </c>
      <c r="R120" s="295" t="str">
        <f t="shared" si="34"/>
        <v xml:space="preserve"> </v>
      </c>
      <c r="S120" s="295" t="str">
        <f t="shared" si="35"/>
        <v xml:space="preserve"> </v>
      </c>
      <c r="T120" s="295" t="str">
        <f>IF(A120="N/A"," ",(IF(MONTH(A120)&gt;=4,IF(MONTH(A120)&lt;=10,Inputs!$H$2,Inputs!$H$3),Inputs!$H$3)))</f>
        <v xml:space="preserve"> </v>
      </c>
      <c r="U120" s="463" t="str">
        <f t="shared" si="40"/>
        <v xml:space="preserve"> </v>
      </c>
      <c r="AF120" s="205">
        <v>40087</v>
      </c>
      <c r="AG120" s="194">
        <v>22</v>
      </c>
      <c r="AH120" s="194">
        <v>5</v>
      </c>
      <c r="AI120" s="194">
        <v>4</v>
      </c>
      <c r="AJ120" s="194">
        <v>0</v>
      </c>
      <c r="AK120" s="194">
        <v>31</v>
      </c>
    </row>
    <row r="121" spans="1:37">
      <c r="A121" s="176" t="str">
        <f>Calculations!A88</f>
        <v>N/A</v>
      </c>
      <c r="B121" s="201" t="str">
        <f t="shared" si="41"/>
        <v xml:space="preserve"> </v>
      </c>
      <c r="C121" s="203" t="str">
        <f t="shared" si="29"/>
        <v xml:space="preserve"> </v>
      </c>
      <c r="D121" s="202" t="str">
        <f t="shared" si="36"/>
        <v xml:space="preserve"> </v>
      </c>
      <c r="E121" s="201" t="str">
        <f t="shared" si="42"/>
        <v xml:space="preserve"> </v>
      </c>
      <c r="F121" s="202" t="str">
        <f t="shared" si="37"/>
        <v xml:space="preserve"> </v>
      </c>
      <c r="G121" s="201" t="str">
        <f t="shared" si="43"/>
        <v xml:space="preserve"> </v>
      </c>
      <c r="H121" s="202" t="str">
        <f t="shared" si="38"/>
        <v xml:space="preserve"> </v>
      </c>
      <c r="I121" s="202" t="str">
        <f t="shared" si="44"/>
        <v xml:space="preserve"> </v>
      </c>
      <c r="J121" s="276" t="str">
        <f t="shared" si="39"/>
        <v xml:space="preserve"> </v>
      </c>
      <c r="K121" s="363" t="str">
        <f t="shared" si="45"/>
        <v xml:space="preserve"> </v>
      </c>
      <c r="L121" s="363" t="str">
        <f t="shared" si="46"/>
        <v xml:space="preserve"> </v>
      </c>
      <c r="M121" s="445"/>
      <c r="N121" s="293" t="str">
        <f t="shared" si="30"/>
        <v xml:space="preserve"> </v>
      </c>
      <c r="O121" s="293" t="str">
        <f t="shared" si="31"/>
        <v xml:space="preserve"> </v>
      </c>
      <c r="P121" s="293" t="str">
        <f t="shared" si="32"/>
        <v xml:space="preserve"> </v>
      </c>
      <c r="Q121" s="294" t="str">
        <f t="shared" si="33"/>
        <v xml:space="preserve"> </v>
      </c>
      <c r="R121" s="295" t="str">
        <f t="shared" si="34"/>
        <v xml:space="preserve"> </v>
      </c>
      <c r="S121" s="295" t="str">
        <f t="shared" si="35"/>
        <v xml:space="preserve"> </v>
      </c>
      <c r="T121" s="295" t="str">
        <f>IF(A121="N/A"," ",(IF(MONTH(A121)&gt;=4,IF(MONTH(A121)&lt;=10,Inputs!$H$2,Inputs!$H$3),Inputs!$H$3)))</f>
        <v xml:space="preserve"> </v>
      </c>
      <c r="U121" s="463" t="str">
        <f t="shared" si="40"/>
        <v xml:space="preserve"> </v>
      </c>
      <c r="AF121" s="205">
        <v>40118</v>
      </c>
      <c r="AG121" s="194">
        <v>20</v>
      </c>
      <c r="AH121" s="194">
        <v>4</v>
      </c>
      <c r="AI121" s="194">
        <v>6</v>
      </c>
      <c r="AJ121" s="194">
        <v>1</v>
      </c>
      <c r="AK121" s="194">
        <v>30</v>
      </c>
    </row>
    <row r="122" spans="1:37">
      <c r="A122" s="176" t="str">
        <f>Calculations!A89</f>
        <v>N/A</v>
      </c>
      <c r="B122" s="201" t="str">
        <f t="shared" si="41"/>
        <v xml:space="preserve"> </v>
      </c>
      <c r="C122" s="203" t="str">
        <f t="shared" si="29"/>
        <v xml:space="preserve"> </v>
      </c>
      <c r="D122" s="202" t="str">
        <f t="shared" si="36"/>
        <v xml:space="preserve"> </v>
      </c>
      <c r="E122" s="201" t="str">
        <f t="shared" si="42"/>
        <v xml:space="preserve"> </v>
      </c>
      <c r="F122" s="202" t="str">
        <f t="shared" si="37"/>
        <v xml:space="preserve"> </v>
      </c>
      <c r="G122" s="201" t="str">
        <f t="shared" si="43"/>
        <v xml:space="preserve"> </v>
      </c>
      <c r="H122" s="202" t="str">
        <f t="shared" si="38"/>
        <v xml:space="preserve"> </v>
      </c>
      <c r="I122" s="202" t="str">
        <f t="shared" si="44"/>
        <v xml:space="preserve"> </v>
      </c>
      <c r="J122" s="276" t="str">
        <f t="shared" si="39"/>
        <v xml:space="preserve"> </v>
      </c>
      <c r="K122" s="363" t="str">
        <f t="shared" si="45"/>
        <v xml:space="preserve"> </v>
      </c>
      <c r="L122" s="363" t="str">
        <f t="shared" si="46"/>
        <v xml:space="preserve"> </v>
      </c>
      <c r="M122" s="445"/>
      <c r="N122" s="293" t="str">
        <f t="shared" si="30"/>
        <v xml:space="preserve"> </v>
      </c>
      <c r="O122" s="293" t="str">
        <f t="shared" si="31"/>
        <v xml:space="preserve"> </v>
      </c>
      <c r="P122" s="293" t="str">
        <f t="shared" si="32"/>
        <v xml:space="preserve"> </v>
      </c>
      <c r="Q122" s="294" t="str">
        <f t="shared" si="33"/>
        <v xml:space="preserve"> </v>
      </c>
      <c r="R122" s="295" t="str">
        <f t="shared" si="34"/>
        <v xml:space="preserve"> </v>
      </c>
      <c r="S122" s="295" t="str">
        <f t="shared" si="35"/>
        <v xml:space="preserve"> </v>
      </c>
      <c r="T122" s="295" t="str">
        <f>IF(A122="N/A"," ",(IF(MONTH(A122)&gt;=4,IF(MONTH(A122)&lt;=10,Inputs!$H$2,Inputs!$H$3),Inputs!$H$3)))</f>
        <v xml:space="preserve"> </v>
      </c>
      <c r="U122" s="463" t="str">
        <f t="shared" si="40"/>
        <v xml:space="preserve"> </v>
      </c>
      <c r="AF122" s="205">
        <v>40148</v>
      </c>
      <c r="AG122" s="194">
        <v>22</v>
      </c>
      <c r="AH122" s="194">
        <v>4</v>
      </c>
      <c r="AI122" s="194">
        <v>5</v>
      </c>
      <c r="AJ122" s="194">
        <v>1</v>
      </c>
      <c r="AK122" s="194">
        <v>31</v>
      </c>
    </row>
    <row r="123" spans="1:37">
      <c r="A123" s="176" t="str">
        <f>Calculations!A90</f>
        <v>N/A</v>
      </c>
      <c r="B123" s="201" t="str">
        <f t="shared" si="41"/>
        <v xml:space="preserve"> </v>
      </c>
      <c r="C123" s="203" t="str">
        <f t="shared" si="29"/>
        <v xml:space="preserve"> </v>
      </c>
      <c r="D123" s="202" t="str">
        <f t="shared" si="36"/>
        <v xml:space="preserve"> </v>
      </c>
      <c r="E123" s="201" t="str">
        <f t="shared" si="42"/>
        <v xml:space="preserve"> </v>
      </c>
      <c r="F123" s="202" t="str">
        <f t="shared" si="37"/>
        <v xml:space="preserve"> </v>
      </c>
      <c r="G123" s="201" t="str">
        <f t="shared" si="43"/>
        <v xml:space="preserve"> </v>
      </c>
      <c r="H123" s="202" t="str">
        <f t="shared" si="38"/>
        <v xml:space="preserve"> </v>
      </c>
      <c r="I123" s="202" t="str">
        <f t="shared" si="44"/>
        <v xml:space="preserve"> </v>
      </c>
      <c r="J123" s="276" t="str">
        <f t="shared" si="39"/>
        <v xml:space="preserve"> </v>
      </c>
      <c r="K123" s="363" t="str">
        <f t="shared" si="45"/>
        <v xml:space="preserve"> </v>
      </c>
      <c r="L123" s="363" t="str">
        <f t="shared" si="46"/>
        <v xml:space="preserve"> </v>
      </c>
      <c r="M123" s="445"/>
      <c r="N123" s="293" t="str">
        <f t="shared" si="30"/>
        <v xml:space="preserve"> </v>
      </c>
      <c r="O123" s="293" t="str">
        <f t="shared" si="31"/>
        <v xml:space="preserve"> </v>
      </c>
      <c r="P123" s="293" t="str">
        <f t="shared" si="32"/>
        <v xml:space="preserve"> </v>
      </c>
      <c r="Q123" s="294" t="str">
        <f t="shared" si="33"/>
        <v xml:space="preserve"> </v>
      </c>
      <c r="R123" s="295" t="str">
        <f t="shared" si="34"/>
        <v xml:space="preserve"> </v>
      </c>
      <c r="S123" s="295" t="str">
        <f t="shared" si="35"/>
        <v xml:space="preserve"> </v>
      </c>
      <c r="T123" s="295" t="str">
        <f>IF(A123="N/A"," ",(IF(MONTH(A123)&gt;=4,IF(MONTH(A123)&lt;=10,Inputs!$H$2,Inputs!$H$3),Inputs!$H$3)))</f>
        <v xml:space="preserve"> </v>
      </c>
      <c r="U123" s="463" t="str">
        <f t="shared" si="40"/>
        <v xml:space="preserve"> </v>
      </c>
      <c r="AF123" s="205">
        <v>40179</v>
      </c>
      <c r="AG123" s="194">
        <v>20</v>
      </c>
      <c r="AH123" s="194">
        <v>5</v>
      </c>
      <c r="AI123" s="194">
        <v>6</v>
      </c>
      <c r="AJ123" s="194">
        <v>1</v>
      </c>
      <c r="AK123" s="194">
        <v>31</v>
      </c>
    </row>
    <row r="124" spans="1:37">
      <c r="A124" s="176" t="str">
        <f>Calculations!A91</f>
        <v>N/A</v>
      </c>
      <c r="B124" s="201" t="str">
        <f t="shared" si="41"/>
        <v xml:space="preserve"> </v>
      </c>
      <c r="C124" s="203" t="str">
        <f t="shared" si="29"/>
        <v xml:space="preserve"> </v>
      </c>
      <c r="D124" s="202" t="str">
        <f t="shared" si="36"/>
        <v xml:space="preserve"> </v>
      </c>
      <c r="E124" s="201" t="str">
        <f t="shared" si="42"/>
        <v xml:space="preserve"> </v>
      </c>
      <c r="F124" s="202" t="str">
        <f t="shared" si="37"/>
        <v xml:space="preserve"> </v>
      </c>
      <c r="G124" s="201" t="str">
        <f t="shared" si="43"/>
        <v xml:space="preserve"> </v>
      </c>
      <c r="H124" s="202" t="str">
        <f t="shared" si="38"/>
        <v xml:space="preserve"> </v>
      </c>
      <c r="I124" s="202" t="str">
        <f t="shared" si="44"/>
        <v xml:space="preserve"> </v>
      </c>
      <c r="J124" s="276" t="str">
        <f t="shared" si="39"/>
        <v xml:space="preserve"> </v>
      </c>
      <c r="K124" s="363" t="str">
        <f t="shared" si="45"/>
        <v xml:space="preserve"> </v>
      </c>
      <c r="L124" s="363" t="str">
        <f t="shared" si="46"/>
        <v xml:space="preserve"> </v>
      </c>
      <c r="M124" s="445"/>
      <c r="N124" s="293" t="str">
        <f t="shared" si="30"/>
        <v xml:space="preserve"> </v>
      </c>
      <c r="O124" s="293" t="str">
        <f t="shared" si="31"/>
        <v xml:space="preserve"> </v>
      </c>
      <c r="P124" s="293" t="str">
        <f t="shared" si="32"/>
        <v xml:space="preserve"> </v>
      </c>
      <c r="Q124" s="294" t="str">
        <f t="shared" si="33"/>
        <v xml:space="preserve"> </v>
      </c>
      <c r="R124" s="295" t="str">
        <f t="shared" si="34"/>
        <v xml:space="preserve"> </v>
      </c>
      <c r="S124" s="295" t="str">
        <f t="shared" si="35"/>
        <v xml:space="preserve"> </v>
      </c>
      <c r="T124" s="295" t="str">
        <f>IF(A124="N/A"," ",(IF(MONTH(A124)&gt;=4,IF(MONTH(A124)&lt;=10,Inputs!$H$2,Inputs!$H$3),Inputs!$H$3)))</f>
        <v xml:space="preserve"> </v>
      </c>
      <c r="U124" s="463" t="str">
        <f t="shared" si="40"/>
        <v xml:space="preserve"> </v>
      </c>
      <c r="AF124" s="205">
        <v>40210</v>
      </c>
      <c r="AG124" s="194">
        <v>20</v>
      </c>
      <c r="AH124" s="194">
        <v>4</v>
      </c>
      <c r="AI124" s="194">
        <v>4</v>
      </c>
      <c r="AJ124" s="194">
        <v>0</v>
      </c>
      <c r="AK124" s="194">
        <v>28</v>
      </c>
    </row>
    <row r="125" spans="1:37">
      <c r="A125" s="176" t="str">
        <f>Calculations!A92</f>
        <v>N/A</v>
      </c>
      <c r="B125" s="201" t="str">
        <f t="shared" si="41"/>
        <v xml:space="preserve"> </v>
      </c>
      <c r="C125" s="203" t="str">
        <f t="shared" si="29"/>
        <v xml:space="preserve"> </v>
      </c>
      <c r="D125" s="202" t="str">
        <f t="shared" si="36"/>
        <v xml:space="preserve"> </v>
      </c>
      <c r="E125" s="201" t="str">
        <f t="shared" si="42"/>
        <v xml:space="preserve"> </v>
      </c>
      <c r="F125" s="202" t="str">
        <f t="shared" si="37"/>
        <v xml:space="preserve"> </v>
      </c>
      <c r="G125" s="201" t="str">
        <f t="shared" si="43"/>
        <v xml:space="preserve"> </v>
      </c>
      <c r="H125" s="202" t="str">
        <f t="shared" si="38"/>
        <v xml:space="preserve"> </v>
      </c>
      <c r="I125" s="202" t="str">
        <f t="shared" si="44"/>
        <v xml:space="preserve"> </v>
      </c>
      <c r="J125" s="276" t="str">
        <f t="shared" si="39"/>
        <v xml:space="preserve"> </v>
      </c>
      <c r="K125" s="363" t="str">
        <f t="shared" si="45"/>
        <v xml:space="preserve"> </v>
      </c>
      <c r="L125" s="363" t="str">
        <f t="shared" si="46"/>
        <v xml:space="preserve"> </v>
      </c>
      <c r="M125" s="445"/>
      <c r="N125" s="293" t="str">
        <f t="shared" si="30"/>
        <v xml:space="preserve"> </v>
      </c>
      <c r="O125" s="293" t="str">
        <f t="shared" si="31"/>
        <v xml:space="preserve"> </v>
      </c>
      <c r="P125" s="293" t="str">
        <f t="shared" si="32"/>
        <v xml:space="preserve"> </v>
      </c>
      <c r="Q125" s="294" t="str">
        <f t="shared" si="33"/>
        <v xml:space="preserve"> </v>
      </c>
      <c r="R125" s="295" t="str">
        <f t="shared" si="34"/>
        <v xml:space="preserve"> </v>
      </c>
      <c r="S125" s="295" t="str">
        <f t="shared" si="35"/>
        <v xml:space="preserve"> </v>
      </c>
      <c r="T125" s="295" t="str">
        <f>IF(A125="N/A"," ",(IF(MONTH(A125)&gt;=4,IF(MONTH(A125)&lt;=10,Inputs!$H$2,Inputs!$H$3),Inputs!$H$3)))</f>
        <v xml:space="preserve"> </v>
      </c>
      <c r="U125" s="463" t="str">
        <f t="shared" si="40"/>
        <v xml:space="preserve"> </v>
      </c>
      <c r="AF125" s="205">
        <v>40238</v>
      </c>
      <c r="AG125" s="194">
        <v>23</v>
      </c>
      <c r="AH125" s="194">
        <v>4</v>
      </c>
      <c r="AI125" s="194">
        <v>4</v>
      </c>
      <c r="AJ125" s="194">
        <v>0</v>
      </c>
      <c r="AK125" s="194">
        <v>31</v>
      </c>
    </row>
    <row r="126" spans="1:37">
      <c r="A126" s="176" t="str">
        <f>Calculations!A93</f>
        <v>N/A</v>
      </c>
      <c r="B126" s="201" t="str">
        <f t="shared" si="41"/>
        <v xml:space="preserve"> </v>
      </c>
      <c r="C126" s="203" t="str">
        <f t="shared" si="29"/>
        <v xml:space="preserve"> </v>
      </c>
      <c r="D126" s="202" t="str">
        <f t="shared" si="36"/>
        <v xml:space="preserve"> </v>
      </c>
      <c r="E126" s="201" t="str">
        <f t="shared" si="42"/>
        <v xml:space="preserve"> </v>
      </c>
      <c r="F126" s="202" t="str">
        <f t="shared" si="37"/>
        <v xml:space="preserve"> </v>
      </c>
      <c r="G126" s="201" t="str">
        <f t="shared" si="43"/>
        <v xml:space="preserve"> </v>
      </c>
      <c r="H126" s="202" t="str">
        <f t="shared" si="38"/>
        <v xml:space="preserve"> </v>
      </c>
      <c r="I126" s="202" t="str">
        <f t="shared" si="44"/>
        <v xml:space="preserve"> </v>
      </c>
      <c r="J126" s="276" t="str">
        <f t="shared" si="39"/>
        <v xml:space="preserve"> </v>
      </c>
      <c r="K126" s="363" t="str">
        <f t="shared" si="45"/>
        <v xml:space="preserve"> </v>
      </c>
      <c r="L126" s="363" t="str">
        <f t="shared" si="46"/>
        <v xml:space="preserve"> </v>
      </c>
      <c r="M126" s="445"/>
      <c r="N126" s="293" t="str">
        <f t="shared" si="30"/>
        <v xml:space="preserve"> </v>
      </c>
      <c r="O126" s="293" t="str">
        <f t="shared" si="31"/>
        <v xml:space="preserve"> </v>
      </c>
      <c r="P126" s="293" t="str">
        <f t="shared" si="32"/>
        <v xml:space="preserve"> </v>
      </c>
      <c r="Q126" s="294" t="str">
        <f t="shared" si="33"/>
        <v xml:space="preserve"> </v>
      </c>
      <c r="R126" s="295" t="str">
        <f t="shared" si="34"/>
        <v xml:space="preserve"> </v>
      </c>
      <c r="S126" s="295" t="str">
        <f t="shared" si="35"/>
        <v xml:space="preserve"> </v>
      </c>
      <c r="T126" s="295" t="str">
        <f>IF(A126="N/A"," ",(IF(MONTH(A126)&gt;=4,IF(MONTH(A126)&lt;=10,Inputs!$H$2,Inputs!$H$3),Inputs!$H$3)))</f>
        <v xml:space="preserve"> </v>
      </c>
      <c r="U126" s="463" t="str">
        <f t="shared" si="40"/>
        <v xml:space="preserve"> </v>
      </c>
      <c r="AF126" s="205">
        <v>40269</v>
      </c>
      <c r="AG126" s="194">
        <v>22</v>
      </c>
      <c r="AH126" s="194">
        <v>4</v>
      </c>
      <c r="AI126" s="194">
        <v>4</v>
      </c>
      <c r="AJ126" s="194">
        <v>0</v>
      </c>
      <c r="AK126" s="194">
        <v>30</v>
      </c>
    </row>
    <row r="127" spans="1:37">
      <c r="A127" s="176" t="str">
        <f>Calculations!A94</f>
        <v>N/A</v>
      </c>
      <c r="B127" s="201" t="str">
        <f t="shared" si="41"/>
        <v xml:space="preserve"> </v>
      </c>
      <c r="C127" s="203" t="str">
        <f t="shared" si="29"/>
        <v xml:space="preserve"> </v>
      </c>
      <c r="D127" s="202" t="str">
        <f t="shared" si="36"/>
        <v xml:space="preserve"> </v>
      </c>
      <c r="E127" s="201" t="str">
        <f t="shared" si="42"/>
        <v xml:space="preserve"> </v>
      </c>
      <c r="F127" s="202" t="str">
        <f t="shared" si="37"/>
        <v xml:space="preserve"> </v>
      </c>
      <c r="G127" s="201" t="str">
        <f t="shared" si="43"/>
        <v xml:space="preserve"> </v>
      </c>
      <c r="H127" s="202" t="str">
        <f t="shared" si="38"/>
        <v xml:space="preserve"> </v>
      </c>
      <c r="I127" s="202" t="str">
        <f t="shared" si="44"/>
        <v xml:space="preserve"> </v>
      </c>
      <c r="J127" s="276" t="str">
        <f t="shared" si="39"/>
        <v xml:space="preserve"> </v>
      </c>
      <c r="K127" s="363" t="str">
        <f t="shared" si="45"/>
        <v xml:space="preserve"> </v>
      </c>
      <c r="L127" s="363" t="str">
        <f t="shared" si="46"/>
        <v xml:space="preserve"> </v>
      </c>
      <c r="M127" s="445"/>
      <c r="N127" s="293" t="str">
        <f t="shared" si="30"/>
        <v xml:space="preserve"> </v>
      </c>
      <c r="O127" s="293" t="str">
        <f t="shared" si="31"/>
        <v xml:space="preserve"> </v>
      </c>
      <c r="P127" s="293" t="str">
        <f t="shared" si="32"/>
        <v xml:space="preserve"> </v>
      </c>
      <c r="Q127" s="294" t="str">
        <f t="shared" si="33"/>
        <v xml:space="preserve"> </v>
      </c>
      <c r="R127" s="295" t="str">
        <f t="shared" si="34"/>
        <v xml:space="preserve"> </v>
      </c>
      <c r="S127" s="295" t="str">
        <f t="shared" si="35"/>
        <v xml:space="preserve"> </v>
      </c>
      <c r="T127" s="295" t="str">
        <f>IF(A127="N/A"," ",(IF(MONTH(A127)&gt;=4,IF(MONTH(A127)&lt;=10,Inputs!$H$2,Inputs!$H$3),Inputs!$H$3)))</f>
        <v xml:space="preserve"> </v>
      </c>
      <c r="U127" s="463" t="str">
        <f t="shared" si="40"/>
        <v xml:space="preserve"> </v>
      </c>
      <c r="AF127" s="205">
        <v>40299</v>
      </c>
      <c r="AG127" s="194">
        <v>20</v>
      </c>
      <c r="AH127" s="194">
        <v>5</v>
      </c>
      <c r="AI127" s="194">
        <v>6</v>
      </c>
      <c r="AJ127" s="194">
        <v>1</v>
      </c>
      <c r="AK127" s="194">
        <v>31</v>
      </c>
    </row>
    <row r="128" spans="1:37">
      <c r="A128" s="176" t="str">
        <f>Calculations!A95</f>
        <v>N/A</v>
      </c>
      <c r="B128" s="201" t="str">
        <f t="shared" si="41"/>
        <v xml:space="preserve"> </v>
      </c>
      <c r="C128" s="203" t="str">
        <f t="shared" si="29"/>
        <v xml:space="preserve"> </v>
      </c>
      <c r="D128" s="202" t="str">
        <f t="shared" si="36"/>
        <v xml:space="preserve"> </v>
      </c>
      <c r="E128" s="201" t="str">
        <f t="shared" si="42"/>
        <v xml:space="preserve"> </v>
      </c>
      <c r="F128" s="202" t="str">
        <f t="shared" si="37"/>
        <v xml:space="preserve"> </v>
      </c>
      <c r="G128" s="201" t="str">
        <f t="shared" si="43"/>
        <v xml:space="preserve"> </v>
      </c>
      <c r="H128" s="202" t="str">
        <f t="shared" si="38"/>
        <v xml:space="preserve"> </v>
      </c>
      <c r="I128" s="202" t="str">
        <f t="shared" si="44"/>
        <v xml:space="preserve"> </v>
      </c>
      <c r="J128" s="276" t="str">
        <f t="shared" si="39"/>
        <v xml:space="preserve"> </v>
      </c>
      <c r="K128" s="363" t="str">
        <f t="shared" si="45"/>
        <v xml:space="preserve"> </v>
      </c>
      <c r="L128" s="363" t="str">
        <f t="shared" si="46"/>
        <v xml:space="preserve"> </v>
      </c>
      <c r="M128" s="445"/>
      <c r="N128" s="293" t="str">
        <f t="shared" si="30"/>
        <v xml:space="preserve"> </v>
      </c>
      <c r="O128" s="293" t="str">
        <f t="shared" si="31"/>
        <v xml:space="preserve"> </v>
      </c>
      <c r="P128" s="293" t="str">
        <f t="shared" si="32"/>
        <v xml:space="preserve"> </v>
      </c>
      <c r="Q128" s="294" t="str">
        <f t="shared" si="33"/>
        <v xml:space="preserve"> </v>
      </c>
      <c r="R128" s="295" t="str">
        <f t="shared" si="34"/>
        <v xml:space="preserve"> </v>
      </c>
      <c r="S128" s="295" t="str">
        <f t="shared" si="35"/>
        <v xml:space="preserve"> </v>
      </c>
      <c r="T128" s="295" t="str">
        <f>IF(A128="N/A"," ",(IF(MONTH(A128)&gt;=4,IF(MONTH(A128)&lt;=10,Inputs!$H$2,Inputs!$H$3),Inputs!$H$3)))</f>
        <v xml:space="preserve"> </v>
      </c>
      <c r="U128" s="463" t="str">
        <f t="shared" si="40"/>
        <v xml:space="preserve"> </v>
      </c>
      <c r="AF128" s="205">
        <v>40330</v>
      </c>
      <c r="AG128" s="194">
        <v>22</v>
      </c>
      <c r="AH128" s="194">
        <v>4</v>
      </c>
      <c r="AI128" s="194">
        <v>4</v>
      </c>
      <c r="AJ128" s="194">
        <v>0</v>
      </c>
      <c r="AK128" s="194">
        <v>30</v>
      </c>
    </row>
    <row r="129" spans="1:37">
      <c r="A129" s="176" t="str">
        <f>Calculations!A96</f>
        <v>N/A</v>
      </c>
      <c r="B129" s="201" t="str">
        <f t="shared" si="41"/>
        <v xml:space="preserve"> </v>
      </c>
      <c r="C129" s="203" t="str">
        <f t="shared" si="29"/>
        <v xml:space="preserve"> </v>
      </c>
      <c r="D129" s="202" t="str">
        <f t="shared" si="36"/>
        <v xml:space="preserve"> </v>
      </c>
      <c r="E129" s="201" t="str">
        <f t="shared" si="42"/>
        <v xml:space="preserve"> </v>
      </c>
      <c r="F129" s="202" t="str">
        <f t="shared" si="37"/>
        <v xml:space="preserve"> </v>
      </c>
      <c r="G129" s="201" t="str">
        <f t="shared" si="43"/>
        <v xml:space="preserve"> </v>
      </c>
      <c r="H129" s="202" t="str">
        <f t="shared" si="38"/>
        <v xml:space="preserve"> </v>
      </c>
      <c r="I129" s="202" t="str">
        <f t="shared" si="44"/>
        <v xml:space="preserve"> </v>
      </c>
      <c r="J129" s="276" t="str">
        <f t="shared" si="39"/>
        <v xml:space="preserve"> </v>
      </c>
      <c r="K129" s="363" t="str">
        <f t="shared" si="45"/>
        <v xml:space="preserve"> </v>
      </c>
      <c r="L129" s="363" t="str">
        <f t="shared" si="46"/>
        <v xml:space="preserve"> </v>
      </c>
      <c r="M129" s="445"/>
      <c r="N129" s="293" t="str">
        <f t="shared" si="30"/>
        <v xml:space="preserve"> </v>
      </c>
      <c r="O129" s="293" t="str">
        <f t="shared" si="31"/>
        <v xml:space="preserve"> </v>
      </c>
      <c r="P129" s="293" t="str">
        <f t="shared" si="32"/>
        <v xml:space="preserve"> </v>
      </c>
      <c r="Q129" s="294" t="str">
        <f t="shared" si="33"/>
        <v xml:space="preserve"> </v>
      </c>
      <c r="R129" s="295" t="str">
        <f t="shared" si="34"/>
        <v xml:space="preserve"> </v>
      </c>
      <c r="S129" s="295" t="str">
        <f t="shared" si="35"/>
        <v xml:space="preserve"> </v>
      </c>
      <c r="T129" s="295" t="str">
        <f>IF(A129="N/A"," ",(IF(MONTH(A129)&gt;=4,IF(MONTH(A129)&lt;=10,Inputs!$H$2,Inputs!$H$3),Inputs!$H$3)))</f>
        <v xml:space="preserve"> </v>
      </c>
      <c r="U129" s="463" t="str">
        <f t="shared" si="40"/>
        <v xml:space="preserve"> </v>
      </c>
      <c r="AF129" s="205">
        <v>40360</v>
      </c>
      <c r="AG129" s="194">
        <v>21</v>
      </c>
      <c r="AH129" s="194">
        <v>5</v>
      </c>
      <c r="AI129" s="194">
        <v>5</v>
      </c>
      <c r="AJ129" s="194">
        <v>1</v>
      </c>
      <c r="AK129" s="194">
        <v>31</v>
      </c>
    </row>
    <row r="130" spans="1:37">
      <c r="A130" s="176" t="str">
        <f>Calculations!A97</f>
        <v>N/A</v>
      </c>
      <c r="B130" s="201" t="str">
        <f t="shared" si="41"/>
        <v xml:space="preserve"> </v>
      </c>
      <c r="C130" s="203" t="str">
        <f t="shared" si="29"/>
        <v xml:space="preserve"> </v>
      </c>
      <c r="D130" s="202" t="str">
        <f t="shared" si="36"/>
        <v xml:space="preserve"> </v>
      </c>
      <c r="E130" s="201" t="str">
        <f t="shared" si="42"/>
        <v xml:space="preserve"> </v>
      </c>
      <c r="F130" s="202" t="str">
        <f t="shared" si="37"/>
        <v xml:space="preserve"> </v>
      </c>
      <c r="G130" s="201" t="str">
        <f t="shared" si="43"/>
        <v xml:space="preserve"> </v>
      </c>
      <c r="H130" s="202" t="str">
        <f t="shared" si="38"/>
        <v xml:space="preserve"> </v>
      </c>
      <c r="I130" s="202" t="str">
        <f t="shared" si="44"/>
        <v xml:space="preserve"> </v>
      </c>
      <c r="J130" s="276" t="str">
        <f t="shared" si="39"/>
        <v xml:space="preserve"> </v>
      </c>
      <c r="K130" s="363" t="str">
        <f t="shared" si="45"/>
        <v xml:space="preserve"> </v>
      </c>
      <c r="L130" s="363" t="str">
        <f t="shared" si="46"/>
        <v xml:space="preserve"> </v>
      </c>
      <c r="M130" s="445"/>
      <c r="N130" s="293" t="str">
        <f t="shared" si="30"/>
        <v xml:space="preserve"> </v>
      </c>
      <c r="O130" s="293" t="str">
        <f t="shared" si="31"/>
        <v xml:space="preserve"> </v>
      </c>
      <c r="P130" s="293" t="str">
        <f t="shared" si="32"/>
        <v xml:space="preserve"> </v>
      </c>
      <c r="Q130" s="294" t="str">
        <f t="shared" si="33"/>
        <v xml:space="preserve"> </v>
      </c>
      <c r="R130" s="295" t="str">
        <f t="shared" si="34"/>
        <v xml:space="preserve"> </v>
      </c>
      <c r="S130" s="295" t="str">
        <f t="shared" si="35"/>
        <v xml:space="preserve"> </v>
      </c>
      <c r="T130" s="295" t="str">
        <f>IF(A130="N/A"," ",(IF(MONTH(A130)&gt;=4,IF(MONTH(A130)&lt;=10,Inputs!$H$2,Inputs!$H$3),Inputs!$H$3)))</f>
        <v xml:space="preserve"> </v>
      </c>
      <c r="U130" s="463" t="str">
        <f t="shared" si="40"/>
        <v xml:space="preserve"> </v>
      </c>
      <c r="AF130" s="205">
        <v>40391</v>
      </c>
      <c r="AG130" s="194">
        <v>22</v>
      </c>
      <c r="AH130" s="194">
        <v>4</v>
      </c>
      <c r="AI130" s="194">
        <v>5</v>
      </c>
      <c r="AJ130" s="194">
        <v>0</v>
      </c>
      <c r="AK130" s="194">
        <v>31</v>
      </c>
    </row>
    <row r="131" spans="1:37">
      <c r="A131" s="176" t="str">
        <f>Calculations!A98</f>
        <v>N/A</v>
      </c>
      <c r="B131" s="201" t="str">
        <f t="shared" si="41"/>
        <v xml:space="preserve"> </v>
      </c>
      <c r="C131" s="203" t="str">
        <f t="shared" si="29"/>
        <v xml:space="preserve"> </v>
      </c>
      <c r="D131" s="202" t="str">
        <f t="shared" si="36"/>
        <v xml:space="preserve"> </v>
      </c>
      <c r="E131" s="201" t="str">
        <f t="shared" si="42"/>
        <v xml:space="preserve"> </v>
      </c>
      <c r="F131" s="202" t="str">
        <f t="shared" si="37"/>
        <v xml:space="preserve"> </v>
      </c>
      <c r="G131" s="201" t="str">
        <f t="shared" si="43"/>
        <v xml:space="preserve"> </v>
      </c>
      <c r="H131" s="202" t="str">
        <f t="shared" si="38"/>
        <v xml:space="preserve"> </v>
      </c>
      <c r="I131" s="202" t="str">
        <f t="shared" si="44"/>
        <v xml:space="preserve"> </v>
      </c>
      <c r="J131" s="276" t="str">
        <f t="shared" si="39"/>
        <v xml:space="preserve"> </v>
      </c>
      <c r="K131" s="363" t="str">
        <f t="shared" si="45"/>
        <v xml:space="preserve"> </v>
      </c>
      <c r="L131" s="363" t="str">
        <f t="shared" si="46"/>
        <v xml:space="preserve"> </v>
      </c>
      <c r="M131" s="445"/>
      <c r="N131" s="293" t="str">
        <f t="shared" si="30"/>
        <v xml:space="preserve"> </v>
      </c>
      <c r="O131" s="293" t="str">
        <f t="shared" si="31"/>
        <v xml:space="preserve"> </v>
      </c>
      <c r="P131" s="293" t="str">
        <f t="shared" si="32"/>
        <v xml:space="preserve"> </v>
      </c>
      <c r="Q131" s="294" t="str">
        <f t="shared" si="33"/>
        <v xml:space="preserve"> </v>
      </c>
      <c r="R131" s="295" t="str">
        <f t="shared" si="34"/>
        <v xml:space="preserve"> </v>
      </c>
      <c r="S131" s="295" t="str">
        <f t="shared" si="35"/>
        <v xml:space="preserve"> </v>
      </c>
      <c r="T131" s="295" t="str">
        <f>IF(A131="N/A"," ",(IF(MONTH(A131)&gt;=4,IF(MONTH(A131)&lt;=10,Inputs!$H$2,Inputs!$H$3),Inputs!$H$3)))</f>
        <v xml:space="preserve"> </v>
      </c>
      <c r="U131" s="463" t="str">
        <f t="shared" si="40"/>
        <v xml:space="preserve"> </v>
      </c>
      <c r="AF131" s="205">
        <v>40422</v>
      </c>
      <c r="AG131" s="194">
        <v>21</v>
      </c>
      <c r="AH131" s="194">
        <v>4</v>
      </c>
      <c r="AI131" s="194">
        <v>5</v>
      </c>
      <c r="AJ131" s="194">
        <v>1</v>
      </c>
      <c r="AK131" s="194">
        <v>30</v>
      </c>
    </row>
    <row r="132" spans="1:37">
      <c r="A132" s="176" t="str">
        <f>Calculations!A99</f>
        <v>N/A</v>
      </c>
      <c r="B132" s="201" t="str">
        <f t="shared" si="41"/>
        <v xml:space="preserve"> </v>
      </c>
      <c r="C132" s="203" t="str">
        <f t="shared" si="29"/>
        <v xml:space="preserve"> </v>
      </c>
      <c r="D132" s="202" t="str">
        <f t="shared" si="36"/>
        <v xml:space="preserve"> </v>
      </c>
      <c r="E132" s="201" t="str">
        <f t="shared" si="42"/>
        <v xml:space="preserve"> </v>
      </c>
      <c r="F132" s="202" t="str">
        <f t="shared" si="37"/>
        <v xml:space="preserve"> </v>
      </c>
      <c r="G132" s="201" t="str">
        <f t="shared" si="43"/>
        <v xml:space="preserve"> </v>
      </c>
      <c r="H132" s="202" t="str">
        <f t="shared" si="38"/>
        <v xml:space="preserve"> </v>
      </c>
      <c r="I132" s="202" t="str">
        <f t="shared" si="44"/>
        <v xml:space="preserve"> </v>
      </c>
      <c r="J132" s="276" t="str">
        <f t="shared" si="39"/>
        <v xml:space="preserve"> </v>
      </c>
      <c r="K132" s="363" t="str">
        <f t="shared" si="45"/>
        <v xml:space="preserve"> </v>
      </c>
      <c r="L132" s="363" t="str">
        <f t="shared" si="46"/>
        <v xml:space="preserve"> </v>
      </c>
      <c r="M132" s="445"/>
      <c r="N132" s="293" t="str">
        <f t="shared" si="30"/>
        <v xml:space="preserve"> </v>
      </c>
      <c r="O132" s="293" t="str">
        <f t="shared" si="31"/>
        <v xml:space="preserve"> </v>
      </c>
      <c r="P132" s="293" t="str">
        <f t="shared" si="32"/>
        <v xml:space="preserve"> </v>
      </c>
      <c r="Q132" s="294" t="str">
        <f t="shared" si="33"/>
        <v xml:space="preserve"> </v>
      </c>
      <c r="R132" s="295" t="str">
        <f t="shared" si="34"/>
        <v xml:space="preserve"> </v>
      </c>
      <c r="S132" s="295" t="str">
        <f t="shared" si="35"/>
        <v xml:space="preserve"> </v>
      </c>
      <c r="T132" s="295" t="str">
        <f>IF(A132="N/A"," ",(IF(MONTH(A132)&gt;=4,IF(MONTH(A132)&lt;=10,Inputs!$H$2,Inputs!$H$3),Inputs!$H$3)))</f>
        <v xml:space="preserve"> </v>
      </c>
      <c r="U132" s="463" t="str">
        <f t="shared" si="40"/>
        <v xml:space="preserve"> </v>
      </c>
      <c r="AF132" s="205">
        <v>40452</v>
      </c>
      <c r="AG132" s="194">
        <v>21</v>
      </c>
      <c r="AH132" s="194">
        <v>5</v>
      </c>
      <c r="AI132" s="194">
        <v>5</v>
      </c>
      <c r="AJ132" s="194">
        <v>0</v>
      </c>
      <c r="AK132" s="194">
        <v>31</v>
      </c>
    </row>
    <row r="133" spans="1:37">
      <c r="A133" s="176" t="str">
        <f>Calculations!A100</f>
        <v>N/A</v>
      </c>
      <c r="B133" s="201" t="str">
        <f t="shared" si="41"/>
        <v xml:space="preserve"> </v>
      </c>
      <c r="C133" s="203" t="str">
        <f t="shared" si="29"/>
        <v xml:space="preserve"> </v>
      </c>
      <c r="D133" s="202" t="str">
        <f t="shared" si="36"/>
        <v xml:space="preserve"> </v>
      </c>
      <c r="E133" s="201" t="str">
        <f t="shared" si="42"/>
        <v xml:space="preserve"> </v>
      </c>
      <c r="F133" s="202" t="str">
        <f t="shared" si="37"/>
        <v xml:space="preserve"> </v>
      </c>
      <c r="G133" s="201" t="str">
        <f t="shared" si="43"/>
        <v xml:space="preserve"> </v>
      </c>
      <c r="H133" s="202" t="str">
        <f t="shared" si="38"/>
        <v xml:space="preserve"> </v>
      </c>
      <c r="I133" s="202" t="str">
        <f t="shared" si="44"/>
        <v xml:space="preserve"> </v>
      </c>
      <c r="J133" s="276" t="str">
        <f t="shared" si="39"/>
        <v xml:space="preserve"> </v>
      </c>
      <c r="K133" s="363" t="str">
        <f t="shared" si="45"/>
        <v xml:space="preserve"> </v>
      </c>
      <c r="L133" s="363" t="str">
        <f t="shared" si="46"/>
        <v xml:space="preserve"> </v>
      </c>
      <c r="M133" s="445"/>
      <c r="N133" s="293" t="str">
        <f t="shared" si="30"/>
        <v xml:space="preserve"> </v>
      </c>
      <c r="O133" s="293" t="str">
        <f t="shared" si="31"/>
        <v xml:space="preserve"> </v>
      </c>
      <c r="P133" s="293" t="str">
        <f t="shared" si="32"/>
        <v xml:space="preserve"> </v>
      </c>
      <c r="Q133" s="294" t="str">
        <f t="shared" si="33"/>
        <v xml:space="preserve"> </v>
      </c>
      <c r="R133" s="295" t="str">
        <f t="shared" si="34"/>
        <v xml:space="preserve"> </v>
      </c>
      <c r="S133" s="295" t="str">
        <f t="shared" si="35"/>
        <v xml:space="preserve"> </v>
      </c>
      <c r="T133" s="295" t="str">
        <f>IF(A133="N/A"," ",(IF(MONTH(A133)&gt;=4,IF(MONTH(A133)&lt;=10,Inputs!$H$2,Inputs!$H$3),Inputs!$H$3)))</f>
        <v xml:space="preserve"> </v>
      </c>
      <c r="U133" s="463" t="str">
        <f t="shared" si="40"/>
        <v xml:space="preserve"> </v>
      </c>
      <c r="AF133" s="205">
        <v>40483</v>
      </c>
      <c r="AG133" s="194">
        <v>21</v>
      </c>
      <c r="AH133" s="194">
        <v>4</v>
      </c>
      <c r="AI133" s="194">
        <v>5</v>
      </c>
      <c r="AJ133" s="194">
        <v>1</v>
      </c>
      <c r="AK133" s="194">
        <v>30</v>
      </c>
    </row>
    <row r="134" spans="1:37">
      <c r="A134" s="176" t="str">
        <f>Calculations!A101</f>
        <v>N/A</v>
      </c>
      <c r="B134" s="201" t="str">
        <f t="shared" si="41"/>
        <v xml:space="preserve"> </v>
      </c>
      <c r="C134" s="203" t="str">
        <f t="shared" si="29"/>
        <v xml:space="preserve"> </v>
      </c>
      <c r="D134" s="202" t="str">
        <f t="shared" si="36"/>
        <v xml:space="preserve"> </v>
      </c>
      <c r="E134" s="201" t="str">
        <f t="shared" si="42"/>
        <v xml:space="preserve"> </v>
      </c>
      <c r="F134" s="202" t="str">
        <f t="shared" si="37"/>
        <v xml:space="preserve"> </v>
      </c>
      <c r="G134" s="201" t="str">
        <f t="shared" si="43"/>
        <v xml:space="preserve"> </v>
      </c>
      <c r="H134" s="202" t="str">
        <f t="shared" si="38"/>
        <v xml:space="preserve"> </v>
      </c>
      <c r="I134" s="202" t="str">
        <f t="shared" si="44"/>
        <v xml:space="preserve"> </v>
      </c>
      <c r="J134" s="276" t="str">
        <f t="shared" si="39"/>
        <v xml:space="preserve"> </v>
      </c>
      <c r="K134" s="363" t="str">
        <f t="shared" si="45"/>
        <v xml:space="preserve"> </v>
      </c>
      <c r="L134" s="363" t="str">
        <f t="shared" si="46"/>
        <v xml:space="preserve"> </v>
      </c>
      <c r="M134" s="445"/>
      <c r="N134" s="293" t="str">
        <f t="shared" si="30"/>
        <v xml:space="preserve"> </v>
      </c>
      <c r="O134" s="293" t="str">
        <f t="shared" si="31"/>
        <v xml:space="preserve"> </v>
      </c>
      <c r="P134" s="293" t="str">
        <f t="shared" si="32"/>
        <v xml:space="preserve"> </v>
      </c>
      <c r="Q134" s="294" t="str">
        <f t="shared" si="33"/>
        <v xml:space="preserve"> </v>
      </c>
      <c r="R134" s="295" t="str">
        <f t="shared" si="34"/>
        <v xml:space="preserve"> </v>
      </c>
      <c r="S134" s="295" t="str">
        <f t="shared" si="35"/>
        <v xml:space="preserve"> </v>
      </c>
      <c r="T134" s="295" t="str">
        <f>IF(A134="N/A"," ",(IF(MONTH(A134)&gt;=4,IF(MONTH(A134)&lt;=10,Inputs!$H$2,Inputs!$H$3),Inputs!$H$3)))</f>
        <v xml:space="preserve"> </v>
      </c>
      <c r="U134" s="463" t="str">
        <f t="shared" si="40"/>
        <v xml:space="preserve"> </v>
      </c>
      <c r="AF134" s="205">
        <v>40513</v>
      </c>
      <c r="AG134" s="194">
        <v>23</v>
      </c>
      <c r="AH134" s="194">
        <v>3</v>
      </c>
      <c r="AI134" s="194">
        <v>5</v>
      </c>
      <c r="AJ134" s="194">
        <v>1</v>
      </c>
      <c r="AK134" s="194">
        <v>31</v>
      </c>
    </row>
    <row r="135" spans="1:37">
      <c r="A135" s="176" t="str">
        <f>Calculations!A102</f>
        <v>N/A</v>
      </c>
      <c r="B135" s="201" t="str">
        <f t="shared" si="41"/>
        <v xml:space="preserve"> </v>
      </c>
      <c r="C135" s="203" t="str">
        <f t="shared" si="29"/>
        <v xml:space="preserve"> </v>
      </c>
      <c r="D135" s="202" t="str">
        <f t="shared" si="36"/>
        <v xml:space="preserve"> </v>
      </c>
      <c r="E135" s="201" t="str">
        <f t="shared" si="42"/>
        <v xml:space="preserve"> </v>
      </c>
      <c r="F135" s="202" t="str">
        <f t="shared" si="37"/>
        <v xml:space="preserve"> </v>
      </c>
      <c r="G135" s="201" t="str">
        <f t="shared" si="43"/>
        <v xml:space="preserve"> </v>
      </c>
      <c r="H135" s="202" t="str">
        <f t="shared" si="38"/>
        <v xml:space="preserve"> </v>
      </c>
      <c r="I135" s="202" t="str">
        <f t="shared" si="44"/>
        <v xml:space="preserve"> </v>
      </c>
      <c r="J135" s="276" t="str">
        <f t="shared" si="39"/>
        <v xml:space="preserve"> </v>
      </c>
      <c r="K135" s="363" t="str">
        <f t="shared" si="45"/>
        <v xml:space="preserve"> </v>
      </c>
      <c r="L135" s="363" t="str">
        <f t="shared" si="46"/>
        <v xml:space="preserve"> </v>
      </c>
      <c r="M135" s="445"/>
      <c r="N135" s="293" t="str">
        <f t="shared" si="30"/>
        <v xml:space="preserve"> </v>
      </c>
      <c r="O135" s="293" t="str">
        <f t="shared" si="31"/>
        <v xml:space="preserve"> </v>
      </c>
      <c r="P135" s="293" t="str">
        <f t="shared" si="32"/>
        <v xml:space="preserve"> </v>
      </c>
      <c r="Q135" s="294" t="str">
        <f t="shared" si="33"/>
        <v xml:space="preserve"> </v>
      </c>
      <c r="R135" s="295" t="str">
        <f t="shared" si="34"/>
        <v xml:space="preserve"> </v>
      </c>
      <c r="S135" s="295" t="str">
        <f t="shared" si="35"/>
        <v xml:space="preserve"> </v>
      </c>
      <c r="T135" s="295" t="str">
        <f>IF(A135="N/A"," ",(IF(MONTH(A135)&gt;=4,IF(MONTH(A135)&lt;=10,Inputs!$H$2,Inputs!$H$3),Inputs!$H$3)))</f>
        <v xml:space="preserve"> </v>
      </c>
      <c r="U135" s="463" t="str">
        <f t="shared" si="40"/>
        <v xml:space="preserve"> </v>
      </c>
      <c r="AF135" s="205">
        <v>40544</v>
      </c>
      <c r="AG135" s="194">
        <v>21</v>
      </c>
      <c r="AH135" s="194">
        <v>4</v>
      </c>
      <c r="AI135" s="194">
        <v>6</v>
      </c>
      <c r="AJ135" s="194">
        <v>1</v>
      </c>
      <c r="AK135" s="194">
        <v>31</v>
      </c>
    </row>
    <row r="136" spans="1:37">
      <c r="A136" s="176" t="str">
        <f>Calculations!A103</f>
        <v>N/A</v>
      </c>
      <c r="B136" s="201" t="str">
        <f t="shared" si="41"/>
        <v xml:space="preserve"> </v>
      </c>
      <c r="C136" s="203" t="str">
        <f t="shared" si="29"/>
        <v xml:space="preserve"> </v>
      </c>
      <c r="D136" s="202" t="str">
        <f t="shared" si="36"/>
        <v xml:space="preserve"> </v>
      </c>
      <c r="E136" s="201" t="str">
        <f t="shared" si="42"/>
        <v xml:space="preserve"> </v>
      </c>
      <c r="F136" s="202" t="str">
        <f t="shared" si="37"/>
        <v xml:space="preserve"> </v>
      </c>
      <c r="G136" s="201" t="str">
        <f t="shared" si="43"/>
        <v xml:space="preserve"> </v>
      </c>
      <c r="H136" s="202" t="str">
        <f t="shared" si="38"/>
        <v xml:space="preserve"> </v>
      </c>
      <c r="I136" s="202" t="str">
        <f t="shared" si="44"/>
        <v xml:space="preserve"> </v>
      </c>
      <c r="J136" s="276" t="str">
        <f t="shared" si="39"/>
        <v xml:space="preserve"> </v>
      </c>
      <c r="K136" s="363" t="str">
        <f t="shared" si="45"/>
        <v xml:space="preserve"> </v>
      </c>
      <c r="L136" s="363" t="str">
        <f t="shared" si="46"/>
        <v xml:space="preserve"> </v>
      </c>
      <c r="M136" s="445"/>
      <c r="N136" s="293" t="str">
        <f t="shared" si="30"/>
        <v xml:space="preserve"> </v>
      </c>
      <c r="O136" s="293" t="str">
        <f t="shared" si="31"/>
        <v xml:space="preserve"> </v>
      </c>
      <c r="P136" s="293" t="str">
        <f t="shared" si="32"/>
        <v xml:space="preserve"> </v>
      </c>
      <c r="Q136" s="294" t="str">
        <f t="shared" si="33"/>
        <v xml:space="preserve"> </v>
      </c>
      <c r="R136" s="295" t="str">
        <f t="shared" si="34"/>
        <v xml:space="preserve"> </v>
      </c>
      <c r="S136" s="295" t="str">
        <f t="shared" si="35"/>
        <v xml:space="preserve"> </v>
      </c>
      <c r="T136" s="295" t="str">
        <f>IF(A136="N/A"," ",(IF(MONTH(A136)&gt;=4,IF(MONTH(A136)&lt;=10,Inputs!$H$2,Inputs!$H$3),Inputs!$H$3)))</f>
        <v xml:space="preserve"> </v>
      </c>
      <c r="U136" s="463" t="str">
        <f t="shared" si="40"/>
        <v xml:space="preserve"> </v>
      </c>
      <c r="AF136" s="205">
        <v>40575</v>
      </c>
      <c r="AG136" s="194">
        <v>20</v>
      </c>
      <c r="AH136" s="194">
        <v>4</v>
      </c>
      <c r="AI136" s="194">
        <v>4</v>
      </c>
      <c r="AJ136" s="194">
        <v>0</v>
      </c>
      <c r="AK136" s="194">
        <v>28</v>
      </c>
    </row>
    <row r="137" spans="1:37">
      <c r="A137" s="176" t="str">
        <f>Calculations!A104</f>
        <v>N/A</v>
      </c>
      <c r="B137" s="201" t="str">
        <f t="shared" si="41"/>
        <v xml:space="preserve"> </v>
      </c>
      <c r="C137" s="203" t="str">
        <f t="shared" si="29"/>
        <v xml:space="preserve"> </v>
      </c>
      <c r="D137" s="202" t="str">
        <f t="shared" si="36"/>
        <v xml:space="preserve"> </v>
      </c>
      <c r="E137" s="201" t="str">
        <f t="shared" si="42"/>
        <v xml:space="preserve"> </v>
      </c>
      <c r="F137" s="202" t="str">
        <f t="shared" si="37"/>
        <v xml:space="preserve"> </v>
      </c>
      <c r="G137" s="201" t="str">
        <f t="shared" si="43"/>
        <v xml:space="preserve"> </v>
      </c>
      <c r="H137" s="202" t="str">
        <f t="shared" si="38"/>
        <v xml:space="preserve"> </v>
      </c>
      <c r="I137" s="202" t="str">
        <f t="shared" si="44"/>
        <v xml:space="preserve"> </v>
      </c>
      <c r="J137" s="276" t="str">
        <f t="shared" si="39"/>
        <v xml:space="preserve"> </v>
      </c>
      <c r="K137" s="363" t="str">
        <f t="shared" si="45"/>
        <v xml:space="preserve"> </v>
      </c>
      <c r="L137" s="363" t="str">
        <f t="shared" si="46"/>
        <v xml:space="preserve"> </v>
      </c>
      <c r="M137" s="445"/>
      <c r="N137" s="293" t="str">
        <f t="shared" si="30"/>
        <v xml:space="preserve"> </v>
      </c>
      <c r="O137" s="293" t="str">
        <f t="shared" si="31"/>
        <v xml:space="preserve"> </v>
      </c>
      <c r="P137" s="293" t="str">
        <f t="shared" si="32"/>
        <v xml:space="preserve"> </v>
      </c>
      <c r="Q137" s="294" t="str">
        <f t="shared" si="33"/>
        <v xml:space="preserve"> </v>
      </c>
      <c r="R137" s="295" t="str">
        <f t="shared" si="34"/>
        <v xml:space="preserve"> </v>
      </c>
      <c r="S137" s="295" t="str">
        <f t="shared" si="35"/>
        <v xml:space="preserve"> </v>
      </c>
      <c r="T137" s="295" t="str">
        <f>IF(A137="N/A"," ",(IF(MONTH(A137)&gt;=4,IF(MONTH(A137)&lt;=10,Inputs!$H$2,Inputs!$H$3),Inputs!$H$3)))</f>
        <v xml:space="preserve"> </v>
      </c>
      <c r="U137" s="463" t="str">
        <f t="shared" si="40"/>
        <v xml:space="preserve"> </v>
      </c>
      <c r="AF137" s="205">
        <v>40603</v>
      </c>
      <c r="AG137" s="194">
        <v>23</v>
      </c>
      <c r="AH137" s="194">
        <v>4</v>
      </c>
      <c r="AI137" s="194">
        <v>4</v>
      </c>
      <c r="AJ137" s="194">
        <v>0</v>
      </c>
      <c r="AK137" s="194">
        <v>31</v>
      </c>
    </row>
    <row r="138" spans="1:37">
      <c r="A138" s="176" t="str">
        <f>Calculations!A105</f>
        <v>N/A</v>
      </c>
      <c r="B138" s="201" t="str">
        <f t="shared" si="41"/>
        <v xml:space="preserve"> </v>
      </c>
      <c r="C138" s="203" t="str">
        <f t="shared" si="29"/>
        <v xml:space="preserve"> </v>
      </c>
      <c r="D138" s="202" t="str">
        <f t="shared" si="36"/>
        <v xml:space="preserve"> </v>
      </c>
      <c r="E138" s="201" t="str">
        <f t="shared" si="42"/>
        <v xml:space="preserve"> </v>
      </c>
      <c r="F138" s="202" t="str">
        <f t="shared" si="37"/>
        <v xml:space="preserve"> </v>
      </c>
      <c r="G138" s="201" t="str">
        <f t="shared" si="43"/>
        <v xml:space="preserve"> </v>
      </c>
      <c r="H138" s="202" t="str">
        <f t="shared" si="38"/>
        <v xml:space="preserve"> </v>
      </c>
      <c r="I138" s="202" t="str">
        <f t="shared" si="44"/>
        <v xml:space="preserve"> </v>
      </c>
      <c r="J138" s="276" t="str">
        <f t="shared" si="39"/>
        <v xml:space="preserve"> </v>
      </c>
      <c r="K138" s="363" t="str">
        <f t="shared" si="45"/>
        <v xml:space="preserve"> </v>
      </c>
      <c r="L138" s="363" t="str">
        <f t="shared" si="46"/>
        <v xml:space="preserve"> </v>
      </c>
      <c r="M138" s="445"/>
      <c r="N138" s="293" t="str">
        <f t="shared" si="30"/>
        <v xml:space="preserve"> </v>
      </c>
      <c r="O138" s="293" t="str">
        <f t="shared" si="31"/>
        <v xml:space="preserve"> </v>
      </c>
      <c r="P138" s="293" t="str">
        <f t="shared" si="32"/>
        <v xml:space="preserve"> </v>
      </c>
      <c r="Q138" s="294" t="str">
        <f t="shared" si="33"/>
        <v xml:space="preserve"> </v>
      </c>
      <c r="R138" s="295" t="str">
        <f t="shared" si="34"/>
        <v xml:space="preserve"> </v>
      </c>
      <c r="S138" s="295" t="str">
        <f t="shared" si="35"/>
        <v xml:space="preserve"> </v>
      </c>
      <c r="T138" s="295" t="str">
        <f>IF(A138="N/A"," ",(IF(MONTH(A138)&gt;=4,IF(MONTH(A138)&lt;=10,Inputs!$H$2,Inputs!$H$3),Inputs!$H$3)))</f>
        <v xml:space="preserve"> </v>
      </c>
      <c r="U138" s="463" t="str">
        <f t="shared" si="40"/>
        <v xml:space="preserve"> </v>
      </c>
      <c r="AF138" s="205">
        <v>40634</v>
      </c>
      <c r="AG138" s="194">
        <v>21</v>
      </c>
      <c r="AH138" s="194">
        <v>5</v>
      </c>
      <c r="AI138" s="194">
        <v>4</v>
      </c>
      <c r="AJ138" s="194">
        <v>0</v>
      </c>
      <c r="AK138" s="194">
        <v>30</v>
      </c>
    </row>
    <row r="139" spans="1:37">
      <c r="A139" s="176" t="str">
        <f>Calculations!A106</f>
        <v>N/A</v>
      </c>
      <c r="B139" s="201" t="str">
        <f t="shared" si="41"/>
        <v xml:space="preserve"> </v>
      </c>
      <c r="C139" s="203" t="str">
        <f t="shared" si="29"/>
        <v xml:space="preserve"> </v>
      </c>
      <c r="D139" s="202" t="str">
        <f t="shared" si="36"/>
        <v xml:space="preserve"> </v>
      </c>
      <c r="E139" s="201" t="str">
        <f t="shared" si="42"/>
        <v xml:space="preserve"> </v>
      </c>
      <c r="F139" s="202" t="str">
        <f t="shared" si="37"/>
        <v xml:space="preserve"> </v>
      </c>
      <c r="G139" s="201" t="str">
        <f t="shared" si="43"/>
        <v xml:space="preserve"> </v>
      </c>
      <c r="H139" s="202" t="str">
        <f t="shared" si="38"/>
        <v xml:space="preserve"> </v>
      </c>
      <c r="I139" s="202" t="str">
        <f t="shared" si="44"/>
        <v xml:space="preserve"> </v>
      </c>
      <c r="J139" s="276" t="str">
        <f t="shared" si="39"/>
        <v xml:space="preserve"> </v>
      </c>
      <c r="K139" s="363" t="str">
        <f t="shared" si="45"/>
        <v xml:space="preserve"> </v>
      </c>
      <c r="L139" s="363" t="str">
        <f t="shared" si="46"/>
        <v xml:space="preserve"> </v>
      </c>
      <c r="M139" s="445"/>
      <c r="N139" s="293" t="str">
        <f t="shared" si="30"/>
        <v xml:space="preserve"> </v>
      </c>
      <c r="O139" s="293" t="str">
        <f t="shared" si="31"/>
        <v xml:space="preserve"> </v>
      </c>
      <c r="P139" s="293" t="str">
        <f t="shared" si="32"/>
        <v xml:space="preserve"> </v>
      </c>
      <c r="Q139" s="294" t="str">
        <f t="shared" si="33"/>
        <v xml:space="preserve"> </v>
      </c>
      <c r="R139" s="295" t="str">
        <f t="shared" si="34"/>
        <v xml:space="preserve"> </v>
      </c>
      <c r="S139" s="295" t="str">
        <f t="shared" si="35"/>
        <v xml:space="preserve"> </v>
      </c>
      <c r="T139" s="295" t="str">
        <f>IF(A139="N/A"," ",(IF(MONTH(A139)&gt;=4,IF(MONTH(A139)&lt;=10,Inputs!$H$2,Inputs!$H$3),Inputs!$H$3)))</f>
        <v xml:space="preserve"> </v>
      </c>
      <c r="U139" s="463" t="str">
        <f t="shared" si="40"/>
        <v xml:space="preserve"> </v>
      </c>
      <c r="AF139" s="205">
        <v>40664</v>
      </c>
      <c r="AG139" s="194">
        <v>21</v>
      </c>
      <c r="AH139" s="194">
        <v>4</v>
      </c>
      <c r="AI139" s="194">
        <v>6</v>
      </c>
      <c r="AJ139" s="194">
        <v>1</v>
      </c>
      <c r="AK139" s="194">
        <v>31</v>
      </c>
    </row>
    <row r="140" spans="1:37">
      <c r="A140" s="176" t="str">
        <f>Calculations!A107</f>
        <v>N/A</v>
      </c>
      <c r="B140" s="201" t="str">
        <f t="shared" si="41"/>
        <v xml:space="preserve"> </v>
      </c>
      <c r="C140" s="203" t="str">
        <f t="shared" si="29"/>
        <v xml:space="preserve"> </v>
      </c>
      <c r="D140" s="202" t="str">
        <f t="shared" si="36"/>
        <v xml:space="preserve"> </v>
      </c>
      <c r="E140" s="201" t="str">
        <f t="shared" si="42"/>
        <v xml:space="preserve"> </v>
      </c>
      <c r="F140" s="202" t="str">
        <f t="shared" si="37"/>
        <v xml:space="preserve"> </v>
      </c>
      <c r="G140" s="201" t="str">
        <f t="shared" si="43"/>
        <v xml:space="preserve"> </v>
      </c>
      <c r="H140" s="202" t="str">
        <f t="shared" si="38"/>
        <v xml:space="preserve"> </v>
      </c>
      <c r="I140" s="202" t="str">
        <f t="shared" si="44"/>
        <v xml:space="preserve"> </v>
      </c>
      <c r="J140" s="276" t="str">
        <f t="shared" si="39"/>
        <v xml:space="preserve"> </v>
      </c>
      <c r="K140" s="363" t="str">
        <f t="shared" si="45"/>
        <v xml:space="preserve"> </v>
      </c>
      <c r="L140" s="363" t="str">
        <f t="shared" si="46"/>
        <v xml:space="preserve"> </v>
      </c>
      <c r="M140" s="445"/>
      <c r="N140" s="293" t="str">
        <f t="shared" si="30"/>
        <v xml:space="preserve"> </v>
      </c>
      <c r="O140" s="293" t="str">
        <f t="shared" si="31"/>
        <v xml:space="preserve"> </v>
      </c>
      <c r="P140" s="293" t="str">
        <f t="shared" si="32"/>
        <v xml:space="preserve"> </v>
      </c>
      <c r="Q140" s="294" t="str">
        <f t="shared" si="33"/>
        <v xml:space="preserve"> </v>
      </c>
      <c r="R140" s="295" t="str">
        <f t="shared" si="34"/>
        <v xml:space="preserve"> </v>
      </c>
      <c r="S140" s="295" t="str">
        <f t="shared" si="35"/>
        <v xml:space="preserve"> </v>
      </c>
      <c r="T140" s="295" t="str">
        <f>IF(A140="N/A"," ",(IF(MONTH(A140)&gt;=4,IF(MONTH(A140)&lt;=10,Inputs!$H$2,Inputs!$H$3),Inputs!$H$3)))</f>
        <v xml:space="preserve"> </v>
      </c>
      <c r="U140" s="463" t="str">
        <f t="shared" si="40"/>
        <v xml:space="preserve"> </v>
      </c>
      <c r="AF140" s="205">
        <v>40695</v>
      </c>
      <c r="AG140" s="194">
        <v>22</v>
      </c>
      <c r="AH140" s="194">
        <v>4</v>
      </c>
      <c r="AI140" s="194">
        <v>4</v>
      </c>
      <c r="AJ140" s="194">
        <v>0</v>
      </c>
      <c r="AK140" s="194">
        <v>30</v>
      </c>
    </row>
    <row r="141" spans="1:37">
      <c r="A141" s="176" t="str">
        <f>Calculations!A108</f>
        <v>N/A</v>
      </c>
      <c r="B141" s="201" t="str">
        <f t="shared" si="41"/>
        <v xml:space="preserve"> </v>
      </c>
      <c r="C141" s="203" t="str">
        <f t="shared" si="29"/>
        <v xml:space="preserve"> </v>
      </c>
      <c r="D141" s="202" t="str">
        <f t="shared" si="36"/>
        <v xml:space="preserve"> </v>
      </c>
      <c r="E141" s="201" t="str">
        <f t="shared" si="42"/>
        <v xml:space="preserve"> </v>
      </c>
      <c r="F141" s="202" t="str">
        <f t="shared" si="37"/>
        <v xml:space="preserve"> </v>
      </c>
      <c r="G141" s="201" t="str">
        <f t="shared" si="43"/>
        <v xml:space="preserve"> </v>
      </c>
      <c r="H141" s="202" t="str">
        <f t="shared" si="38"/>
        <v xml:space="preserve"> </v>
      </c>
      <c r="I141" s="202" t="str">
        <f t="shared" si="44"/>
        <v xml:space="preserve"> </v>
      </c>
      <c r="J141" s="276" t="str">
        <f t="shared" si="39"/>
        <v xml:space="preserve"> </v>
      </c>
      <c r="K141" s="363" t="str">
        <f t="shared" si="45"/>
        <v xml:space="preserve"> </v>
      </c>
      <c r="L141" s="363" t="str">
        <f t="shared" si="46"/>
        <v xml:space="preserve"> </v>
      </c>
      <c r="M141" s="445"/>
      <c r="N141" s="293" t="str">
        <f t="shared" si="30"/>
        <v xml:space="preserve"> </v>
      </c>
      <c r="O141" s="293" t="str">
        <f t="shared" si="31"/>
        <v xml:space="preserve"> </v>
      </c>
      <c r="P141" s="293" t="str">
        <f t="shared" si="32"/>
        <v xml:space="preserve"> </v>
      </c>
      <c r="Q141" s="294" t="str">
        <f t="shared" si="33"/>
        <v xml:space="preserve"> </v>
      </c>
      <c r="R141" s="295" t="str">
        <f t="shared" si="34"/>
        <v xml:space="preserve"> </v>
      </c>
      <c r="S141" s="295" t="str">
        <f t="shared" si="35"/>
        <v xml:space="preserve"> </v>
      </c>
      <c r="T141" s="295" t="str">
        <f>IF(A141="N/A"," ",(IF(MONTH(A141)&gt;=4,IF(MONTH(A141)&lt;=10,Inputs!$H$2,Inputs!$H$3),Inputs!$H$3)))</f>
        <v xml:space="preserve"> </v>
      </c>
      <c r="U141" s="463" t="str">
        <f t="shared" si="40"/>
        <v xml:space="preserve"> </v>
      </c>
      <c r="AF141" s="205">
        <v>40725</v>
      </c>
      <c r="AG141" s="194">
        <v>20</v>
      </c>
      <c r="AH141" s="194">
        <v>5</v>
      </c>
      <c r="AI141" s="194">
        <v>6</v>
      </c>
      <c r="AJ141" s="194">
        <v>1</v>
      </c>
      <c r="AK141" s="194">
        <v>31</v>
      </c>
    </row>
    <row r="142" spans="1:37">
      <c r="A142" s="176" t="str">
        <f>Calculations!A109</f>
        <v>N/A</v>
      </c>
      <c r="B142" s="201" t="str">
        <f t="shared" si="41"/>
        <v xml:space="preserve"> </v>
      </c>
      <c r="C142" s="203" t="str">
        <f t="shared" si="29"/>
        <v xml:space="preserve"> </v>
      </c>
      <c r="D142" s="202" t="str">
        <f t="shared" si="36"/>
        <v xml:space="preserve"> </v>
      </c>
      <c r="E142" s="201" t="str">
        <f t="shared" si="42"/>
        <v xml:space="preserve"> </v>
      </c>
      <c r="F142" s="202" t="str">
        <f t="shared" si="37"/>
        <v xml:space="preserve"> </v>
      </c>
      <c r="G142" s="201" t="str">
        <f t="shared" si="43"/>
        <v xml:space="preserve"> </v>
      </c>
      <c r="H142" s="202" t="str">
        <f t="shared" si="38"/>
        <v xml:space="preserve"> </v>
      </c>
      <c r="I142" s="202" t="str">
        <f t="shared" si="44"/>
        <v xml:space="preserve"> </v>
      </c>
      <c r="J142" s="276" t="str">
        <f t="shared" si="39"/>
        <v xml:space="preserve"> </v>
      </c>
      <c r="K142" s="363" t="str">
        <f t="shared" si="45"/>
        <v xml:space="preserve"> </v>
      </c>
      <c r="L142" s="363" t="str">
        <f t="shared" si="46"/>
        <v xml:space="preserve"> </v>
      </c>
      <c r="M142" s="445"/>
      <c r="N142" s="293" t="str">
        <f t="shared" si="30"/>
        <v xml:space="preserve"> </v>
      </c>
      <c r="O142" s="293" t="str">
        <f t="shared" si="31"/>
        <v xml:space="preserve"> </v>
      </c>
      <c r="P142" s="293" t="str">
        <f t="shared" si="32"/>
        <v xml:space="preserve"> </v>
      </c>
      <c r="Q142" s="294" t="str">
        <f t="shared" si="33"/>
        <v xml:space="preserve"> </v>
      </c>
      <c r="R142" s="295" t="str">
        <f t="shared" si="34"/>
        <v xml:space="preserve"> </v>
      </c>
      <c r="S142" s="295" t="str">
        <f t="shared" si="35"/>
        <v xml:space="preserve"> </v>
      </c>
      <c r="T142" s="295" t="str">
        <f>IF(A142="N/A"," ",(IF(MONTH(A142)&gt;=4,IF(MONTH(A142)&lt;=10,Inputs!$H$2,Inputs!$H$3),Inputs!$H$3)))</f>
        <v xml:space="preserve"> </v>
      </c>
      <c r="U142" s="463" t="str">
        <f t="shared" si="40"/>
        <v xml:space="preserve"> </v>
      </c>
      <c r="AF142" s="205">
        <v>40756</v>
      </c>
      <c r="AG142" s="194">
        <v>23</v>
      </c>
      <c r="AH142" s="194">
        <v>4</v>
      </c>
      <c r="AI142" s="194">
        <v>4</v>
      </c>
      <c r="AJ142" s="194">
        <v>0</v>
      </c>
      <c r="AK142" s="194">
        <v>31</v>
      </c>
    </row>
    <row r="143" spans="1:37">
      <c r="A143" s="176" t="str">
        <f>Calculations!A110</f>
        <v>N/A</v>
      </c>
      <c r="B143" s="201" t="str">
        <f t="shared" si="41"/>
        <v xml:space="preserve"> </v>
      </c>
      <c r="C143" s="203" t="str">
        <f t="shared" si="29"/>
        <v xml:space="preserve"> </v>
      </c>
      <c r="D143" s="202" t="str">
        <f t="shared" si="36"/>
        <v xml:space="preserve"> </v>
      </c>
      <c r="E143" s="201" t="str">
        <f t="shared" si="42"/>
        <v xml:space="preserve"> </v>
      </c>
      <c r="F143" s="202" t="str">
        <f t="shared" si="37"/>
        <v xml:space="preserve"> </v>
      </c>
      <c r="G143" s="201" t="str">
        <f t="shared" si="43"/>
        <v xml:space="preserve"> </v>
      </c>
      <c r="H143" s="202" t="str">
        <f t="shared" si="38"/>
        <v xml:space="preserve"> </v>
      </c>
      <c r="I143" s="202" t="str">
        <f t="shared" si="44"/>
        <v xml:space="preserve"> </v>
      </c>
      <c r="J143" s="276" t="str">
        <f t="shared" si="39"/>
        <v xml:space="preserve"> </v>
      </c>
      <c r="K143" s="363" t="str">
        <f t="shared" si="45"/>
        <v xml:space="preserve"> </v>
      </c>
      <c r="L143" s="363" t="str">
        <f t="shared" si="46"/>
        <v xml:space="preserve"> </v>
      </c>
      <c r="M143" s="445"/>
      <c r="N143" s="293" t="str">
        <f t="shared" si="30"/>
        <v xml:space="preserve"> </v>
      </c>
      <c r="O143" s="293" t="str">
        <f t="shared" si="31"/>
        <v xml:space="preserve"> </v>
      </c>
      <c r="P143" s="293" t="str">
        <f t="shared" si="32"/>
        <v xml:space="preserve"> </v>
      </c>
      <c r="Q143" s="294" t="str">
        <f t="shared" si="33"/>
        <v xml:space="preserve"> </v>
      </c>
      <c r="R143" s="295" t="str">
        <f t="shared" si="34"/>
        <v xml:space="preserve"> </v>
      </c>
      <c r="S143" s="295" t="str">
        <f t="shared" si="35"/>
        <v xml:space="preserve"> </v>
      </c>
      <c r="T143" s="295" t="str">
        <f>IF(A143="N/A"," ",(IF(MONTH(A143)&gt;=4,IF(MONTH(A143)&lt;=10,Inputs!$H$2,Inputs!$H$3),Inputs!$H$3)))</f>
        <v xml:space="preserve"> </v>
      </c>
      <c r="U143" s="463" t="str">
        <f t="shared" si="40"/>
        <v xml:space="preserve"> </v>
      </c>
      <c r="AF143" s="205">
        <v>40787</v>
      </c>
      <c r="AG143" s="194">
        <v>21</v>
      </c>
      <c r="AH143" s="194">
        <v>4</v>
      </c>
      <c r="AI143" s="194">
        <v>5</v>
      </c>
      <c r="AJ143" s="194">
        <v>1</v>
      </c>
      <c r="AK143" s="194">
        <v>30</v>
      </c>
    </row>
    <row r="144" spans="1:37">
      <c r="A144" s="176" t="str">
        <f>Calculations!A111</f>
        <v>N/A</v>
      </c>
      <c r="B144" s="201" t="str">
        <f t="shared" si="41"/>
        <v xml:space="preserve"> </v>
      </c>
      <c r="C144" s="203" t="str">
        <f t="shared" si="29"/>
        <v xml:space="preserve"> </v>
      </c>
      <c r="D144" s="202" t="str">
        <f t="shared" si="36"/>
        <v xml:space="preserve"> </v>
      </c>
      <c r="E144" s="201" t="str">
        <f t="shared" si="42"/>
        <v xml:space="preserve"> </v>
      </c>
      <c r="F144" s="202" t="str">
        <f t="shared" si="37"/>
        <v xml:space="preserve"> </v>
      </c>
      <c r="G144" s="201" t="str">
        <f t="shared" si="43"/>
        <v xml:space="preserve"> </v>
      </c>
      <c r="H144" s="202" t="str">
        <f t="shared" si="38"/>
        <v xml:space="preserve"> </v>
      </c>
      <c r="I144" s="202" t="str">
        <f t="shared" si="44"/>
        <v xml:space="preserve"> </v>
      </c>
      <c r="J144" s="276" t="str">
        <f t="shared" si="39"/>
        <v xml:space="preserve"> </v>
      </c>
      <c r="K144" s="363" t="str">
        <f t="shared" si="45"/>
        <v xml:space="preserve"> </v>
      </c>
      <c r="L144" s="363" t="str">
        <f t="shared" si="46"/>
        <v xml:space="preserve"> </v>
      </c>
      <c r="M144" s="445"/>
      <c r="N144" s="293" t="str">
        <f t="shared" si="30"/>
        <v xml:space="preserve"> </v>
      </c>
      <c r="O144" s="293" t="str">
        <f t="shared" si="31"/>
        <v xml:space="preserve"> </v>
      </c>
      <c r="P144" s="293" t="str">
        <f t="shared" si="32"/>
        <v xml:space="preserve"> </v>
      </c>
      <c r="Q144" s="294" t="str">
        <f t="shared" si="33"/>
        <v xml:space="preserve"> </v>
      </c>
      <c r="R144" s="295" t="str">
        <f t="shared" si="34"/>
        <v xml:space="preserve"> </v>
      </c>
      <c r="S144" s="295" t="str">
        <f t="shared" si="35"/>
        <v xml:space="preserve"> </v>
      </c>
      <c r="T144" s="295" t="str">
        <f>IF(A144="N/A"," ",(IF(MONTH(A144)&gt;=4,IF(MONTH(A144)&lt;=10,Inputs!$H$2,Inputs!$H$3),Inputs!$H$3)))</f>
        <v xml:space="preserve"> </v>
      </c>
      <c r="U144" s="463" t="str">
        <f t="shared" si="40"/>
        <v xml:space="preserve"> </v>
      </c>
      <c r="AF144" s="205">
        <v>40817</v>
      </c>
      <c r="AG144" s="194">
        <v>21</v>
      </c>
      <c r="AH144" s="194">
        <v>5</v>
      </c>
      <c r="AI144" s="194">
        <v>5</v>
      </c>
      <c r="AJ144" s="194">
        <v>0</v>
      </c>
      <c r="AK144" s="194">
        <v>31</v>
      </c>
    </row>
    <row r="145" spans="1:37">
      <c r="A145" s="176" t="str">
        <f>Calculations!A112</f>
        <v>N/A</v>
      </c>
      <c r="B145" s="201" t="str">
        <f t="shared" si="41"/>
        <v xml:space="preserve"> </v>
      </c>
      <c r="C145" s="203" t="str">
        <f t="shared" si="29"/>
        <v xml:space="preserve"> </v>
      </c>
      <c r="D145" s="202" t="str">
        <f t="shared" si="36"/>
        <v xml:space="preserve"> </v>
      </c>
      <c r="E145" s="201" t="str">
        <f t="shared" si="42"/>
        <v xml:space="preserve"> </v>
      </c>
      <c r="F145" s="202" t="str">
        <f t="shared" si="37"/>
        <v xml:space="preserve"> </v>
      </c>
      <c r="G145" s="201" t="str">
        <f t="shared" si="43"/>
        <v xml:space="preserve"> </v>
      </c>
      <c r="H145" s="202" t="str">
        <f t="shared" si="38"/>
        <v xml:space="preserve"> </v>
      </c>
      <c r="I145" s="202" t="str">
        <f t="shared" si="44"/>
        <v xml:space="preserve"> </v>
      </c>
      <c r="J145" s="276" t="str">
        <f t="shared" si="39"/>
        <v xml:space="preserve"> </v>
      </c>
      <c r="K145" s="363" t="str">
        <f t="shared" si="45"/>
        <v xml:space="preserve"> </v>
      </c>
      <c r="L145" s="363" t="str">
        <f t="shared" si="46"/>
        <v xml:space="preserve"> </v>
      </c>
      <c r="M145" s="445"/>
      <c r="N145" s="293" t="str">
        <f t="shared" si="30"/>
        <v xml:space="preserve"> </v>
      </c>
      <c r="O145" s="293" t="str">
        <f t="shared" si="31"/>
        <v xml:space="preserve"> </v>
      </c>
      <c r="P145" s="293" t="str">
        <f t="shared" si="32"/>
        <v xml:space="preserve"> </v>
      </c>
      <c r="Q145" s="294" t="str">
        <f t="shared" si="33"/>
        <v xml:space="preserve"> </v>
      </c>
      <c r="R145" s="295" t="str">
        <f t="shared" si="34"/>
        <v xml:space="preserve"> </v>
      </c>
      <c r="S145" s="295" t="str">
        <f t="shared" si="35"/>
        <v xml:space="preserve"> </v>
      </c>
      <c r="T145" s="295" t="str">
        <f>IF(A145="N/A"," ",(IF(MONTH(A145)&gt;=4,IF(MONTH(A145)&lt;=10,Inputs!$H$2,Inputs!$H$3),Inputs!$H$3)))</f>
        <v xml:space="preserve"> </v>
      </c>
      <c r="U145" s="463" t="str">
        <f t="shared" si="40"/>
        <v xml:space="preserve"> </v>
      </c>
      <c r="AF145" s="205">
        <v>40848</v>
      </c>
      <c r="AG145" s="194">
        <v>21</v>
      </c>
      <c r="AH145" s="194">
        <v>4</v>
      </c>
      <c r="AI145" s="194">
        <v>5</v>
      </c>
      <c r="AJ145" s="194">
        <v>1</v>
      </c>
      <c r="AK145" s="194">
        <v>30</v>
      </c>
    </row>
    <row r="146" spans="1:37">
      <c r="A146" s="176" t="str">
        <f>Calculations!A113</f>
        <v>N/A</v>
      </c>
      <c r="B146" s="201" t="str">
        <f t="shared" si="41"/>
        <v xml:space="preserve"> </v>
      </c>
      <c r="C146" s="203" t="str">
        <f t="shared" si="29"/>
        <v xml:space="preserve"> </v>
      </c>
      <c r="D146" s="202" t="str">
        <f t="shared" si="36"/>
        <v xml:space="preserve"> </v>
      </c>
      <c r="E146" s="201" t="str">
        <f t="shared" si="42"/>
        <v xml:space="preserve"> </v>
      </c>
      <c r="F146" s="202" t="str">
        <f t="shared" si="37"/>
        <v xml:space="preserve"> </v>
      </c>
      <c r="G146" s="201" t="str">
        <f t="shared" si="43"/>
        <v xml:space="preserve"> </v>
      </c>
      <c r="H146" s="202" t="str">
        <f t="shared" si="38"/>
        <v xml:space="preserve"> </v>
      </c>
      <c r="I146" s="202" t="str">
        <f t="shared" si="44"/>
        <v xml:space="preserve"> </v>
      </c>
      <c r="J146" s="276" t="str">
        <f t="shared" si="39"/>
        <v xml:space="preserve"> </v>
      </c>
      <c r="K146" s="363" t="str">
        <f t="shared" si="45"/>
        <v xml:space="preserve"> </v>
      </c>
      <c r="L146" s="363" t="str">
        <f t="shared" si="46"/>
        <v xml:space="preserve"> </v>
      </c>
      <c r="M146" s="445"/>
      <c r="N146" s="293" t="str">
        <f t="shared" si="30"/>
        <v xml:space="preserve"> </v>
      </c>
      <c r="O146" s="293" t="str">
        <f t="shared" si="31"/>
        <v xml:space="preserve"> </v>
      </c>
      <c r="P146" s="293" t="str">
        <f t="shared" si="32"/>
        <v xml:space="preserve"> </v>
      </c>
      <c r="Q146" s="294" t="str">
        <f t="shared" si="33"/>
        <v xml:space="preserve"> </v>
      </c>
      <c r="R146" s="295" t="str">
        <f t="shared" si="34"/>
        <v xml:space="preserve"> </v>
      </c>
      <c r="S146" s="295" t="str">
        <f t="shared" si="35"/>
        <v xml:space="preserve"> </v>
      </c>
      <c r="T146" s="295" t="str">
        <f>IF(A146="N/A"," ",(IF(MONTH(A146)&gt;=4,IF(MONTH(A146)&lt;=10,Inputs!$H$2,Inputs!$H$3),Inputs!$H$3)))</f>
        <v xml:space="preserve"> </v>
      </c>
      <c r="U146" s="463" t="str">
        <f t="shared" si="40"/>
        <v xml:space="preserve"> </v>
      </c>
      <c r="AF146" s="205">
        <v>40878</v>
      </c>
      <c r="AG146" s="194">
        <v>21</v>
      </c>
      <c r="AH146" s="194">
        <v>5</v>
      </c>
      <c r="AI146" s="194">
        <v>5</v>
      </c>
      <c r="AJ146" s="194">
        <v>1</v>
      </c>
      <c r="AK146" s="194">
        <v>31</v>
      </c>
    </row>
    <row r="147" spans="1:37">
      <c r="A147" s="176" t="str">
        <f>Calculations!A114</f>
        <v>N/A</v>
      </c>
      <c r="B147" s="201" t="str">
        <f t="shared" si="41"/>
        <v xml:space="preserve"> </v>
      </c>
      <c r="C147" s="203" t="str">
        <f t="shared" si="29"/>
        <v xml:space="preserve"> </v>
      </c>
      <c r="D147" s="202" t="str">
        <f t="shared" si="36"/>
        <v xml:space="preserve"> </v>
      </c>
      <c r="E147" s="201" t="str">
        <f t="shared" si="42"/>
        <v xml:space="preserve"> </v>
      </c>
      <c r="F147" s="202" t="str">
        <f t="shared" si="37"/>
        <v xml:space="preserve"> </v>
      </c>
      <c r="G147" s="201" t="str">
        <f t="shared" si="43"/>
        <v xml:space="preserve"> </v>
      </c>
      <c r="H147" s="202" t="str">
        <f t="shared" si="38"/>
        <v xml:space="preserve"> </v>
      </c>
      <c r="I147" s="202" t="str">
        <f t="shared" si="44"/>
        <v xml:space="preserve"> </v>
      </c>
      <c r="J147" s="276" t="str">
        <f t="shared" si="39"/>
        <v xml:space="preserve"> </v>
      </c>
      <c r="K147" s="363" t="str">
        <f t="shared" si="45"/>
        <v xml:space="preserve"> </v>
      </c>
      <c r="L147" s="363" t="str">
        <f t="shared" si="46"/>
        <v xml:space="preserve"> </v>
      </c>
      <c r="M147" s="445"/>
      <c r="N147" s="293" t="str">
        <f t="shared" si="30"/>
        <v xml:space="preserve"> </v>
      </c>
      <c r="O147" s="293" t="str">
        <f t="shared" si="31"/>
        <v xml:space="preserve"> </v>
      </c>
      <c r="P147" s="293" t="str">
        <f t="shared" si="32"/>
        <v xml:space="preserve"> </v>
      </c>
      <c r="Q147" s="294" t="str">
        <f t="shared" si="33"/>
        <v xml:space="preserve"> </v>
      </c>
      <c r="R147" s="295" t="str">
        <f t="shared" si="34"/>
        <v xml:space="preserve"> </v>
      </c>
      <c r="S147" s="295" t="str">
        <f t="shared" si="35"/>
        <v xml:space="preserve"> </v>
      </c>
      <c r="T147" s="295" t="str">
        <f>IF(A147="N/A"," ",(IF(MONTH(A147)&gt;=4,IF(MONTH(A147)&lt;=10,Inputs!$H$2,Inputs!$H$3),Inputs!$H$3)))</f>
        <v xml:space="preserve"> </v>
      </c>
      <c r="U147" s="463" t="str">
        <f t="shared" si="40"/>
        <v xml:space="preserve"> </v>
      </c>
      <c r="AF147" s="205">
        <v>40909</v>
      </c>
      <c r="AG147" s="194">
        <v>21</v>
      </c>
      <c r="AH147" s="194">
        <v>4</v>
      </c>
      <c r="AI147" s="194">
        <v>6</v>
      </c>
      <c r="AJ147" s="194">
        <v>1</v>
      </c>
      <c r="AK147" s="194">
        <v>31</v>
      </c>
    </row>
    <row r="148" spans="1:37">
      <c r="A148" s="176" t="str">
        <f>Calculations!A115</f>
        <v>N/A</v>
      </c>
      <c r="B148" s="201" t="str">
        <f t="shared" si="41"/>
        <v xml:space="preserve"> </v>
      </c>
      <c r="C148" s="203" t="str">
        <f t="shared" si="29"/>
        <v xml:space="preserve"> </v>
      </c>
      <c r="D148" s="202" t="str">
        <f t="shared" si="36"/>
        <v xml:space="preserve"> </v>
      </c>
      <c r="E148" s="201" t="str">
        <f t="shared" si="42"/>
        <v xml:space="preserve"> </v>
      </c>
      <c r="F148" s="202" t="str">
        <f t="shared" si="37"/>
        <v xml:space="preserve"> </v>
      </c>
      <c r="G148" s="201" t="str">
        <f t="shared" si="43"/>
        <v xml:space="preserve"> </v>
      </c>
      <c r="H148" s="202" t="str">
        <f t="shared" si="38"/>
        <v xml:space="preserve"> </v>
      </c>
      <c r="I148" s="202" t="str">
        <f t="shared" si="44"/>
        <v xml:space="preserve"> </v>
      </c>
      <c r="J148" s="276" t="str">
        <f t="shared" si="39"/>
        <v xml:space="preserve"> </v>
      </c>
      <c r="K148" s="363" t="str">
        <f t="shared" si="45"/>
        <v xml:space="preserve"> </v>
      </c>
      <c r="L148" s="363" t="str">
        <f t="shared" si="46"/>
        <v xml:space="preserve"> </v>
      </c>
      <c r="M148" s="445"/>
      <c r="N148" s="293" t="str">
        <f t="shared" si="30"/>
        <v xml:space="preserve"> </v>
      </c>
      <c r="O148" s="293" t="str">
        <f t="shared" si="31"/>
        <v xml:space="preserve"> </v>
      </c>
      <c r="P148" s="293" t="str">
        <f t="shared" si="32"/>
        <v xml:space="preserve"> </v>
      </c>
      <c r="Q148" s="294" t="str">
        <f t="shared" si="33"/>
        <v xml:space="preserve"> </v>
      </c>
      <c r="R148" s="295" t="str">
        <f t="shared" si="34"/>
        <v xml:space="preserve"> </v>
      </c>
      <c r="S148" s="295" t="str">
        <f t="shared" si="35"/>
        <v xml:space="preserve"> </v>
      </c>
      <c r="T148" s="295" t="str">
        <f>IF(A148="N/A"," ",(IF(MONTH(A148)&gt;=4,IF(MONTH(A148)&lt;=10,Inputs!$H$2,Inputs!$H$3),Inputs!$H$3)))</f>
        <v xml:space="preserve"> </v>
      </c>
      <c r="U148" s="463" t="str">
        <f t="shared" si="40"/>
        <v xml:space="preserve"> </v>
      </c>
      <c r="AF148" s="205">
        <v>40940</v>
      </c>
      <c r="AG148" s="194">
        <v>21</v>
      </c>
      <c r="AH148" s="194">
        <v>4</v>
      </c>
      <c r="AI148" s="194">
        <v>4</v>
      </c>
      <c r="AJ148" s="194">
        <v>0</v>
      </c>
      <c r="AK148" s="194">
        <v>29</v>
      </c>
    </row>
    <row r="149" spans="1:37">
      <c r="A149" s="176" t="str">
        <f>Calculations!A116</f>
        <v>N/A</v>
      </c>
      <c r="B149" s="201" t="str">
        <f t="shared" si="41"/>
        <v xml:space="preserve"> </v>
      </c>
      <c r="C149" s="203" t="str">
        <f t="shared" si="29"/>
        <v xml:space="preserve"> </v>
      </c>
      <c r="D149" s="202" t="str">
        <f t="shared" si="36"/>
        <v xml:space="preserve"> </v>
      </c>
      <c r="E149" s="201" t="str">
        <f t="shared" si="42"/>
        <v xml:space="preserve"> </v>
      </c>
      <c r="F149" s="202" t="str">
        <f t="shared" si="37"/>
        <v xml:space="preserve"> </v>
      </c>
      <c r="G149" s="201" t="str">
        <f t="shared" si="43"/>
        <v xml:space="preserve"> </v>
      </c>
      <c r="H149" s="202" t="str">
        <f t="shared" si="38"/>
        <v xml:space="preserve"> </v>
      </c>
      <c r="I149" s="202" t="str">
        <f t="shared" si="44"/>
        <v xml:space="preserve"> </v>
      </c>
      <c r="J149" s="276" t="str">
        <f t="shared" si="39"/>
        <v xml:space="preserve"> </v>
      </c>
      <c r="K149" s="363" t="str">
        <f t="shared" si="45"/>
        <v xml:space="preserve"> </v>
      </c>
      <c r="L149" s="363" t="str">
        <f t="shared" si="46"/>
        <v xml:space="preserve"> </v>
      </c>
      <c r="M149" s="445"/>
      <c r="N149" s="293" t="str">
        <f t="shared" si="30"/>
        <v xml:space="preserve"> </v>
      </c>
      <c r="O149" s="293" t="str">
        <f t="shared" si="31"/>
        <v xml:space="preserve"> </v>
      </c>
      <c r="P149" s="293" t="str">
        <f t="shared" si="32"/>
        <v xml:space="preserve"> </v>
      </c>
      <c r="Q149" s="294" t="str">
        <f t="shared" si="33"/>
        <v xml:space="preserve"> </v>
      </c>
      <c r="R149" s="295" t="str">
        <f t="shared" si="34"/>
        <v xml:space="preserve"> </v>
      </c>
      <c r="S149" s="295" t="str">
        <f t="shared" si="35"/>
        <v xml:space="preserve"> </v>
      </c>
      <c r="T149" s="295" t="str">
        <f>IF(A149="N/A"," ",(IF(MONTH(A149)&gt;=4,IF(MONTH(A149)&lt;=10,Inputs!$H$2,Inputs!$H$3),Inputs!$H$3)))</f>
        <v xml:space="preserve"> </v>
      </c>
      <c r="U149" s="463" t="str">
        <f t="shared" si="40"/>
        <v xml:space="preserve"> </v>
      </c>
      <c r="AF149" s="205">
        <v>40969</v>
      </c>
      <c r="AG149" s="194">
        <v>22</v>
      </c>
      <c r="AH149" s="194">
        <v>5</v>
      </c>
      <c r="AI149" s="194">
        <v>4</v>
      </c>
      <c r="AJ149" s="194">
        <v>0</v>
      </c>
      <c r="AK149" s="194">
        <v>31</v>
      </c>
    </row>
    <row r="150" spans="1:37">
      <c r="A150" s="176" t="str">
        <f>Calculations!A117</f>
        <v>N/A</v>
      </c>
      <c r="B150" s="201" t="str">
        <f t="shared" si="41"/>
        <v xml:space="preserve"> </v>
      </c>
      <c r="C150" s="203" t="str">
        <f t="shared" si="29"/>
        <v xml:space="preserve"> </v>
      </c>
      <c r="D150" s="202" t="str">
        <f t="shared" si="36"/>
        <v xml:space="preserve"> </v>
      </c>
      <c r="E150" s="201" t="str">
        <f t="shared" si="42"/>
        <v xml:space="preserve"> </v>
      </c>
      <c r="F150" s="202" t="str">
        <f t="shared" si="37"/>
        <v xml:space="preserve"> </v>
      </c>
      <c r="G150" s="201" t="str">
        <f t="shared" si="43"/>
        <v xml:space="preserve"> </v>
      </c>
      <c r="H150" s="202" t="str">
        <f t="shared" si="38"/>
        <v xml:space="preserve"> </v>
      </c>
      <c r="I150" s="202" t="str">
        <f t="shared" si="44"/>
        <v xml:space="preserve"> </v>
      </c>
      <c r="J150" s="276" t="str">
        <f t="shared" si="39"/>
        <v xml:space="preserve"> </v>
      </c>
      <c r="K150" s="363" t="str">
        <f t="shared" si="45"/>
        <v xml:space="preserve"> </v>
      </c>
      <c r="L150" s="363" t="str">
        <f t="shared" si="46"/>
        <v xml:space="preserve"> </v>
      </c>
      <c r="M150" s="445"/>
      <c r="N150" s="293" t="str">
        <f t="shared" si="30"/>
        <v xml:space="preserve"> </v>
      </c>
      <c r="O150" s="293" t="str">
        <f t="shared" si="31"/>
        <v xml:space="preserve"> </v>
      </c>
      <c r="P150" s="293" t="str">
        <f t="shared" si="32"/>
        <v xml:space="preserve"> </v>
      </c>
      <c r="Q150" s="294" t="str">
        <f t="shared" si="33"/>
        <v xml:space="preserve"> </v>
      </c>
      <c r="R150" s="295" t="str">
        <f t="shared" si="34"/>
        <v xml:space="preserve"> </v>
      </c>
      <c r="S150" s="295" t="str">
        <f t="shared" si="35"/>
        <v xml:space="preserve"> </v>
      </c>
      <c r="T150" s="295" t="str">
        <f>IF(A150="N/A"," ",(IF(MONTH(A150)&gt;=4,IF(MONTH(A150)&lt;=10,Inputs!$H$2,Inputs!$H$3),Inputs!$H$3)))</f>
        <v xml:space="preserve"> </v>
      </c>
      <c r="U150" s="463" t="str">
        <f t="shared" si="40"/>
        <v xml:space="preserve"> </v>
      </c>
      <c r="AF150" s="205">
        <v>41000</v>
      </c>
      <c r="AG150" s="194">
        <v>21</v>
      </c>
      <c r="AH150" s="194">
        <v>4</v>
      </c>
      <c r="AI150" s="194">
        <v>5</v>
      </c>
      <c r="AJ150" s="194">
        <v>0</v>
      </c>
      <c r="AK150" s="194">
        <v>30</v>
      </c>
    </row>
    <row r="151" spans="1:37">
      <c r="A151" s="176" t="str">
        <f>Calculations!A118</f>
        <v>N/A</v>
      </c>
      <c r="B151" s="201" t="str">
        <f t="shared" si="41"/>
        <v xml:space="preserve"> </v>
      </c>
      <c r="C151" s="203" t="str">
        <f t="shared" si="29"/>
        <v xml:space="preserve"> </v>
      </c>
      <c r="D151" s="202" t="str">
        <f t="shared" si="36"/>
        <v xml:space="preserve"> </v>
      </c>
      <c r="E151" s="201" t="str">
        <f t="shared" si="42"/>
        <v xml:space="preserve"> </v>
      </c>
      <c r="F151" s="202" t="str">
        <f t="shared" si="37"/>
        <v xml:space="preserve"> </v>
      </c>
      <c r="G151" s="201" t="str">
        <f t="shared" si="43"/>
        <v xml:space="preserve"> </v>
      </c>
      <c r="H151" s="202" t="str">
        <f t="shared" si="38"/>
        <v xml:space="preserve"> </v>
      </c>
      <c r="I151" s="202" t="str">
        <f t="shared" si="44"/>
        <v xml:space="preserve"> </v>
      </c>
      <c r="J151" s="276" t="str">
        <f t="shared" si="39"/>
        <v xml:space="preserve"> </v>
      </c>
      <c r="K151" s="363" t="str">
        <f t="shared" si="45"/>
        <v xml:space="preserve"> </v>
      </c>
      <c r="L151" s="363" t="str">
        <f t="shared" si="46"/>
        <v xml:space="preserve"> </v>
      </c>
      <c r="M151" s="445"/>
      <c r="N151" s="293" t="str">
        <f t="shared" si="30"/>
        <v xml:space="preserve"> </v>
      </c>
      <c r="O151" s="293" t="str">
        <f t="shared" si="31"/>
        <v xml:space="preserve"> </v>
      </c>
      <c r="P151" s="293" t="str">
        <f t="shared" si="32"/>
        <v xml:space="preserve"> </v>
      </c>
      <c r="Q151" s="294" t="str">
        <f t="shared" si="33"/>
        <v xml:space="preserve"> </v>
      </c>
      <c r="R151" s="295" t="str">
        <f t="shared" si="34"/>
        <v xml:space="preserve"> </v>
      </c>
      <c r="S151" s="295" t="str">
        <f t="shared" si="35"/>
        <v xml:space="preserve"> </v>
      </c>
      <c r="T151" s="295" t="str">
        <f>IF(A151="N/A"," ",(IF(MONTH(A151)&gt;=4,IF(MONTH(A151)&lt;=10,Inputs!$H$2,Inputs!$H$3),Inputs!$H$3)))</f>
        <v xml:space="preserve"> </v>
      </c>
      <c r="U151" s="463" t="str">
        <f t="shared" si="40"/>
        <v xml:space="preserve"> </v>
      </c>
      <c r="AF151" s="205">
        <v>41030</v>
      </c>
      <c r="AG151" s="194">
        <v>22</v>
      </c>
      <c r="AH151" s="194">
        <v>4</v>
      </c>
      <c r="AI151" s="194">
        <v>5</v>
      </c>
      <c r="AJ151" s="194">
        <v>1</v>
      </c>
      <c r="AK151" s="194">
        <v>31</v>
      </c>
    </row>
    <row r="152" spans="1:37">
      <c r="A152" s="176" t="str">
        <f>Calculations!A119</f>
        <v>N/A</v>
      </c>
      <c r="B152" s="201" t="str">
        <f t="shared" si="41"/>
        <v xml:space="preserve"> </v>
      </c>
      <c r="C152" s="203" t="str">
        <f t="shared" si="29"/>
        <v xml:space="preserve"> </v>
      </c>
      <c r="D152" s="202" t="str">
        <f t="shared" si="36"/>
        <v xml:space="preserve"> </v>
      </c>
      <c r="E152" s="201" t="str">
        <f t="shared" si="42"/>
        <v xml:space="preserve"> </v>
      </c>
      <c r="F152" s="202" t="str">
        <f t="shared" si="37"/>
        <v xml:space="preserve"> </v>
      </c>
      <c r="G152" s="201" t="str">
        <f t="shared" si="43"/>
        <v xml:space="preserve"> </v>
      </c>
      <c r="H152" s="202" t="str">
        <f t="shared" si="38"/>
        <v xml:space="preserve"> </v>
      </c>
      <c r="I152" s="202" t="str">
        <f t="shared" si="44"/>
        <v xml:space="preserve"> </v>
      </c>
      <c r="J152" s="276" t="str">
        <f t="shared" si="39"/>
        <v xml:space="preserve"> </v>
      </c>
      <c r="K152" s="363" t="str">
        <f t="shared" si="45"/>
        <v xml:space="preserve"> </v>
      </c>
      <c r="L152" s="363" t="str">
        <f t="shared" si="46"/>
        <v xml:space="preserve"> </v>
      </c>
      <c r="M152" s="445"/>
      <c r="N152" s="293" t="str">
        <f t="shared" si="30"/>
        <v xml:space="preserve"> </v>
      </c>
      <c r="O152" s="293" t="str">
        <f t="shared" si="31"/>
        <v xml:space="preserve"> </v>
      </c>
      <c r="P152" s="293" t="str">
        <f t="shared" si="32"/>
        <v xml:space="preserve"> </v>
      </c>
      <c r="Q152" s="294" t="str">
        <f t="shared" si="33"/>
        <v xml:space="preserve"> </v>
      </c>
      <c r="R152" s="295" t="str">
        <f t="shared" si="34"/>
        <v xml:space="preserve"> </v>
      </c>
      <c r="S152" s="295" t="str">
        <f t="shared" si="35"/>
        <v xml:space="preserve"> </v>
      </c>
      <c r="T152" s="295" t="str">
        <f>IF(A152="N/A"," ",(IF(MONTH(A152)&gt;=4,IF(MONTH(A152)&lt;=10,Inputs!$H$2,Inputs!$H$3),Inputs!$H$3)))</f>
        <v xml:space="preserve"> </v>
      </c>
      <c r="U152" s="463" t="str">
        <f t="shared" si="40"/>
        <v xml:space="preserve"> </v>
      </c>
      <c r="AF152" s="205">
        <v>41061</v>
      </c>
      <c r="AG152" s="194">
        <v>21</v>
      </c>
      <c r="AH152" s="194">
        <v>5</v>
      </c>
      <c r="AI152" s="194">
        <v>4</v>
      </c>
      <c r="AJ152" s="194">
        <v>0</v>
      </c>
      <c r="AK152" s="194">
        <v>30</v>
      </c>
    </row>
    <row r="153" spans="1:37">
      <c r="A153" s="176" t="str">
        <f>Calculations!A120</f>
        <v>N/A</v>
      </c>
      <c r="B153" s="201" t="str">
        <f t="shared" si="41"/>
        <v xml:space="preserve"> </v>
      </c>
      <c r="C153" s="203" t="str">
        <f t="shared" si="29"/>
        <v xml:space="preserve"> </v>
      </c>
      <c r="D153" s="202" t="str">
        <f t="shared" si="36"/>
        <v xml:space="preserve"> </v>
      </c>
      <c r="E153" s="201" t="str">
        <f t="shared" si="42"/>
        <v xml:space="preserve"> </v>
      </c>
      <c r="F153" s="202" t="str">
        <f t="shared" si="37"/>
        <v xml:space="preserve"> </v>
      </c>
      <c r="G153" s="201" t="str">
        <f t="shared" si="43"/>
        <v xml:space="preserve"> </v>
      </c>
      <c r="H153" s="202" t="str">
        <f t="shared" si="38"/>
        <v xml:space="preserve"> </v>
      </c>
      <c r="I153" s="202" t="str">
        <f t="shared" si="44"/>
        <v xml:space="preserve"> </v>
      </c>
      <c r="J153" s="276" t="str">
        <f t="shared" si="39"/>
        <v xml:space="preserve"> </v>
      </c>
      <c r="K153" s="363" t="str">
        <f t="shared" si="45"/>
        <v xml:space="preserve"> </v>
      </c>
      <c r="L153" s="363" t="str">
        <f t="shared" si="46"/>
        <v xml:space="preserve"> </v>
      </c>
      <c r="M153" s="445"/>
      <c r="N153" s="293" t="str">
        <f t="shared" si="30"/>
        <v xml:space="preserve"> </v>
      </c>
      <c r="O153" s="293" t="str">
        <f t="shared" si="31"/>
        <v xml:space="preserve"> </v>
      </c>
      <c r="P153" s="293" t="str">
        <f t="shared" si="32"/>
        <v xml:space="preserve"> </v>
      </c>
      <c r="Q153" s="294" t="str">
        <f t="shared" si="33"/>
        <v xml:space="preserve"> </v>
      </c>
      <c r="R153" s="295" t="str">
        <f t="shared" si="34"/>
        <v xml:space="preserve"> </v>
      </c>
      <c r="S153" s="295" t="str">
        <f t="shared" si="35"/>
        <v xml:space="preserve"> </v>
      </c>
      <c r="T153" s="295" t="str">
        <f>IF(A153="N/A"," ",(IF(MONTH(A153)&gt;=4,IF(MONTH(A153)&lt;=10,Inputs!$H$2,Inputs!$H$3),Inputs!$H$3)))</f>
        <v xml:space="preserve"> </v>
      </c>
      <c r="U153" s="463" t="str">
        <f t="shared" si="40"/>
        <v xml:space="preserve"> </v>
      </c>
      <c r="AF153" s="205">
        <v>41091</v>
      </c>
      <c r="AG153" s="194">
        <v>21</v>
      </c>
      <c r="AH153" s="194">
        <v>4</v>
      </c>
      <c r="AI153" s="194">
        <v>6</v>
      </c>
      <c r="AJ153" s="194">
        <v>1</v>
      </c>
      <c r="AK153" s="194">
        <v>31</v>
      </c>
    </row>
    <row r="154" spans="1:37">
      <c r="A154" s="176" t="str">
        <f>Calculations!A121</f>
        <v>N/A</v>
      </c>
      <c r="B154" s="201" t="str">
        <f t="shared" si="41"/>
        <v xml:space="preserve"> </v>
      </c>
      <c r="C154" s="203" t="str">
        <f t="shared" si="29"/>
        <v xml:space="preserve"> </v>
      </c>
      <c r="D154" s="202" t="str">
        <f t="shared" si="36"/>
        <v xml:space="preserve"> </v>
      </c>
      <c r="E154" s="201" t="str">
        <f t="shared" si="42"/>
        <v xml:space="preserve"> </v>
      </c>
      <c r="F154" s="202" t="str">
        <f t="shared" si="37"/>
        <v xml:space="preserve"> </v>
      </c>
      <c r="G154" s="201" t="str">
        <f t="shared" si="43"/>
        <v xml:space="preserve"> </v>
      </c>
      <c r="H154" s="202" t="str">
        <f t="shared" si="38"/>
        <v xml:space="preserve"> </v>
      </c>
      <c r="I154" s="202" t="str">
        <f t="shared" si="44"/>
        <v xml:space="preserve"> </v>
      </c>
      <c r="J154" s="276" t="str">
        <f t="shared" si="39"/>
        <v xml:space="preserve"> </v>
      </c>
      <c r="K154" s="363" t="str">
        <f t="shared" si="45"/>
        <v xml:space="preserve"> </v>
      </c>
      <c r="L154" s="363" t="str">
        <f t="shared" si="46"/>
        <v xml:space="preserve"> </v>
      </c>
      <c r="M154" s="445"/>
      <c r="N154" s="293" t="str">
        <f t="shared" si="30"/>
        <v xml:space="preserve"> </v>
      </c>
      <c r="O154" s="293" t="str">
        <f t="shared" si="31"/>
        <v xml:space="preserve"> </v>
      </c>
      <c r="P154" s="293" t="str">
        <f t="shared" si="32"/>
        <v xml:space="preserve"> </v>
      </c>
      <c r="Q154" s="294" t="str">
        <f t="shared" si="33"/>
        <v xml:space="preserve"> </v>
      </c>
      <c r="R154" s="295" t="str">
        <f t="shared" si="34"/>
        <v xml:space="preserve"> </v>
      </c>
      <c r="S154" s="295" t="str">
        <f t="shared" si="35"/>
        <v xml:space="preserve"> </v>
      </c>
      <c r="T154" s="295" t="str">
        <f>IF(A154="N/A"," ",(IF(MONTH(A154)&gt;=4,IF(MONTH(A154)&lt;=10,Inputs!$H$2,Inputs!$H$3),Inputs!$H$3)))</f>
        <v xml:space="preserve"> </v>
      </c>
      <c r="U154" s="463" t="str">
        <f t="shared" si="40"/>
        <v xml:space="preserve"> </v>
      </c>
      <c r="AF154" s="205">
        <v>41122</v>
      </c>
      <c r="AG154" s="194">
        <v>23</v>
      </c>
      <c r="AH154" s="194">
        <v>4</v>
      </c>
      <c r="AI154" s="194">
        <v>4</v>
      </c>
      <c r="AJ154" s="194">
        <v>0</v>
      </c>
      <c r="AK154" s="194">
        <v>31</v>
      </c>
    </row>
    <row r="155" spans="1:37">
      <c r="A155" s="176" t="str">
        <f>Calculations!A122</f>
        <v>N/A</v>
      </c>
      <c r="B155" s="201" t="str">
        <f t="shared" si="41"/>
        <v xml:space="preserve"> </v>
      </c>
      <c r="C155" s="203" t="str">
        <f t="shared" si="29"/>
        <v xml:space="preserve"> </v>
      </c>
      <c r="D155" s="202" t="str">
        <f t="shared" si="36"/>
        <v xml:space="preserve"> </v>
      </c>
      <c r="E155" s="201" t="str">
        <f t="shared" si="42"/>
        <v xml:space="preserve"> </v>
      </c>
      <c r="F155" s="202" t="str">
        <f t="shared" si="37"/>
        <v xml:space="preserve"> </v>
      </c>
      <c r="G155" s="201" t="str">
        <f t="shared" si="43"/>
        <v xml:space="preserve"> </v>
      </c>
      <c r="H155" s="202" t="str">
        <f t="shared" si="38"/>
        <v xml:space="preserve"> </v>
      </c>
      <c r="I155" s="202" t="str">
        <f t="shared" si="44"/>
        <v xml:space="preserve"> </v>
      </c>
      <c r="J155" s="276" t="str">
        <f t="shared" si="39"/>
        <v xml:space="preserve"> </v>
      </c>
      <c r="K155" s="363" t="str">
        <f t="shared" si="45"/>
        <v xml:space="preserve"> </v>
      </c>
      <c r="L155" s="363" t="str">
        <f t="shared" si="46"/>
        <v xml:space="preserve"> </v>
      </c>
      <c r="M155" s="445"/>
      <c r="N155" s="293" t="str">
        <f t="shared" si="30"/>
        <v xml:space="preserve"> </v>
      </c>
      <c r="O155" s="293" t="str">
        <f t="shared" si="31"/>
        <v xml:space="preserve"> </v>
      </c>
      <c r="P155" s="293" t="str">
        <f t="shared" si="32"/>
        <v xml:space="preserve"> </v>
      </c>
      <c r="Q155" s="294" t="str">
        <f t="shared" si="33"/>
        <v xml:space="preserve"> </v>
      </c>
      <c r="R155" s="295" t="str">
        <f t="shared" si="34"/>
        <v xml:space="preserve"> </v>
      </c>
      <c r="S155" s="295" t="str">
        <f t="shared" si="35"/>
        <v xml:space="preserve"> </v>
      </c>
      <c r="T155" s="295" t="str">
        <f>IF(A155="N/A"," ",(IF(MONTH(A155)&gt;=4,IF(MONTH(A155)&lt;=10,Inputs!$H$2,Inputs!$H$3),Inputs!$H$3)))</f>
        <v xml:space="preserve"> </v>
      </c>
      <c r="U155" s="463" t="str">
        <f t="shared" si="40"/>
        <v xml:space="preserve"> </v>
      </c>
      <c r="AF155" s="205">
        <v>41153</v>
      </c>
      <c r="AG155" s="194">
        <v>19</v>
      </c>
      <c r="AH155" s="194">
        <v>5</v>
      </c>
      <c r="AI155" s="194">
        <v>6</v>
      </c>
      <c r="AJ155" s="194">
        <v>1</v>
      </c>
      <c r="AK155" s="194">
        <v>30</v>
      </c>
    </row>
    <row r="156" spans="1:37">
      <c r="A156" s="176" t="str">
        <f>Calculations!A123</f>
        <v>N/A</v>
      </c>
      <c r="B156" s="201" t="str">
        <f t="shared" si="41"/>
        <v xml:space="preserve"> </v>
      </c>
      <c r="C156" s="203" t="str">
        <f t="shared" si="29"/>
        <v xml:space="preserve"> </v>
      </c>
      <c r="D156" s="202" t="str">
        <f t="shared" si="36"/>
        <v xml:space="preserve"> </v>
      </c>
      <c r="E156" s="201" t="str">
        <f t="shared" si="42"/>
        <v xml:space="preserve"> </v>
      </c>
      <c r="F156" s="202" t="str">
        <f t="shared" si="37"/>
        <v xml:space="preserve"> </v>
      </c>
      <c r="G156" s="201" t="str">
        <f t="shared" si="43"/>
        <v xml:space="preserve"> </v>
      </c>
      <c r="H156" s="202" t="str">
        <f t="shared" si="38"/>
        <v xml:space="preserve"> </v>
      </c>
      <c r="I156" s="202" t="str">
        <f t="shared" si="44"/>
        <v xml:space="preserve"> </v>
      </c>
      <c r="J156" s="276" t="str">
        <f t="shared" si="39"/>
        <v xml:space="preserve"> </v>
      </c>
      <c r="K156" s="363" t="str">
        <f t="shared" si="45"/>
        <v xml:space="preserve"> </v>
      </c>
      <c r="L156" s="363" t="str">
        <f t="shared" si="46"/>
        <v xml:space="preserve"> </v>
      </c>
      <c r="M156" s="445"/>
      <c r="N156" s="293" t="str">
        <f t="shared" si="30"/>
        <v xml:space="preserve"> </v>
      </c>
      <c r="O156" s="293" t="str">
        <f t="shared" si="31"/>
        <v xml:space="preserve"> </v>
      </c>
      <c r="P156" s="293" t="str">
        <f t="shared" si="32"/>
        <v xml:space="preserve"> </v>
      </c>
      <c r="Q156" s="294" t="str">
        <f t="shared" si="33"/>
        <v xml:space="preserve"> </v>
      </c>
      <c r="R156" s="295" t="str">
        <f t="shared" si="34"/>
        <v xml:space="preserve"> </v>
      </c>
      <c r="S156" s="295" t="str">
        <f t="shared" si="35"/>
        <v xml:space="preserve"> </v>
      </c>
      <c r="T156" s="295" t="str">
        <f>IF(A156="N/A"," ",(IF(MONTH(A156)&gt;=4,IF(MONTH(A156)&lt;=10,Inputs!$H$2,Inputs!$H$3),Inputs!$H$3)))</f>
        <v xml:space="preserve"> </v>
      </c>
      <c r="U156" s="463" t="str">
        <f t="shared" si="40"/>
        <v xml:space="preserve"> </v>
      </c>
      <c r="AF156" s="205">
        <v>41183</v>
      </c>
      <c r="AG156" s="194">
        <v>23</v>
      </c>
      <c r="AH156" s="194">
        <v>4</v>
      </c>
      <c r="AI156" s="194">
        <v>4</v>
      </c>
      <c r="AJ156" s="194">
        <v>0</v>
      </c>
      <c r="AK156" s="194">
        <v>31</v>
      </c>
    </row>
    <row r="157" spans="1:37">
      <c r="A157" s="176" t="str">
        <f>Calculations!A124</f>
        <v>N/A</v>
      </c>
      <c r="B157" s="201" t="str">
        <f t="shared" si="41"/>
        <v xml:space="preserve"> </v>
      </c>
      <c r="C157" s="203" t="str">
        <f t="shared" si="29"/>
        <v xml:space="preserve"> </v>
      </c>
      <c r="D157" s="202" t="str">
        <f t="shared" si="36"/>
        <v xml:space="preserve"> </v>
      </c>
      <c r="E157" s="201" t="str">
        <f t="shared" si="42"/>
        <v xml:space="preserve"> </v>
      </c>
      <c r="F157" s="202" t="str">
        <f t="shared" si="37"/>
        <v xml:space="preserve"> </v>
      </c>
      <c r="G157" s="201" t="str">
        <f t="shared" si="43"/>
        <v xml:space="preserve"> </v>
      </c>
      <c r="H157" s="202" t="str">
        <f t="shared" si="38"/>
        <v xml:space="preserve"> </v>
      </c>
      <c r="I157" s="202" t="str">
        <f t="shared" si="44"/>
        <v xml:space="preserve"> </v>
      </c>
      <c r="J157" s="276" t="str">
        <f t="shared" si="39"/>
        <v xml:space="preserve"> </v>
      </c>
      <c r="K157" s="363" t="str">
        <f t="shared" si="45"/>
        <v xml:space="preserve"> </v>
      </c>
      <c r="L157" s="363" t="str">
        <f t="shared" si="46"/>
        <v xml:space="preserve"> </v>
      </c>
      <c r="M157" s="445"/>
      <c r="N157" s="293" t="str">
        <f t="shared" si="30"/>
        <v xml:space="preserve"> </v>
      </c>
      <c r="O157" s="293" t="str">
        <f t="shared" si="31"/>
        <v xml:space="preserve"> </v>
      </c>
      <c r="P157" s="293" t="str">
        <f t="shared" si="32"/>
        <v xml:space="preserve"> </v>
      </c>
      <c r="Q157" s="294" t="str">
        <f t="shared" si="33"/>
        <v xml:space="preserve"> </v>
      </c>
      <c r="R157" s="295" t="str">
        <f t="shared" si="34"/>
        <v xml:space="preserve"> </v>
      </c>
      <c r="S157" s="295" t="str">
        <f t="shared" si="35"/>
        <v xml:space="preserve"> </v>
      </c>
      <c r="T157" s="295" t="str">
        <f>IF(A157="N/A"," ",(IF(MONTH(A157)&gt;=4,IF(MONTH(A157)&lt;=10,Inputs!$H$2,Inputs!$H$3),Inputs!$H$3)))</f>
        <v xml:space="preserve"> </v>
      </c>
      <c r="U157" s="463" t="str">
        <f t="shared" si="40"/>
        <v xml:space="preserve"> </v>
      </c>
      <c r="AF157" s="205">
        <v>41214</v>
      </c>
      <c r="AG157" s="194">
        <v>21</v>
      </c>
      <c r="AH157" s="194">
        <v>4</v>
      </c>
      <c r="AI157" s="194">
        <v>5</v>
      </c>
      <c r="AJ157" s="194">
        <v>1</v>
      </c>
      <c r="AK157" s="194">
        <v>30</v>
      </c>
    </row>
    <row r="158" spans="1:37">
      <c r="A158" s="176" t="str">
        <f>Calculations!A125</f>
        <v>N/A</v>
      </c>
      <c r="B158" s="201" t="str">
        <f t="shared" si="41"/>
        <v xml:space="preserve"> </v>
      </c>
      <c r="C158" s="203" t="str">
        <f t="shared" si="29"/>
        <v xml:space="preserve"> </v>
      </c>
      <c r="D158" s="202" t="str">
        <f t="shared" si="36"/>
        <v xml:space="preserve"> </v>
      </c>
      <c r="E158" s="201" t="str">
        <f t="shared" si="42"/>
        <v xml:space="preserve"> </v>
      </c>
      <c r="F158" s="202" t="str">
        <f t="shared" si="37"/>
        <v xml:space="preserve"> </v>
      </c>
      <c r="G158" s="201" t="str">
        <f t="shared" si="43"/>
        <v xml:space="preserve"> </v>
      </c>
      <c r="H158" s="202" t="str">
        <f t="shared" si="38"/>
        <v xml:space="preserve"> </v>
      </c>
      <c r="I158" s="202" t="str">
        <f t="shared" si="44"/>
        <v xml:space="preserve"> </v>
      </c>
      <c r="J158" s="276" t="str">
        <f t="shared" si="39"/>
        <v xml:space="preserve"> </v>
      </c>
      <c r="K158" s="363" t="str">
        <f t="shared" si="45"/>
        <v xml:space="preserve"> </v>
      </c>
      <c r="L158" s="363" t="str">
        <f t="shared" si="46"/>
        <v xml:space="preserve"> </v>
      </c>
      <c r="M158" s="445"/>
      <c r="N158" s="293" t="str">
        <f t="shared" si="30"/>
        <v xml:space="preserve"> </v>
      </c>
      <c r="O158" s="293" t="str">
        <f t="shared" si="31"/>
        <v xml:space="preserve"> </v>
      </c>
      <c r="P158" s="293" t="str">
        <f t="shared" si="32"/>
        <v xml:space="preserve"> </v>
      </c>
      <c r="Q158" s="294" t="str">
        <f t="shared" si="33"/>
        <v xml:space="preserve"> </v>
      </c>
      <c r="R158" s="295" t="str">
        <f t="shared" si="34"/>
        <v xml:space="preserve"> </v>
      </c>
      <c r="S158" s="295" t="str">
        <f t="shared" si="35"/>
        <v xml:space="preserve"> </v>
      </c>
      <c r="T158" s="295" t="str">
        <f>IF(A158="N/A"," ",(IF(MONTH(A158)&gt;=4,IF(MONTH(A158)&lt;=10,Inputs!$H$2,Inputs!$H$3),Inputs!$H$3)))</f>
        <v xml:space="preserve"> </v>
      </c>
      <c r="U158" s="463" t="str">
        <f t="shared" si="40"/>
        <v xml:space="preserve"> </v>
      </c>
      <c r="AF158" s="205">
        <v>41244</v>
      </c>
      <c r="AG158" s="194">
        <v>20</v>
      </c>
      <c r="AH158" s="194">
        <v>5</v>
      </c>
      <c r="AI158" s="194">
        <v>6</v>
      </c>
      <c r="AJ158" s="194">
        <v>1</v>
      </c>
      <c r="AK158" s="194">
        <v>31</v>
      </c>
    </row>
    <row r="159" spans="1:37">
      <c r="A159" s="176" t="str">
        <f>Calculations!A126</f>
        <v>N/A</v>
      </c>
      <c r="B159" s="201" t="str">
        <f t="shared" si="41"/>
        <v xml:space="preserve"> </v>
      </c>
      <c r="C159" s="203" t="str">
        <f t="shared" si="29"/>
        <v xml:space="preserve"> </v>
      </c>
      <c r="D159" s="202" t="str">
        <f t="shared" si="36"/>
        <v xml:space="preserve"> </v>
      </c>
      <c r="E159" s="201" t="str">
        <f t="shared" si="42"/>
        <v xml:space="preserve"> </v>
      </c>
      <c r="F159" s="202" t="str">
        <f t="shared" si="37"/>
        <v xml:space="preserve"> </v>
      </c>
      <c r="G159" s="201" t="str">
        <f t="shared" si="43"/>
        <v xml:space="preserve"> </v>
      </c>
      <c r="H159" s="202" t="str">
        <f t="shared" si="38"/>
        <v xml:space="preserve"> </v>
      </c>
      <c r="I159" s="202" t="str">
        <f t="shared" si="44"/>
        <v xml:space="preserve"> </v>
      </c>
      <c r="J159" s="276" t="str">
        <f t="shared" si="39"/>
        <v xml:space="preserve"> </v>
      </c>
      <c r="K159" s="363" t="str">
        <f t="shared" si="45"/>
        <v xml:space="preserve"> </v>
      </c>
      <c r="L159" s="363" t="str">
        <f t="shared" si="46"/>
        <v xml:space="preserve"> </v>
      </c>
      <c r="M159" s="445"/>
      <c r="N159" s="293" t="str">
        <f t="shared" si="30"/>
        <v xml:space="preserve"> </v>
      </c>
      <c r="O159" s="293" t="str">
        <f t="shared" si="31"/>
        <v xml:space="preserve"> </v>
      </c>
      <c r="P159" s="293" t="str">
        <f t="shared" si="32"/>
        <v xml:space="preserve"> </v>
      </c>
      <c r="Q159" s="294" t="str">
        <f t="shared" si="33"/>
        <v xml:space="preserve"> </v>
      </c>
      <c r="R159" s="295" t="str">
        <f t="shared" si="34"/>
        <v xml:space="preserve"> </v>
      </c>
      <c r="S159" s="295" t="str">
        <f t="shared" si="35"/>
        <v xml:space="preserve"> </v>
      </c>
      <c r="T159" s="295" t="str">
        <f>IF(A159="N/A"," ",(IF(MONTH(A159)&gt;=4,IF(MONTH(A159)&lt;=10,Inputs!$H$2,Inputs!$H$3),Inputs!$H$3)))</f>
        <v xml:space="preserve"> </v>
      </c>
      <c r="U159" s="463" t="str">
        <f t="shared" si="40"/>
        <v xml:space="preserve"> </v>
      </c>
      <c r="AF159" s="205">
        <v>41275</v>
      </c>
      <c r="AG159" s="194">
        <v>22</v>
      </c>
      <c r="AH159" s="194">
        <v>4</v>
      </c>
      <c r="AI159" s="194">
        <v>5</v>
      </c>
      <c r="AJ159" s="194">
        <v>1</v>
      </c>
      <c r="AK159" s="194">
        <v>31</v>
      </c>
    </row>
    <row r="160" spans="1:37">
      <c r="A160" s="176" t="str">
        <f>Calculations!A127</f>
        <v>N/A</v>
      </c>
      <c r="B160" s="201" t="str">
        <f t="shared" si="41"/>
        <v xml:space="preserve"> </v>
      </c>
      <c r="C160" s="203" t="str">
        <f t="shared" si="29"/>
        <v xml:space="preserve"> </v>
      </c>
      <c r="D160" s="202" t="str">
        <f t="shared" si="36"/>
        <v xml:space="preserve"> </v>
      </c>
      <c r="E160" s="201" t="str">
        <f t="shared" si="42"/>
        <v xml:space="preserve"> </v>
      </c>
      <c r="F160" s="202" t="str">
        <f t="shared" si="37"/>
        <v xml:space="preserve"> </v>
      </c>
      <c r="G160" s="201" t="str">
        <f t="shared" si="43"/>
        <v xml:space="preserve"> </v>
      </c>
      <c r="H160" s="202" t="str">
        <f t="shared" si="38"/>
        <v xml:space="preserve"> </v>
      </c>
      <c r="I160" s="202" t="str">
        <f t="shared" si="44"/>
        <v xml:space="preserve"> </v>
      </c>
      <c r="J160" s="276" t="str">
        <f t="shared" si="39"/>
        <v xml:space="preserve"> </v>
      </c>
      <c r="K160" s="363" t="str">
        <f t="shared" si="45"/>
        <v xml:space="preserve"> </v>
      </c>
      <c r="L160" s="363" t="str">
        <f t="shared" si="46"/>
        <v xml:space="preserve"> </v>
      </c>
      <c r="M160" s="445"/>
      <c r="N160" s="293" t="str">
        <f t="shared" si="30"/>
        <v xml:space="preserve"> </v>
      </c>
      <c r="O160" s="293" t="str">
        <f t="shared" si="31"/>
        <v xml:space="preserve"> </v>
      </c>
      <c r="P160" s="293" t="str">
        <f t="shared" si="32"/>
        <v xml:space="preserve"> </v>
      </c>
      <c r="Q160" s="294" t="str">
        <f t="shared" si="33"/>
        <v xml:space="preserve"> </v>
      </c>
      <c r="R160" s="295" t="str">
        <f t="shared" si="34"/>
        <v xml:space="preserve"> </v>
      </c>
      <c r="S160" s="295" t="str">
        <f t="shared" si="35"/>
        <v xml:space="preserve"> </v>
      </c>
      <c r="T160" s="295" t="str">
        <f>IF(A160="N/A"," ",(IF(MONTH(A160)&gt;=4,IF(MONTH(A160)&lt;=10,Inputs!$H$2,Inputs!$H$3),Inputs!$H$3)))</f>
        <v xml:space="preserve"> </v>
      </c>
      <c r="U160" s="463" t="str">
        <f t="shared" si="40"/>
        <v xml:space="preserve"> </v>
      </c>
      <c r="AF160" s="205">
        <v>41306</v>
      </c>
      <c r="AG160" s="194">
        <v>20</v>
      </c>
      <c r="AH160" s="194">
        <v>4</v>
      </c>
      <c r="AI160" s="194">
        <v>4</v>
      </c>
      <c r="AJ160" s="194">
        <v>0</v>
      </c>
      <c r="AK160" s="194">
        <v>28</v>
      </c>
    </row>
    <row r="161" spans="1:37">
      <c r="A161" s="176" t="str">
        <f>Calculations!A128</f>
        <v>N/A</v>
      </c>
      <c r="B161" s="201" t="str">
        <f t="shared" si="41"/>
        <v xml:space="preserve"> </v>
      </c>
      <c r="C161" s="203" t="str">
        <f t="shared" si="29"/>
        <v xml:space="preserve"> </v>
      </c>
      <c r="D161" s="202" t="str">
        <f t="shared" si="36"/>
        <v xml:space="preserve"> </v>
      </c>
      <c r="E161" s="201" t="str">
        <f t="shared" si="42"/>
        <v xml:space="preserve"> </v>
      </c>
      <c r="F161" s="202" t="str">
        <f t="shared" si="37"/>
        <v xml:space="preserve"> </v>
      </c>
      <c r="G161" s="201" t="str">
        <f t="shared" si="43"/>
        <v xml:space="preserve"> </v>
      </c>
      <c r="H161" s="202" t="str">
        <f t="shared" si="38"/>
        <v xml:space="preserve"> </v>
      </c>
      <c r="I161" s="202" t="str">
        <f t="shared" si="44"/>
        <v xml:space="preserve"> </v>
      </c>
      <c r="J161" s="276" t="str">
        <f t="shared" si="39"/>
        <v xml:space="preserve"> </v>
      </c>
      <c r="K161" s="363" t="str">
        <f t="shared" si="45"/>
        <v xml:space="preserve"> </v>
      </c>
      <c r="L161" s="363" t="str">
        <f t="shared" si="46"/>
        <v xml:space="preserve"> </v>
      </c>
      <c r="M161" s="445"/>
      <c r="N161" s="293" t="str">
        <f t="shared" si="30"/>
        <v xml:space="preserve"> </v>
      </c>
      <c r="O161" s="293" t="str">
        <f t="shared" si="31"/>
        <v xml:space="preserve"> </v>
      </c>
      <c r="P161" s="293" t="str">
        <f t="shared" si="32"/>
        <v xml:space="preserve"> </v>
      </c>
      <c r="Q161" s="294" t="str">
        <f t="shared" si="33"/>
        <v xml:space="preserve"> </v>
      </c>
      <c r="R161" s="295" t="str">
        <f t="shared" si="34"/>
        <v xml:space="preserve"> </v>
      </c>
      <c r="S161" s="295" t="str">
        <f t="shared" si="35"/>
        <v xml:space="preserve"> </v>
      </c>
      <c r="T161" s="295" t="str">
        <f>IF(A161="N/A"," ",(IF(MONTH(A161)&gt;=4,IF(MONTH(A161)&lt;=10,Inputs!$H$2,Inputs!$H$3),Inputs!$H$3)))</f>
        <v xml:space="preserve"> </v>
      </c>
      <c r="U161" s="463" t="str">
        <f t="shared" si="40"/>
        <v xml:space="preserve"> </v>
      </c>
      <c r="AF161" s="205">
        <v>41334</v>
      </c>
      <c r="AG161" s="194">
        <v>21</v>
      </c>
      <c r="AH161" s="194">
        <v>5</v>
      </c>
      <c r="AI161" s="194">
        <v>5</v>
      </c>
      <c r="AJ161" s="194">
        <v>0</v>
      </c>
      <c r="AK161" s="194">
        <v>31</v>
      </c>
    </row>
    <row r="162" spans="1:37">
      <c r="A162" s="176" t="str">
        <f>Calculations!A129</f>
        <v>N/A</v>
      </c>
      <c r="B162" s="201" t="str">
        <f t="shared" si="41"/>
        <v xml:space="preserve"> </v>
      </c>
      <c r="C162" s="203" t="str">
        <f t="shared" si="29"/>
        <v xml:space="preserve"> </v>
      </c>
      <c r="D162" s="202" t="str">
        <f t="shared" si="36"/>
        <v xml:space="preserve"> </v>
      </c>
      <c r="E162" s="201" t="str">
        <f t="shared" si="42"/>
        <v xml:space="preserve"> </v>
      </c>
      <c r="F162" s="202" t="str">
        <f t="shared" si="37"/>
        <v xml:space="preserve"> </v>
      </c>
      <c r="G162" s="201" t="str">
        <f t="shared" si="43"/>
        <v xml:space="preserve"> </v>
      </c>
      <c r="H162" s="202" t="str">
        <f t="shared" si="38"/>
        <v xml:space="preserve"> </v>
      </c>
      <c r="I162" s="202" t="str">
        <f t="shared" si="44"/>
        <v xml:space="preserve"> </v>
      </c>
      <c r="J162" s="276" t="str">
        <f t="shared" si="39"/>
        <v xml:space="preserve"> </v>
      </c>
      <c r="K162" s="363" t="str">
        <f t="shared" si="45"/>
        <v xml:space="preserve"> </v>
      </c>
      <c r="L162" s="363" t="str">
        <f t="shared" si="46"/>
        <v xml:space="preserve"> </v>
      </c>
      <c r="M162" s="445"/>
      <c r="N162" s="293" t="str">
        <f t="shared" si="30"/>
        <v xml:space="preserve"> </v>
      </c>
      <c r="O162" s="293" t="str">
        <f t="shared" si="31"/>
        <v xml:space="preserve"> </v>
      </c>
      <c r="P162" s="293" t="str">
        <f t="shared" si="32"/>
        <v xml:space="preserve"> </v>
      </c>
      <c r="Q162" s="294" t="str">
        <f t="shared" si="33"/>
        <v xml:space="preserve"> </v>
      </c>
      <c r="R162" s="295" t="str">
        <f t="shared" si="34"/>
        <v xml:space="preserve"> </v>
      </c>
      <c r="S162" s="295" t="str">
        <f t="shared" si="35"/>
        <v xml:space="preserve"> </v>
      </c>
      <c r="T162" s="295" t="str">
        <f>IF(A162="N/A"," ",(IF(MONTH(A162)&gt;=4,IF(MONTH(A162)&lt;=10,Inputs!$H$2,Inputs!$H$3),Inputs!$H$3)))</f>
        <v xml:space="preserve"> </v>
      </c>
      <c r="U162" s="463" t="str">
        <f t="shared" si="40"/>
        <v xml:space="preserve"> </v>
      </c>
      <c r="AF162" s="205">
        <v>41365</v>
      </c>
      <c r="AG162" s="194">
        <v>22</v>
      </c>
      <c r="AH162" s="194">
        <v>4</v>
      </c>
      <c r="AI162" s="194">
        <v>4</v>
      </c>
      <c r="AJ162" s="194">
        <v>0</v>
      </c>
      <c r="AK162" s="194">
        <v>30</v>
      </c>
    </row>
    <row r="163" spans="1:37">
      <c r="A163" s="176" t="str">
        <f>Calculations!A130</f>
        <v>N/A</v>
      </c>
      <c r="B163" s="201" t="str">
        <f t="shared" si="41"/>
        <v xml:space="preserve"> </v>
      </c>
      <c r="C163" s="203" t="str">
        <f t="shared" si="29"/>
        <v xml:space="preserve"> </v>
      </c>
      <c r="D163" s="202" t="str">
        <f t="shared" si="36"/>
        <v xml:space="preserve"> </v>
      </c>
      <c r="E163" s="201" t="str">
        <f t="shared" si="42"/>
        <v xml:space="preserve"> </v>
      </c>
      <c r="F163" s="202" t="str">
        <f t="shared" si="37"/>
        <v xml:space="preserve"> </v>
      </c>
      <c r="G163" s="201" t="str">
        <f t="shared" si="43"/>
        <v xml:space="preserve"> </v>
      </c>
      <c r="H163" s="202" t="str">
        <f t="shared" si="38"/>
        <v xml:space="preserve"> </v>
      </c>
      <c r="I163" s="202" t="str">
        <f t="shared" si="44"/>
        <v xml:space="preserve"> </v>
      </c>
      <c r="J163" s="276" t="str">
        <f t="shared" si="39"/>
        <v xml:space="preserve"> </v>
      </c>
      <c r="K163" s="363" t="str">
        <f t="shared" si="45"/>
        <v xml:space="preserve"> </v>
      </c>
      <c r="L163" s="363" t="str">
        <f t="shared" si="46"/>
        <v xml:space="preserve"> </v>
      </c>
      <c r="M163" s="445"/>
      <c r="N163" s="293" t="str">
        <f t="shared" si="30"/>
        <v xml:space="preserve"> </v>
      </c>
      <c r="O163" s="293" t="str">
        <f t="shared" si="31"/>
        <v xml:space="preserve"> </v>
      </c>
      <c r="P163" s="293" t="str">
        <f t="shared" si="32"/>
        <v xml:space="preserve"> </v>
      </c>
      <c r="Q163" s="294" t="str">
        <f t="shared" si="33"/>
        <v xml:space="preserve"> </v>
      </c>
      <c r="R163" s="295" t="str">
        <f t="shared" si="34"/>
        <v xml:space="preserve"> </v>
      </c>
      <c r="S163" s="295" t="str">
        <f t="shared" si="35"/>
        <v xml:space="preserve"> </v>
      </c>
      <c r="T163" s="295" t="str">
        <f>IF(A163="N/A"," ",(IF(MONTH(A163)&gt;=4,IF(MONTH(A163)&lt;=10,Inputs!$H$2,Inputs!$H$3),Inputs!$H$3)))</f>
        <v xml:space="preserve"> </v>
      </c>
      <c r="U163" s="463" t="str">
        <f t="shared" si="40"/>
        <v xml:space="preserve"> </v>
      </c>
      <c r="AF163" s="205">
        <v>41395</v>
      </c>
      <c r="AG163" s="194">
        <v>22</v>
      </c>
      <c r="AH163" s="194">
        <v>4</v>
      </c>
      <c r="AI163" s="194">
        <v>5</v>
      </c>
      <c r="AJ163" s="194">
        <v>1</v>
      </c>
      <c r="AK163" s="194">
        <v>31</v>
      </c>
    </row>
    <row r="164" spans="1:37">
      <c r="A164" s="176" t="str">
        <f>Calculations!A131</f>
        <v>N/A</v>
      </c>
      <c r="B164" s="201" t="str">
        <f t="shared" si="41"/>
        <v xml:space="preserve"> </v>
      </c>
      <c r="C164" s="203" t="str">
        <f t="shared" si="29"/>
        <v xml:space="preserve"> </v>
      </c>
      <c r="D164" s="202" t="str">
        <f t="shared" si="36"/>
        <v xml:space="preserve"> </v>
      </c>
      <c r="E164" s="201" t="str">
        <f t="shared" si="42"/>
        <v xml:space="preserve"> </v>
      </c>
      <c r="F164" s="202" t="str">
        <f t="shared" si="37"/>
        <v xml:space="preserve"> </v>
      </c>
      <c r="G164" s="201" t="str">
        <f t="shared" si="43"/>
        <v xml:space="preserve"> </v>
      </c>
      <c r="H164" s="202" t="str">
        <f t="shared" si="38"/>
        <v xml:space="preserve"> </v>
      </c>
      <c r="I164" s="202" t="str">
        <f t="shared" si="44"/>
        <v xml:space="preserve"> </v>
      </c>
      <c r="J164" s="276" t="str">
        <f t="shared" si="39"/>
        <v xml:space="preserve"> </v>
      </c>
      <c r="K164" s="363" t="str">
        <f t="shared" si="45"/>
        <v xml:space="preserve"> </v>
      </c>
      <c r="L164" s="363" t="str">
        <f t="shared" si="46"/>
        <v xml:space="preserve"> </v>
      </c>
      <c r="M164" s="445"/>
      <c r="N164" s="293" t="str">
        <f t="shared" si="30"/>
        <v xml:space="preserve"> </v>
      </c>
      <c r="O164" s="293" t="str">
        <f t="shared" si="31"/>
        <v xml:space="preserve"> </v>
      </c>
      <c r="P164" s="293" t="str">
        <f t="shared" si="32"/>
        <v xml:space="preserve"> </v>
      </c>
      <c r="Q164" s="294" t="str">
        <f t="shared" si="33"/>
        <v xml:space="preserve"> </v>
      </c>
      <c r="R164" s="295" t="str">
        <f t="shared" si="34"/>
        <v xml:space="preserve"> </v>
      </c>
      <c r="S164" s="295" t="str">
        <f t="shared" si="35"/>
        <v xml:space="preserve"> </v>
      </c>
      <c r="T164" s="295" t="str">
        <f>IF(A164="N/A"," ",(IF(MONTH(A164)&gt;=4,IF(MONTH(A164)&lt;=10,Inputs!$H$2,Inputs!$H$3),Inputs!$H$3)))</f>
        <v xml:space="preserve"> </v>
      </c>
      <c r="U164" s="463" t="str">
        <f t="shared" si="40"/>
        <v xml:space="preserve"> </v>
      </c>
      <c r="AF164" s="205">
        <v>41426</v>
      </c>
      <c r="AG164" s="194">
        <v>20</v>
      </c>
      <c r="AH164" s="194">
        <v>5</v>
      </c>
      <c r="AI164" s="194">
        <v>5</v>
      </c>
      <c r="AJ164" s="194">
        <v>0</v>
      </c>
      <c r="AK164" s="194">
        <v>30</v>
      </c>
    </row>
    <row r="165" spans="1:37">
      <c r="A165" s="176" t="str">
        <f>Calculations!A132</f>
        <v>N/A</v>
      </c>
      <c r="B165" s="201" t="str">
        <f t="shared" si="41"/>
        <v xml:space="preserve"> </v>
      </c>
      <c r="C165" s="203" t="str">
        <f t="shared" ref="C165:C228" si="47">IF(A165="N/A"," ",(IF(AND(MONTH(A165)&gt;=6,MONTH(A165)&lt;=8,OR($M$37="REGION 2",$M$37="REGION 2A",$M$37="REGION 2B",$M$37="REGION 3",$M$37="REGION 3A",$M$37="REGION 3B",$M$37="REGION 4",$M$37="REGION 4B",$M$37="REGION 4C",$M$37="REGION 5",$M$37="REGION 5A")),((0.059228/(B165/100))-(0.4980013/(SQRT(B165/100)))+2.137988),HLOOKUP(MONTH(A165),ScalarTable,28))))</f>
        <v xml:space="preserve"> </v>
      </c>
      <c r="D165" s="202" t="str">
        <f t="shared" si="36"/>
        <v xml:space="preserve"> </v>
      </c>
      <c r="E165" s="201" t="str">
        <f t="shared" si="42"/>
        <v xml:space="preserve"> </v>
      </c>
      <c r="F165" s="202" t="str">
        <f t="shared" si="37"/>
        <v xml:space="preserve"> </v>
      </c>
      <c r="G165" s="201" t="str">
        <f t="shared" si="43"/>
        <v xml:space="preserve"> </v>
      </c>
      <c r="H165" s="202" t="str">
        <f t="shared" si="38"/>
        <v xml:space="preserve"> </v>
      </c>
      <c r="I165" s="202" t="str">
        <f t="shared" si="44"/>
        <v xml:space="preserve"> </v>
      </c>
      <c r="J165" s="276" t="str">
        <f t="shared" si="39"/>
        <v xml:space="preserve"> </v>
      </c>
      <c r="K165" s="363" t="str">
        <f t="shared" si="45"/>
        <v xml:space="preserve"> </v>
      </c>
      <c r="L165" s="363" t="str">
        <f t="shared" si="46"/>
        <v xml:space="preserve"> </v>
      </c>
      <c r="M165" s="445"/>
      <c r="N165" s="293" t="str">
        <f t="shared" ref="N165:N228" si="48">IF(A165="N/A"," ",VLOOKUP(A165,PeakPowerCurves,(IF(BMO=2,3,IF(BMO=1,2,4))),FALSE))</f>
        <v xml:space="preserve"> </v>
      </c>
      <c r="O165" s="293" t="str">
        <f t="shared" ref="O165:O228" si="49">IF(A165="N/A"," ",VLOOKUP(A165,SatSunPeakPwr,(IF(BMO=2,3,IF(BMO=1,2,4))),FALSE))</f>
        <v xml:space="preserve"> </v>
      </c>
      <c r="P165" s="293" t="str">
        <f t="shared" ref="P165:P228" si="50">IF(A165="N/A"," ",VLOOKUP(A165,SatSunPeakPwr,(IF(BMO=2,7,IF(BMO=1,6,8))),FALSE))</f>
        <v xml:space="preserve"> </v>
      </c>
      <c r="Q165" s="294" t="str">
        <f t="shared" ref="Q165:Q228" si="51">IF(A165="N/A"," ",(VLOOKUP(A165,OPPowerPrices,(IF(BMO=2,7,IF(BMO=1,6,8))),FALSE)))</f>
        <v xml:space="preserve"> </v>
      </c>
      <c r="R165" s="295" t="str">
        <f t="shared" ref="R165:R228" si="52">IF(A165="N/A"," ",(VLOOKUP(A165,GasCurves,9,FALSE))+IF(BMO=1,Gasbmo,IF(BMO=3,-Gasbmo,0)))</f>
        <v xml:space="preserve"> </v>
      </c>
      <c r="S165" s="295" t="str">
        <f t="shared" ref="S165:S228" si="53">IF(A165="N/A"," ",IF(Basischeck=TRUE,(VLOOKUP(A165,GasCurves,IF(MONTH(A165)&gt;=4,IF(MONTH(A165)&lt;=10,11,12),12),FALSE)),0))</f>
        <v xml:space="preserve"> </v>
      </c>
      <c r="T165" s="295" t="str">
        <f>IF(A165="N/A"," ",(IF(MONTH(A165)&gt;=4,IF(MONTH(A165)&lt;=10,Inputs!$H$2,Inputs!$H$3),Inputs!$H$3)))</f>
        <v xml:space="preserve"> </v>
      </c>
      <c r="U165" s="463" t="str">
        <f t="shared" si="40"/>
        <v xml:space="preserve"> </v>
      </c>
      <c r="AF165" s="205">
        <v>41456</v>
      </c>
      <c r="AG165" s="194">
        <v>22</v>
      </c>
      <c r="AH165" s="194">
        <v>4</v>
      </c>
      <c r="AI165" s="194">
        <v>5</v>
      </c>
      <c r="AJ165" s="194">
        <v>1</v>
      </c>
      <c r="AK165" s="194">
        <v>31</v>
      </c>
    </row>
    <row r="166" spans="1:37">
      <c r="A166" s="176" t="str">
        <f>Calculations!A133</f>
        <v>N/A</v>
      </c>
      <c r="B166" s="201" t="str">
        <f t="shared" si="41"/>
        <v xml:space="preserve"> </v>
      </c>
      <c r="C166" s="203" t="str">
        <f t="shared" si="47"/>
        <v xml:space="preserve"> </v>
      </c>
      <c r="D166" s="202" t="str">
        <f t="shared" ref="D166:D229" si="54">IF(A166="N/A"," ",C166*B166)</f>
        <v xml:space="preserve"> </v>
      </c>
      <c r="E166" s="201" t="str">
        <f t="shared" si="42"/>
        <v xml:space="preserve"> </v>
      </c>
      <c r="F166" s="202" t="str">
        <f t="shared" ref="F166:F229" si="55">IF(A166="N/A"," ",E166*C166)</f>
        <v xml:space="preserve"> </v>
      </c>
      <c r="G166" s="201" t="str">
        <f t="shared" si="43"/>
        <v xml:space="preserve"> </v>
      </c>
      <c r="H166" s="202" t="str">
        <f t="shared" ref="H166:H229" si="56">IF(A166="N/A"," ",G166*C166)</f>
        <v xml:space="preserve"> </v>
      </c>
      <c r="I166" s="202" t="str">
        <f t="shared" si="44"/>
        <v xml:space="preserve"> </v>
      </c>
      <c r="J166" s="276" t="str">
        <f t="shared" ref="J166:J229" si="57">IF(A166="N/A"," ",K166+L166+T166)</f>
        <v xml:space="preserve"> </v>
      </c>
      <c r="K166" s="363" t="str">
        <f t="shared" si="45"/>
        <v xml:space="preserve"> </v>
      </c>
      <c r="L166" s="363" t="str">
        <f t="shared" si="46"/>
        <v xml:space="preserve"> </v>
      </c>
      <c r="M166" s="445"/>
      <c r="N166" s="293" t="str">
        <f t="shared" si="48"/>
        <v xml:space="preserve"> </v>
      </c>
      <c r="O166" s="293" t="str">
        <f t="shared" si="49"/>
        <v xml:space="preserve"> </v>
      </c>
      <c r="P166" s="293" t="str">
        <f t="shared" si="50"/>
        <v xml:space="preserve"> </v>
      </c>
      <c r="Q166" s="294" t="str">
        <f t="shared" si="51"/>
        <v xml:space="preserve"> </v>
      </c>
      <c r="R166" s="295" t="str">
        <f t="shared" si="52"/>
        <v xml:space="preserve"> </v>
      </c>
      <c r="S166" s="295" t="str">
        <f t="shared" si="53"/>
        <v xml:space="preserve"> </v>
      </c>
      <c r="T166" s="295" t="str">
        <f>IF(A166="N/A"," ",(IF(MONTH(A166)&gt;=4,IF(MONTH(A166)&lt;=10,Inputs!$H$2,Inputs!$H$3),Inputs!$H$3)))</f>
        <v xml:space="preserve"> </v>
      </c>
      <c r="U166" s="463" t="str">
        <f t="shared" ref="U166:U229" si="58">IF(A166="N/A"," ",(VLOOKUP($A166,InterestRatesTable,2)))</f>
        <v xml:space="preserve"> </v>
      </c>
      <c r="AF166" s="205">
        <v>41487</v>
      </c>
      <c r="AG166" s="194">
        <v>22</v>
      </c>
      <c r="AH166" s="194">
        <v>5</v>
      </c>
      <c r="AI166" s="194">
        <v>4</v>
      </c>
      <c r="AJ166" s="194">
        <v>0</v>
      </c>
      <c r="AK166" s="194">
        <v>31</v>
      </c>
    </row>
    <row r="167" spans="1:37">
      <c r="A167" s="176" t="str">
        <f>Calculations!A134</f>
        <v>N/A</v>
      </c>
      <c r="B167" s="201" t="str">
        <f t="shared" si="41"/>
        <v xml:space="preserve"> </v>
      </c>
      <c r="C167" s="203" t="str">
        <f t="shared" si="47"/>
        <v xml:space="preserve"> </v>
      </c>
      <c r="D167" s="202" t="str">
        <f t="shared" si="54"/>
        <v xml:space="preserve"> </v>
      </c>
      <c r="E167" s="201" t="str">
        <f t="shared" si="42"/>
        <v xml:space="preserve"> </v>
      </c>
      <c r="F167" s="202" t="str">
        <f t="shared" si="55"/>
        <v xml:space="preserve"> </v>
      </c>
      <c r="G167" s="201" t="str">
        <f t="shared" si="43"/>
        <v xml:space="preserve"> </v>
      </c>
      <c r="H167" s="202" t="str">
        <f t="shared" si="56"/>
        <v xml:space="preserve"> </v>
      </c>
      <c r="I167" s="202" t="str">
        <f t="shared" si="44"/>
        <v xml:space="preserve"> </v>
      </c>
      <c r="J167" s="276" t="str">
        <f t="shared" si="57"/>
        <v xml:space="preserve"> </v>
      </c>
      <c r="K167" s="363" t="str">
        <f t="shared" si="45"/>
        <v xml:space="preserve"> </v>
      </c>
      <c r="L167" s="363" t="str">
        <f t="shared" si="46"/>
        <v xml:space="preserve"> </v>
      </c>
      <c r="M167" s="445"/>
      <c r="N167" s="293" t="str">
        <f t="shared" si="48"/>
        <v xml:space="preserve"> </v>
      </c>
      <c r="O167" s="293" t="str">
        <f t="shared" si="49"/>
        <v xml:space="preserve"> </v>
      </c>
      <c r="P167" s="293" t="str">
        <f t="shared" si="50"/>
        <v xml:space="preserve"> </v>
      </c>
      <c r="Q167" s="294" t="str">
        <f t="shared" si="51"/>
        <v xml:space="preserve"> </v>
      </c>
      <c r="R167" s="295" t="str">
        <f t="shared" si="52"/>
        <v xml:space="preserve"> </v>
      </c>
      <c r="S167" s="295" t="str">
        <f t="shared" si="53"/>
        <v xml:space="preserve"> </v>
      </c>
      <c r="T167" s="295" t="str">
        <f>IF(A167="N/A"," ",(IF(MONTH(A167)&gt;=4,IF(MONTH(A167)&lt;=10,Inputs!$H$2,Inputs!$H$3),Inputs!$H$3)))</f>
        <v xml:space="preserve"> </v>
      </c>
      <c r="U167" s="463" t="str">
        <f t="shared" si="58"/>
        <v xml:space="preserve"> </v>
      </c>
      <c r="AF167" s="205">
        <v>41518</v>
      </c>
      <c r="AG167" s="194">
        <v>20</v>
      </c>
      <c r="AH167" s="194">
        <v>4</v>
      </c>
      <c r="AI167" s="194">
        <v>6</v>
      </c>
      <c r="AJ167" s="194">
        <v>1</v>
      </c>
      <c r="AK167" s="194">
        <v>30</v>
      </c>
    </row>
    <row r="168" spans="1:37">
      <c r="A168" s="176" t="str">
        <f>Calculations!A135</f>
        <v>N/A</v>
      </c>
      <c r="B168" s="201" t="str">
        <f t="shared" si="41"/>
        <v xml:space="preserve"> </v>
      </c>
      <c r="C168" s="203" t="str">
        <f t="shared" si="47"/>
        <v xml:space="preserve"> </v>
      </c>
      <c r="D168" s="202" t="str">
        <f t="shared" si="54"/>
        <v xml:space="preserve"> </v>
      </c>
      <c r="E168" s="201" t="str">
        <f t="shared" si="42"/>
        <v xml:space="preserve"> </v>
      </c>
      <c r="F168" s="202" t="str">
        <f t="shared" si="55"/>
        <v xml:space="preserve"> </v>
      </c>
      <c r="G168" s="201" t="str">
        <f t="shared" si="43"/>
        <v xml:space="preserve"> </v>
      </c>
      <c r="H168" s="202" t="str">
        <f t="shared" si="56"/>
        <v xml:space="preserve"> </v>
      </c>
      <c r="I168" s="202" t="str">
        <f t="shared" si="44"/>
        <v xml:space="preserve"> </v>
      </c>
      <c r="J168" s="276" t="str">
        <f t="shared" si="57"/>
        <v xml:space="preserve"> </v>
      </c>
      <c r="K168" s="363" t="str">
        <f t="shared" si="45"/>
        <v xml:space="preserve"> </v>
      </c>
      <c r="L168" s="363" t="str">
        <f t="shared" si="46"/>
        <v xml:space="preserve"> </v>
      </c>
      <c r="M168" s="445"/>
      <c r="N168" s="293" t="str">
        <f t="shared" si="48"/>
        <v xml:space="preserve"> </v>
      </c>
      <c r="O168" s="293" t="str">
        <f t="shared" si="49"/>
        <v xml:space="preserve"> </v>
      </c>
      <c r="P168" s="293" t="str">
        <f t="shared" si="50"/>
        <v xml:space="preserve"> </v>
      </c>
      <c r="Q168" s="294" t="str">
        <f t="shared" si="51"/>
        <v xml:space="preserve"> </v>
      </c>
      <c r="R168" s="295" t="str">
        <f t="shared" si="52"/>
        <v xml:space="preserve"> </v>
      </c>
      <c r="S168" s="295" t="str">
        <f t="shared" si="53"/>
        <v xml:space="preserve"> </v>
      </c>
      <c r="T168" s="295" t="str">
        <f>IF(A168="N/A"," ",(IF(MONTH(A168)&gt;=4,IF(MONTH(A168)&lt;=10,Inputs!$H$2,Inputs!$H$3),Inputs!$H$3)))</f>
        <v xml:space="preserve"> </v>
      </c>
      <c r="U168" s="463" t="str">
        <f t="shared" si="58"/>
        <v xml:space="preserve"> </v>
      </c>
      <c r="AF168" s="205">
        <v>41548</v>
      </c>
      <c r="AG168" s="194">
        <v>23</v>
      </c>
      <c r="AH168" s="194">
        <v>4</v>
      </c>
      <c r="AI168" s="194">
        <v>4</v>
      </c>
      <c r="AJ168" s="194">
        <v>0</v>
      </c>
      <c r="AK168" s="194">
        <v>31</v>
      </c>
    </row>
    <row r="169" spans="1:37">
      <c r="A169" s="176" t="str">
        <f>Calculations!A136</f>
        <v>N/A</v>
      </c>
      <c r="B169" s="201" t="str">
        <f t="shared" si="41"/>
        <v xml:space="preserve"> </v>
      </c>
      <c r="C169" s="203" t="str">
        <f t="shared" si="47"/>
        <v xml:space="preserve"> </v>
      </c>
      <c r="D169" s="202" t="str">
        <f t="shared" si="54"/>
        <v xml:space="preserve"> </v>
      </c>
      <c r="E169" s="201" t="str">
        <f t="shared" si="42"/>
        <v xml:space="preserve"> </v>
      </c>
      <c r="F169" s="202" t="str">
        <f t="shared" si="55"/>
        <v xml:space="preserve"> </v>
      </c>
      <c r="G169" s="201" t="str">
        <f t="shared" si="43"/>
        <v xml:space="preserve"> </v>
      </c>
      <c r="H169" s="202" t="str">
        <f t="shared" si="56"/>
        <v xml:space="preserve"> </v>
      </c>
      <c r="I169" s="202" t="str">
        <f t="shared" si="44"/>
        <v xml:space="preserve"> </v>
      </c>
      <c r="J169" s="276" t="str">
        <f t="shared" si="57"/>
        <v xml:space="preserve"> </v>
      </c>
      <c r="K169" s="363" t="str">
        <f t="shared" si="45"/>
        <v xml:space="preserve"> </v>
      </c>
      <c r="L169" s="363" t="str">
        <f t="shared" si="46"/>
        <v xml:space="preserve"> </v>
      </c>
      <c r="M169" s="445"/>
      <c r="N169" s="293" t="str">
        <f t="shared" si="48"/>
        <v xml:space="preserve"> </v>
      </c>
      <c r="O169" s="293" t="str">
        <f t="shared" si="49"/>
        <v xml:space="preserve"> </v>
      </c>
      <c r="P169" s="293" t="str">
        <f t="shared" si="50"/>
        <v xml:space="preserve"> </v>
      </c>
      <c r="Q169" s="294" t="str">
        <f t="shared" si="51"/>
        <v xml:space="preserve"> </v>
      </c>
      <c r="R169" s="295" t="str">
        <f t="shared" si="52"/>
        <v xml:space="preserve"> </v>
      </c>
      <c r="S169" s="295" t="str">
        <f t="shared" si="53"/>
        <v xml:space="preserve"> </v>
      </c>
      <c r="T169" s="295" t="str">
        <f>IF(A169="N/A"," ",(IF(MONTH(A169)&gt;=4,IF(MONTH(A169)&lt;=10,Inputs!$H$2,Inputs!$H$3),Inputs!$H$3)))</f>
        <v xml:space="preserve"> </v>
      </c>
      <c r="U169" s="463" t="str">
        <f t="shared" si="58"/>
        <v xml:space="preserve"> </v>
      </c>
      <c r="AF169" s="205">
        <v>41579</v>
      </c>
      <c r="AG169" s="194">
        <v>20</v>
      </c>
      <c r="AH169" s="194">
        <v>5</v>
      </c>
      <c r="AI169" s="194">
        <v>5</v>
      </c>
      <c r="AJ169" s="194">
        <v>1</v>
      </c>
      <c r="AK169" s="194">
        <v>30</v>
      </c>
    </row>
    <row r="170" spans="1:37">
      <c r="A170" s="176" t="str">
        <f>Calculations!A137</f>
        <v>N/A</v>
      </c>
      <c r="B170" s="201" t="str">
        <f t="shared" si="41"/>
        <v xml:space="preserve"> </v>
      </c>
      <c r="C170" s="203" t="str">
        <f t="shared" si="47"/>
        <v xml:space="preserve"> </v>
      </c>
      <c r="D170" s="202" t="str">
        <f t="shared" si="54"/>
        <v xml:space="preserve"> </v>
      </c>
      <c r="E170" s="201" t="str">
        <f t="shared" si="42"/>
        <v xml:space="preserve"> </v>
      </c>
      <c r="F170" s="202" t="str">
        <f t="shared" si="55"/>
        <v xml:space="preserve"> </v>
      </c>
      <c r="G170" s="201" t="str">
        <f t="shared" si="43"/>
        <v xml:space="preserve"> </v>
      </c>
      <c r="H170" s="202" t="str">
        <f t="shared" si="56"/>
        <v xml:space="preserve"> </v>
      </c>
      <c r="I170" s="202" t="str">
        <f t="shared" si="44"/>
        <v xml:space="preserve"> </v>
      </c>
      <c r="J170" s="276" t="str">
        <f t="shared" si="57"/>
        <v xml:space="preserve"> </v>
      </c>
      <c r="K170" s="363" t="str">
        <f t="shared" si="45"/>
        <v xml:space="preserve"> </v>
      </c>
      <c r="L170" s="363" t="str">
        <f t="shared" si="46"/>
        <v xml:space="preserve"> </v>
      </c>
      <c r="M170" s="445"/>
      <c r="N170" s="293" t="str">
        <f t="shared" si="48"/>
        <v xml:space="preserve"> </v>
      </c>
      <c r="O170" s="293" t="str">
        <f t="shared" si="49"/>
        <v xml:space="preserve"> </v>
      </c>
      <c r="P170" s="293" t="str">
        <f t="shared" si="50"/>
        <v xml:space="preserve"> </v>
      </c>
      <c r="Q170" s="294" t="str">
        <f t="shared" si="51"/>
        <v xml:space="preserve"> </v>
      </c>
      <c r="R170" s="295" t="str">
        <f t="shared" si="52"/>
        <v xml:space="preserve"> </v>
      </c>
      <c r="S170" s="295" t="str">
        <f t="shared" si="53"/>
        <v xml:space="preserve"> </v>
      </c>
      <c r="T170" s="295" t="str">
        <f>IF(A170="N/A"," ",(IF(MONTH(A170)&gt;=4,IF(MONTH(A170)&lt;=10,Inputs!$H$2,Inputs!$H$3),Inputs!$H$3)))</f>
        <v xml:space="preserve"> </v>
      </c>
      <c r="U170" s="463" t="str">
        <f t="shared" si="58"/>
        <v xml:space="preserve"> </v>
      </c>
      <c r="AF170" s="205">
        <v>41609</v>
      </c>
      <c r="AG170" s="194">
        <v>21</v>
      </c>
      <c r="AH170" s="194">
        <v>4</v>
      </c>
      <c r="AI170" s="194">
        <v>6</v>
      </c>
      <c r="AJ170" s="194">
        <v>1</v>
      </c>
      <c r="AK170" s="194">
        <v>31</v>
      </c>
    </row>
    <row r="171" spans="1:37">
      <c r="A171" s="176" t="str">
        <f>Calculations!A138</f>
        <v>N/A</v>
      </c>
      <c r="B171" s="201" t="str">
        <f t="shared" si="41"/>
        <v xml:space="preserve"> </v>
      </c>
      <c r="C171" s="203" t="str">
        <f t="shared" si="47"/>
        <v xml:space="preserve"> </v>
      </c>
      <c r="D171" s="202" t="str">
        <f t="shared" si="54"/>
        <v xml:space="preserve"> </v>
      </c>
      <c r="E171" s="201" t="str">
        <f t="shared" si="42"/>
        <v xml:space="preserve"> </v>
      </c>
      <c r="F171" s="202" t="str">
        <f t="shared" si="55"/>
        <v xml:space="preserve"> </v>
      </c>
      <c r="G171" s="201" t="str">
        <f t="shared" si="43"/>
        <v xml:space="preserve"> </v>
      </c>
      <c r="H171" s="202" t="str">
        <f t="shared" si="56"/>
        <v xml:space="preserve"> </v>
      </c>
      <c r="I171" s="202" t="str">
        <f t="shared" si="44"/>
        <v xml:space="preserve"> </v>
      </c>
      <c r="J171" s="276" t="str">
        <f t="shared" si="57"/>
        <v xml:space="preserve"> </v>
      </c>
      <c r="K171" s="363" t="str">
        <f t="shared" si="45"/>
        <v xml:space="preserve"> </v>
      </c>
      <c r="L171" s="363" t="str">
        <f t="shared" si="46"/>
        <v xml:space="preserve"> </v>
      </c>
      <c r="M171" s="445"/>
      <c r="N171" s="293" t="str">
        <f t="shared" si="48"/>
        <v xml:space="preserve"> </v>
      </c>
      <c r="O171" s="293" t="str">
        <f t="shared" si="49"/>
        <v xml:space="preserve"> </v>
      </c>
      <c r="P171" s="293" t="str">
        <f t="shared" si="50"/>
        <v xml:space="preserve"> </v>
      </c>
      <c r="Q171" s="294" t="str">
        <f t="shared" si="51"/>
        <v xml:space="preserve"> </v>
      </c>
      <c r="R171" s="295" t="str">
        <f t="shared" si="52"/>
        <v xml:space="preserve"> </v>
      </c>
      <c r="S171" s="295" t="str">
        <f t="shared" si="53"/>
        <v xml:space="preserve"> </v>
      </c>
      <c r="T171" s="295" t="str">
        <f>IF(A171="N/A"," ",(IF(MONTH(A171)&gt;=4,IF(MONTH(A171)&lt;=10,Inputs!$H$2,Inputs!$H$3),Inputs!$H$3)))</f>
        <v xml:space="preserve"> </v>
      </c>
      <c r="U171" s="463" t="str">
        <f t="shared" si="58"/>
        <v xml:space="preserve"> </v>
      </c>
      <c r="AF171" s="205">
        <v>41640</v>
      </c>
      <c r="AG171" s="194">
        <v>22</v>
      </c>
      <c r="AH171" s="194">
        <v>4</v>
      </c>
      <c r="AI171" s="194">
        <v>5</v>
      </c>
      <c r="AJ171" s="194">
        <v>1</v>
      </c>
      <c r="AK171" s="194">
        <v>31</v>
      </c>
    </row>
    <row r="172" spans="1:37">
      <c r="A172" s="176" t="str">
        <f>Calculations!A139</f>
        <v>N/A</v>
      </c>
      <c r="B172" s="201" t="str">
        <f t="shared" si="41"/>
        <v xml:space="preserve"> </v>
      </c>
      <c r="C172" s="203" t="str">
        <f t="shared" si="47"/>
        <v xml:space="preserve"> </v>
      </c>
      <c r="D172" s="202" t="str">
        <f t="shared" si="54"/>
        <v xml:space="preserve"> </v>
      </c>
      <c r="E172" s="201" t="str">
        <f t="shared" si="42"/>
        <v xml:space="preserve"> </v>
      </c>
      <c r="F172" s="202" t="str">
        <f t="shared" si="55"/>
        <v xml:space="preserve"> </v>
      </c>
      <c r="G172" s="201" t="str">
        <f t="shared" si="43"/>
        <v xml:space="preserve"> </v>
      </c>
      <c r="H172" s="202" t="str">
        <f t="shared" si="56"/>
        <v xml:space="preserve"> </v>
      </c>
      <c r="I172" s="202" t="str">
        <f t="shared" si="44"/>
        <v xml:space="preserve"> </v>
      </c>
      <c r="J172" s="276" t="str">
        <f t="shared" si="57"/>
        <v xml:space="preserve"> </v>
      </c>
      <c r="K172" s="363" t="str">
        <f t="shared" si="45"/>
        <v xml:space="preserve"> </v>
      </c>
      <c r="L172" s="363" t="str">
        <f t="shared" si="46"/>
        <v xml:space="preserve"> </v>
      </c>
      <c r="M172" s="445"/>
      <c r="N172" s="293" t="str">
        <f t="shared" si="48"/>
        <v xml:space="preserve"> </v>
      </c>
      <c r="O172" s="293" t="str">
        <f t="shared" si="49"/>
        <v xml:space="preserve"> </v>
      </c>
      <c r="P172" s="293" t="str">
        <f t="shared" si="50"/>
        <v xml:space="preserve"> </v>
      </c>
      <c r="Q172" s="294" t="str">
        <f t="shared" si="51"/>
        <v xml:space="preserve"> </v>
      </c>
      <c r="R172" s="295" t="str">
        <f t="shared" si="52"/>
        <v xml:space="preserve"> </v>
      </c>
      <c r="S172" s="295" t="str">
        <f t="shared" si="53"/>
        <v xml:space="preserve"> </v>
      </c>
      <c r="T172" s="295" t="str">
        <f>IF(A172="N/A"," ",(IF(MONTH(A172)&gt;=4,IF(MONTH(A172)&lt;=10,Inputs!$H$2,Inputs!$H$3),Inputs!$H$3)))</f>
        <v xml:space="preserve"> </v>
      </c>
      <c r="U172" s="463" t="str">
        <f t="shared" si="58"/>
        <v xml:space="preserve"> </v>
      </c>
      <c r="AF172" s="205">
        <v>41671</v>
      </c>
      <c r="AG172" s="194">
        <v>20</v>
      </c>
      <c r="AH172" s="194">
        <v>4</v>
      </c>
      <c r="AI172" s="194">
        <v>4</v>
      </c>
      <c r="AJ172" s="194">
        <v>0</v>
      </c>
      <c r="AK172" s="194">
        <v>28</v>
      </c>
    </row>
    <row r="173" spans="1:37">
      <c r="A173" s="176" t="str">
        <f>Calculations!A140</f>
        <v>N/A</v>
      </c>
      <c r="B173" s="201" t="str">
        <f t="shared" si="41"/>
        <v xml:space="preserve"> </v>
      </c>
      <c r="C173" s="203" t="str">
        <f t="shared" si="47"/>
        <v xml:space="preserve"> </v>
      </c>
      <c r="D173" s="202" t="str">
        <f t="shared" si="54"/>
        <v xml:space="preserve"> </v>
      </c>
      <c r="E173" s="201" t="str">
        <f t="shared" si="42"/>
        <v xml:space="preserve"> </v>
      </c>
      <c r="F173" s="202" t="str">
        <f t="shared" si="55"/>
        <v xml:space="preserve"> </v>
      </c>
      <c r="G173" s="201" t="str">
        <f t="shared" si="43"/>
        <v xml:space="preserve"> </v>
      </c>
      <c r="H173" s="202" t="str">
        <f t="shared" si="56"/>
        <v xml:space="preserve"> </v>
      </c>
      <c r="I173" s="202" t="str">
        <f t="shared" si="44"/>
        <v xml:space="preserve"> </v>
      </c>
      <c r="J173" s="276" t="str">
        <f t="shared" si="57"/>
        <v xml:space="preserve"> </v>
      </c>
      <c r="K173" s="363" t="str">
        <f t="shared" si="45"/>
        <v xml:space="preserve"> </v>
      </c>
      <c r="L173" s="363" t="str">
        <f t="shared" si="46"/>
        <v xml:space="preserve"> </v>
      </c>
      <c r="M173" s="445"/>
      <c r="N173" s="293" t="str">
        <f t="shared" si="48"/>
        <v xml:space="preserve"> </v>
      </c>
      <c r="O173" s="293" t="str">
        <f t="shared" si="49"/>
        <v xml:space="preserve"> </v>
      </c>
      <c r="P173" s="293" t="str">
        <f t="shared" si="50"/>
        <v xml:space="preserve"> </v>
      </c>
      <c r="Q173" s="294" t="str">
        <f t="shared" si="51"/>
        <v xml:space="preserve"> </v>
      </c>
      <c r="R173" s="295" t="str">
        <f t="shared" si="52"/>
        <v xml:space="preserve"> </v>
      </c>
      <c r="S173" s="295" t="str">
        <f t="shared" si="53"/>
        <v xml:space="preserve"> </v>
      </c>
      <c r="T173" s="295" t="str">
        <f>IF(A173="N/A"," ",(IF(MONTH(A173)&gt;=4,IF(MONTH(A173)&lt;=10,Inputs!$H$2,Inputs!$H$3),Inputs!$H$3)))</f>
        <v xml:space="preserve"> </v>
      </c>
      <c r="U173" s="463" t="str">
        <f t="shared" si="58"/>
        <v xml:space="preserve"> </v>
      </c>
      <c r="AF173" s="205">
        <v>41699</v>
      </c>
      <c r="AG173" s="194">
        <v>21</v>
      </c>
      <c r="AH173" s="194">
        <v>5</v>
      </c>
      <c r="AI173" s="194">
        <v>5</v>
      </c>
      <c r="AJ173" s="194">
        <v>0</v>
      </c>
      <c r="AK173" s="194">
        <v>31</v>
      </c>
    </row>
    <row r="174" spans="1:37">
      <c r="A174" s="176" t="str">
        <f>Calculations!A141</f>
        <v>N/A</v>
      </c>
      <c r="B174" s="201" t="str">
        <f t="shared" si="41"/>
        <v xml:space="preserve"> </v>
      </c>
      <c r="C174" s="203" t="str">
        <f t="shared" si="47"/>
        <v xml:space="preserve"> </v>
      </c>
      <c r="D174" s="202" t="str">
        <f t="shared" si="54"/>
        <v xml:space="preserve"> </v>
      </c>
      <c r="E174" s="201" t="str">
        <f t="shared" si="42"/>
        <v xml:space="preserve"> </v>
      </c>
      <c r="F174" s="202" t="str">
        <f t="shared" si="55"/>
        <v xml:space="preserve"> </v>
      </c>
      <c r="G174" s="201" t="str">
        <f t="shared" si="43"/>
        <v xml:space="preserve"> </v>
      </c>
      <c r="H174" s="202" t="str">
        <f t="shared" si="56"/>
        <v xml:space="preserve"> </v>
      </c>
      <c r="I174" s="202" t="str">
        <f t="shared" si="44"/>
        <v xml:space="preserve"> </v>
      </c>
      <c r="J174" s="276" t="str">
        <f t="shared" si="57"/>
        <v xml:space="preserve"> </v>
      </c>
      <c r="K174" s="363" t="str">
        <f t="shared" si="45"/>
        <v xml:space="preserve"> </v>
      </c>
      <c r="L174" s="363" t="str">
        <f t="shared" si="46"/>
        <v xml:space="preserve"> </v>
      </c>
      <c r="M174" s="445"/>
      <c r="N174" s="293" t="str">
        <f t="shared" si="48"/>
        <v xml:space="preserve"> </v>
      </c>
      <c r="O174" s="293" t="str">
        <f t="shared" si="49"/>
        <v xml:space="preserve"> </v>
      </c>
      <c r="P174" s="293" t="str">
        <f t="shared" si="50"/>
        <v xml:space="preserve"> </v>
      </c>
      <c r="Q174" s="294" t="str">
        <f t="shared" si="51"/>
        <v xml:space="preserve"> </v>
      </c>
      <c r="R174" s="295" t="str">
        <f t="shared" si="52"/>
        <v xml:space="preserve"> </v>
      </c>
      <c r="S174" s="295" t="str">
        <f t="shared" si="53"/>
        <v xml:space="preserve"> </v>
      </c>
      <c r="T174" s="295" t="str">
        <f>IF(A174="N/A"," ",(IF(MONTH(A174)&gt;=4,IF(MONTH(A174)&lt;=10,Inputs!$H$2,Inputs!$H$3),Inputs!$H$3)))</f>
        <v xml:space="preserve"> </v>
      </c>
      <c r="U174" s="463" t="str">
        <f t="shared" si="58"/>
        <v xml:space="preserve"> </v>
      </c>
      <c r="AF174" s="205">
        <v>41730</v>
      </c>
      <c r="AG174" s="194">
        <v>22</v>
      </c>
      <c r="AH174" s="194">
        <v>4</v>
      </c>
      <c r="AI174" s="194">
        <v>4</v>
      </c>
      <c r="AJ174" s="194">
        <v>0</v>
      </c>
      <c r="AK174" s="194">
        <v>30</v>
      </c>
    </row>
    <row r="175" spans="1:37">
      <c r="A175" s="176" t="str">
        <f>Calculations!A142</f>
        <v>N/A</v>
      </c>
      <c r="B175" s="201" t="str">
        <f t="shared" si="41"/>
        <v xml:space="preserve"> </v>
      </c>
      <c r="C175" s="203" t="str">
        <f t="shared" si="47"/>
        <v xml:space="preserve"> </v>
      </c>
      <c r="D175" s="202" t="str">
        <f t="shared" si="54"/>
        <v xml:space="preserve"> </v>
      </c>
      <c r="E175" s="201" t="str">
        <f t="shared" si="42"/>
        <v xml:space="preserve"> </v>
      </c>
      <c r="F175" s="202" t="str">
        <f t="shared" si="55"/>
        <v xml:space="preserve"> </v>
      </c>
      <c r="G175" s="201" t="str">
        <f t="shared" si="43"/>
        <v xml:space="preserve"> </v>
      </c>
      <c r="H175" s="202" t="str">
        <f t="shared" si="56"/>
        <v xml:space="preserve"> </v>
      </c>
      <c r="I175" s="202" t="str">
        <f t="shared" si="44"/>
        <v xml:space="preserve"> </v>
      </c>
      <c r="J175" s="276" t="str">
        <f t="shared" si="57"/>
        <v xml:space="preserve"> </v>
      </c>
      <c r="K175" s="363" t="str">
        <f t="shared" si="45"/>
        <v xml:space="preserve"> </v>
      </c>
      <c r="L175" s="363" t="str">
        <f t="shared" si="46"/>
        <v xml:space="preserve"> </v>
      </c>
      <c r="M175" s="445"/>
      <c r="N175" s="293" t="str">
        <f t="shared" si="48"/>
        <v xml:space="preserve"> </v>
      </c>
      <c r="O175" s="293" t="str">
        <f t="shared" si="49"/>
        <v xml:space="preserve"> </v>
      </c>
      <c r="P175" s="293" t="str">
        <f t="shared" si="50"/>
        <v xml:space="preserve"> </v>
      </c>
      <c r="Q175" s="294" t="str">
        <f t="shared" si="51"/>
        <v xml:space="preserve"> </v>
      </c>
      <c r="R175" s="295" t="str">
        <f t="shared" si="52"/>
        <v xml:space="preserve"> </v>
      </c>
      <c r="S175" s="295" t="str">
        <f t="shared" si="53"/>
        <v xml:space="preserve"> </v>
      </c>
      <c r="T175" s="295" t="str">
        <f>IF(A175="N/A"," ",(IF(MONTH(A175)&gt;=4,IF(MONTH(A175)&lt;=10,Inputs!$H$2,Inputs!$H$3),Inputs!$H$3)))</f>
        <v xml:space="preserve"> </v>
      </c>
      <c r="U175" s="463" t="str">
        <f t="shared" si="58"/>
        <v xml:space="preserve"> </v>
      </c>
      <c r="AF175" s="205">
        <v>41760</v>
      </c>
      <c r="AG175" s="194">
        <v>21</v>
      </c>
      <c r="AH175" s="194">
        <v>5</v>
      </c>
      <c r="AI175" s="194">
        <v>5</v>
      </c>
      <c r="AJ175" s="194">
        <v>1</v>
      </c>
      <c r="AK175" s="194">
        <v>31</v>
      </c>
    </row>
    <row r="176" spans="1:37">
      <c r="A176" s="176" t="str">
        <f>Calculations!A143</f>
        <v>N/A</v>
      </c>
      <c r="B176" s="201" t="str">
        <f t="shared" si="41"/>
        <v xml:space="preserve"> </v>
      </c>
      <c r="C176" s="203" t="str">
        <f t="shared" si="47"/>
        <v xml:space="preserve"> </v>
      </c>
      <c r="D176" s="202" t="str">
        <f t="shared" si="54"/>
        <v xml:space="preserve"> </v>
      </c>
      <c r="E176" s="201" t="str">
        <f t="shared" si="42"/>
        <v xml:space="preserve"> </v>
      </c>
      <c r="F176" s="202" t="str">
        <f t="shared" si="55"/>
        <v xml:space="preserve"> </v>
      </c>
      <c r="G176" s="201" t="str">
        <f t="shared" si="43"/>
        <v xml:space="preserve"> </v>
      </c>
      <c r="H176" s="202" t="str">
        <f t="shared" si="56"/>
        <v xml:space="preserve"> </v>
      </c>
      <c r="I176" s="202" t="str">
        <f t="shared" si="44"/>
        <v xml:space="preserve"> </v>
      </c>
      <c r="J176" s="276" t="str">
        <f t="shared" si="57"/>
        <v xml:space="preserve"> </v>
      </c>
      <c r="K176" s="363" t="str">
        <f t="shared" si="45"/>
        <v xml:space="preserve"> </v>
      </c>
      <c r="L176" s="363" t="str">
        <f t="shared" si="46"/>
        <v xml:space="preserve"> </v>
      </c>
      <c r="M176" s="445"/>
      <c r="N176" s="293" t="str">
        <f t="shared" si="48"/>
        <v xml:space="preserve"> </v>
      </c>
      <c r="O176" s="293" t="str">
        <f t="shared" si="49"/>
        <v xml:space="preserve"> </v>
      </c>
      <c r="P176" s="293" t="str">
        <f t="shared" si="50"/>
        <v xml:space="preserve"> </v>
      </c>
      <c r="Q176" s="294" t="str">
        <f t="shared" si="51"/>
        <v xml:space="preserve"> </v>
      </c>
      <c r="R176" s="295" t="str">
        <f t="shared" si="52"/>
        <v xml:space="preserve"> </v>
      </c>
      <c r="S176" s="295" t="str">
        <f t="shared" si="53"/>
        <v xml:space="preserve"> </v>
      </c>
      <c r="T176" s="295" t="str">
        <f>IF(A176="N/A"," ",(IF(MONTH(A176)&gt;=4,IF(MONTH(A176)&lt;=10,Inputs!$H$2,Inputs!$H$3),Inputs!$H$3)))</f>
        <v xml:space="preserve"> </v>
      </c>
      <c r="U176" s="463" t="str">
        <f t="shared" si="58"/>
        <v xml:space="preserve"> </v>
      </c>
      <c r="AF176" s="205">
        <v>41791</v>
      </c>
      <c r="AG176" s="194">
        <v>21</v>
      </c>
      <c r="AH176" s="194">
        <v>4</v>
      </c>
      <c r="AI176" s="194">
        <v>5</v>
      </c>
      <c r="AJ176" s="194">
        <v>0</v>
      </c>
      <c r="AK176" s="194">
        <v>30</v>
      </c>
    </row>
    <row r="177" spans="1:37">
      <c r="A177" s="176" t="str">
        <f>Calculations!A144</f>
        <v>N/A</v>
      </c>
      <c r="B177" s="201" t="str">
        <f t="shared" ref="B177:B240" si="59">IF(A177="N/A"," ",IF(ISERROR(N177),B165*Pwresc,N177)*VLOOKUP(MONTH(A177),Curveadj,3))</f>
        <v xml:space="preserve"> </v>
      </c>
      <c r="C177" s="203" t="str">
        <f t="shared" si="47"/>
        <v xml:space="preserve"> </v>
      </c>
      <c r="D177" s="202" t="str">
        <f t="shared" si="54"/>
        <v xml:space="preserve"> </v>
      </c>
      <c r="E177" s="201" t="str">
        <f t="shared" ref="E177:E240" si="60">IF(A177="N/A"," ",IF(ISERROR(O177),E165*Pwresc,O177)*VLOOKUP(MONTH(A177),Curveadj,3))</f>
        <v xml:space="preserve"> </v>
      </c>
      <c r="F177" s="202" t="str">
        <f t="shared" si="55"/>
        <v xml:space="preserve"> </v>
      </c>
      <c r="G177" s="201" t="str">
        <f t="shared" ref="G177:G240" si="61">IF(A177="N/A"," ",IF(ISERROR(P177),G165*Pwresc,P177)*VLOOKUP(MONTH(A177),Curveadj,3))</f>
        <v xml:space="preserve"> </v>
      </c>
      <c r="H177" s="202" t="str">
        <f t="shared" si="56"/>
        <v xml:space="preserve"> </v>
      </c>
      <c r="I177" s="202" t="str">
        <f t="shared" ref="I177:I240" si="62">IF(A177="N/A"," ",IF(ISERROR(Q177),I165*Pwresc,Q177))</f>
        <v xml:space="preserve"> </v>
      </c>
      <c r="J177" s="276" t="str">
        <f t="shared" si="57"/>
        <v xml:space="preserve"> </v>
      </c>
      <c r="K177" s="363" t="str">
        <f t="shared" ref="K177:K240" si="63">IF(A177="N/A"," ",IF(ISERROR(R177),K165*Gasesc,R177))</f>
        <v xml:space="preserve"> </v>
      </c>
      <c r="L177" s="363" t="str">
        <f t="shared" ref="L177:L240" si="64">IF(A177="N/A"," ",IF(ISERROR(S177),L165*Gasesc,IF(S177=0,L165*Gasesc,S177)))</f>
        <v xml:space="preserve"> </v>
      </c>
      <c r="M177" s="445"/>
      <c r="N177" s="293" t="str">
        <f t="shared" si="48"/>
        <v xml:space="preserve"> </v>
      </c>
      <c r="O177" s="293" t="str">
        <f t="shared" si="49"/>
        <v xml:space="preserve"> </v>
      </c>
      <c r="P177" s="293" t="str">
        <f t="shared" si="50"/>
        <v xml:space="preserve"> </v>
      </c>
      <c r="Q177" s="294" t="str">
        <f t="shared" si="51"/>
        <v xml:space="preserve"> </v>
      </c>
      <c r="R177" s="295" t="str">
        <f t="shared" si="52"/>
        <v xml:space="preserve"> </v>
      </c>
      <c r="S177" s="295" t="str">
        <f t="shared" si="53"/>
        <v xml:space="preserve"> </v>
      </c>
      <c r="T177" s="295" t="str">
        <f>IF(A177="N/A"," ",(IF(MONTH(A177)&gt;=4,IF(MONTH(A177)&lt;=10,Inputs!$H$2,Inputs!$H$3),Inputs!$H$3)))</f>
        <v xml:space="preserve"> </v>
      </c>
      <c r="U177" s="463" t="str">
        <f t="shared" si="58"/>
        <v xml:space="preserve"> </v>
      </c>
      <c r="AF177" s="205">
        <v>41821</v>
      </c>
      <c r="AG177" s="194">
        <v>22</v>
      </c>
      <c r="AH177" s="194">
        <v>4</v>
      </c>
      <c r="AI177" s="194">
        <v>5</v>
      </c>
      <c r="AJ177" s="194">
        <v>1</v>
      </c>
      <c r="AK177" s="194">
        <v>31</v>
      </c>
    </row>
    <row r="178" spans="1:37">
      <c r="A178" s="176" t="str">
        <f>Calculations!A145</f>
        <v>N/A</v>
      </c>
      <c r="B178" s="201" t="str">
        <f t="shared" si="59"/>
        <v xml:space="preserve"> </v>
      </c>
      <c r="C178" s="203" t="str">
        <f t="shared" si="47"/>
        <v xml:space="preserve"> </v>
      </c>
      <c r="D178" s="202" t="str">
        <f t="shared" si="54"/>
        <v xml:space="preserve"> </v>
      </c>
      <c r="E178" s="201" t="str">
        <f t="shared" si="60"/>
        <v xml:space="preserve"> </v>
      </c>
      <c r="F178" s="202" t="str">
        <f t="shared" si="55"/>
        <v xml:space="preserve"> </v>
      </c>
      <c r="G178" s="201" t="str">
        <f t="shared" si="61"/>
        <v xml:space="preserve"> </v>
      </c>
      <c r="H178" s="202" t="str">
        <f t="shared" si="56"/>
        <v xml:space="preserve"> </v>
      </c>
      <c r="I178" s="202" t="str">
        <f t="shared" si="62"/>
        <v xml:space="preserve"> </v>
      </c>
      <c r="J178" s="276" t="str">
        <f t="shared" si="57"/>
        <v xml:space="preserve"> </v>
      </c>
      <c r="K178" s="363" t="str">
        <f t="shared" si="63"/>
        <v xml:space="preserve"> </v>
      </c>
      <c r="L178" s="363" t="str">
        <f t="shared" si="64"/>
        <v xml:space="preserve"> </v>
      </c>
      <c r="M178" s="445"/>
      <c r="N178" s="293" t="str">
        <f t="shared" si="48"/>
        <v xml:space="preserve"> </v>
      </c>
      <c r="O178" s="293" t="str">
        <f t="shared" si="49"/>
        <v xml:space="preserve"> </v>
      </c>
      <c r="P178" s="293" t="str">
        <f t="shared" si="50"/>
        <v xml:space="preserve"> </v>
      </c>
      <c r="Q178" s="294" t="str">
        <f t="shared" si="51"/>
        <v xml:space="preserve"> </v>
      </c>
      <c r="R178" s="295" t="str">
        <f t="shared" si="52"/>
        <v xml:space="preserve"> </v>
      </c>
      <c r="S178" s="295" t="str">
        <f t="shared" si="53"/>
        <v xml:space="preserve"> </v>
      </c>
      <c r="T178" s="295" t="str">
        <f>IF(A178="N/A"," ",(IF(MONTH(A178)&gt;=4,IF(MONTH(A178)&lt;=10,Inputs!$H$2,Inputs!$H$3),Inputs!$H$3)))</f>
        <v xml:space="preserve"> </v>
      </c>
      <c r="U178" s="463" t="str">
        <f t="shared" si="58"/>
        <v xml:space="preserve"> </v>
      </c>
      <c r="AF178" s="205">
        <v>41852</v>
      </c>
      <c r="AG178" s="194">
        <v>21</v>
      </c>
      <c r="AH178" s="194">
        <v>5</v>
      </c>
      <c r="AI178" s="194">
        <v>5</v>
      </c>
      <c r="AJ178" s="194">
        <v>0</v>
      </c>
      <c r="AK178" s="194">
        <v>31</v>
      </c>
    </row>
    <row r="179" spans="1:37">
      <c r="A179" s="176" t="str">
        <f>Calculations!A146</f>
        <v>N/A</v>
      </c>
      <c r="B179" s="201" t="str">
        <f t="shared" si="59"/>
        <v xml:space="preserve"> </v>
      </c>
      <c r="C179" s="203" t="str">
        <f t="shared" si="47"/>
        <v xml:space="preserve"> </v>
      </c>
      <c r="D179" s="202" t="str">
        <f t="shared" si="54"/>
        <v xml:space="preserve"> </v>
      </c>
      <c r="E179" s="201" t="str">
        <f t="shared" si="60"/>
        <v xml:space="preserve"> </v>
      </c>
      <c r="F179" s="202" t="str">
        <f t="shared" si="55"/>
        <v xml:space="preserve"> </v>
      </c>
      <c r="G179" s="201" t="str">
        <f t="shared" si="61"/>
        <v xml:space="preserve"> </v>
      </c>
      <c r="H179" s="202" t="str">
        <f t="shared" si="56"/>
        <v xml:space="preserve"> </v>
      </c>
      <c r="I179" s="202" t="str">
        <f t="shared" si="62"/>
        <v xml:space="preserve"> </v>
      </c>
      <c r="J179" s="276" t="str">
        <f t="shared" si="57"/>
        <v xml:space="preserve"> </v>
      </c>
      <c r="K179" s="363" t="str">
        <f t="shared" si="63"/>
        <v xml:space="preserve"> </v>
      </c>
      <c r="L179" s="363" t="str">
        <f t="shared" si="64"/>
        <v xml:space="preserve"> </v>
      </c>
      <c r="M179" s="445"/>
      <c r="N179" s="293" t="str">
        <f t="shared" si="48"/>
        <v xml:space="preserve"> </v>
      </c>
      <c r="O179" s="293" t="str">
        <f t="shared" si="49"/>
        <v xml:space="preserve"> </v>
      </c>
      <c r="P179" s="293" t="str">
        <f t="shared" si="50"/>
        <v xml:space="preserve"> </v>
      </c>
      <c r="Q179" s="294" t="str">
        <f t="shared" si="51"/>
        <v xml:space="preserve"> </v>
      </c>
      <c r="R179" s="295" t="str">
        <f t="shared" si="52"/>
        <v xml:space="preserve"> </v>
      </c>
      <c r="S179" s="295" t="str">
        <f t="shared" si="53"/>
        <v xml:space="preserve"> </v>
      </c>
      <c r="T179" s="295" t="str">
        <f>IF(A179="N/A"," ",(IF(MONTH(A179)&gt;=4,IF(MONTH(A179)&lt;=10,Inputs!$H$2,Inputs!$H$3),Inputs!$H$3)))</f>
        <v xml:space="preserve"> </v>
      </c>
      <c r="U179" s="463" t="str">
        <f t="shared" si="58"/>
        <v xml:space="preserve"> </v>
      </c>
      <c r="AF179" s="205">
        <v>41883</v>
      </c>
      <c r="AG179" s="194">
        <v>21</v>
      </c>
      <c r="AH179" s="194">
        <v>4</v>
      </c>
      <c r="AI179" s="194">
        <v>5</v>
      </c>
      <c r="AJ179" s="194">
        <v>1</v>
      </c>
      <c r="AK179" s="194">
        <v>30</v>
      </c>
    </row>
    <row r="180" spans="1:37">
      <c r="A180" s="176" t="str">
        <f>Calculations!A147</f>
        <v>N/A</v>
      </c>
      <c r="B180" s="201" t="str">
        <f t="shared" si="59"/>
        <v xml:space="preserve"> </v>
      </c>
      <c r="C180" s="203" t="str">
        <f t="shared" si="47"/>
        <v xml:space="preserve"> </v>
      </c>
      <c r="D180" s="202" t="str">
        <f t="shared" si="54"/>
        <v xml:space="preserve"> </v>
      </c>
      <c r="E180" s="201" t="str">
        <f t="shared" si="60"/>
        <v xml:space="preserve"> </v>
      </c>
      <c r="F180" s="202" t="str">
        <f t="shared" si="55"/>
        <v xml:space="preserve"> </v>
      </c>
      <c r="G180" s="201" t="str">
        <f t="shared" si="61"/>
        <v xml:space="preserve"> </v>
      </c>
      <c r="H180" s="202" t="str">
        <f t="shared" si="56"/>
        <v xml:space="preserve"> </v>
      </c>
      <c r="I180" s="202" t="str">
        <f t="shared" si="62"/>
        <v xml:space="preserve"> </v>
      </c>
      <c r="J180" s="276" t="str">
        <f t="shared" si="57"/>
        <v xml:space="preserve"> </v>
      </c>
      <c r="K180" s="363" t="str">
        <f t="shared" si="63"/>
        <v xml:space="preserve"> </v>
      </c>
      <c r="L180" s="363" t="str">
        <f t="shared" si="64"/>
        <v xml:space="preserve"> </v>
      </c>
      <c r="M180" s="445"/>
      <c r="N180" s="293" t="str">
        <f t="shared" si="48"/>
        <v xml:space="preserve"> </v>
      </c>
      <c r="O180" s="293" t="str">
        <f t="shared" si="49"/>
        <v xml:space="preserve"> </v>
      </c>
      <c r="P180" s="293" t="str">
        <f t="shared" si="50"/>
        <v xml:space="preserve"> </v>
      </c>
      <c r="Q180" s="294" t="str">
        <f t="shared" si="51"/>
        <v xml:space="preserve"> </v>
      </c>
      <c r="R180" s="295" t="str">
        <f t="shared" si="52"/>
        <v xml:space="preserve"> </v>
      </c>
      <c r="S180" s="295" t="str">
        <f t="shared" si="53"/>
        <v xml:space="preserve"> </v>
      </c>
      <c r="T180" s="295" t="str">
        <f>IF(A180="N/A"," ",(IF(MONTH(A180)&gt;=4,IF(MONTH(A180)&lt;=10,Inputs!$H$2,Inputs!$H$3),Inputs!$H$3)))</f>
        <v xml:space="preserve"> </v>
      </c>
      <c r="U180" s="463" t="str">
        <f t="shared" si="58"/>
        <v xml:space="preserve"> </v>
      </c>
      <c r="AF180" s="205">
        <v>41913</v>
      </c>
      <c r="AG180" s="194">
        <v>23</v>
      </c>
      <c r="AH180" s="194">
        <v>4</v>
      </c>
      <c r="AI180" s="194">
        <v>4</v>
      </c>
      <c r="AJ180" s="194">
        <v>0</v>
      </c>
      <c r="AK180" s="194">
        <v>31</v>
      </c>
    </row>
    <row r="181" spans="1:37">
      <c r="A181" s="176" t="str">
        <f>Calculations!A148</f>
        <v>N/A</v>
      </c>
      <c r="B181" s="201" t="str">
        <f t="shared" si="59"/>
        <v xml:space="preserve"> </v>
      </c>
      <c r="C181" s="203" t="str">
        <f t="shared" si="47"/>
        <v xml:space="preserve"> </v>
      </c>
      <c r="D181" s="202" t="str">
        <f t="shared" si="54"/>
        <v xml:space="preserve"> </v>
      </c>
      <c r="E181" s="201" t="str">
        <f t="shared" si="60"/>
        <v xml:space="preserve"> </v>
      </c>
      <c r="F181" s="202" t="str">
        <f t="shared" si="55"/>
        <v xml:space="preserve"> </v>
      </c>
      <c r="G181" s="201" t="str">
        <f t="shared" si="61"/>
        <v xml:space="preserve"> </v>
      </c>
      <c r="H181" s="202" t="str">
        <f t="shared" si="56"/>
        <v xml:space="preserve"> </v>
      </c>
      <c r="I181" s="202" t="str">
        <f t="shared" si="62"/>
        <v xml:space="preserve"> </v>
      </c>
      <c r="J181" s="276" t="str">
        <f t="shared" si="57"/>
        <v xml:space="preserve"> </v>
      </c>
      <c r="K181" s="363" t="str">
        <f t="shared" si="63"/>
        <v xml:space="preserve"> </v>
      </c>
      <c r="L181" s="363" t="str">
        <f t="shared" si="64"/>
        <v xml:space="preserve"> </v>
      </c>
      <c r="M181" s="445"/>
      <c r="N181" s="293" t="str">
        <f t="shared" si="48"/>
        <v xml:space="preserve"> </v>
      </c>
      <c r="O181" s="293" t="str">
        <f t="shared" si="49"/>
        <v xml:space="preserve"> </v>
      </c>
      <c r="P181" s="293" t="str">
        <f t="shared" si="50"/>
        <v xml:space="preserve"> </v>
      </c>
      <c r="Q181" s="294" t="str">
        <f t="shared" si="51"/>
        <v xml:space="preserve"> </v>
      </c>
      <c r="R181" s="295" t="str">
        <f t="shared" si="52"/>
        <v xml:space="preserve"> </v>
      </c>
      <c r="S181" s="295" t="str">
        <f t="shared" si="53"/>
        <v xml:space="preserve"> </v>
      </c>
      <c r="T181" s="295" t="str">
        <f>IF(A181="N/A"," ",(IF(MONTH(A181)&gt;=4,IF(MONTH(A181)&lt;=10,Inputs!$H$2,Inputs!$H$3),Inputs!$H$3)))</f>
        <v xml:space="preserve"> </v>
      </c>
      <c r="U181" s="463" t="str">
        <f t="shared" si="58"/>
        <v xml:space="preserve"> </v>
      </c>
      <c r="AF181" s="205">
        <v>41944</v>
      </c>
      <c r="AG181" s="194">
        <v>19</v>
      </c>
      <c r="AH181" s="194">
        <v>5</v>
      </c>
      <c r="AI181" s="194">
        <v>6</v>
      </c>
      <c r="AJ181" s="194">
        <v>1</v>
      </c>
      <c r="AK181" s="194">
        <v>30</v>
      </c>
    </row>
    <row r="182" spans="1:37">
      <c r="A182" s="176" t="str">
        <f>Calculations!A149</f>
        <v>N/A</v>
      </c>
      <c r="B182" s="201" t="str">
        <f t="shared" si="59"/>
        <v xml:space="preserve"> </v>
      </c>
      <c r="C182" s="203" t="str">
        <f t="shared" si="47"/>
        <v xml:space="preserve"> </v>
      </c>
      <c r="D182" s="202" t="str">
        <f t="shared" si="54"/>
        <v xml:space="preserve"> </v>
      </c>
      <c r="E182" s="201" t="str">
        <f t="shared" si="60"/>
        <v xml:space="preserve"> </v>
      </c>
      <c r="F182" s="202" t="str">
        <f t="shared" si="55"/>
        <v xml:space="preserve"> </v>
      </c>
      <c r="G182" s="201" t="str">
        <f t="shared" si="61"/>
        <v xml:space="preserve"> </v>
      </c>
      <c r="H182" s="202" t="str">
        <f t="shared" si="56"/>
        <v xml:space="preserve"> </v>
      </c>
      <c r="I182" s="202" t="str">
        <f t="shared" si="62"/>
        <v xml:space="preserve"> </v>
      </c>
      <c r="J182" s="276" t="str">
        <f t="shared" si="57"/>
        <v xml:space="preserve"> </v>
      </c>
      <c r="K182" s="363" t="str">
        <f t="shared" si="63"/>
        <v xml:space="preserve"> </v>
      </c>
      <c r="L182" s="363" t="str">
        <f t="shared" si="64"/>
        <v xml:space="preserve"> </v>
      </c>
      <c r="M182" s="445"/>
      <c r="N182" s="293" t="str">
        <f t="shared" si="48"/>
        <v xml:space="preserve"> </v>
      </c>
      <c r="O182" s="293" t="str">
        <f t="shared" si="49"/>
        <v xml:space="preserve"> </v>
      </c>
      <c r="P182" s="293" t="str">
        <f t="shared" si="50"/>
        <v xml:space="preserve"> </v>
      </c>
      <c r="Q182" s="294" t="str">
        <f t="shared" si="51"/>
        <v xml:space="preserve"> </v>
      </c>
      <c r="R182" s="295" t="str">
        <f t="shared" si="52"/>
        <v xml:space="preserve"> </v>
      </c>
      <c r="S182" s="295" t="str">
        <f t="shared" si="53"/>
        <v xml:space="preserve"> </v>
      </c>
      <c r="T182" s="295" t="str">
        <f>IF(A182="N/A"," ",(IF(MONTH(A182)&gt;=4,IF(MONTH(A182)&lt;=10,Inputs!$H$2,Inputs!$H$3),Inputs!$H$3)))</f>
        <v xml:space="preserve"> </v>
      </c>
      <c r="U182" s="463" t="str">
        <f t="shared" si="58"/>
        <v xml:space="preserve"> </v>
      </c>
      <c r="AF182" s="205">
        <v>41974</v>
      </c>
      <c r="AG182" s="194">
        <v>22</v>
      </c>
      <c r="AH182" s="194">
        <v>4</v>
      </c>
      <c r="AI182" s="194">
        <v>5</v>
      </c>
      <c r="AJ182" s="194">
        <v>1</v>
      </c>
      <c r="AK182" s="194">
        <v>31</v>
      </c>
    </row>
    <row r="183" spans="1:37">
      <c r="A183" s="176" t="str">
        <f>Calculations!A150</f>
        <v>N/A</v>
      </c>
      <c r="B183" s="201" t="str">
        <f t="shared" si="59"/>
        <v xml:space="preserve"> </v>
      </c>
      <c r="C183" s="203" t="str">
        <f t="shared" si="47"/>
        <v xml:space="preserve"> </v>
      </c>
      <c r="D183" s="202" t="str">
        <f t="shared" si="54"/>
        <v xml:space="preserve"> </v>
      </c>
      <c r="E183" s="201" t="str">
        <f t="shared" si="60"/>
        <v xml:space="preserve"> </v>
      </c>
      <c r="F183" s="202" t="str">
        <f t="shared" si="55"/>
        <v xml:space="preserve"> </v>
      </c>
      <c r="G183" s="201" t="str">
        <f t="shared" si="61"/>
        <v xml:space="preserve"> </v>
      </c>
      <c r="H183" s="202" t="str">
        <f t="shared" si="56"/>
        <v xml:space="preserve"> </v>
      </c>
      <c r="I183" s="202" t="str">
        <f t="shared" si="62"/>
        <v xml:space="preserve"> </v>
      </c>
      <c r="J183" s="276" t="str">
        <f t="shared" si="57"/>
        <v xml:space="preserve"> </v>
      </c>
      <c r="K183" s="363" t="str">
        <f t="shared" si="63"/>
        <v xml:space="preserve"> </v>
      </c>
      <c r="L183" s="363" t="str">
        <f t="shared" si="64"/>
        <v xml:space="preserve"> </v>
      </c>
      <c r="M183" s="445"/>
      <c r="N183" s="293" t="str">
        <f t="shared" si="48"/>
        <v xml:space="preserve"> </v>
      </c>
      <c r="O183" s="293" t="str">
        <f t="shared" si="49"/>
        <v xml:space="preserve"> </v>
      </c>
      <c r="P183" s="293" t="str">
        <f t="shared" si="50"/>
        <v xml:space="preserve"> </v>
      </c>
      <c r="Q183" s="294" t="str">
        <f t="shared" si="51"/>
        <v xml:space="preserve"> </v>
      </c>
      <c r="R183" s="295" t="str">
        <f t="shared" si="52"/>
        <v xml:space="preserve"> </v>
      </c>
      <c r="S183" s="295" t="str">
        <f t="shared" si="53"/>
        <v xml:space="preserve"> </v>
      </c>
      <c r="T183" s="295" t="str">
        <f>IF(A183="N/A"," ",(IF(MONTH(A183)&gt;=4,IF(MONTH(A183)&lt;=10,Inputs!$H$2,Inputs!$H$3),Inputs!$H$3)))</f>
        <v xml:space="preserve"> </v>
      </c>
      <c r="U183" s="463" t="str">
        <f t="shared" si="58"/>
        <v xml:space="preserve"> </v>
      </c>
      <c r="AF183" s="205">
        <v>42005</v>
      </c>
      <c r="AG183" s="194">
        <v>21</v>
      </c>
      <c r="AH183" s="194">
        <v>5</v>
      </c>
      <c r="AI183" s="194">
        <v>5</v>
      </c>
      <c r="AJ183" s="194">
        <v>1</v>
      </c>
      <c r="AK183" s="194">
        <v>31</v>
      </c>
    </row>
    <row r="184" spans="1:37">
      <c r="A184" s="176" t="str">
        <f>Calculations!A151</f>
        <v>N/A</v>
      </c>
      <c r="B184" s="201" t="str">
        <f t="shared" si="59"/>
        <v xml:space="preserve"> </v>
      </c>
      <c r="C184" s="203" t="str">
        <f t="shared" si="47"/>
        <v xml:space="preserve"> </v>
      </c>
      <c r="D184" s="202" t="str">
        <f t="shared" si="54"/>
        <v xml:space="preserve"> </v>
      </c>
      <c r="E184" s="201" t="str">
        <f t="shared" si="60"/>
        <v xml:space="preserve"> </v>
      </c>
      <c r="F184" s="202" t="str">
        <f t="shared" si="55"/>
        <v xml:space="preserve"> </v>
      </c>
      <c r="G184" s="201" t="str">
        <f t="shared" si="61"/>
        <v xml:space="preserve"> </v>
      </c>
      <c r="H184" s="202" t="str">
        <f t="shared" si="56"/>
        <v xml:space="preserve"> </v>
      </c>
      <c r="I184" s="202" t="str">
        <f t="shared" si="62"/>
        <v xml:space="preserve"> </v>
      </c>
      <c r="J184" s="276" t="str">
        <f t="shared" si="57"/>
        <v xml:space="preserve"> </v>
      </c>
      <c r="K184" s="363" t="str">
        <f t="shared" si="63"/>
        <v xml:space="preserve"> </v>
      </c>
      <c r="L184" s="363" t="str">
        <f t="shared" si="64"/>
        <v xml:space="preserve"> </v>
      </c>
      <c r="M184" s="445"/>
      <c r="N184" s="293" t="str">
        <f t="shared" si="48"/>
        <v xml:space="preserve"> </v>
      </c>
      <c r="O184" s="293" t="str">
        <f t="shared" si="49"/>
        <v xml:space="preserve"> </v>
      </c>
      <c r="P184" s="293" t="str">
        <f t="shared" si="50"/>
        <v xml:space="preserve"> </v>
      </c>
      <c r="Q184" s="294" t="str">
        <f t="shared" si="51"/>
        <v xml:space="preserve"> </v>
      </c>
      <c r="R184" s="295" t="str">
        <f t="shared" si="52"/>
        <v xml:space="preserve"> </v>
      </c>
      <c r="S184" s="295" t="str">
        <f t="shared" si="53"/>
        <v xml:space="preserve"> </v>
      </c>
      <c r="T184" s="295" t="str">
        <f>IF(A184="N/A"," ",(IF(MONTH(A184)&gt;=4,IF(MONTH(A184)&lt;=10,Inputs!$H$2,Inputs!$H$3),Inputs!$H$3)))</f>
        <v xml:space="preserve"> </v>
      </c>
      <c r="U184" s="463" t="str">
        <f t="shared" si="58"/>
        <v xml:space="preserve"> </v>
      </c>
      <c r="AF184" s="205">
        <v>42036</v>
      </c>
      <c r="AG184" s="194">
        <v>20</v>
      </c>
      <c r="AH184" s="194">
        <v>4</v>
      </c>
      <c r="AI184" s="194">
        <v>4</v>
      </c>
      <c r="AJ184" s="194">
        <v>0</v>
      </c>
      <c r="AK184" s="194">
        <v>28</v>
      </c>
    </row>
    <row r="185" spans="1:37">
      <c r="A185" s="176" t="str">
        <f>Calculations!A152</f>
        <v>N/A</v>
      </c>
      <c r="B185" s="201" t="str">
        <f t="shared" si="59"/>
        <v xml:space="preserve"> </v>
      </c>
      <c r="C185" s="203" t="str">
        <f t="shared" si="47"/>
        <v xml:space="preserve"> </v>
      </c>
      <c r="D185" s="202" t="str">
        <f t="shared" si="54"/>
        <v xml:space="preserve"> </v>
      </c>
      <c r="E185" s="201" t="str">
        <f t="shared" si="60"/>
        <v xml:space="preserve"> </v>
      </c>
      <c r="F185" s="202" t="str">
        <f t="shared" si="55"/>
        <v xml:space="preserve"> </v>
      </c>
      <c r="G185" s="201" t="str">
        <f t="shared" si="61"/>
        <v xml:space="preserve"> </v>
      </c>
      <c r="H185" s="202" t="str">
        <f t="shared" si="56"/>
        <v xml:space="preserve"> </v>
      </c>
      <c r="I185" s="202" t="str">
        <f t="shared" si="62"/>
        <v xml:space="preserve"> </v>
      </c>
      <c r="J185" s="276" t="str">
        <f t="shared" si="57"/>
        <v xml:space="preserve"> </v>
      </c>
      <c r="K185" s="363" t="str">
        <f t="shared" si="63"/>
        <v xml:space="preserve"> </v>
      </c>
      <c r="L185" s="363" t="str">
        <f t="shared" si="64"/>
        <v xml:space="preserve"> </v>
      </c>
      <c r="M185" s="445"/>
      <c r="N185" s="293" t="str">
        <f t="shared" si="48"/>
        <v xml:space="preserve"> </v>
      </c>
      <c r="O185" s="293" t="str">
        <f t="shared" si="49"/>
        <v xml:space="preserve"> </v>
      </c>
      <c r="P185" s="293" t="str">
        <f t="shared" si="50"/>
        <v xml:space="preserve"> </v>
      </c>
      <c r="Q185" s="294" t="str">
        <f t="shared" si="51"/>
        <v xml:space="preserve"> </v>
      </c>
      <c r="R185" s="295" t="str">
        <f t="shared" si="52"/>
        <v xml:space="preserve"> </v>
      </c>
      <c r="S185" s="295" t="str">
        <f t="shared" si="53"/>
        <v xml:space="preserve"> </v>
      </c>
      <c r="T185" s="295" t="str">
        <f>IF(A185="N/A"," ",(IF(MONTH(A185)&gt;=4,IF(MONTH(A185)&lt;=10,Inputs!$H$2,Inputs!$H$3),Inputs!$H$3)))</f>
        <v xml:space="preserve"> </v>
      </c>
      <c r="U185" s="463" t="str">
        <f t="shared" si="58"/>
        <v xml:space="preserve"> </v>
      </c>
      <c r="AF185" s="205">
        <v>42064</v>
      </c>
      <c r="AG185" s="194">
        <v>22</v>
      </c>
      <c r="AH185" s="194">
        <v>4</v>
      </c>
      <c r="AI185" s="194">
        <v>5</v>
      </c>
      <c r="AJ185" s="194">
        <v>0</v>
      </c>
      <c r="AK185" s="194">
        <v>31</v>
      </c>
    </row>
    <row r="186" spans="1:37">
      <c r="A186" s="176" t="str">
        <f>Calculations!A153</f>
        <v>N/A</v>
      </c>
      <c r="B186" s="201" t="str">
        <f t="shared" si="59"/>
        <v xml:space="preserve"> </v>
      </c>
      <c r="C186" s="203" t="str">
        <f t="shared" si="47"/>
        <v xml:space="preserve"> </v>
      </c>
      <c r="D186" s="202" t="str">
        <f t="shared" si="54"/>
        <v xml:space="preserve"> </v>
      </c>
      <c r="E186" s="201" t="str">
        <f t="shared" si="60"/>
        <v xml:space="preserve"> </v>
      </c>
      <c r="F186" s="202" t="str">
        <f t="shared" si="55"/>
        <v xml:space="preserve"> </v>
      </c>
      <c r="G186" s="201" t="str">
        <f t="shared" si="61"/>
        <v xml:space="preserve"> </v>
      </c>
      <c r="H186" s="202" t="str">
        <f t="shared" si="56"/>
        <v xml:space="preserve"> </v>
      </c>
      <c r="I186" s="202" t="str">
        <f t="shared" si="62"/>
        <v xml:space="preserve"> </v>
      </c>
      <c r="J186" s="276" t="str">
        <f t="shared" si="57"/>
        <v xml:space="preserve"> </v>
      </c>
      <c r="K186" s="363" t="str">
        <f t="shared" si="63"/>
        <v xml:space="preserve"> </v>
      </c>
      <c r="L186" s="363" t="str">
        <f t="shared" si="64"/>
        <v xml:space="preserve"> </v>
      </c>
      <c r="M186" s="445"/>
      <c r="N186" s="293" t="str">
        <f t="shared" si="48"/>
        <v xml:space="preserve"> </v>
      </c>
      <c r="O186" s="293" t="str">
        <f t="shared" si="49"/>
        <v xml:space="preserve"> </v>
      </c>
      <c r="P186" s="293" t="str">
        <f t="shared" si="50"/>
        <v xml:space="preserve"> </v>
      </c>
      <c r="Q186" s="294" t="str">
        <f t="shared" si="51"/>
        <v xml:space="preserve"> </v>
      </c>
      <c r="R186" s="295" t="str">
        <f t="shared" si="52"/>
        <v xml:space="preserve"> </v>
      </c>
      <c r="S186" s="295" t="str">
        <f t="shared" si="53"/>
        <v xml:space="preserve"> </v>
      </c>
      <c r="T186" s="295" t="str">
        <f>IF(A186="N/A"," ",(IF(MONTH(A186)&gt;=4,IF(MONTH(A186)&lt;=10,Inputs!$H$2,Inputs!$H$3),Inputs!$H$3)))</f>
        <v xml:space="preserve"> </v>
      </c>
      <c r="U186" s="463" t="str">
        <f t="shared" si="58"/>
        <v xml:space="preserve"> </v>
      </c>
      <c r="AF186" s="205">
        <v>42095</v>
      </c>
      <c r="AG186" s="194">
        <v>22</v>
      </c>
      <c r="AH186" s="194">
        <v>4</v>
      </c>
      <c r="AI186" s="194">
        <v>4</v>
      </c>
      <c r="AJ186" s="194">
        <v>0</v>
      </c>
      <c r="AK186" s="194">
        <v>30</v>
      </c>
    </row>
    <row r="187" spans="1:37">
      <c r="A187" s="176" t="str">
        <f>Calculations!A154</f>
        <v>N/A</v>
      </c>
      <c r="B187" s="201" t="str">
        <f t="shared" si="59"/>
        <v xml:space="preserve"> </v>
      </c>
      <c r="C187" s="203" t="str">
        <f t="shared" si="47"/>
        <v xml:space="preserve"> </v>
      </c>
      <c r="D187" s="202" t="str">
        <f t="shared" si="54"/>
        <v xml:space="preserve"> </v>
      </c>
      <c r="E187" s="201" t="str">
        <f t="shared" si="60"/>
        <v xml:space="preserve"> </v>
      </c>
      <c r="F187" s="202" t="str">
        <f t="shared" si="55"/>
        <v xml:space="preserve"> </v>
      </c>
      <c r="G187" s="201" t="str">
        <f t="shared" si="61"/>
        <v xml:space="preserve"> </v>
      </c>
      <c r="H187" s="202" t="str">
        <f t="shared" si="56"/>
        <v xml:space="preserve"> </v>
      </c>
      <c r="I187" s="202" t="str">
        <f t="shared" si="62"/>
        <v xml:space="preserve"> </v>
      </c>
      <c r="J187" s="276" t="str">
        <f t="shared" si="57"/>
        <v xml:space="preserve"> </v>
      </c>
      <c r="K187" s="363" t="str">
        <f t="shared" si="63"/>
        <v xml:space="preserve"> </v>
      </c>
      <c r="L187" s="363" t="str">
        <f t="shared" si="64"/>
        <v xml:space="preserve"> </v>
      </c>
      <c r="M187" s="445"/>
      <c r="N187" s="293" t="str">
        <f t="shared" si="48"/>
        <v xml:space="preserve"> </v>
      </c>
      <c r="O187" s="293" t="str">
        <f t="shared" si="49"/>
        <v xml:space="preserve"> </v>
      </c>
      <c r="P187" s="293" t="str">
        <f t="shared" si="50"/>
        <v xml:space="preserve"> </v>
      </c>
      <c r="Q187" s="294" t="str">
        <f t="shared" si="51"/>
        <v xml:space="preserve"> </v>
      </c>
      <c r="R187" s="295" t="str">
        <f t="shared" si="52"/>
        <v xml:space="preserve"> </v>
      </c>
      <c r="S187" s="295" t="str">
        <f t="shared" si="53"/>
        <v xml:space="preserve"> </v>
      </c>
      <c r="T187" s="295" t="str">
        <f>IF(A187="N/A"," ",(IF(MONTH(A187)&gt;=4,IF(MONTH(A187)&lt;=10,Inputs!$H$2,Inputs!$H$3),Inputs!$H$3)))</f>
        <v xml:space="preserve"> </v>
      </c>
      <c r="U187" s="463" t="str">
        <f t="shared" si="58"/>
        <v xml:space="preserve"> </v>
      </c>
      <c r="AF187" s="205">
        <v>42125</v>
      </c>
      <c r="AG187" s="194">
        <v>20</v>
      </c>
      <c r="AH187" s="194">
        <v>5</v>
      </c>
      <c r="AI187" s="194">
        <v>6</v>
      </c>
      <c r="AJ187" s="194">
        <v>1</v>
      </c>
      <c r="AK187" s="194">
        <v>31</v>
      </c>
    </row>
    <row r="188" spans="1:37">
      <c r="A188" s="176" t="str">
        <f>Calculations!A155</f>
        <v>N/A</v>
      </c>
      <c r="B188" s="201" t="str">
        <f t="shared" si="59"/>
        <v xml:space="preserve"> </v>
      </c>
      <c r="C188" s="203" t="str">
        <f t="shared" si="47"/>
        <v xml:space="preserve"> </v>
      </c>
      <c r="D188" s="202" t="str">
        <f t="shared" si="54"/>
        <v xml:space="preserve"> </v>
      </c>
      <c r="E188" s="201" t="str">
        <f t="shared" si="60"/>
        <v xml:space="preserve"> </v>
      </c>
      <c r="F188" s="202" t="str">
        <f t="shared" si="55"/>
        <v xml:space="preserve"> </v>
      </c>
      <c r="G188" s="201" t="str">
        <f t="shared" si="61"/>
        <v xml:space="preserve"> </v>
      </c>
      <c r="H188" s="202" t="str">
        <f t="shared" si="56"/>
        <v xml:space="preserve"> </v>
      </c>
      <c r="I188" s="202" t="str">
        <f t="shared" si="62"/>
        <v xml:space="preserve"> </v>
      </c>
      <c r="J188" s="276" t="str">
        <f t="shared" si="57"/>
        <v xml:space="preserve"> </v>
      </c>
      <c r="K188" s="363" t="str">
        <f t="shared" si="63"/>
        <v xml:space="preserve"> </v>
      </c>
      <c r="L188" s="363" t="str">
        <f t="shared" si="64"/>
        <v xml:space="preserve"> </v>
      </c>
      <c r="M188" s="445"/>
      <c r="N188" s="293" t="str">
        <f t="shared" si="48"/>
        <v xml:space="preserve"> </v>
      </c>
      <c r="O188" s="293" t="str">
        <f t="shared" si="49"/>
        <v xml:space="preserve"> </v>
      </c>
      <c r="P188" s="293" t="str">
        <f t="shared" si="50"/>
        <v xml:space="preserve"> </v>
      </c>
      <c r="Q188" s="294" t="str">
        <f t="shared" si="51"/>
        <v xml:space="preserve"> </v>
      </c>
      <c r="R188" s="295" t="str">
        <f t="shared" si="52"/>
        <v xml:space="preserve"> </v>
      </c>
      <c r="S188" s="295" t="str">
        <f t="shared" si="53"/>
        <v xml:space="preserve"> </v>
      </c>
      <c r="T188" s="295" t="str">
        <f>IF(A188="N/A"," ",(IF(MONTH(A188)&gt;=4,IF(MONTH(A188)&lt;=10,Inputs!$H$2,Inputs!$H$3),Inputs!$H$3)))</f>
        <v xml:space="preserve"> </v>
      </c>
      <c r="U188" s="463" t="str">
        <f t="shared" si="58"/>
        <v xml:space="preserve"> </v>
      </c>
      <c r="AF188" s="205">
        <v>42156</v>
      </c>
      <c r="AG188" s="194">
        <v>22</v>
      </c>
      <c r="AH188" s="194">
        <v>4</v>
      </c>
      <c r="AI188" s="194">
        <v>4</v>
      </c>
      <c r="AJ188" s="194">
        <v>0</v>
      </c>
      <c r="AK188" s="194">
        <v>30</v>
      </c>
    </row>
    <row r="189" spans="1:37">
      <c r="A189" s="176" t="str">
        <f>Calculations!A156</f>
        <v>N/A</v>
      </c>
      <c r="B189" s="201" t="str">
        <f t="shared" si="59"/>
        <v xml:space="preserve"> </v>
      </c>
      <c r="C189" s="203" t="str">
        <f t="shared" si="47"/>
        <v xml:space="preserve"> </v>
      </c>
      <c r="D189" s="202" t="str">
        <f t="shared" si="54"/>
        <v xml:space="preserve"> </v>
      </c>
      <c r="E189" s="201" t="str">
        <f t="shared" si="60"/>
        <v xml:space="preserve"> </v>
      </c>
      <c r="F189" s="202" t="str">
        <f t="shared" si="55"/>
        <v xml:space="preserve"> </v>
      </c>
      <c r="G189" s="201" t="str">
        <f t="shared" si="61"/>
        <v xml:space="preserve"> </v>
      </c>
      <c r="H189" s="202" t="str">
        <f t="shared" si="56"/>
        <v xml:space="preserve"> </v>
      </c>
      <c r="I189" s="202" t="str">
        <f t="shared" si="62"/>
        <v xml:space="preserve"> </v>
      </c>
      <c r="J189" s="276" t="str">
        <f t="shared" si="57"/>
        <v xml:space="preserve"> </v>
      </c>
      <c r="K189" s="363" t="str">
        <f t="shared" si="63"/>
        <v xml:space="preserve"> </v>
      </c>
      <c r="L189" s="363" t="str">
        <f t="shared" si="64"/>
        <v xml:space="preserve"> </v>
      </c>
      <c r="M189" s="445"/>
      <c r="N189" s="293" t="str">
        <f t="shared" si="48"/>
        <v xml:space="preserve"> </v>
      </c>
      <c r="O189" s="293" t="str">
        <f t="shared" si="49"/>
        <v xml:space="preserve"> </v>
      </c>
      <c r="P189" s="293" t="str">
        <f t="shared" si="50"/>
        <v xml:space="preserve"> </v>
      </c>
      <c r="Q189" s="294" t="str">
        <f t="shared" si="51"/>
        <v xml:space="preserve"> </v>
      </c>
      <c r="R189" s="295" t="str">
        <f t="shared" si="52"/>
        <v xml:space="preserve"> </v>
      </c>
      <c r="S189" s="295" t="str">
        <f t="shared" si="53"/>
        <v xml:space="preserve"> </v>
      </c>
      <c r="T189" s="295" t="str">
        <f>IF(A189="N/A"," ",(IF(MONTH(A189)&gt;=4,IF(MONTH(A189)&lt;=10,Inputs!$H$2,Inputs!$H$3),Inputs!$H$3)))</f>
        <v xml:space="preserve"> </v>
      </c>
      <c r="U189" s="463" t="str">
        <f t="shared" si="58"/>
        <v xml:space="preserve"> </v>
      </c>
      <c r="AF189" s="205">
        <v>42186</v>
      </c>
      <c r="AG189" s="194">
        <v>23</v>
      </c>
      <c r="AH189" s="194">
        <v>3</v>
      </c>
      <c r="AI189" s="194">
        <v>5</v>
      </c>
      <c r="AJ189" s="194">
        <v>1</v>
      </c>
      <c r="AK189" s="194">
        <v>31</v>
      </c>
    </row>
    <row r="190" spans="1:37">
      <c r="A190" s="176" t="str">
        <f>Calculations!A157</f>
        <v>N/A</v>
      </c>
      <c r="B190" s="201" t="str">
        <f t="shared" si="59"/>
        <v xml:space="preserve"> </v>
      </c>
      <c r="C190" s="203" t="str">
        <f t="shared" si="47"/>
        <v xml:space="preserve"> </v>
      </c>
      <c r="D190" s="202" t="str">
        <f t="shared" si="54"/>
        <v xml:space="preserve"> </v>
      </c>
      <c r="E190" s="201" t="str">
        <f t="shared" si="60"/>
        <v xml:space="preserve"> </v>
      </c>
      <c r="F190" s="202" t="str">
        <f t="shared" si="55"/>
        <v xml:space="preserve"> </v>
      </c>
      <c r="G190" s="201" t="str">
        <f t="shared" si="61"/>
        <v xml:space="preserve"> </v>
      </c>
      <c r="H190" s="202" t="str">
        <f t="shared" si="56"/>
        <v xml:space="preserve"> </v>
      </c>
      <c r="I190" s="202" t="str">
        <f t="shared" si="62"/>
        <v xml:space="preserve"> </v>
      </c>
      <c r="J190" s="276" t="str">
        <f t="shared" si="57"/>
        <v xml:space="preserve"> </v>
      </c>
      <c r="K190" s="363" t="str">
        <f t="shared" si="63"/>
        <v xml:space="preserve"> </v>
      </c>
      <c r="L190" s="363" t="str">
        <f t="shared" si="64"/>
        <v xml:space="preserve"> </v>
      </c>
      <c r="M190" s="445"/>
      <c r="N190" s="293" t="str">
        <f t="shared" si="48"/>
        <v xml:space="preserve"> </v>
      </c>
      <c r="O190" s="293" t="str">
        <f t="shared" si="49"/>
        <v xml:space="preserve"> </v>
      </c>
      <c r="P190" s="293" t="str">
        <f t="shared" si="50"/>
        <v xml:space="preserve"> </v>
      </c>
      <c r="Q190" s="294" t="str">
        <f t="shared" si="51"/>
        <v xml:space="preserve"> </v>
      </c>
      <c r="R190" s="295" t="str">
        <f t="shared" si="52"/>
        <v xml:space="preserve"> </v>
      </c>
      <c r="S190" s="295" t="str">
        <f t="shared" si="53"/>
        <v xml:space="preserve"> </v>
      </c>
      <c r="T190" s="295" t="str">
        <f>IF(A190="N/A"," ",(IF(MONTH(A190)&gt;=4,IF(MONTH(A190)&lt;=10,Inputs!$H$2,Inputs!$H$3),Inputs!$H$3)))</f>
        <v xml:space="preserve"> </v>
      </c>
      <c r="U190" s="463" t="str">
        <f t="shared" si="58"/>
        <v xml:space="preserve"> </v>
      </c>
      <c r="AF190" s="205">
        <v>42217</v>
      </c>
      <c r="AG190" s="194">
        <v>21</v>
      </c>
      <c r="AH190" s="194">
        <v>5</v>
      </c>
      <c r="AI190" s="194">
        <v>5</v>
      </c>
      <c r="AJ190" s="194">
        <v>0</v>
      </c>
      <c r="AK190" s="194">
        <v>31</v>
      </c>
    </row>
    <row r="191" spans="1:37">
      <c r="A191" s="176" t="str">
        <f>Calculations!A158</f>
        <v>N/A</v>
      </c>
      <c r="B191" s="201" t="str">
        <f t="shared" si="59"/>
        <v xml:space="preserve"> </v>
      </c>
      <c r="C191" s="203" t="str">
        <f t="shared" si="47"/>
        <v xml:space="preserve"> </v>
      </c>
      <c r="D191" s="202" t="str">
        <f t="shared" si="54"/>
        <v xml:space="preserve"> </v>
      </c>
      <c r="E191" s="201" t="str">
        <f t="shared" si="60"/>
        <v xml:space="preserve"> </v>
      </c>
      <c r="F191" s="202" t="str">
        <f t="shared" si="55"/>
        <v xml:space="preserve"> </v>
      </c>
      <c r="G191" s="201" t="str">
        <f t="shared" si="61"/>
        <v xml:space="preserve"> </v>
      </c>
      <c r="H191" s="202" t="str">
        <f t="shared" si="56"/>
        <v xml:space="preserve"> </v>
      </c>
      <c r="I191" s="202" t="str">
        <f t="shared" si="62"/>
        <v xml:space="preserve"> </v>
      </c>
      <c r="J191" s="276" t="str">
        <f t="shared" si="57"/>
        <v xml:space="preserve"> </v>
      </c>
      <c r="K191" s="363" t="str">
        <f t="shared" si="63"/>
        <v xml:space="preserve"> </v>
      </c>
      <c r="L191" s="363" t="str">
        <f t="shared" si="64"/>
        <v xml:space="preserve"> </v>
      </c>
      <c r="M191" s="445"/>
      <c r="N191" s="293" t="str">
        <f t="shared" si="48"/>
        <v xml:space="preserve"> </v>
      </c>
      <c r="O191" s="293" t="str">
        <f t="shared" si="49"/>
        <v xml:space="preserve"> </v>
      </c>
      <c r="P191" s="293" t="str">
        <f t="shared" si="50"/>
        <v xml:space="preserve"> </v>
      </c>
      <c r="Q191" s="294" t="str">
        <f t="shared" si="51"/>
        <v xml:space="preserve"> </v>
      </c>
      <c r="R191" s="295" t="str">
        <f t="shared" si="52"/>
        <v xml:space="preserve"> </v>
      </c>
      <c r="S191" s="295" t="str">
        <f t="shared" si="53"/>
        <v xml:space="preserve"> </v>
      </c>
      <c r="T191" s="295" t="str">
        <f>IF(A191="N/A"," ",(IF(MONTH(A191)&gt;=4,IF(MONTH(A191)&lt;=10,Inputs!$H$2,Inputs!$H$3),Inputs!$H$3)))</f>
        <v xml:space="preserve"> </v>
      </c>
      <c r="U191" s="463" t="str">
        <f t="shared" si="58"/>
        <v xml:space="preserve"> </v>
      </c>
      <c r="AF191" s="205">
        <v>42248</v>
      </c>
      <c r="AG191" s="194">
        <v>21</v>
      </c>
      <c r="AH191" s="194">
        <v>4</v>
      </c>
      <c r="AI191" s="194">
        <v>5</v>
      </c>
      <c r="AJ191" s="194">
        <v>1</v>
      </c>
      <c r="AK191" s="194">
        <v>30</v>
      </c>
    </row>
    <row r="192" spans="1:37">
      <c r="A192" s="176" t="str">
        <f>Calculations!A159</f>
        <v>N/A</v>
      </c>
      <c r="B192" s="201" t="str">
        <f t="shared" si="59"/>
        <v xml:space="preserve"> </v>
      </c>
      <c r="C192" s="203" t="str">
        <f t="shared" si="47"/>
        <v xml:space="preserve"> </v>
      </c>
      <c r="D192" s="202" t="str">
        <f t="shared" si="54"/>
        <v xml:space="preserve"> </v>
      </c>
      <c r="E192" s="201" t="str">
        <f t="shared" si="60"/>
        <v xml:space="preserve"> </v>
      </c>
      <c r="F192" s="202" t="str">
        <f t="shared" si="55"/>
        <v xml:space="preserve"> </v>
      </c>
      <c r="G192" s="201" t="str">
        <f t="shared" si="61"/>
        <v xml:space="preserve"> </v>
      </c>
      <c r="H192" s="202" t="str">
        <f t="shared" si="56"/>
        <v xml:space="preserve"> </v>
      </c>
      <c r="I192" s="202" t="str">
        <f t="shared" si="62"/>
        <v xml:space="preserve"> </v>
      </c>
      <c r="J192" s="276" t="str">
        <f t="shared" si="57"/>
        <v xml:space="preserve"> </v>
      </c>
      <c r="K192" s="363" t="str">
        <f t="shared" si="63"/>
        <v xml:space="preserve"> </v>
      </c>
      <c r="L192" s="363" t="str">
        <f t="shared" si="64"/>
        <v xml:space="preserve"> </v>
      </c>
      <c r="M192" s="445"/>
      <c r="N192" s="293" t="str">
        <f t="shared" si="48"/>
        <v xml:space="preserve"> </v>
      </c>
      <c r="O192" s="293" t="str">
        <f t="shared" si="49"/>
        <v xml:space="preserve"> </v>
      </c>
      <c r="P192" s="293" t="str">
        <f t="shared" si="50"/>
        <v xml:space="preserve"> </v>
      </c>
      <c r="Q192" s="294" t="str">
        <f t="shared" si="51"/>
        <v xml:space="preserve"> </v>
      </c>
      <c r="R192" s="295" t="str">
        <f t="shared" si="52"/>
        <v xml:space="preserve"> </v>
      </c>
      <c r="S192" s="295" t="str">
        <f t="shared" si="53"/>
        <v xml:space="preserve"> </v>
      </c>
      <c r="T192" s="295" t="str">
        <f>IF(A192="N/A"," ",(IF(MONTH(A192)&gt;=4,IF(MONTH(A192)&lt;=10,Inputs!$H$2,Inputs!$H$3),Inputs!$H$3)))</f>
        <v xml:space="preserve"> </v>
      </c>
      <c r="U192" s="463" t="str">
        <f t="shared" si="58"/>
        <v xml:space="preserve"> </v>
      </c>
      <c r="AF192" s="205">
        <v>42278</v>
      </c>
      <c r="AG192" s="194">
        <v>22</v>
      </c>
      <c r="AH192" s="194">
        <v>5</v>
      </c>
      <c r="AI192" s="194">
        <v>4</v>
      </c>
      <c r="AJ192" s="194">
        <v>0</v>
      </c>
      <c r="AK192" s="194">
        <v>31</v>
      </c>
    </row>
    <row r="193" spans="1:37">
      <c r="A193" s="176" t="str">
        <f>Calculations!A160</f>
        <v>N/A</v>
      </c>
      <c r="B193" s="201" t="str">
        <f t="shared" si="59"/>
        <v xml:space="preserve"> </v>
      </c>
      <c r="C193" s="203" t="str">
        <f t="shared" si="47"/>
        <v xml:space="preserve"> </v>
      </c>
      <c r="D193" s="202" t="str">
        <f t="shared" si="54"/>
        <v xml:space="preserve"> </v>
      </c>
      <c r="E193" s="201" t="str">
        <f t="shared" si="60"/>
        <v xml:space="preserve"> </v>
      </c>
      <c r="F193" s="202" t="str">
        <f t="shared" si="55"/>
        <v xml:space="preserve"> </v>
      </c>
      <c r="G193" s="201" t="str">
        <f t="shared" si="61"/>
        <v xml:space="preserve"> </v>
      </c>
      <c r="H193" s="202" t="str">
        <f t="shared" si="56"/>
        <v xml:space="preserve"> </v>
      </c>
      <c r="I193" s="202" t="str">
        <f t="shared" si="62"/>
        <v xml:space="preserve"> </v>
      </c>
      <c r="J193" s="276" t="str">
        <f t="shared" si="57"/>
        <v xml:space="preserve"> </v>
      </c>
      <c r="K193" s="363" t="str">
        <f t="shared" si="63"/>
        <v xml:space="preserve"> </v>
      </c>
      <c r="L193" s="363" t="str">
        <f t="shared" si="64"/>
        <v xml:space="preserve"> </v>
      </c>
      <c r="M193" s="445"/>
      <c r="N193" s="293" t="str">
        <f t="shared" si="48"/>
        <v xml:space="preserve"> </v>
      </c>
      <c r="O193" s="293" t="str">
        <f t="shared" si="49"/>
        <v xml:space="preserve"> </v>
      </c>
      <c r="P193" s="293" t="str">
        <f t="shared" si="50"/>
        <v xml:space="preserve"> </v>
      </c>
      <c r="Q193" s="294" t="str">
        <f t="shared" si="51"/>
        <v xml:space="preserve"> </v>
      </c>
      <c r="R193" s="295" t="str">
        <f t="shared" si="52"/>
        <v xml:space="preserve"> </v>
      </c>
      <c r="S193" s="295" t="str">
        <f t="shared" si="53"/>
        <v xml:space="preserve"> </v>
      </c>
      <c r="T193" s="295" t="str">
        <f>IF(A193="N/A"," ",(IF(MONTH(A193)&gt;=4,IF(MONTH(A193)&lt;=10,Inputs!$H$2,Inputs!$H$3),Inputs!$H$3)))</f>
        <v xml:space="preserve"> </v>
      </c>
      <c r="U193" s="463" t="str">
        <f t="shared" si="58"/>
        <v xml:space="preserve"> </v>
      </c>
      <c r="AF193" s="205">
        <v>42309</v>
      </c>
      <c r="AG193" s="194">
        <v>20</v>
      </c>
      <c r="AH193" s="194">
        <v>4</v>
      </c>
      <c r="AI193" s="194">
        <v>6</v>
      </c>
      <c r="AJ193" s="194">
        <v>1</v>
      </c>
      <c r="AK193" s="194">
        <v>30</v>
      </c>
    </row>
    <row r="194" spans="1:37">
      <c r="A194" s="176" t="str">
        <f>Calculations!A161</f>
        <v>N/A</v>
      </c>
      <c r="B194" s="201" t="str">
        <f t="shared" si="59"/>
        <v xml:space="preserve"> </v>
      </c>
      <c r="C194" s="203" t="str">
        <f t="shared" si="47"/>
        <v xml:space="preserve"> </v>
      </c>
      <c r="D194" s="202" t="str">
        <f t="shared" si="54"/>
        <v xml:space="preserve"> </v>
      </c>
      <c r="E194" s="201" t="str">
        <f t="shared" si="60"/>
        <v xml:space="preserve"> </v>
      </c>
      <c r="F194" s="202" t="str">
        <f t="shared" si="55"/>
        <v xml:space="preserve"> </v>
      </c>
      <c r="G194" s="201" t="str">
        <f t="shared" si="61"/>
        <v xml:space="preserve"> </v>
      </c>
      <c r="H194" s="202" t="str">
        <f t="shared" si="56"/>
        <v xml:space="preserve"> </v>
      </c>
      <c r="I194" s="202" t="str">
        <f t="shared" si="62"/>
        <v xml:space="preserve"> </v>
      </c>
      <c r="J194" s="276" t="str">
        <f t="shared" si="57"/>
        <v xml:space="preserve"> </v>
      </c>
      <c r="K194" s="363" t="str">
        <f t="shared" si="63"/>
        <v xml:space="preserve"> </v>
      </c>
      <c r="L194" s="363" t="str">
        <f t="shared" si="64"/>
        <v xml:space="preserve"> </v>
      </c>
      <c r="M194" s="445"/>
      <c r="N194" s="293" t="str">
        <f t="shared" si="48"/>
        <v xml:space="preserve"> </v>
      </c>
      <c r="O194" s="293" t="str">
        <f t="shared" si="49"/>
        <v xml:space="preserve"> </v>
      </c>
      <c r="P194" s="293" t="str">
        <f t="shared" si="50"/>
        <v xml:space="preserve"> </v>
      </c>
      <c r="Q194" s="294" t="str">
        <f t="shared" si="51"/>
        <v xml:space="preserve"> </v>
      </c>
      <c r="R194" s="295" t="str">
        <f t="shared" si="52"/>
        <v xml:space="preserve"> </v>
      </c>
      <c r="S194" s="295" t="str">
        <f t="shared" si="53"/>
        <v xml:space="preserve"> </v>
      </c>
      <c r="T194" s="295" t="str">
        <f>IF(A194="N/A"," ",(IF(MONTH(A194)&gt;=4,IF(MONTH(A194)&lt;=10,Inputs!$H$2,Inputs!$H$3),Inputs!$H$3)))</f>
        <v xml:space="preserve"> </v>
      </c>
      <c r="U194" s="463" t="str">
        <f t="shared" si="58"/>
        <v xml:space="preserve"> </v>
      </c>
      <c r="AF194" s="205">
        <v>42339</v>
      </c>
      <c r="AG194" s="194">
        <v>22</v>
      </c>
      <c r="AH194" s="194">
        <v>4</v>
      </c>
      <c r="AI194" s="194">
        <v>5</v>
      </c>
      <c r="AJ194" s="194">
        <v>1</v>
      </c>
      <c r="AK194" s="194">
        <v>31</v>
      </c>
    </row>
    <row r="195" spans="1:37">
      <c r="A195" s="176" t="str">
        <f>Calculations!A162</f>
        <v>N/A</v>
      </c>
      <c r="B195" s="201" t="str">
        <f t="shared" si="59"/>
        <v xml:space="preserve"> </v>
      </c>
      <c r="C195" s="203" t="str">
        <f t="shared" si="47"/>
        <v xml:space="preserve"> </v>
      </c>
      <c r="D195" s="202" t="str">
        <f t="shared" si="54"/>
        <v xml:space="preserve"> </v>
      </c>
      <c r="E195" s="201" t="str">
        <f t="shared" si="60"/>
        <v xml:space="preserve"> </v>
      </c>
      <c r="F195" s="202" t="str">
        <f t="shared" si="55"/>
        <v xml:space="preserve"> </v>
      </c>
      <c r="G195" s="201" t="str">
        <f t="shared" si="61"/>
        <v xml:space="preserve"> </v>
      </c>
      <c r="H195" s="202" t="str">
        <f t="shared" si="56"/>
        <v xml:space="preserve"> </v>
      </c>
      <c r="I195" s="202" t="str">
        <f t="shared" si="62"/>
        <v xml:space="preserve"> </v>
      </c>
      <c r="J195" s="276" t="str">
        <f t="shared" si="57"/>
        <v xml:space="preserve"> </v>
      </c>
      <c r="K195" s="363" t="str">
        <f t="shared" si="63"/>
        <v xml:space="preserve"> </v>
      </c>
      <c r="L195" s="363" t="str">
        <f t="shared" si="64"/>
        <v xml:space="preserve"> </v>
      </c>
      <c r="M195" s="445"/>
      <c r="N195" s="293" t="str">
        <f t="shared" si="48"/>
        <v xml:space="preserve"> </v>
      </c>
      <c r="O195" s="293" t="str">
        <f t="shared" si="49"/>
        <v xml:space="preserve"> </v>
      </c>
      <c r="P195" s="293" t="str">
        <f t="shared" si="50"/>
        <v xml:space="preserve"> </v>
      </c>
      <c r="Q195" s="294" t="str">
        <f t="shared" si="51"/>
        <v xml:space="preserve"> </v>
      </c>
      <c r="R195" s="295" t="str">
        <f t="shared" si="52"/>
        <v xml:space="preserve"> </v>
      </c>
      <c r="S195" s="295" t="str">
        <f t="shared" si="53"/>
        <v xml:space="preserve"> </v>
      </c>
      <c r="T195" s="295" t="str">
        <f>IF(A195="N/A"," ",(IF(MONTH(A195)&gt;=4,IF(MONTH(A195)&lt;=10,Inputs!$H$2,Inputs!$H$3),Inputs!$H$3)))</f>
        <v xml:space="preserve"> </v>
      </c>
      <c r="U195" s="463" t="str">
        <f t="shared" si="58"/>
        <v xml:space="preserve"> </v>
      </c>
      <c r="AF195" s="205">
        <v>42370</v>
      </c>
      <c r="AG195" s="194">
        <v>20</v>
      </c>
      <c r="AH195" s="194">
        <v>5</v>
      </c>
      <c r="AI195" s="194">
        <v>6</v>
      </c>
      <c r="AJ195" s="194">
        <v>1</v>
      </c>
      <c r="AK195" s="194">
        <v>31</v>
      </c>
    </row>
    <row r="196" spans="1:37">
      <c r="A196" s="176" t="str">
        <f>Calculations!A163</f>
        <v>N/A</v>
      </c>
      <c r="B196" s="201" t="str">
        <f t="shared" si="59"/>
        <v xml:space="preserve"> </v>
      </c>
      <c r="C196" s="203" t="str">
        <f t="shared" si="47"/>
        <v xml:space="preserve"> </v>
      </c>
      <c r="D196" s="202" t="str">
        <f t="shared" si="54"/>
        <v xml:space="preserve"> </v>
      </c>
      <c r="E196" s="201" t="str">
        <f t="shared" si="60"/>
        <v xml:space="preserve"> </v>
      </c>
      <c r="F196" s="202" t="str">
        <f t="shared" si="55"/>
        <v xml:space="preserve"> </v>
      </c>
      <c r="G196" s="201" t="str">
        <f t="shared" si="61"/>
        <v xml:space="preserve"> </v>
      </c>
      <c r="H196" s="202" t="str">
        <f t="shared" si="56"/>
        <v xml:space="preserve"> </v>
      </c>
      <c r="I196" s="202" t="str">
        <f t="shared" si="62"/>
        <v xml:space="preserve"> </v>
      </c>
      <c r="J196" s="276" t="str">
        <f t="shared" si="57"/>
        <v xml:space="preserve"> </v>
      </c>
      <c r="K196" s="363" t="str">
        <f t="shared" si="63"/>
        <v xml:space="preserve"> </v>
      </c>
      <c r="L196" s="363" t="str">
        <f t="shared" si="64"/>
        <v xml:space="preserve"> </v>
      </c>
      <c r="M196" s="445"/>
      <c r="N196" s="293" t="str">
        <f t="shared" si="48"/>
        <v xml:space="preserve"> </v>
      </c>
      <c r="O196" s="293" t="str">
        <f t="shared" si="49"/>
        <v xml:space="preserve"> </v>
      </c>
      <c r="P196" s="293" t="str">
        <f t="shared" si="50"/>
        <v xml:space="preserve"> </v>
      </c>
      <c r="Q196" s="294" t="str">
        <f t="shared" si="51"/>
        <v xml:space="preserve"> </v>
      </c>
      <c r="R196" s="295" t="str">
        <f t="shared" si="52"/>
        <v xml:space="preserve"> </v>
      </c>
      <c r="S196" s="295" t="str">
        <f t="shared" si="53"/>
        <v xml:space="preserve"> </v>
      </c>
      <c r="T196" s="295" t="str">
        <f>IF(A196="N/A"," ",(IF(MONTH(A196)&gt;=4,IF(MONTH(A196)&lt;=10,Inputs!$H$2,Inputs!$H$3),Inputs!$H$3)))</f>
        <v xml:space="preserve"> </v>
      </c>
      <c r="U196" s="463" t="str">
        <f t="shared" si="58"/>
        <v xml:space="preserve"> </v>
      </c>
      <c r="AF196" s="205">
        <v>42401</v>
      </c>
      <c r="AG196" s="194">
        <v>21</v>
      </c>
      <c r="AH196" s="194">
        <v>4</v>
      </c>
      <c r="AI196" s="194">
        <v>4</v>
      </c>
      <c r="AJ196" s="194">
        <v>0</v>
      </c>
      <c r="AK196" s="194">
        <v>29</v>
      </c>
    </row>
    <row r="197" spans="1:37">
      <c r="A197" s="176" t="str">
        <f>Calculations!A164</f>
        <v>N/A</v>
      </c>
      <c r="B197" s="201" t="str">
        <f t="shared" si="59"/>
        <v xml:space="preserve"> </v>
      </c>
      <c r="C197" s="203" t="str">
        <f t="shared" si="47"/>
        <v xml:space="preserve"> </v>
      </c>
      <c r="D197" s="202" t="str">
        <f t="shared" si="54"/>
        <v xml:space="preserve"> </v>
      </c>
      <c r="E197" s="201" t="str">
        <f t="shared" si="60"/>
        <v xml:space="preserve"> </v>
      </c>
      <c r="F197" s="202" t="str">
        <f t="shared" si="55"/>
        <v xml:space="preserve"> </v>
      </c>
      <c r="G197" s="201" t="str">
        <f t="shared" si="61"/>
        <v xml:space="preserve"> </v>
      </c>
      <c r="H197" s="202" t="str">
        <f t="shared" si="56"/>
        <v xml:space="preserve"> </v>
      </c>
      <c r="I197" s="202" t="str">
        <f t="shared" si="62"/>
        <v xml:space="preserve"> </v>
      </c>
      <c r="J197" s="276" t="str">
        <f t="shared" si="57"/>
        <v xml:space="preserve"> </v>
      </c>
      <c r="K197" s="363" t="str">
        <f t="shared" si="63"/>
        <v xml:space="preserve"> </v>
      </c>
      <c r="L197" s="363" t="str">
        <f t="shared" si="64"/>
        <v xml:space="preserve"> </v>
      </c>
      <c r="M197" s="445"/>
      <c r="N197" s="293" t="str">
        <f t="shared" si="48"/>
        <v xml:space="preserve"> </v>
      </c>
      <c r="O197" s="293" t="str">
        <f t="shared" si="49"/>
        <v xml:space="preserve"> </v>
      </c>
      <c r="P197" s="293" t="str">
        <f t="shared" si="50"/>
        <v xml:space="preserve"> </v>
      </c>
      <c r="Q197" s="294" t="str">
        <f t="shared" si="51"/>
        <v xml:space="preserve"> </v>
      </c>
      <c r="R197" s="295" t="str">
        <f t="shared" si="52"/>
        <v xml:space="preserve"> </v>
      </c>
      <c r="S197" s="295" t="str">
        <f t="shared" si="53"/>
        <v xml:space="preserve"> </v>
      </c>
      <c r="T197" s="295" t="str">
        <f>IF(A197="N/A"," ",(IF(MONTH(A197)&gt;=4,IF(MONTH(A197)&lt;=10,Inputs!$H$2,Inputs!$H$3),Inputs!$H$3)))</f>
        <v xml:space="preserve"> </v>
      </c>
      <c r="U197" s="463" t="str">
        <f t="shared" si="58"/>
        <v xml:space="preserve"> </v>
      </c>
      <c r="AF197" s="205">
        <v>42430</v>
      </c>
      <c r="AG197" s="194">
        <v>23</v>
      </c>
      <c r="AH197" s="194">
        <v>4</v>
      </c>
      <c r="AI197" s="194">
        <v>4</v>
      </c>
      <c r="AJ197" s="194">
        <v>0</v>
      </c>
      <c r="AK197" s="194">
        <v>31</v>
      </c>
    </row>
    <row r="198" spans="1:37">
      <c r="A198" s="176" t="str">
        <f>Calculations!A165</f>
        <v>N/A</v>
      </c>
      <c r="B198" s="201" t="str">
        <f t="shared" si="59"/>
        <v xml:space="preserve"> </v>
      </c>
      <c r="C198" s="203" t="str">
        <f t="shared" si="47"/>
        <v xml:space="preserve"> </v>
      </c>
      <c r="D198" s="202" t="str">
        <f t="shared" si="54"/>
        <v xml:space="preserve"> </v>
      </c>
      <c r="E198" s="201" t="str">
        <f t="shared" si="60"/>
        <v xml:space="preserve"> </v>
      </c>
      <c r="F198" s="202" t="str">
        <f t="shared" si="55"/>
        <v xml:space="preserve"> </v>
      </c>
      <c r="G198" s="201" t="str">
        <f t="shared" si="61"/>
        <v xml:space="preserve"> </v>
      </c>
      <c r="H198" s="202" t="str">
        <f t="shared" si="56"/>
        <v xml:space="preserve"> </v>
      </c>
      <c r="I198" s="202" t="str">
        <f t="shared" si="62"/>
        <v xml:space="preserve"> </v>
      </c>
      <c r="J198" s="276" t="str">
        <f t="shared" si="57"/>
        <v xml:space="preserve"> </v>
      </c>
      <c r="K198" s="363" t="str">
        <f t="shared" si="63"/>
        <v xml:space="preserve"> </v>
      </c>
      <c r="L198" s="363" t="str">
        <f t="shared" si="64"/>
        <v xml:space="preserve"> </v>
      </c>
      <c r="M198" s="445"/>
      <c r="N198" s="293" t="str">
        <f t="shared" si="48"/>
        <v xml:space="preserve"> </v>
      </c>
      <c r="O198" s="293" t="str">
        <f t="shared" si="49"/>
        <v xml:space="preserve"> </v>
      </c>
      <c r="P198" s="293" t="str">
        <f t="shared" si="50"/>
        <v xml:space="preserve"> </v>
      </c>
      <c r="Q198" s="294" t="str">
        <f t="shared" si="51"/>
        <v xml:space="preserve"> </v>
      </c>
      <c r="R198" s="295" t="str">
        <f t="shared" si="52"/>
        <v xml:space="preserve"> </v>
      </c>
      <c r="S198" s="295" t="str">
        <f t="shared" si="53"/>
        <v xml:space="preserve"> </v>
      </c>
      <c r="T198" s="295" t="str">
        <f>IF(A198="N/A"," ",(IF(MONTH(A198)&gt;=4,IF(MONTH(A198)&lt;=10,Inputs!$H$2,Inputs!$H$3),Inputs!$H$3)))</f>
        <v xml:space="preserve"> </v>
      </c>
      <c r="U198" s="463" t="str">
        <f t="shared" si="58"/>
        <v xml:space="preserve"> </v>
      </c>
      <c r="AF198" s="205">
        <v>42461</v>
      </c>
      <c r="AG198" s="194">
        <v>21</v>
      </c>
      <c r="AH198" s="194">
        <v>5</v>
      </c>
      <c r="AI198" s="194">
        <v>4</v>
      </c>
      <c r="AJ198" s="194">
        <v>0</v>
      </c>
      <c r="AK198" s="194">
        <v>30</v>
      </c>
    </row>
    <row r="199" spans="1:37">
      <c r="A199" s="176" t="str">
        <f>Calculations!A166</f>
        <v>N/A</v>
      </c>
      <c r="B199" s="201" t="str">
        <f t="shared" si="59"/>
        <v xml:space="preserve"> </v>
      </c>
      <c r="C199" s="203" t="str">
        <f t="shared" si="47"/>
        <v xml:space="preserve"> </v>
      </c>
      <c r="D199" s="202" t="str">
        <f t="shared" si="54"/>
        <v xml:space="preserve"> </v>
      </c>
      <c r="E199" s="201" t="str">
        <f t="shared" si="60"/>
        <v xml:space="preserve"> </v>
      </c>
      <c r="F199" s="202" t="str">
        <f t="shared" si="55"/>
        <v xml:space="preserve"> </v>
      </c>
      <c r="G199" s="201" t="str">
        <f t="shared" si="61"/>
        <v xml:space="preserve"> </v>
      </c>
      <c r="H199" s="202" t="str">
        <f t="shared" si="56"/>
        <v xml:space="preserve"> </v>
      </c>
      <c r="I199" s="202" t="str">
        <f t="shared" si="62"/>
        <v xml:space="preserve"> </v>
      </c>
      <c r="J199" s="276" t="str">
        <f t="shared" si="57"/>
        <v xml:space="preserve"> </v>
      </c>
      <c r="K199" s="363" t="str">
        <f t="shared" si="63"/>
        <v xml:space="preserve"> </v>
      </c>
      <c r="L199" s="363" t="str">
        <f t="shared" si="64"/>
        <v xml:space="preserve"> </v>
      </c>
      <c r="M199" s="445"/>
      <c r="N199" s="293" t="str">
        <f t="shared" si="48"/>
        <v xml:space="preserve"> </v>
      </c>
      <c r="O199" s="293" t="str">
        <f t="shared" si="49"/>
        <v xml:space="preserve"> </v>
      </c>
      <c r="P199" s="293" t="str">
        <f t="shared" si="50"/>
        <v xml:space="preserve"> </v>
      </c>
      <c r="Q199" s="294" t="str">
        <f t="shared" si="51"/>
        <v xml:space="preserve"> </v>
      </c>
      <c r="R199" s="295" t="str">
        <f t="shared" si="52"/>
        <v xml:space="preserve"> </v>
      </c>
      <c r="S199" s="295" t="str">
        <f t="shared" si="53"/>
        <v xml:space="preserve"> </v>
      </c>
      <c r="T199" s="295" t="str">
        <f>IF(A199="N/A"," ",(IF(MONTH(A199)&gt;=4,IF(MONTH(A199)&lt;=10,Inputs!$H$2,Inputs!$H$3),Inputs!$H$3)))</f>
        <v xml:space="preserve"> </v>
      </c>
      <c r="U199" s="463" t="str">
        <f t="shared" si="58"/>
        <v xml:space="preserve"> </v>
      </c>
      <c r="AF199" s="205">
        <v>42491</v>
      </c>
      <c r="AG199" s="194">
        <v>21</v>
      </c>
      <c r="AH199" s="194">
        <v>4</v>
      </c>
      <c r="AI199" s="194">
        <v>6</v>
      </c>
      <c r="AJ199" s="194">
        <v>1</v>
      </c>
      <c r="AK199" s="194">
        <v>31</v>
      </c>
    </row>
    <row r="200" spans="1:37">
      <c r="A200" s="176" t="str">
        <f>Calculations!A167</f>
        <v>N/A</v>
      </c>
      <c r="B200" s="201" t="str">
        <f t="shared" si="59"/>
        <v xml:space="preserve"> </v>
      </c>
      <c r="C200" s="203" t="str">
        <f t="shared" si="47"/>
        <v xml:space="preserve"> </v>
      </c>
      <c r="D200" s="202" t="str">
        <f t="shared" si="54"/>
        <v xml:space="preserve"> </v>
      </c>
      <c r="E200" s="201" t="str">
        <f t="shared" si="60"/>
        <v xml:space="preserve"> </v>
      </c>
      <c r="F200" s="202" t="str">
        <f t="shared" si="55"/>
        <v xml:space="preserve"> </v>
      </c>
      <c r="G200" s="201" t="str">
        <f t="shared" si="61"/>
        <v xml:space="preserve"> </v>
      </c>
      <c r="H200" s="202" t="str">
        <f t="shared" si="56"/>
        <v xml:space="preserve"> </v>
      </c>
      <c r="I200" s="202" t="str">
        <f t="shared" si="62"/>
        <v xml:space="preserve"> </v>
      </c>
      <c r="J200" s="276" t="str">
        <f t="shared" si="57"/>
        <v xml:space="preserve"> </v>
      </c>
      <c r="K200" s="363" t="str">
        <f t="shared" si="63"/>
        <v xml:space="preserve"> </v>
      </c>
      <c r="L200" s="363" t="str">
        <f t="shared" si="64"/>
        <v xml:space="preserve"> </v>
      </c>
      <c r="M200" s="445"/>
      <c r="N200" s="293" t="str">
        <f t="shared" si="48"/>
        <v xml:space="preserve"> </v>
      </c>
      <c r="O200" s="293" t="str">
        <f t="shared" si="49"/>
        <v xml:space="preserve"> </v>
      </c>
      <c r="P200" s="293" t="str">
        <f t="shared" si="50"/>
        <v xml:space="preserve"> </v>
      </c>
      <c r="Q200" s="294" t="str">
        <f t="shared" si="51"/>
        <v xml:space="preserve"> </v>
      </c>
      <c r="R200" s="295" t="str">
        <f t="shared" si="52"/>
        <v xml:space="preserve"> </v>
      </c>
      <c r="S200" s="295" t="str">
        <f t="shared" si="53"/>
        <v xml:space="preserve"> </v>
      </c>
      <c r="T200" s="295" t="str">
        <f>IF(A200="N/A"," ",(IF(MONTH(A200)&gt;=4,IF(MONTH(A200)&lt;=10,Inputs!$H$2,Inputs!$H$3),Inputs!$H$3)))</f>
        <v xml:space="preserve"> </v>
      </c>
      <c r="U200" s="463" t="str">
        <f t="shared" si="58"/>
        <v xml:space="preserve"> </v>
      </c>
      <c r="AF200" s="205">
        <v>42522</v>
      </c>
      <c r="AG200" s="194">
        <v>22</v>
      </c>
      <c r="AH200" s="194">
        <v>4</v>
      </c>
      <c r="AI200" s="194">
        <v>4</v>
      </c>
      <c r="AJ200" s="194">
        <v>0</v>
      </c>
      <c r="AK200" s="194">
        <v>30</v>
      </c>
    </row>
    <row r="201" spans="1:37">
      <c r="A201" s="176" t="str">
        <f>Calculations!A168</f>
        <v>N/A</v>
      </c>
      <c r="B201" s="201" t="str">
        <f t="shared" si="59"/>
        <v xml:space="preserve"> </v>
      </c>
      <c r="C201" s="203" t="str">
        <f t="shared" si="47"/>
        <v xml:space="preserve"> </v>
      </c>
      <c r="D201" s="202" t="str">
        <f t="shared" si="54"/>
        <v xml:space="preserve"> </v>
      </c>
      <c r="E201" s="201" t="str">
        <f t="shared" si="60"/>
        <v xml:space="preserve"> </v>
      </c>
      <c r="F201" s="202" t="str">
        <f t="shared" si="55"/>
        <v xml:space="preserve"> </v>
      </c>
      <c r="G201" s="201" t="str">
        <f t="shared" si="61"/>
        <v xml:space="preserve"> </v>
      </c>
      <c r="H201" s="202" t="str">
        <f t="shared" si="56"/>
        <v xml:space="preserve"> </v>
      </c>
      <c r="I201" s="202" t="str">
        <f t="shared" si="62"/>
        <v xml:space="preserve"> </v>
      </c>
      <c r="J201" s="276" t="str">
        <f t="shared" si="57"/>
        <v xml:space="preserve"> </v>
      </c>
      <c r="K201" s="363" t="str">
        <f t="shared" si="63"/>
        <v xml:space="preserve"> </v>
      </c>
      <c r="L201" s="363" t="str">
        <f t="shared" si="64"/>
        <v xml:space="preserve"> </v>
      </c>
      <c r="M201" s="445"/>
      <c r="N201" s="293" t="str">
        <f t="shared" si="48"/>
        <v xml:space="preserve"> </v>
      </c>
      <c r="O201" s="293" t="str">
        <f t="shared" si="49"/>
        <v xml:space="preserve"> </v>
      </c>
      <c r="P201" s="293" t="str">
        <f t="shared" si="50"/>
        <v xml:space="preserve"> </v>
      </c>
      <c r="Q201" s="294" t="str">
        <f t="shared" si="51"/>
        <v xml:space="preserve"> </v>
      </c>
      <c r="R201" s="295" t="str">
        <f t="shared" si="52"/>
        <v xml:space="preserve"> </v>
      </c>
      <c r="S201" s="295" t="str">
        <f t="shared" si="53"/>
        <v xml:space="preserve"> </v>
      </c>
      <c r="T201" s="295" t="str">
        <f>IF(A201="N/A"," ",(IF(MONTH(A201)&gt;=4,IF(MONTH(A201)&lt;=10,Inputs!$H$2,Inputs!$H$3),Inputs!$H$3)))</f>
        <v xml:space="preserve"> </v>
      </c>
      <c r="U201" s="463" t="str">
        <f t="shared" si="58"/>
        <v xml:space="preserve"> </v>
      </c>
      <c r="AF201" s="205">
        <v>42552</v>
      </c>
      <c r="AG201" s="194">
        <v>20</v>
      </c>
      <c r="AH201" s="194">
        <v>5</v>
      </c>
      <c r="AI201" s="194">
        <v>6</v>
      </c>
      <c r="AJ201" s="194">
        <v>1</v>
      </c>
      <c r="AK201" s="194">
        <v>31</v>
      </c>
    </row>
    <row r="202" spans="1:37">
      <c r="A202" s="176" t="str">
        <f>Calculations!A169</f>
        <v>N/A</v>
      </c>
      <c r="B202" s="201" t="str">
        <f t="shared" si="59"/>
        <v xml:space="preserve"> </v>
      </c>
      <c r="C202" s="203" t="str">
        <f t="shared" si="47"/>
        <v xml:space="preserve"> </v>
      </c>
      <c r="D202" s="202" t="str">
        <f t="shared" si="54"/>
        <v xml:space="preserve"> </v>
      </c>
      <c r="E202" s="201" t="str">
        <f t="shared" si="60"/>
        <v xml:space="preserve"> </v>
      </c>
      <c r="F202" s="202" t="str">
        <f t="shared" si="55"/>
        <v xml:space="preserve"> </v>
      </c>
      <c r="G202" s="201" t="str">
        <f t="shared" si="61"/>
        <v xml:space="preserve"> </v>
      </c>
      <c r="H202" s="202" t="str">
        <f t="shared" si="56"/>
        <v xml:space="preserve"> </v>
      </c>
      <c r="I202" s="202" t="str">
        <f t="shared" si="62"/>
        <v xml:space="preserve"> </v>
      </c>
      <c r="J202" s="276" t="str">
        <f t="shared" si="57"/>
        <v xml:space="preserve"> </v>
      </c>
      <c r="K202" s="363" t="str">
        <f t="shared" si="63"/>
        <v xml:space="preserve"> </v>
      </c>
      <c r="L202" s="363" t="str">
        <f t="shared" si="64"/>
        <v xml:space="preserve"> </v>
      </c>
      <c r="M202" s="445"/>
      <c r="N202" s="293" t="str">
        <f t="shared" si="48"/>
        <v xml:space="preserve"> </v>
      </c>
      <c r="O202" s="293" t="str">
        <f t="shared" si="49"/>
        <v xml:space="preserve"> </v>
      </c>
      <c r="P202" s="293" t="str">
        <f t="shared" si="50"/>
        <v xml:space="preserve"> </v>
      </c>
      <c r="Q202" s="294" t="str">
        <f t="shared" si="51"/>
        <v xml:space="preserve"> </v>
      </c>
      <c r="R202" s="295" t="str">
        <f t="shared" si="52"/>
        <v xml:space="preserve"> </v>
      </c>
      <c r="S202" s="295" t="str">
        <f t="shared" si="53"/>
        <v xml:space="preserve"> </v>
      </c>
      <c r="T202" s="295" t="str">
        <f>IF(A202="N/A"," ",(IF(MONTH(A202)&gt;=4,IF(MONTH(A202)&lt;=10,Inputs!$H$2,Inputs!$H$3),Inputs!$H$3)))</f>
        <v xml:space="preserve"> </v>
      </c>
      <c r="U202" s="463" t="str">
        <f t="shared" si="58"/>
        <v xml:space="preserve"> </v>
      </c>
      <c r="AF202" s="205">
        <v>42583</v>
      </c>
      <c r="AG202" s="194">
        <v>23</v>
      </c>
      <c r="AH202" s="194">
        <v>4</v>
      </c>
      <c r="AI202" s="194">
        <v>4</v>
      </c>
      <c r="AJ202" s="194">
        <v>0</v>
      </c>
      <c r="AK202" s="194">
        <v>31</v>
      </c>
    </row>
    <row r="203" spans="1:37">
      <c r="A203" s="176" t="str">
        <f>Calculations!A170</f>
        <v>N/A</v>
      </c>
      <c r="B203" s="201" t="str">
        <f t="shared" si="59"/>
        <v xml:space="preserve"> </v>
      </c>
      <c r="C203" s="203" t="str">
        <f t="shared" si="47"/>
        <v xml:space="preserve"> </v>
      </c>
      <c r="D203" s="202" t="str">
        <f t="shared" si="54"/>
        <v xml:space="preserve"> </v>
      </c>
      <c r="E203" s="201" t="str">
        <f t="shared" si="60"/>
        <v xml:space="preserve"> </v>
      </c>
      <c r="F203" s="202" t="str">
        <f t="shared" si="55"/>
        <v xml:space="preserve"> </v>
      </c>
      <c r="G203" s="201" t="str">
        <f t="shared" si="61"/>
        <v xml:space="preserve"> </v>
      </c>
      <c r="H203" s="202" t="str">
        <f t="shared" si="56"/>
        <v xml:space="preserve"> </v>
      </c>
      <c r="I203" s="202" t="str">
        <f t="shared" si="62"/>
        <v xml:space="preserve"> </v>
      </c>
      <c r="J203" s="276" t="str">
        <f t="shared" si="57"/>
        <v xml:space="preserve"> </v>
      </c>
      <c r="K203" s="363" t="str">
        <f t="shared" si="63"/>
        <v xml:space="preserve"> </v>
      </c>
      <c r="L203" s="363" t="str">
        <f t="shared" si="64"/>
        <v xml:space="preserve"> </v>
      </c>
      <c r="M203" s="445"/>
      <c r="N203" s="293" t="str">
        <f t="shared" si="48"/>
        <v xml:space="preserve"> </v>
      </c>
      <c r="O203" s="293" t="str">
        <f t="shared" si="49"/>
        <v xml:space="preserve"> </v>
      </c>
      <c r="P203" s="293" t="str">
        <f t="shared" si="50"/>
        <v xml:space="preserve"> </v>
      </c>
      <c r="Q203" s="294" t="str">
        <f t="shared" si="51"/>
        <v xml:space="preserve"> </v>
      </c>
      <c r="R203" s="295" t="str">
        <f t="shared" si="52"/>
        <v xml:space="preserve"> </v>
      </c>
      <c r="S203" s="295" t="str">
        <f t="shared" si="53"/>
        <v xml:space="preserve"> </v>
      </c>
      <c r="T203" s="295" t="str">
        <f>IF(A203="N/A"," ",(IF(MONTH(A203)&gt;=4,IF(MONTH(A203)&lt;=10,Inputs!$H$2,Inputs!$H$3),Inputs!$H$3)))</f>
        <v xml:space="preserve"> </v>
      </c>
      <c r="U203" s="463" t="str">
        <f t="shared" si="58"/>
        <v xml:space="preserve"> </v>
      </c>
      <c r="AF203" s="205">
        <v>42614</v>
      </c>
      <c r="AG203" s="194">
        <v>21</v>
      </c>
      <c r="AH203" s="194">
        <v>4</v>
      </c>
      <c r="AI203" s="194">
        <v>5</v>
      </c>
      <c r="AJ203" s="194">
        <v>1</v>
      </c>
      <c r="AK203" s="194">
        <v>30</v>
      </c>
    </row>
    <row r="204" spans="1:37">
      <c r="A204" s="176" t="str">
        <f>Calculations!A171</f>
        <v>N/A</v>
      </c>
      <c r="B204" s="201" t="str">
        <f t="shared" si="59"/>
        <v xml:space="preserve"> </v>
      </c>
      <c r="C204" s="203" t="str">
        <f t="shared" si="47"/>
        <v xml:space="preserve"> </v>
      </c>
      <c r="D204" s="202" t="str">
        <f t="shared" si="54"/>
        <v xml:space="preserve"> </v>
      </c>
      <c r="E204" s="201" t="str">
        <f t="shared" si="60"/>
        <v xml:space="preserve"> </v>
      </c>
      <c r="F204" s="202" t="str">
        <f t="shared" si="55"/>
        <v xml:space="preserve"> </v>
      </c>
      <c r="G204" s="201" t="str">
        <f t="shared" si="61"/>
        <v xml:space="preserve"> </v>
      </c>
      <c r="H204" s="202" t="str">
        <f t="shared" si="56"/>
        <v xml:space="preserve"> </v>
      </c>
      <c r="I204" s="202" t="str">
        <f t="shared" si="62"/>
        <v xml:space="preserve"> </v>
      </c>
      <c r="J204" s="276" t="str">
        <f t="shared" si="57"/>
        <v xml:space="preserve"> </v>
      </c>
      <c r="K204" s="363" t="str">
        <f t="shared" si="63"/>
        <v xml:space="preserve"> </v>
      </c>
      <c r="L204" s="363" t="str">
        <f t="shared" si="64"/>
        <v xml:space="preserve"> </v>
      </c>
      <c r="M204" s="445"/>
      <c r="N204" s="293" t="str">
        <f t="shared" si="48"/>
        <v xml:space="preserve"> </v>
      </c>
      <c r="O204" s="293" t="str">
        <f t="shared" si="49"/>
        <v xml:space="preserve"> </v>
      </c>
      <c r="P204" s="293" t="str">
        <f t="shared" si="50"/>
        <v xml:space="preserve"> </v>
      </c>
      <c r="Q204" s="294" t="str">
        <f t="shared" si="51"/>
        <v xml:space="preserve"> </v>
      </c>
      <c r="R204" s="295" t="str">
        <f t="shared" si="52"/>
        <v xml:space="preserve"> </v>
      </c>
      <c r="S204" s="295" t="str">
        <f t="shared" si="53"/>
        <v xml:space="preserve"> </v>
      </c>
      <c r="T204" s="295" t="str">
        <f>IF(A204="N/A"," ",(IF(MONTH(A204)&gt;=4,IF(MONTH(A204)&lt;=10,Inputs!$H$2,Inputs!$H$3),Inputs!$H$3)))</f>
        <v xml:space="preserve"> </v>
      </c>
      <c r="U204" s="463" t="str">
        <f t="shared" si="58"/>
        <v xml:space="preserve"> </v>
      </c>
      <c r="AF204" s="205">
        <v>42644</v>
      </c>
      <c r="AG204" s="194">
        <v>21</v>
      </c>
      <c r="AH204" s="194">
        <v>5</v>
      </c>
      <c r="AI204" s="194">
        <v>5</v>
      </c>
      <c r="AJ204" s="194">
        <v>0</v>
      </c>
      <c r="AK204" s="194">
        <v>31</v>
      </c>
    </row>
    <row r="205" spans="1:37">
      <c r="A205" s="176" t="str">
        <f>Calculations!A172</f>
        <v>N/A</v>
      </c>
      <c r="B205" s="201" t="str">
        <f t="shared" si="59"/>
        <v xml:space="preserve"> </v>
      </c>
      <c r="C205" s="203" t="str">
        <f t="shared" si="47"/>
        <v xml:space="preserve"> </v>
      </c>
      <c r="D205" s="202" t="str">
        <f t="shared" si="54"/>
        <v xml:space="preserve"> </v>
      </c>
      <c r="E205" s="201" t="str">
        <f t="shared" si="60"/>
        <v xml:space="preserve"> </v>
      </c>
      <c r="F205" s="202" t="str">
        <f t="shared" si="55"/>
        <v xml:space="preserve"> </v>
      </c>
      <c r="G205" s="201" t="str">
        <f t="shared" si="61"/>
        <v xml:space="preserve"> </v>
      </c>
      <c r="H205" s="202" t="str">
        <f t="shared" si="56"/>
        <v xml:space="preserve"> </v>
      </c>
      <c r="I205" s="202" t="str">
        <f t="shared" si="62"/>
        <v xml:space="preserve"> </v>
      </c>
      <c r="J205" s="276" t="str">
        <f t="shared" si="57"/>
        <v xml:space="preserve"> </v>
      </c>
      <c r="K205" s="363" t="str">
        <f t="shared" si="63"/>
        <v xml:space="preserve"> </v>
      </c>
      <c r="L205" s="363" t="str">
        <f t="shared" si="64"/>
        <v xml:space="preserve"> </v>
      </c>
      <c r="M205" s="445"/>
      <c r="N205" s="293" t="str">
        <f t="shared" si="48"/>
        <v xml:space="preserve"> </v>
      </c>
      <c r="O205" s="293" t="str">
        <f t="shared" si="49"/>
        <v xml:space="preserve"> </v>
      </c>
      <c r="P205" s="293" t="str">
        <f t="shared" si="50"/>
        <v xml:space="preserve"> </v>
      </c>
      <c r="Q205" s="294" t="str">
        <f t="shared" si="51"/>
        <v xml:space="preserve"> </v>
      </c>
      <c r="R205" s="295" t="str">
        <f t="shared" si="52"/>
        <v xml:space="preserve"> </v>
      </c>
      <c r="S205" s="295" t="str">
        <f t="shared" si="53"/>
        <v xml:space="preserve"> </v>
      </c>
      <c r="T205" s="295" t="str">
        <f>IF(A205="N/A"," ",(IF(MONTH(A205)&gt;=4,IF(MONTH(A205)&lt;=10,Inputs!$H$2,Inputs!$H$3),Inputs!$H$3)))</f>
        <v xml:space="preserve"> </v>
      </c>
      <c r="U205" s="463" t="str">
        <f t="shared" si="58"/>
        <v xml:space="preserve"> </v>
      </c>
      <c r="AF205" s="205">
        <v>42675</v>
      </c>
      <c r="AG205" s="194">
        <v>21</v>
      </c>
      <c r="AH205" s="194">
        <v>4</v>
      </c>
      <c r="AI205" s="194">
        <v>5</v>
      </c>
      <c r="AJ205" s="194">
        <v>1</v>
      </c>
      <c r="AK205" s="194">
        <v>30</v>
      </c>
    </row>
    <row r="206" spans="1:37">
      <c r="A206" s="176" t="str">
        <f>Calculations!A173</f>
        <v>N/A</v>
      </c>
      <c r="B206" s="201" t="str">
        <f t="shared" si="59"/>
        <v xml:space="preserve"> </v>
      </c>
      <c r="C206" s="203" t="str">
        <f t="shared" si="47"/>
        <v xml:space="preserve"> </v>
      </c>
      <c r="D206" s="202" t="str">
        <f t="shared" si="54"/>
        <v xml:space="preserve"> </v>
      </c>
      <c r="E206" s="201" t="str">
        <f t="shared" si="60"/>
        <v xml:space="preserve"> </v>
      </c>
      <c r="F206" s="202" t="str">
        <f t="shared" si="55"/>
        <v xml:space="preserve"> </v>
      </c>
      <c r="G206" s="201" t="str">
        <f t="shared" si="61"/>
        <v xml:space="preserve"> </v>
      </c>
      <c r="H206" s="202" t="str">
        <f t="shared" si="56"/>
        <v xml:space="preserve"> </v>
      </c>
      <c r="I206" s="202" t="str">
        <f t="shared" si="62"/>
        <v xml:space="preserve"> </v>
      </c>
      <c r="J206" s="276" t="str">
        <f t="shared" si="57"/>
        <v xml:space="preserve"> </v>
      </c>
      <c r="K206" s="363" t="str">
        <f t="shared" si="63"/>
        <v xml:space="preserve"> </v>
      </c>
      <c r="L206" s="363" t="str">
        <f t="shared" si="64"/>
        <v xml:space="preserve"> </v>
      </c>
      <c r="M206" s="445"/>
      <c r="N206" s="293" t="str">
        <f t="shared" si="48"/>
        <v xml:space="preserve"> </v>
      </c>
      <c r="O206" s="293" t="str">
        <f t="shared" si="49"/>
        <v xml:space="preserve"> </v>
      </c>
      <c r="P206" s="293" t="str">
        <f t="shared" si="50"/>
        <v xml:space="preserve"> </v>
      </c>
      <c r="Q206" s="294" t="str">
        <f t="shared" si="51"/>
        <v xml:space="preserve"> </v>
      </c>
      <c r="R206" s="295" t="str">
        <f t="shared" si="52"/>
        <v xml:space="preserve"> </v>
      </c>
      <c r="S206" s="295" t="str">
        <f t="shared" si="53"/>
        <v xml:space="preserve"> </v>
      </c>
      <c r="T206" s="295" t="str">
        <f>IF(A206="N/A"," ",(IF(MONTH(A206)&gt;=4,IF(MONTH(A206)&lt;=10,Inputs!$H$2,Inputs!$H$3),Inputs!$H$3)))</f>
        <v xml:space="preserve"> </v>
      </c>
      <c r="U206" s="463" t="str">
        <f t="shared" si="58"/>
        <v xml:space="preserve"> </v>
      </c>
      <c r="AF206" s="205">
        <v>42705</v>
      </c>
      <c r="AG206" s="194">
        <v>21</v>
      </c>
      <c r="AH206" s="194">
        <v>5</v>
      </c>
      <c r="AI206" s="194">
        <v>5</v>
      </c>
      <c r="AJ206" s="194">
        <v>1</v>
      </c>
      <c r="AK206" s="194">
        <v>31</v>
      </c>
    </row>
    <row r="207" spans="1:37">
      <c r="A207" s="176" t="str">
        <f>Calculations!A174</f>
        <v>N/A</v>
      </c>
      <c r="B207" s="201" t="str">
        <f t="shared" si="59"/>
        <v xml:space="preserve"> </v>
      </c>
      <c r="C207" s="203" t="str">
        <f t="shared" si="47"/>
        <v xml:space="preserve"> </v>
      </c>
      <c r="D207" s="202" t="str">
        <f t="shared" si="54"/>
        <v xml:space="preserve"> </v>
      </c>
      <c r="E207" s="201" t="str">
        <f t="shared" si="60"/>
        <v xml:space="preserve"> </v>
      </c>
      <c r="F207" s="202" t="str">
        <f t="shared" si="55"/>
        <v xml:space="preserve"> </v>
      </c>
      <c r="G207" s="201" t="str">
        <f t="shared" si="61"/>
        <v xml:space="preserve"> </v>
      </c>
      <c r="H207" s="202" t="str">
        <f t="shared" si="56"/>
        <v xml:space="preserve"> </v>
      </c>
      <c r="I207" s="202" t="str">
        <f t="shared" si="62"/>
        <v xml:space="preserve"> </v>
      </c>
      <c r="J207" s="276" t="str">
        <f t="shared" si="57"/>
        <v xml:space="preserve"> </v>
      </c>
      <c r="K207" s="363" t="str">
        <f t="shared" si="63"/>
        <v xml:space="preserve"> </v>
      </c>
      <c r="L207" s="363" t="str">
        <f t="shared" si="64"/>
        <v xml:space="preserve"> </v>
      </c>
      <c r="M207" s="445"/>
      <c r="N207" s="293" t="str">
        <f t="shared" si="48"/>
        <v xml:space="preserve"> </v>
      </c>
      <c r="O207" s="293" t="str">
        <f t="shared" si="49"/>
        <v xml:space="preserve"> </v>
      </c>
      <c r="P207" s="293" t="str">
        <f t="shared" si="50"/>
        <v xml:space="preserve"> </v>
      </c>
      <c r="Q207" s="294" t="str">
        <f t="shared" si="51"/>
        <v xml:space="preserve"> </v>
      </c>
      <c r="R207" s="295" t="str">
        <f t="shared" si="52"/>
        <v xml:space="preserve"> </v>
      </c>
      <c r="S207" s="295" t="str">
        <f t="shared" si="53"/>
        <v xml:space="preserve"> </v>
      </c>
      <c r="T207" s="295" t="str">
        <f>IF(A207="N/A"," ",(IF(MONTH(A207)&gt;=4,IF(MONTH(A207)&lt;=10,Inputs!$H$2,Inputs!$H$3),Inputs!$H$3)))</f>
        <v xml:space="preserve"> </v>
      </c>
      <c r="U207" s="463" t="str">
        <f t="shared" si="58"/>
        <v xml:space="preserve"> </v>
      </c>
      <c r="AF207" s="205">
        <v>42736</v>
      </c>
      <c r="AG207" s="194">
        <v>21</v>
      </c>
      <c r="AH207" s="194">
        <v>4</v>
      </c>
      <c r="AI207" s="194">
        <v>6</v>
      </c>
      <c r="AJ207" s="194">
        <v>1</v>
      </c>
      <c r="AK207" s="194">
        <v>31</v>
      </c>
    </row>
    <row r="208" spans="1:37">
      <c r="A208" s="176" t="str">
        <f>Calculations!A175</f>
        <v>N/A</v>
      </c>
      <c r="B208" s="201" t="str">
        <f t="shared" si="59"/>
        <v xml:space="preserve"> </v>
      </c>
      <c r="C208" s="203" t="str">
        <f t="shared" si="47"/>
        <v xml:space="preserve"> </v>
      </c>
      <c r="D208" s="202" t="str">
        <f t="shared" si="54"/>
        <v xml:space="preserve"> </v>
      </c>
      <c r="E208" s="201" t="str">
        <f t="shared" si="60"/>
        <v xml:space="preserve"> </v>
      </c>
      <c r="F208" s="202" t="str">
        <f t="shared" si="55"/>
        <v xml:space="preserve"> </v>
      </c>
      <c r="G208" s="201" t="str">
        <f t="shared" si="61"/>
        <v xml:space="preserve"> </v>
      </c>
      <c r="H208" s="202" t="str">
        <f t="shared" si="56"/>
        <v xml:space="preserve"> </v>
      </c>
      <c r="I208" s="202" t="str">
        <f t="shared" si="62"/>
        <v xml:space="preserve"> </v>
      </c>
      <c r="J208" s="276" t="str">
        <f t="shared" si="57"/>
        <v xml:space="preserve"> </v>
      </c>
      <c r="K208" s="363" t="str">
        <f t="shared" si="63"/>
        <v xml:space="preserve"> </v>
      </c>
      <c r="L208" s="363" t="str">
        <f t="shared" si="64"/>
        <v xml:space="preserve"> </v>
      </c>
      <c r="M208" s="445"/>
      <c r="N208" s="293" t="str">
        <f t="shared" si="48"/>
        <v xml:space="preserve"> </v>
      </c>
      <c r="O208" s="293" t="str">
        <f t="shared" si="49"/>
        <v xml:space="preserve"> </v>
      </c>
      <c r="P208" s="293" t="str">
        <f t="shared" si="50"/>
        <v xml:space="preserve"> </v>
      </c>
      <c r="Q208" s="294" t="str">
        <f t="shared" si="51"/>
        <v xml:space="preserve"> </v>
      </c>
      <c r="R208" s="295" t="str">
        <f t="shared" si="52"/>
        <v xml:space="preserve"> </v>
      </c>
      <c r="S208" s="295" t="str">
        <f t="shared" si="53"/>
        <v xml:space="preserve"> </v>
      </c>
      <c r="T208" s="295" t="str">
        <f>IF(A208="N/A"," ",(IF(MONTH(A208)&gt;=4,IF(MONTH(A208)&lt;=10,Inputs!$H$2,Inputs!$H$3),Inputs!$H$3)))</f>
        <v xml:space="preserve"> </v>
      </c>
      <c r="U208" s="463" t="str">
        <f t="shared" si="58"/>
        <v xml:space="preserve"> </v>
      </c>
      <c r="AF208" s="205">
        <v>42767</v>
      </c>
      <c r="AG208" s="194">
        <v>20</v>
      </c>
      <c r="AH208" s="194">
        <v>4</v>
      </c>
      <c r="AI208" s="194">
        <v>4</v>
      </c>
      <c r="AJ208" s="194">
        <v>0</v>
      </c>
      <c r="AK208" s="194">
        <v>28</v>
      </c>
    </row>
    <row r="209" spans="1:37">
      <c r="A209" s="176" t="str">
        <f>Calculations!A176</f>
        <v>N/A</v>
      </c>
      <c r="B209" s="201" t="str">
        <f t="shared" si="59"/>
        <v xml:space="preserve"> </v>
      </c>
      <c r="C209" s="203" t="str">
        <f t="shared" si="47"/>
        <v xml:space="preserve"> </v>
      </c>
      <c r="D209" s="202" t="str">
        <f t="shared" si="54"/>
        <v xml:space="preserve"> </v>
      </c>
      <c r="E209" s="201" t="str">
        <f t="shared" si="60"/>
        <v xml:space="preserve"> </v>
      </c>
      <c r="F209" s="202" t="str">
        <f t="shared" si="55"/>
        <v xml:space="preserve"> </v>
      </c>
      <c r="G209" s="201" t="str">
        <f t="shared" si="61"/>
        <v xml:space="preserve"> </v>
      </c>
      <c r="H209" s="202" t="str">
        <f t="shared" si="56"/>
        <v xml:space="preserve"> </v>
      </c>
      <c r="I209" s="202" t="str">
        <f t="shared" si="62"/>
        <v xml:space="preserve"> </v>
      </c>
      <c r="J209" s="276" t="str">
        <f t="shared" si="57"/>
        <v xml:space="preserve"> </v>
      </c>
      <c r="K209" s="363" t="str">
        <f t="shared" si="63"/>
        <v xml:space="preserve"> </v>
      </c>
      <c r="L209" s="363" t="str">
        <f t="shared" si="64"/>
        <v xml:space="preserve"> </v>
      </c>
      <c r="M209" s="445"/>
      <c r="N209" s="293" t="str">
        <f t="shared" si="48"/>
        <v xml:space="preserve"> </v>
      </c>
      <c r="O209" s="293" t="str">
        <f t="shared" si="49"/>
        <v xml:space="preserve"> </v>
      </c>
      <c r="P209" s="293" t="str">
        <f t="shared" si="50"/>
        <v xml:space="preserve"> </v>
      </c>
      <c r="Q209" s="294" t="str">
        <f t="shared" si="51"/>
        <v xml:space="preserve"> </v>
      </c>
      <c r="R209" s="295" t="str">
        <f t="shared" si="52"/>
        <v xml:space="preserve"> </v>
      </c>
      <c r="S209" s="295" t="str">
        <f t="shared" si="53"/>
        <v xml:space="preserve"> </v>
      </c>
      <c r="T209" s="295" t="str">
        <f>IF(A209="N/A"," ",(IF(MONTH(A209)&gt;=4,IF(MONTH(A209)&lt;=10,Inputs!$H$2,Inputs!$H$3),Inputs!$H$3)))</f>
        <v xml:space="preserve"> </v>
      </c>
      <c r="U209" s="463" t="str">
        <f t="shared" si="58"/>
        <v xml:space="preserve"> </v>
      </c>
      <c r="AF209" s="205">
        <v>42795</v>
      </c>
      <c r="AG209" s="194">
        <v>23</v>
      </c>
      <c r="AH209" s="194">
        <v>4</v>
      </c>
      <c r="AI209" s="194">
        <v>4</v>
      </c>
      <c r="AJ209" s="194">
        <v>0</v>
      </c>
      <c r="AK209" s="194">
        <v>31</v>
      </c>
    </row>
    <row r="210" spans="1:37">
      <c r="A210" s="176" t="str">
        <f>Calculations!A177</f>
        <v>N/A</v>
      </c>
      <c r="B210" s="201" t="str">
        <f t="shared" si="59"/>
        <v xml:space="preserve"> </v>
      </c>
      <c r="C210" s="203" t="str">
        <f t="shared" si="47"/>
        <v xml:space="preserve"> </v>
      </c>
      <c r="D210" s="202" t="str">
        <f t="shared" si="54"/>
        <v xml:space="preserve"> </v>
      </c>
      <c r="E210" s="201" t="str">
        <f t="shared" si="60"/>
        <v xml:space="preserve"> </v>
      </c>
      <c r="F210" s="202" t="str">
        <f t="shared" si="55"/>
        <v xml:space="preserve"> </v>
      </c>
      <c r="G210" s="201" t="str">
        <f t="shared" si="61"/>
        <v xml:space="preserve"> </v>
      </c>
      <c r="H210" s="202" t="str">
        <f t="shared" si="56"/>
        <v xml:space="preserve"> </v>
      </c>
      <c r="I210" s="202" t="str">
        <f t="shared" si="62"/>
        <v xml:space="preserve"> </v>
      </c>
      <c r="J210" s="276" t="str">
        <f t="shared" si="57"/>
        <v xml:space="preserve"> </v>
      </c>
      <c r="K210" s="363" t="str">
        <f t="shared" si="63"/>
        <v xml:space="preserve"> </v>
      </c>
      <c r="L210" s="363" t="str">
        <f t="shared" si="64"/>
        <v xml:space="preserve"> </v>
      </c>
      <c r="M210" s="445"/>
      <c r="N210" s="293" t="str">
        <f t="shared" si="48"/>
        <v xml:space="preserve"> </v>
      </c>
      <c r="O210" s="293" t="str">
        <f t="shared" si="49"/>
        <v xml:space="preserve"> </v>
      </c>
      <c r="P210" s="293" t="str">
        <f t="shared" si="50"/>
        <v xml:space="preserve"> </v>
      </c>
      <c r="Q210" s="294" t="str">
        <f t="shared" si="51"/>
        <v xml:space="preserve"> </v>
      </c>
      <c r="R210" s="295" t="str">
        <f t="shared" si="52"/>
        <v xml:space="preserve"> </v>
      </c>
      <c r="S210" s="295" t="str">
        <f t="shared" si="53"/>
        <v xml:space="preserve"> </v>
      </c>
      <c r="T210" s="295" t="str">
        <f>IF(A210="N/A"," ",(IF(MONTH(A210)&gt;=4,IF(MONTH(A210)&lt;=10,Inputs!$H$2,Inputs!$H$3),Inputs!$H$3)))</f>
        <v xml:space="preserve"> </v>
      </c>
      <c r="U210" s="463" t="str">
        <f t="shared" si="58"/>
        <v xml:space="preserve"> </v>
      </c>
      <c r="AF210" s="205">
        <v>42826</v>
      </c>
      <c r="AG210" s="194">
        <v>20</v>
      </c>
      <c r="AH210" s="194">
        <v>5</v>
      </c>
      <c r="AI210" s="194">
        <v>5</v>
      </c>
      <c r="AJ210" s="194">
        <v>0</v>
      </c>
      <c r="AK210" s="194">
        <v>30</v>
      </c>
    </row>
    <row r="211" spans="1:37">
      <c r="A211" s="176" t="str">
        <f>Calculations!A178</f>
        <v>N/A</v>
      </c>
      <c r="B211" s="201" t="str">
        <f t="shared" si="59"/>
        <v xml:space="preserve"> </v>
      </c>
      <c r="C211" s="203" t="str">
        <f t="shared" si="47"/>
        <v xml:space="preserve"> </v>
      </c>
      <c r="D211" s="202" t="str">
        <f t="shared" si="54"/>
        <v xml:space="preserve"> </v>
      </c>
      <c r="E211" s="201" t="str">
        <f t="shared" si="60"/>
        <v xml:space="preserve"> </v>
      </c>
      <c r="F211" s="202" t="str">
        <f t="shared" si="55"/>
        <v xml:space="preserve"> </v>
      </c>
      <c r="G211" s="201" t="str">
        <f t="shared" si="61"/>
        <v xml:space="preserve"> </v>
      </c>
      <c r="H211" s="202" t="str">
        <f t="shared" si="56"/>
        <v xml:space="preserve"> </v>
      </c>
      <c r="I211" s="202" t="str">
        <f t="shared" si="62"/>
        <v xml:space="preserve"> </v>
      </c>
      <c r="J211" s="276" t="str">
        <f t="shared" si="57"/>
        <v xml:space="preserve"> </v>
      </c>
      <c r="K211" s="363" t="str">
        <f t="shared" si="63"/>
        <v xml:space="preserve"> </v>
      </c>
      <c r="L211" s="363" t="str">
        <f t="shared" si="64"/>
        <v xml:space="preserve"> </v>
      </c>
      <c r="M211" s="445"/>
      <c r="N211" s="293" t="str">
        <f t="shared" si="48"/>
        <v xml:space="preserve"> </v>
      </c>
      <c r="O211" s="293" t="str">
        <f t="shared" si="49"/>
        <v xml:space="preserve"> </v>
      </c>
      <c r="P211" s="293" t="str">
        <f t="shared" si="50"/>
        <v xml:space="preserve"> </v>
      </c>
      <c r="Q211" s="294" t="str">
        <f t="shared" si="51"/>
        <v xml:space="preserve"> </v>
      </c>
      <c r="R211" s="295" t="str">
        <f t="shared" si="52"/>
        <v xml:space="preserve"> </v>
      </c>
      <c r="S211" s="295" t="str">
        <f t="shared" si="53"/>
        <v xml:space="preserve"> </v>
      </c>
      <c r="T211" s="295" t="str">
        <f>IF(A211="N/A"," ",(IF(MONTH(A211)&gt;=4,IF(MONTH(A211)&lt;=10,Inputs!$H$2,Inputs!$H$3),Inputs!$H$3)))</f>
        <v xml:space="preserve"> </v>
      </c>
      <c r="U211" s="463" t="str">
        <f t="shared" si="58"/>
        <v xml:space="preserve"> </v>
      </c>
      <c r="AF211" s="205">
        <v>42856</v>
      </c>
      <c r="AG211" s="194">
        <v>22</v>
      </c>
      <c r="AH211" s="194">
        <v>4</v>
      </c>
      <c r="AI211" s="194">
        <v>5</v>
      </c>
      <c r="AJ211" s="194">
        <v>1</v>
      </c>
      <c r="AK211" s="194">
        <v>31</v>
      </c>
    </row>
    <row r="212" spans="1:37">
      <c r="A212" s="176" t="str">
        <f>Calculations!A179</f>
        <v>N/A</v>
      </c>
      <c r="B212" s="201" t="str">
        <f t="shared" si="59"/>
        <v xml:space="preserve"> </v>
      </c>
      <c r="C212" s="203" t="str">
        <f t="shared" si="47"/>
        <v xml:space="preserve"> </v>
      </c>
      <c r="D212" s="202" t="str">
        <f t="shared" si="54"/>
        <v xml:space="preserve"> </v>
      </c>
      <c r="E212" s="201" t="str">
        <f t="shared" si="60"/>
        <v xml:space="preserve"> </v>
      </c>
      <c r="F212" s="202" t="str">
        <f t="shared" si="55"/>
        <v xml:space="preserve"> </v>
      </c>
      <c r="G212" s="201" t="str">
        <f t="shared" si="61"/>
        <v xml:space="preserve"> </v>
      </c>
      <c r="H212" s="202" t="str">
        <f t="shared" si="56"/>
        <v xml:space="preserve"> </v>
      </c>
      <c r="I212" s="202" t="str">
        <f t="shared" si="62"/>
        <v xml:space="preserve"> </v>
      </c>
      <c r="J212" s="276" t="str">
        <f t="shared" si="57"/>
        <v xml:space="preserve"> </v>
      </c>
      <c r="K212" s="363" t="str">
        <f t="shared" si="63"/>
        <v xml:space="preserve"> </v>
      </c>
      <c r="L212" s="363" t="str">
        <f t="shared" si="64"/>
        <v xml:space="preserve"> </v>
      </c>
      <c r="M212" s="445"/>
      <c r="N212" s="293" t="str">
        <f t="shared" si="48"/>
        <v xml:space="preserve"> </v>
      </c>
      <c r="O212" s="293" t="str">
        <f t="shared" si="49"/>
        <v xml:space="preserve"> </v>
      </c>
      <c r="P212" s="293" t="str">
        <f t="shared" si="50"/>
        <v xml:space="preserve"> </v>
      </c>
      <c r="Q212" s="294" t="str">
        <f t="shared" si="51"/>
        <v xml:space="preserve"> </v>
      </c>
      <c r="R212" s="295" t="str">
        <f t="shared" si="52"/>
        <v xml:space="preserve"> </v>
      </c>
      <c r="S212" s="295" t="str">
        <f t="shared" si="53"/>
        <v xml:space="preserve"> </v>
      </c>
      <c r="T212" s="295" t="str">
        <f>IF(A212="N/A"," ",(IF(MONTH(A212)&gt;=4,IF(MONTH(A212)&lt;=10,Inputs!$H$2,Inputs!$H$3),Inputs!$H$3)))</f>
        <v xml:space="preserve"> </v>
      </c>
      <c r="U212" s="463" t="str">
        <f t="shared" si="58"/>
        <v xml:space="preserve"> </v>
      </c>
      <c r="AF212" s="205">
        <v>42887</v>
      </c>
      <c r="AG212" s="194">
        <v>22</v>
      </c>
      <c r="AH212" s="194">
        <v>4</v>
      </c>
      <c r="AI212" s="194">
        <v>4</v>
      </c>
      <c r="AJ212" s="194">
        <v>0</v>
      </c>
      <c r="AK212" s="194">
        <v>30</v>
      </c>
    </row>
    <row r="213" spans="1:37">
      <c r="A213" s="176" t="str">
        <f>Calculations!A180</f>
        <v>N/A</v>
      </c>
      <c r="B213" s="201" t="str">
        <f t="shared" si="59"/>
        <v xml:space="preserve"> </v>
      </c>
      <c r="C213" s="203" t="str">
        <f t="shared" si="47"/>
        <v xml:space="preserve"> </v>
      </c>
      <c r="D213" s="202" t="str">
        <f t="shared" si="54"/>
        <v xml:space="preserve"> </v>
      </c>
      <c r="E213" s="201" t="str">
        <f t="shared" si="60"/>
        <v xml:space="preserve"> </v>
      </c>
      <c r="F213" s="202" t="str">
        <f t="shared" si="55"/>
        <v xml:space="preserve"> </v>
      </c>
      <c r="G213" s="201" t="str">
        <f t="shared" si="61"/>
        <v xml:space="preserve"> </v>
      </c>
      <c r="H213" s="202" t="str">
        <f t="shared" si="56"/>
        <v xml:space="preserve"> </v>
      </c>
      <c r="I213" s="202" t="str">
        <f t="shared" si="62"/>
        <v xml:space="preserve"> </v>
      </c>
      <c r="J213" s="276" t="str">
        <f t="shared" si="57"/>
        <v xml:space="preserve"> </v>
      </c>
      <c r="K213" s="363" t="str">
        <f t="shared" si="63"/>
        <v xml:space="preserve"> </v>
      </c>
      <c r="L213" s="363" t="str">
        <f t="shared" si="64"/>
        <v xml:space="preserve"> </v>
      </c>
      <c r="M213" s="445"/>
      <c r="N213" s="293" t="str">
        <f t="shared" si="48"/>
        <v xml:space="preserve"> </v>
      </c>
      <c r="O213" s="293" t="str">
        <f t="shared" si="49"/>
        <v xml:space="preserve"> </v>
      </c>
      <c r="P213" s="293" t="str">
        <f t="shared" si="50"/>
        <v xml:space="preserve"> </v>
      </c>
      <c r="Q213" s="294" t="str">
        <f t="shared" si="51"/>
        <v xml:space="preserve"> </v>
      </c>
      <c r="R213" s="295" t="str">
        <f t="shared" si="52"/>
        <v xml:space="preserve"> </v>
      </c>
      <c r="S213" s="295" t="str">
        <f t="shared" si="53"/>
        <v xml:space="preserve"> </v>
      </c>
      <c r="T213" s="295" t="str">
        <f>IF(A213="N/A"," ",(IF(MONTH(A213)&gt;=4,IF(MONTH(A213)&lt;=10,Inputs!$H$2,Inputs!$H$3),Inputs!$H$3)))</f>
        <v xml:space="preserve"> </v>
      </c>
      <c r="U213" s="463" t="str">
        <f t="shared" si="58"/>
        <v xml:space="preserve"> </v>
      </c>
      <c r="AF213" s="205">
        <v>42917</v>
      </c>
      <c r="AG213" s="194">
        <v>20</v>
      </c>
      <c r="AH213" s="194">
        <v>5</v>
      </c>
      <c r="AI213" s="194">
        <v>6</v>
      </c>
      <c r="AJ213" s="194">
        <v>1</v>
      </c>
      <c r="AK213" s="194">
        <v>31</v>
      </c>
    </row>
    <row r="214" spans="1:37">
      <c r="A214" s="176" t="str">
        <f>Calculations!A181</f>
        <v>N/A</v>
      </c>
      <c r="B214" s="201" t="str">
        <f t="shared" si="59"/>
        <v xml:space="preserve"> </v>
      </c>
      <c r="C214" s="203" t="str">
        <f t="shared" si="47"/>
        <v xml:space="preserve"> </v>
      </c>
      <c r="D214" s="202" t="str">
        <f t="shared" si="54"/>
        <v xml:space="preserve"> </v>
      </c>
      <c r="E214" s="201" t="str">
        <f t="shared" si="60"/>
        <v xml:space="preserve"> </v>
      </c>
      <c r="F214" s="202" t="str">
        <f t="shared" si="55"/>
        <v xml:space="preserve"> </v>
      </c>
      <c r="G214" s="201" t="str">
        <f t="shared" si="61"/>
        <v xml:space="preserve"> </v>
      </c>
      <c r="H214" s="202" t="str">
        <f t="shared" si="56"/>
        <v xml:space="preserve"> </v>
      </c>
      <c r="I214" s="202" t="str">
        <f t="shared" si="62"/>
        <v xml:space="preserve"> </v>
      </c>
      <c r="J214" s="276" t="str">
        <f t="shared" si="57"/>
        <v xml:space="preserve"> </v>
      </c>
      <c r="K214" s="363" t="str">
        <f t="shared" si="63"/>
        <v xml:space="preserve"> </v>
      </c>
      <c r="L214" s="363" t="str">
        <f t="shared" si="64"/>
        <v xml:space="preserve"> </v>
      </c>
      <c r="M214" s="445"/>
      <c r="N214" s="293" t="str">
        <f t="shared" si="48"/>
        <v xml:space="preserve"> </v>
      </c>
      <c r="O214" s="293" t="str">
        <f t="shared" si="49"/>
        <v xml:space="preserve"> </v>
      </c>
      <c r="P214" s="293" t="str">
        <f t="shared" si="50"/>
        <v xml:space="preserve"> </v>
      </c>
      <c r="Q214" s="294" t="str">
        <f t="shared" si="51"/>
        <v xml:space="preserve"> </v>
      </c>
      <c r="R214" s="295" t="str">
        <f t="shared" si="52"/>
        <v xml:space="preserve"> </v>
      </c>
      <c r="S214" s="295" t="str">
        <f t="shared" si="53"/>
        <v xml:space="preserve"> </v>
      </c>
      <c r="T214" s="295" t="str">
        <f>IF(A214="N/A"," ",(IF(MONTH(A214)&gt;=4,IF(MONTH(A214)&lt;=10,Inputs!$H$2,Inputs!$H$3),Inputs!$H$3)))</f>
        <v xml:space="preserve"> </v>
      </c>
      <c r="U214" s="463" t="str">
        <f t="shared" si="58"/>
        <v xml:space="preserve"> </v>
      </c>
      <c r="AF214" s="205">
        <v>42948</v>
      </c>
      <c r="AG214" s="194">
        <v>23</v>
      </c>
      <c r="AH214" s="194">
        <v>4</v>
      </c>
      <c r="AI214" s="194">
        <v>4</v>
      </c>
      <c r="AJ214" s="194">
        <v>0</v>
      </c>
      <c r="AK214" s="194">
        <v>31</v>
      </c>
    </row>
    <row r="215" spans="1:37">
      <c r="A215" s="176" t="str">
        <f>Calculations!A182</f>
        <v>N/A</v>
      </c>
      <c r="B215" s="201" t="str">
        <f t="shared" si="59"/>
        <v xml:space="preserve"> </v>
      </c>
      <c r="C215" s="203" t="str">
        <f t="shared" si="47"/>
        <v xml:space="preserve"> </v>
      </c>
      <c r="D215" s="202" t="str">
        <f t="shared" si="54"/>
        <v xml:space="preserve"> </v>
      </c>
      <c r="E215" s="201" t="str">
        <f t="shared" si="60"/>
        <v xml:space="preserve"> </v>
      </c>
      <c r="F215" s="202" t="str">
        <f t="shared" si="55"/>
        <v xml:space="preserve"> </v>
      </c>
      <c r="G215" s="201" t="str">
        <f t="shared" si="61"/>
        <v xml:space="preserve"> </v>
      </c>
      <c r="H215" s="202" t="str">
        <f t="shared" si="56"/>
        <v xml:space="preserve"> </v>
      </c>
      <c r="I215" s="202" t="str">
        <f t="shared" si="62"/>
        <v xml:space="preserve"> </v>
      </c>
      <c r="J215" s="276" t="str">
        <f t="shared" si="57"/>
        <v xml:space="preserve"> </v>
      </c>
      <c r="K215" s="363" t="str">
        <f t="shared" si="63"/>
        <v xml:space="preserve"> </v>
      </c>
      <c r="L215" s="363" t="str">
        <f t="shared" si="64"/>
        <v xml:space="preserve"> </v>
      </c>
      <c r="M215" s="445"/>
      <c r="N215" s="293" t="str">
        <f t="shared" si="48"/>
        <v xml:space="preserve"> </v>
      </c>
      <c r="O215" s="293" t="str">
        <f t="shared" si="49"/>
        <v xml:space="preserve"> </v>
      </c>
      <c r="P215" s="293" t="str">
        <f t="shared" si="50"/>
        <v xml:space="preserve"> </v>
      </c>
      <c r="Q215" s="294" t="str">
        <f t="shared" si="51"/>
        <v xml:space="preserve"> </v>
      </c>
      <c r="R215" s="295" t="str">
        <f t="shared" si="52"/>
        <v xml:space="preserve"> </v>
      </c>
      <c r="S215" s="295" t="str">
        <f t="shared" si="53"/>
        <v xml:space="preserve"> </v>
      </c>
      <c r="T215" s="295" t="str">
        <f>IF(A215="N/A"," ",(IF(MONTH(A215)&gt;=4,IF(MONTH(A215)&lt;=10,Inputs!$H$2,Inputs!$H$3),Inputs!$H$3)))</f>
        <v xml:space="preserve"> </v>
      </c>
      <c r="U215" s="463" t="str">
        <f t="shared" si="58"/>
        <v xml:space="preserve"> </v>
      </c>
      <c r="AF215" s="205">
        <v>42979</v>
      </c>
      <c r="AG215" s="194">
        <v>20</v>
      </c>
      <c r="AH215" s="194">
        <v>5</v>
      </c>
      <c r="AI215" s="194">
        <v>5</v>
      </c>
      <c r="AJ215" s="194">
        <v>1</v>
      </c>
      <c r="AK215" s="194">
        <v>30</v>
      </c>
    </row>
    <row r="216" spans="1:37">
      <c r="A216" s="176" t="str">
        <f>Calculations!A183</f>
        <v>N/A</v>
      </c>
      <c r="B216" s="201" t="str">
        <f t="shared" si="59"/>
        <v xml:space="preserve"> </v>
      </c>
      <c r="C216" s="203" t="str">
        <f t="shared" si="47"/>
        <v xml:space="preserve"> </v>
      </c>
      <c r="D216" s="202" t="str">
        <f t="shared" si="54"/>
        <v xml:space="preserve"> </v>
      </c>
      <c r="E216" s="201" t="str">
        <f t="shared" si="60"/>
        <v xml:space="preserve"> </v>
      </c>
      <c r="F216" s="202" t="str">
        <f t="shared" si="55"/>
        <v xml:space="preserve"> </v>
      </c>
      <c r="G216" s="201" t="str">
        <f t="shared" si="61"/>
        <v xml:space="preserve"> </v>
      </c>
      <c r="H216" s="202" t="str">
        <f t="shared" si="56"/>
        <v xml:space="preserve"> </v>
      </c>
      <c r="I216" s="202" t="str">
        <f t="shared" si="62"/>
        <v xml:space="preserve"> </v>
      </c>
      <c r="J216" s="276" t="str">
        <f t="shared" si="57"/>
        <v xml:space="preserve"> </v>
      </c>
      <c r="K216" s="363" t="str">
        <f t="shared" si="63"/>
        <v xml:space="preserve"> </v>
      </c>
      <c r="L216" s="363" t="str">
        <f t="shared" si="64"/>
        <v xml:space="preserve"> </v>
      </c>
      <c r="M216" s="445"/>
      <c r="N216" s="293" t="str">
        <f t="shared" si="48"/>
        <v xml:space="preserve"> </v>
      </c>
      <c r="O216" s="293" t="str">
        <f t="shared" si="49"/>
        <v xml:space="preserve"> </v>
      </c>
      <c r="P216" s="293" t="str">
        <f t="shared" si="50"/>
        <v xml:space="preserve"> </v>
      </c>
      <c r="Q216" s="294" t="str">
        <f t="shared" si="51"/>
        <v xml:space="preserve"> </v>
      </c>
      <c r="R216" s="295" t="str">
        <f t="shared" si="52"/>
        <v xml:space="preserve"> </v>
      </c>
      <c r="S216" s="295" t="str">
        <f t="shared" si="53"/>
        <v xml:space="preserve"> </v>
      </c>
      <c r="T216" s="295" t="str">
        <f>IF(A216="N/A"," ",(IF(MONTH(A216)&gt;=4,IF(MONTH(A216)&lt;=10,Inputs!$H$2,Inputs!$H$3),Inputs!$H$3)))</f>
        <v xml:space="preserve"> </v>
      </c>
      <c r="U216" s="463" t="str">
        <f t="shared" si="58"/>
        <v xml:space="preserve"> </v>
      </c>
      <c r="AF216" s="205">
        <v>43009</v>
      </c>
      <c r="AG216" s="194">
        <v>22</v>
      </c>
      <c r="AH216" s="194">
        <v>4</v>
      </c>
      <c r="AI216" s="194">
        <v>5</v>
      </c>
      <c r="AJ216" s="194">
        <v>0</v>
      </c>
      <c r="AK216" s="194">
        <v>31</v>
      </c>
    </row>
    <row r="217" spans="1:37">
      <c r="A217" s="176" t="str">
        <f>Calculations!A184</f>
        <v>N/A</v>
      </c>
      <c r="B217" s="201" t="str">
        <f t="shared" si="59"/>
        <v xml:space="preserve"> </v>
      </c>
      <c r="C217" s="203" t="str">
        <f t="shared" si="47"/>
        <v xml:space="preserve"> </v>
      </c>
      <c r="D217" s="202" t="str">
        <f t="shared" si="54"/>
        <v xml:space="preserve"> </v>
      </c>
      <c r="E217" s="201" t="str">
        <f t="shared" si="60"/>
        <v xml:space="preserve"> </v>
      </c>
      <c r="F217" s="202" t="str">
        <f t="shared" si="55"/>
        <v xml:space="preserve"> </v>
      </c>
      <c r="G217" s="201" t="str">
        <f t="shared" si="61"/>
        <v xml:space="preserve"> </v>
      </c>
      <c r="H217" s="202" t="str">
        <f t="shared" si="56"/>
        <v xml:space="preserve"> </v>
      </c>
      <c r="I217" s="202" t="str">
        <f t="shared" si="62"/>
        <v xml:space="preserve"> </v>
      </c>
      <c r="J217" s="276" t="str">
        <f t="shared" si="57"/>
        <v xml:space="preserve"> </v>
      </c>
      <c r="K217" s="363" t="str">
        <f t="shared" si="63"/>
        <v xml:space="preserve"> </v>
      </c>
      <c r="L217" s="363" t="str">
        <f t="shared" si="64"/>
        <v xml:space="preserve"> </v>
      </c>
      <c r="M217" s="445"/>
      <c r="N217" s="293" t="str">
        <f t="shared" si="48"/>
        <v xml:space="preserve"> </v>
      </c>
      <c r="O217" s="293" t="str">
        <f t="shared" si="49"/>
        <v xml:space="preserve"> </v>
      </c>
      <c r="P217" s="293" t="str">
        <f t="shared" si="50"/>
        <v xml:space="preserve"> </v>
      </c>
      <c r="Q217" s="294" t="str">
        <f t="shared" si="51"/>
        <v xml:space="preserve"> </v>
      </c>
      <c r="R217" s="295" t="str">
        <f t="shared" si="52"/>
        <v xml:space="preserve"> </v>
      </c>
      <c r="S217" s="295" t="str">
        <f t="shared" si="53"/>
        <v xml:space="preserve"> </v>
      </c>
      <c r="T217" s="295" t="str">
        <f>IF(A217="N/A"," ",(IF(MONTH(A217)&gt;=4,IF(MONTH(A217)&lt;=10,Inputs!$H$2,Inputs!$H$3),Inputs!$H$3)))</f>
        <v xml:space="preserve"> </v>
      </c>
      <c r="U217" s="463" t="str">
        <f t="shared" si="58"/>
        <v xml:space="preserve"> </v>
      </c>
      <c r="AF217" s="205">
        <v>43040</v>
      </c>
      <c r="AG217" s="194">
        <v>21</v>
      </c>
      <c r="AH217" s="194">
        <v>4</v>
      </c>
      <c r="AI217" s="194">
        <v>5</v>
      </c>
      <c r="AJ217" s="194">
        <v>1</v>
      </c>
      <c r="AK217" s="194">
        <v>30</v>
      </c>
    </row>
    <row r="218" spans="1:37">
      <c r="A218" s="176" t="str">
        <f>Calculations!A185</f>
        <v>N/A</v>
      </c>
      <c r="B218" s="201" t="str">
        <f t="shared" si="59"/>
        <v xml:space="preserve"> </v>
      </c>
      <c r="C218" s="203" t="str">
        <f t="shared" si="47"/>
        <v xml:space="preserve"> </v>
      </c>
      <c r="D218" s="202" t="str">
        <f t="shared" si="54"/>
        <v xml:space="preserve"> </v>
      </c>
      <c r="E218" s="201" t="str">
        <f t="shared" si="60"/>
        <v xml:space="preserve"> </v>
      </c>
      <c r="F218" s="202" t="str">
        <f t="shared" si="55"/>
        <v xml:space="preserve"> </v>
      </c>
      <c r="G218" s="201" t="str">
        <f t="shared" si="61"/>
        <v xml:space="preserve"> </v>
      </c>
      <c r="H218" s="202" t="str">
        <f t="shared" si="56"/>
        <v xml:space="preserve"> </v>
      </c>
      <c r="I218" s="202" t="str">
        <f t="shared" si="62"/>
        <v xml:space="preserve"> </v>
      </c>
      <c r="J218" s="276" t="str">
        <f t="shared" si="57"/>
        <v xml:space="preserve"> </v>
      </c>
      <c r="K218" s="363" t="str">
        <f t="shared" si="63"/>
        <v xml:space="preserve"> </v>
      </c>
      <c r="L218" s="363" t="str">
        <f t="shared" si="64"/>
        <v xml:space="preserve"> </v>
      </c>
      <c r="M218" s="445"/>
      <c r="N218" s="293" t="str">
        <f t="shared" si="48"/>
        <v xml:space="preserve"> </v>
      </c>
      <c r="O218" s="293" t="str">
        <f t="shared" si="49"/>
        <v xml:space="preserve"> </v>
      </c>
      <c r="P218" s="293" t="str">
        <f t="shared" si="50"/>
        <v xml:space="preserve"> </v>
      </c>
      <c r="Q218" s="294" t="str">
        <f t="shared" si="51"/>
        <v xml:space="preserve"> </v>
      </c>
      <c r="R218" s="295" t="str">
        <f t="shared" si="52"/>
        <v xml:space="preserve"> </v>
      </c>
      <c r="S218" s="295" t="str">
        <f t="shared" si="53"/>
        <v xml:space="preserve"> </v>
      </c>
      <c r="T218" s="295" t="str">
        <f>IF(A218="N/A"," ",(IF(MONTH(A218)&gt;=4,IF(MONTH(A218)&lt;=10,Inputs!$H$2,Inputs!$H$3),Inputs!$H$3)))</f>
        <v xml:space="preserve"> </v>
      </c>
      <c r="U218" s="463" t="str">
        <f t="shared" si="58"/>
        <v xml:space="preserve"> </v>
      </c>
      <c r="AF218" s="205">
        <v>43070</v>
      </c>
      <c r="AG218" s="194">
        <v>20</v>
      </c>
      <c r="AH218" s="194">
        <v>5</v>
      </c>
      <c r="AI218" s="194">
        <v>6</v>
      </c>
      <c r="AJ218" s="194">
        <v>1</v>
      </c>
      <c r="AK218" s="194">
        <v>31</v>
      </c>
    </row>
    <row r="219" spans="1:37">
      <c r="A219" s="176" t="str">
        <f>Calculations!A186</f>
        <v>N/A</v>
      </c>
      <c r="B219" s="201" t="str">
        <f t="shared" si="59"/>
        <v xml:space="preserve"> </v>
      </c>
      <c r="C219" s="203" t="str">
        <f t="shared" si="47"/>
        <v xml:space="preserve"> </v>
      </c>
      <c r="D219" s="202" t="str">
        <f t="shared" si="54"/>
        <v xml:space="preserve"> </v>
      </c>
      <c r="E219" s="201" t="str">
        <f t="shared" si="60"/>
        <v xml:space="preserve"> </v>
      </c>
      <c r="F219" s="202" t="str">
        <f t="shared" si="55"/>
        <v xml:space="preserve"> </v>
      </c>
      <c r="G219" s="201" t="str">
        <f t="shared" si="61"/>
        <v xml:space="preserve"> </v>
      </c>
      <c r="H219" s="202" t="str">
        <f t="shared" si="56"/>
        <v xml:space="preserve"> </v>
      </c>
      <c r="I219" s="202" t="str">
        <f t="shared" si="62"/>
        <v xml:space="preserve"> </v>
      </c>
      <c r="J219" s="276" t="str">
        <f t="shared" si="57"/>
        <v xml:space="preserve"> </v>
      </c>
      <c r="K219" s="363" t="str">
        <f t="shared" si="63"/>
        <v xml:space="preserve"> </v>
      </c>
      <c r="L219" s="363" t="str">
        <f t="shared" si="64"/>
        <v xml:space="preserve"> </v>
      </c>
      <c r="M219" s="445"/>
      <c r="N219" s="293" t="str">
        <f t="shared" si="48"/>
        <v xml:space="preserve"> </v>
      </c>
      <c r="O219" s="293" t="str">
        <f t="shared" si="49"/>
        <v xml:space="preserve"> </v>
      </c>
      <c r="P219" s="293" t="str">
        <f t="shared" si="50"/>
        <v xml:space="preserve"> </v>
      </c>
      <c r="Q219" s="294" t="str">
        <f t="shared" si="51"/>
        <v xml:space="preserve"> </v>
      </c>
      <c r="R219" s="295" t="str">
        <f t="shared" si="52"/>
        <v xml:space="preserve"> </v>
      </c>
      <c r="S219" s="295" t="str">
        <f t="shared" si="53"/>
        <v xml:space="preserve"> </v>
      </c>
      <c r="T219" s="295" t="str">
        <f>IF(A219="N/A"," ",(IF(MONTH(A219)&gt;=4,IF(MONTH(A219)&lt;=10,Inputs!$H$2,Inputs!$H$3),Inputs!$H$3)))</f>
        <v xml:space="preserve"> </v>
      </c>
      <c r="U219" s="463" t="str">
        <f t="shared" si="58"/>
        <v xml:space="preserve"> </v>
      </c>
      <c r="AF219" s="205">
        <v>43101</v>
      </c>
      <c r="AG219" s="194">
        <v>22</v>
      </c>
      <c r="AH219" s="194">
        <v>4</v>
      </c>
      <c r="AI219" s="194">
        <v>5</v>
      </c>
      <c r="AJ219" s="194">
        <v>1</v>
      </c>
      <c r="AK219" s="194">
        <v>31</v>
      </c>
    </row>
    <row r="220" spans="1:37">
      <c r="A220" s="176" t="str">
        <f>Calculations!A187</f>
        <v>N/A</v>
      </c>
      <c r="B220" s="201" t="str">
        <f t="shared" si="59"/>
        <v xml:space="preserve"> </v>
      </c>
      <c r="C220" s="203" t="str">
        <f t="shared" si="47"/>
        <v xml:space="preserve"> </v>
      </c>
      <c r="D220" s="202" t="str">
        <f t="shared" si="54"/>
        <v xml:space="preserve"> </v>
      </c>
      <c r="E220" s="201" t="str">
        <f t="shared" si="60"/>
        <v xml:space="preserve"> </v>
      </c>
      <c r="F220" s="202" t="str">
        <f t="shared" si="55"/>
        <v xml:space="preserve"> </v>
      </c>
      <c r="G220" s="201" t="str">
        <f t="shared" si="61"/>
        <v xml:space="preserve"> </v>
      </c>
      <c r="H220" s="202" t="str">
        <f t="shared" si="56"/>
        <v xml:space="preserve"> </v>
      </c>
      <c r="I220" s="202" t="str">
        <f t="shared" si="62"/>
        <v xml:space="preserve"> </v>
      </c>
      <c r="J220" s="276" t="str">
        <f t="shared" si="57"/>
        <v xml:space="preserve"> </v>
      </c>
      <c r="K220" s="363" t="str">
        <f t="shared" si="63"/>
        <v xml:space="preserve"> </v>
      </c>
      <c r="L220" s="363" t="str">
        <f t="shared" si="64"/>
        <v xml:space="preserve"> </v>
      </c>
      <c r="M220" s="445"/>
      <c r="N220" s="293" t="str">
        <f t="shared" si="48"/>
        <v xml:space="preserve"> </v>
      </c>
      <c r="O220" s="293" t="str">
        <f t="shared" si="49"/>
        <v xml:space="preserve"> </v>
      </c>
      <c r="P220" s="293" t="str">
        <f t="shared" si="50"/>
        <v xml:space="preserve"> </v>
      </c>
      <c r="Q220" s="294" t="str">
        <f t="shared" si="51"/>
        <v xml:space="preserve"> </v>
      </c>
      <c r="R220" s="295" t="str">
        <f t="shared" si="52"/>
        <v xml:space="preserve"> </v>
      </c>
      <c r="S220" s="295" t="str">
        <f t="shared" si="53"/>
        <v xml:space="preserve"> </v>
      </c>
      <c r="T220" s="295" t="str">
        <f>IF(A220="N/A"," ",(IF(MONTH(A220)&gt;=4,IF(MONTH(A220)&lt;=10,Inputs!$H$2,Inputs!$H$3),Inputs!$H$3)))</f>
        <v xml:space="preserve"> </v>
      </c>
      <c r="U220" s="463" t="str">
        <f t="shared" si="58"/>
        <v xml:space="preserve"> </v>
      </c>
      <c r="AF220" s="205">
        <v>43132</v>
      </c>
      <c r="AG220" s="194">
        <v>20</v>
      </c>
      <c r="AH220" s="194">
        <v>4</v>
      </c>
      <c r="AI220" s="194">
        <v>4</v>
      </c>
      <c r="AJ220" s="194">
        <v>0</v>
      </c>
      <c r="AK220" s="194">
        <v>28</v>
      </c>
    </row>
    <row r="221" spans="1:37">
      <c r="A221" s="176" t="str">
        <f>Calculations!A188</f>
        <v>N/A</v>
      </c>
      <c r="B221" s="201" t="str">
        <f t="shared" si="59"/>
        <v xml:space="preserve"> </v>
      </c>
      <c r="C221" s="203" t="str">
        <f t="shared" si="47"/>
        <v xml:space="preserve"> </v>
      </c>
      <c r="D221" s="202" t="str">
        <f t="shared" si="54"/>
        <v xml:space="preserve"> </v>
      </c>
      <c r="E221" s="201" t="str">
        <f t="shared" si="60"/>
        <v xml:space="preserve"> </v>
      </c>
      <c r="F221" s="202" t="str">
        <f t="shared" si="55"/>
        <v xml:space="preserve"> </v>
      </c>
      <c r="G221" s="201" t="str">
        <f t="shared" si="61"/>
        <v xml:space="preserve"> </v>
      </c>
      <c r="H221" s="202" t="str">
        <f t="shared" si="56"/>
        <v xml:space="preserve"> </v>
      </c>
      <c r="I221" s="202" t="str">
        <f t="shared" si="62"/>
        <v xml:space="preserve"> </v>
      </c>
      <c r="J221" s="276" t="str">
        <f t="shared" si="57"/>
        <v xml:space="preserve"> </v>
      </c>
      <c r="K221" s="363" t="str">
        <f t="shared" si="63"/>
        <v xml:space="preserve"> </v>
      </c>
      <c r="L221" s="363" t="str">
        <f t="shared" si="64"/>
        <v xml:space="preserve"> </v>
      </c>
      <c r="M221" s="445"/>
      <c r="N221" s="293" t="str">
        <f t="shared" si="48"/>
        <v xml:space="preserve"> </v>
      </c>
      <c r="O221" s="293" t="str">
        <f t="shared" si="49"/>
        <v xml:space="preserve"> </v>
      </c>
      <c r="P221" s="293" t="str">
        <f t="shared" si="50"/>
        <v xml:space="preserve"> </v>
      </c>
      <c r="Q221" s="294" t="str">
        <f t="shared" si="51"/>
        <v xml:space="preserve"> </v>
      </c>
      <c r="R221" s="295" t="str">
        <f t="shared" si="52"/>
        <v xml:space="preserve"> </v>
      </c>
      <c r="S221" s="295" t="str">
        <f t="shared" si="53"/>
        <v xml:space="preserve"> </v>
      </c>
      <c r="T221" s="295" t="str">
        <f>IF(A221="N/A"," ",(IF(MONTH(A221)&gt;=4,IF(MONTH(A221)&lt;=10,Inputs!$H$2,Inputs!$H$3),Inputs!$H$3)))</f>
        <v xml:space="preserve"> </v>
      </c>
      <c r="U221" s="463" t="str">
        <f t="shared" si="58"/>
        <v xml:space="preserve"> </v>
      </c>
      <c r="AF221" s="205">
        <v>43160</v>
      </c>
      <c r="AG221" s="194">
        <v>22</v>
      </c>
      <c r="AH221" s="194">
        <v>5</v>
      </c>
      <c r="AI221" s="194">
        <v>4</v>
      </c>
      <c r="AJ221" s="194">
        <v>0</v>
      </c>
      <c r="AK221" s="194">
        <v>31</v>
      </c>
    </row>
    <row r="222" spans="1:37">
      <c r="A222" s="176" t="str">
        <f>Calculations!A189</f>
        <v>N/A</v>
      </c>
      <c r="B222" s="201" t="str">
        <f t="shared" si="59"/>
        <v xml:space="preserve"> </v>
      </c>
      <c r="C222" s="203" t="str">
        <f t="shared" si="47"/>
        <v xml:space="preserve"> </v>
      </c>
      <c r="D222" s="202" t="str">
        <f t="shared" si="54"/>
        <v xml:space="preserve"> </v>
      </c>
      <c r="E222" s="201" t="str">
        <f t="shared" si="60"/>
        <v xml:space="preserve"> </v>
      </c>
      <c r="F222" s="202" t="str">
        <f t="shared" si="55"/>
        <v xml:space="preserve"> </v>
      </c>
      <c r="G222" s="201" t="str">
        <f t="shared" si="61"/>
        <v xml:space="preserve"> </v>
      </c>
      <c r="H222" s="202" t="str">
        <f t="shared" si="56"/>
        <v xml:space="preserve"> </v>
      </c>
      <c r="I222" s="202" t="str">
        <f t="shared" si="62"/>
        <v xml:space="preserve"> </v>
      </c>
      <c r="J222" s="276" t="str">
        <f t="shared" si="57"/>
        <v xml:space="preserve"> </v>
      </c>
      <c r="K222" s="363" t="str">
        <f t="shared" si="63"/>
        <v xml:space="preserve"> </v>
      </c>
      <c r="L222" s="363" t="str">
        <f t="shared" si="64"/>
        <v xml:space="preserve"> </v>
      </c>
      <c r="M222" s="445"/>
      <c r="N222" s="293" t="str">
        <f t="shared" si="48"/>
        <v xml:space="preserve"> </v>
      </c>
      <c r="O222" s="293" t="str">
        <f t="shared" si="49"/>
        <v xml:space="preserve"> </v>
      </c>
      <c r="P222" s="293" t="str">
        <f t="shared" si="50"/>
        <v xml:space="preserve"> </v>
      </c>
      <c r="Q222" s="294" t="str">
        <f t="shared" si="51"/>
        <v xml:space="preserve"> </v>
      </c>
      <c r="R222" s="295" t="str">
        <f t="shared" si="52"/>
        <v xml:space="preserve"> </v>
      </c>
      <c r="S222" s="295" t="str">
        <f t="shared" si="53"/>
        <v xml:space="preserve"> </v>
      </c>
      <c r="T222" s="295" t="str">
        <f>IF(A222="N/A"," ",(IF(MONTH(A222)&gt;=4,IF(MONTH(A222)&lt;=10,Inputs!$H$2,Inputs!$H$3),Inputs!$H$3)))</f>
        <v xml:space="preserve"> </v>
      </c>
      <c r="U222" s="463" t="str">
        <f t="shared" si="58"/>
        <v xml:space="preserve"> </v>
      </c>
      <c r="AF222" s="205">
        <v>43191</v>
      </c>
      <c r="AG222" s="194">
        <v>21</v>
      </c>
      <c r="AH222" s="194">
        <v>4</v>
      </c>
      <c r="AI222" s="194">
        <v>5</v>
      </c>
      <c r="AJ222" s="194">
        <v>0</v>
      </c>
      <c r="AK222" s="194">
        <v>30</v>
      </c>
    </row>
    <row r="223" spans="1:37">
      <c r="A223" s="176" t="str">
        <f>Calculations!A190</f>
        <v>N/A</v>
      </c>
      <c r="B223" s="201" t="str">
        <f t="shared" si="59"/>
        <v xml:space="preserve"> </v>
      </c>
      <c r="C223" s="203" t="str">
        <f t="shared" si="47"/>
        <v xml:space="preserve"> </v>
      </c>
      <c r="D223" s="202" t="str">
        <f t="shared" si="54"/>
        <v xml:space="preserve"> </v>
      </c>
      <c r="E223" s="201" t="str">
        <f t="shared" si="60"/>
        <v xml:space="preserve"> </v>
      </c>
      <c r="F223" s="202" t="str">
        <f t="shared" si="55"/>
        <v xml:space="preserve"> </v>
      </c>
      <c r="G223" s="201" t="str">
        <f t="shared" si="61"/>
        <v xml:space="preserve"> </v>
      </c>
      <c r="H223" s="202" t="str">
        <f t="shared" si="56"/>
        <v xml:space="preserve"> </v>
      </c>
      <c r="I223" s="202" t="str">
        <f t="shared" si="62"/>
        <v xml:space="preserve"> </v>
      </c>
      <c r="J223" s="276" t="str">
        <f t="shared" si="57"/>
        <v xml:space="preserve"> </v>
      </c>
      <c r="K223" s="363" t="str">
        <f t="shared" si="63"/>
        <v xml:space="preserve"> </v>
      </c>
      <c r="L223" s="363" t="str">
        <f t="shared" si="64"/>
        <v xml:space="preserve"> </v>
      </c>
      <c r="M223" s="445"/>
      <c r="N223" s="293" t="str">
        <f t="shared" si="48"/>
        <v xml:space="preserve"> </v>
      </c>
      <c r="O223" s="293" t="str">
        <f t="shared" si="49"/>
        <v xml:space="preserve"> </v>
      </c>
      <c r="P223" s="293" t="str">
        <f t="shared" si="50"/>
        <v xml:space="preserve"> </v>
      </c>
      <c r="Q223" s="294" t="str">
        <f t="shared" si="51"/>
        <v xml:space="preserve"> </v>
      </c>
      <c r="R223" s="295" t="str">
        <f t="shared" si="52"/>
        <v xml:space="preserve"> </v>
      </c>
      <c r="S223" s="295" t="str">
        <f t="shared" si="53"/>
        <v xml:space="preserve"> </v>
      </c>
      <c r="T223" s="295" t="str">
        <f>IF(A223="N/A"," ",(IF(MONTH(A223)&gt;=4,IF(MONTH(A223)&lt;=10,Inputs!$H$2,Inputs!$H$3),Inputs!$H$3)))</f>
        <v xml:space="preserve"> </v>
      </c>
      <c r="U223" s="463" t="str">
        <f t="shared" si="58"/>
        <v xml:space="preserve"> </v>
      </c>
      <c r="AF223" s="205">
        <v>43221</v>
      </c>
      <c r="AG223" s="194">
        <v>22</v>
      </c>
      <c r="AH223" s="194">
        <v>4</v>
      </c>
      <c r="AI223" s="194">
        <v>5</v>
      </c>
      <c r="AJ223" s="194">
        <v>1</v>
      </c>
      <c r="AK223" s="194">
        <v>31</v>
      </c>
    </row>
    <row r="224" spans="1:37">
      <c r="A224" s="176" t="str">
        <f>Calculations!A191</f>
        <v>N/A</v>
      </c>
      <c r="B224" s="201" t="str">
        <f t="shared" si="59"/>
        <v xml:space="preserve"> </v>
      </c>
      <c r="C224" s="203" t="str">
        <f t="shared" si="47"/>
        <v xml:space="preserve"> </v>
      </c>
      <c r="D224" s="202" t="str">
        <f t="shared" si="54"/>
        <v xml:space="preserve"> </v>
      </c>
      <c r="E224" s="201" t="str">
        <f t="shared" si="60"/>
        <v xml:space="preserve"> </v>
      </c>
      <c r="F224" s="202" t="str">
        <f t="shared" si="55"/>
        <v xml:space="preserve"> </v>
      </c>
      <c r="G224" s="201" t="str">
        <f t="shared" si="61"/>
        <v xml:space="preserve"> </v>
      </c>
      <c r="H224" s="202" t="str">
        <f t="shared" si="56"/>
        <v xml:space="preserve"> </v>
      </c>
      <c r="I224" s="202" t="str">
        <f t="shared" si="62"/>
        <v xml:space="preserve"> </v>
      </c>
      <c r="J224" s="276" t="str">
        <f t="shared" si="57"/>
        <v xml:space="preserve"> </v>
      </c>
      <c r="K224" s="363" t="str">
        <f t="shared" si="63"/>
        <v xml:space="preserve"> </v>
      </c>
      <c r="L224" s="363" t="str">
        <f t="shared" si="64"/>
        <v xml:space="preserve"> </v>
      </c>
      <c r="M224" s="445"/>
      <c r="N224" s="293" t="str">
        <f t="shared" si="48"/>
        <v xml:space="preserve"> </v>
      </c>
      <c r="O224" s="293" t="str">
        <f t="shared" si="49"/>
        <v xml:space="preserve"> </v>
      </c>
      <c r="P224" s="293" t="str">
        <f t="shared" si="50"/>
        <v xml:space="preserve"> </v>
      </c>
      <c r="Q224" s="294" t="str">
        <f t="shared" si="51"/>
        <v xml:space="preserve"> </v>
      </c>
      <c r="R224" s="295" t="str">
        <f t="shared" si="52"/>
        <v xml:space="preserve"> </v>
      </c>
      <c r="S224" s="295" t="str">
        <f t="shared" si="53"/>
        <v xml:space="preserve"> </v>
      </c>
      <c r="T224" s="295" t="str">
        <f>IF(A224="N/A"," ",(IF(MONTH(A224)&gt;=4,IF(MONTH(A224)&lt;=10,Inputs!$H$2,Inputs!$H$3),Inputs!$H$3)))</f>
        <v xml:space="preserve"> </v>
      </c>
      <c r="U224" s="463" t="str">
        <f t="shared" si="58"/>
        <v xml:space="preserve"> </v>
      </c>
      <c r="AF224" s="205">
        <v>43252</v>
      </c>
      <c r="AG224" s="194">
        <v>21</v>
      </c>
      <c r="AH224" s="194">
        <v>5</v>
      </c>
      <c r="AI224" s="194">
        <v>4</v>
      </c>
      <c r="AJ224" s="194">
        <v>0</v>
      </c>
      <c r="AK224" s="194">
        <v>30</v>
      </c>
    </row>
    <row r="225" spans="1:37">
      <c r="A225" s="176" t="str">
        <f>Calculations!A192</f>
        <v>N/A</v>
      </c>
      <c r="B225" s="201" t="str">
        <f t="shared" si="59"/>
        <v xml:space="preserve"> </v>
      </c>
      <c r="C225" s="203" t="str">
        <f t="shared" si="47"/>
        <v xml:space="preserve"> </v>
      </c>
      <c r="D225" s="202" t="str">
        <f t="shared" si="54"/>
        <v xml:space="preserve"> </v>
      </c>
      <c r="E225" s="201" t="str">
        <f t="shared" si="60"/>
        <v xml:space="preserve"> </v>
      </c>
      <c r="F225" s="202" t="str">
        <f t="shared" si="55"/>
        <v xml:space="preserve"> </v>
      </c>
      <c r="G225" s="201" t="str">
        <f t="shared" si="61"/>
        <v xml:space="preserve"> </v>
      </c>
      <c r="H225" s="202" t="str">
        <f t="shared" si="56"/>
        <v xml:space="preserve"> </v>
      </c>
      <c r="I225" s="202" t="str">
        <f t="shared" si="62"/>
        <v xml:space="preserve"> </v>
      </c>
      <c r="J225" s="276" t="str">
        <f t="shared" si="57"/>
        <v xml:space="preserve"> </v>
      </c>
      <c r="K225" s="363" t="str">
        <f t="shared" si="63"/>
        <v xml:space="preserve"> </v>
      </c>
      <c r="L225" s="363" t="str">
        <f t="shared" si="64"/>
        <v xml:space="preserve"> </v>
      </c>
      <c r="M225" s="445"/>
      <c r="N225" s="293" t="str">
        <f t="shared" si="48"/>
        <v xml:space="preserve"> </v>
      </c>
      <c r="O225" s="293" t="str">
        <f t="shared" si="49"/>
        <v xml:space="preserve"> </v>
      </c>
      <c r="P225" s="293" t="str">
        <f t="shared" si="50"/>
        <v xml:space="preserve"> </v>
      </c>
      <c r="Q225" s="294" t="str">
        <f t="shared" si="51"/>
        <v xml:space="preserve"> </v>
      </c>
      <c r="R225" s="295" t="str">
        <f t="shared" si="52"/>
        <v xml:space="preserve"> </v>
      </c>
      <c r="S225" s="295" t="str">
        <f t="shared" si="53"/>
        <v xml:space="preserve"> </v>
      </c>
      <c r="T225" s="295" t="str">
        <f>IF(A225="N/A"," ",(IF(MONTH(A225)&gt;=4,IF(MONTH(A225)&lt;=10,Inputs!$H$2,Inputs!$H$3),Inputs!$H$3)))</f>
        <v xml:space="preserve"> </v>
      </c>
      <c r="U225" s="463" t="str">
        <f t="shared" si="58"/>
        <v xml:space="preserve"> </v>
      </c>
      <c r="AF225" s="205">
        <v>43282</v>
      </c>
      <c r="AG225" s="194">
        <v>21</v>
      </c>
      <c r="AH225" s="194">
        <v>4</v>
      </c>
      <c r="AI225" s="194">
        <v>6</v>
      </c>
      <c r="AJ225" s="194">
        <v>1</v>
      </c>
      <c r="AK225" s="194">
        <v>31</v>
      </c>
    </row>
    <row r="226" spans="1:37">
      <c r="A226" s="176" t="str">
        <f>Calculations!A193</f>
        <v>N/A</v>
      </c>
      <c r="B226" s="201" t="str">
        <f t="shared" si="59"/>
        <v xml:space="preserve"> </v>
      </c>
      <c r="C226" s="203" t="str">
        <f t="shared" si="47"/>
        <v xml:space="preserve"> </v>
      </c>
      <c r="D226" s="202" t="str">
        <f t="shared" si="54"/>
        <v xml:space="preserve"> </v>
      </c>
      <c r="E226" s="201" t="str">
        <f t="shared" si="60"/>
        <v xml:space="preserve"> </v>
      </c>
      <c r="F226" s="202" t="str">
        <f t="shared" si="55"/>
        <v xml:space="preserve"> </v>
      </c>
      <c r="G226" s="201" t="str">
        <f t="shared" si="61"/>
        <v xml:space="preserve"> </v>
      </c>
      <c r="H226" s="202" t="str">
        <f t="shared" si="56"/>
        <v xml:space="preserve"> </v>
      </c>
      <c r="I226" s="202" t="str">
        <f t="shared" si="62"/>
        <v xml:space="preserve"> </v>
      </c>
      <c r="J226" s="276" t="str">
        <f t="shared" si="57"/>
        <v xml:space="preserve"> </v>
      </c>
      <c r="K226" s="363" t="str">
        <f t="shared" si="63"/>
        <v xml:space="preserve"> </v>
      </c>
      <c r="L226" s="363" t="str">
        <f t="shared" si="64"/>
        <v xml:space="preserve"> </v>
      </c>
      <c r="M226" s="445"/>
      <c r="N226" s="293" t="str">
        <f t="shared" si="48"/>
        <v xml:space="preserve"> </v>
      </c>
      <c r="O226" s="293" t="str">
        <f t="shared" si="49"/>
        <v xml:space="preserve"> </v>
      </c>
      <c r="P226" s="293" t="str">
        <f t="shared" si="50"/>
        <v xml:space="preserve"> </v>
      </c>
      <c r="Q226" s="294" t="str">
        <f t="shared" si="51"/>
        <v xml:space="preserve"> </v>
      </c>
      <c r="R226" s="295" t="str">
        <f t="shared" si="52"/>
        <v xml:space="preserve"> </v>
      </c>
      <c r="S226" s="295" t="str">
        <f t="shared" si="53"/>
        <v xml:space="preserve"> </v>
      </c>
      <c r="T226" s="295" t="str">
        <f>IF(A226="N/A"," ",(IF(MONTH(A226)&gt;=4,IF(MONTH(A226)&lt;=10,Inputs!$H$2,Inputs!$H$3),Inputs!$H$3)))</f>
        <v xml:space="preserve"> </v>
      </c>
      <c r="U226" s="463" t="str">
        <f t="shared" si="58"/>
        <v xml:space="preserve"> </v>
      </c>
      <c r="AF226" s="205">
        <v>43313</v>
      </c>
      <c r="AG226" s="194">
        <v>23</v>
      </c>
      <c r="AH226" s="194">
        <v>4</v>
      </c>
      <c r="AI226" s="194">
        <v>4</v>
      </c>
      <c r="AJ226" s="194">
        <v>0</v>
      </c>
      <c r="AK226" s="194">
        <v>31</v>
      </c>
    </row>
    <row r="227" spans="1:37">
      <c r="A227" s="176" t="str">
        <f>Calculations!A194</f>
        <v>N/A</v>
      </c>
      <c r="B227" s="201" t="str">
        <f t="shared" si="59"/>
        <v xml:space="preserve"> </v>
      </c>
      <c r="C227" s="203" t="str">
        <f t="shared" si="47"/>
        <v xml:space="preserve"> </v>
      </c>
      <c r="D227" s="202" t="str">
        <f t="shared" si="54"/>
        <v xml:space="preserve"> </v>
      </c>
      <c r="E227" s="201" t="str">
        <f t="shared" si="60"/>
        <v xml:space="preserve"> </v>
      </c>
      <c r="F227" s="202" t="str">
        <f t="shared" si="55"/>
        <v xml:space="preserve"> </v>
      </c>
      <c r="G227" s="201" t="str">
        <f t="shared" si="61"/>
        <v xml:space="preserve"> </v>
      </c>
      <c r="H227" s="202" t="str">
        <f t="shared" si="56"/>
        <v xml:space="preserve"> </v>
      </c>
      <c r="I227" s="202" t="str">
        <f t="shared" si="62"/>
        <v xml:space="preserve"> </v>
      </c>
      <c r="J227" s="276" t="str">
        <f t="shared" si="57"/>
        <v xml:space="preserve"> </v>
      </c>
      <c r="K227" s="363" t="str">
        <f t="shared" si="63"/>
        <v xml:space="preserve"> </v>
      </c>
      <c r="L227" s="363" t="str">
        <f t="shared" si="64"/>
        <v xml:space="preserve"> </v>
      </c>
      <c r="M227" s="445"/>
      <c r="N227" s="293" t="str">
        <f t="shared" si="48"/>
        <v xml:space="preserve"> </v>
      </c>
      <c r="O227" s="293" t="str">
        <f t="shared" si="49"/>
        <v xml:space="preserve"> </v>
      </c>
      <c r="P227" s="293" t="str">
        <f t="shared" si="50"/>
        <v xml:space="preserve"> </v>
      </c>
      <c r="Q227" s="294" t="str">
        <f t="shared" si="51"/>
        <v xml:space="preserve"> </v>
      </c>
      <c r="R227" s="295" t="str">
        <f t="shared" si="52"/>
        <v xml:space="preserve"> </v>
      </c>
      <c r="S227" s="295" t="str">
        <f t="shared" si="53"/>
        <v xml:space="preserve"> </v>
      </c>
      <c r="T227" s="295" t="str">
        <f>IF(A227="N/A"," ",(IF(MONTH(A227)&gt;=4,IF(MONTH(A227)&lt;=10,Inputs!$H$2,Inputs!$H$3),Inputs!$H$3)))</f>
        <v xml:space="preserve"> </v>
      </c>
      <c r="U227" s="463" t="str">
        <f t="shared" si="58"/>
        <v xml:space="preserve"> </v>
      </c>
      <c r="AF227" s="205">
        <v>43344</v>
      </c>
      <c r="AG227" s="194">
        <v>19</v>
      </c>
      <c r="AH227" s="194">
        <v>5</v>
      </c>
      <c r="AI227" s="194">
        <v>6</v>
      </c>
      <c r="AJ227" s="194">
        <v>1</v>
      </c>
      <c r="AK227" s="194">
        <v>30</v>
      </c>
    </row>
    <row r="228" spans="1:37">
      <c r="A228" s="176" t="str">
        <f>Calculations!A195</f>
        <v>N/A</v>
      </c>
      <c r="B228" s="201" t="str">
        <f t="shared" si="59"/>
        <v xml:space="preserve"> </v>
      </c>
      <c r="C228" s="203" t="str">
        <f t="shared" si="47"/>
        <v xml:space="preserve"> </v>
      </c>
      <c r="D228" s="202" t="str">
        <f t="shared" si="54"/>
        <v xml:space="preserve"> </v>
      </c>
      <c r="E228" s="201" t="str">
        <f t="shared" si="60"/>
        <v xml:space="preserve"> </v>
      </c>
      <c r="F228" s="202" t="str">
        <f t="shared" si="55"/>
        <v xml:space="preserve"> </v>
      </c>
      <c r="G228" s="201" t="str">
        <f t="shared" si="61"/>
        <v xml:space="preserve"> </v>
      </c>
      <c r="H228" s="202" t="str">
        <f t="shared" si="56"/>
        <v xml:space="preserve"> </v>
      </c>
      <c r="I228" s="202" t="str">
        <f t="shared" si="62"/>
        <v xml:space="preserve"> </v>
      </c>
      <c r="J228" s="276" t="str">
        <f t="shared" si="57"/>
        <v xml:space="preserve"> </v>
      </c>
      <c r="K228" s="363" t="str">
        <f t="shared" si="63"/>
        <v xml:space="preserve"> </v>
      </c>
      <c r="L228" s="363" t="str">
        <f t="shared" si="64"/>
        <v xml:space="preserve"> </v>
      </c>
      <c r="M228" s="445"/>
      <c r="N228" s="293" t="str">
        <f t="shared" si="48"/>
        <v xml:space="preserve"> </v>
      </c>
      <c r="O228" s="293" t="str">
        <f t="shared" si="49"/>
        <v xml:space="preserve"> </v>
      </c>
      <c r="P228" s="293" t="str">
        <f t="shared" si="50"/>
        <v xml:space="preserve"> </v>
      </c>
      <c r="Q228" s="294" t="str">
        <f t="shared" si="51"/>
        <v xml:space="preserve"> </v>
      </c>
      <c r="R228" s="295" t="str">
        <f t="shared" si="52"/>
        <v xml:space="preserve"> </v>
      </c>
      <c r="S228" s="295" t="str">
        <f t="shared" si="53"/>
        <v xml:space="preserve"> </v>
      </c>
      <c r="T228" s="295" t="str">
        <f>IF(A228="N/A"," ",(IF(MONTH(A228)&gt;=4,IF(MONTH(A228)&lt;=10,Inputs!$H$2,Inputs!$H$3),Inputs!$H$3)))</f>
        <v xml:space="preserve"> </v>
      </c>
      <c r="U228" s="463" t="str">
        <f t="shared" si="58"/>
        <v xml:space="preserve"> </v>
      </c>
      <c r="AF228" s="205">
        <v>43374</v>
      </c>
      <c r="AG228" s="194">
        <v>23</v>
      </c>
      <c r="AH228" s="194">
        <v>4</v>
      </c>
      <c r="AI228" s="194">
        <v>4</v>
      </c>
      <c r="AJ228" s="194">
        <v>0</v>
      </c>
      <c r="AK228" s="194">
        <v>31</v>
      </c>
    </row>
    <row r="229" spans="1:37">
      <c r="A229" s="176" t="str">
        <f>Calculations!A196</f>
        <v>N/A</v>
      </c>
      <c r="B229" s="201" t="str">
        <f t="shared" si="59"/>
        <v xml:space="preserve"> </v>
      </c>
      <c r="C229" s="203" t="str">
        <f t="shared" ref="C229:C288" si="65">IF(A229="N/A"," ",(IF(AND(MONTH(A229)&gt;=6,MONTH(A229)&lt;=8,OR($M$37="REGION 2",$M$37="REGION 2A",$M$37="REGION 2B",$M$37="REGION 3",$M$37="REGION 3A",$M$37="REGION 3B",$M$37="REGION 4",$M$37="REGION 4B",$M$37="REGION 4C",$M$37="REGION 5",$M$37="REGION 5A")),((0.059228/(B229/100))-(0.4980013/(SQRT(B229/100)))+2.137988),HLOOKUP(MONTH(A229),ScalarTable,28))))</f>
        <v xml:space="preserve"> </v>
      </c>
      <c r="D229" s="202" t="str">
        <f t="shared" si="54"/>
        <v xml:space="preserve"> </v>
      </c>
      <c r="E229" s="201" t="str">
        <f t="shared" si="60"/>
        <v xml:space="preserve"> </v>
      </c>
      <c r="F229" s="202" t="str">
        <f t="shared" si="55"/>
        <v xml:space="preserve"> </v>
      </c>
      <c r="G229" s="201" t="str">
        <f t="shared" si="61"/>
        <v xml:space="preserve"> </v>
      </c>
      <c r="H229" s="202" t="str">
        <f t="shared" si="56"/>
        <v xml:space="preserve"> </v>
      </c>
      <c r="I229" s="202" t="str">
        <f t="shared" si="62"/>
        <v xml:space="preserve"> </v>
      </c>
      <c r="J229" s="276" t="str">
        <f t="shared" si="57"/>
        <v xml:space="preserve"> </v>
      </c>
      <c r="K229" s="363" t="str">
        <f t="shared" si="63"/>
        <v xml:space="preserve"> </v>
      </c>
      <c r="L229" s="363" t="str">
        <f t="shared" si="64"/>
        <v xml:space="preserve"> </v>
      </c>
      <c r="M229" s="445"/>
      <c r="N229" s="293" t="str">
        <f t="shared" ref="N229:N288" si="66">IF(A229="N/A"," ",VLOOKUP(A229,PeakPowerCurves,(IF(BMO=2,3,IF(BMO=1,2,4))),FALSE))</f>
        <v xml:space="preserve"> </v>
      </c>
      <c r="O229" s="293" t="str">
        <f t="shared" ref="O229:O288" si="67">IF(A229="N/A"," ",VLOOKUP(A229,SatSunPeakPwr,(IF(BMO=2,3,IF(BMO=1,2,4))),FALSE))</f>
        <v xml:space="preserve"> </v>
      </c>
      <c r="P229" s="293" t="str">
        <f t="shared" ref="P229:P288" si="68">IF(A229="N/A"," ",VLOOKUP(A229,SatSunPeakPwr,(IF(BMO=2,7,IF(BMO=1,6,8))),FALSE))</f>
        <v xml:space="preserve"> </v>
      </c>
      <c r="Q229" s="294" t="str">
        <f t="shared" ref="Q229:Q288" si="69">IF(A229="N/A"," ",(VLOOKUP(A229,OPPowerPrices,(IF(BMO=2,7,IF(BMO=1,6,8))),FALSE)))</f>
        <v xml:space="preserve"> </v>
      </c>
      <c r="R229" s="295" t="str">
        <f t="shared" ref="R229:R288" si="70">IF(A229="N/A"," ",(VLOOKUP(A229,GasCurves,9,FALSE))+IF(BMO=1,Gasbmo,IF(BMO=3,-Gasbmo,0)))</f>
        <v xml:space="preserve"> </v>
      </c>
      <c r="S229" s="295" t="str">
        <f t="shared" ref="S229:S288" si="71">IF(A229="N/A"," ",IF(Basischeck=TRUE,(VLOOKUP(A229,GasCurves,IF(MONTH(A229)&gt;=4,IF(MONTH(A229)&lt;=10,11,12),12),FALSE)),0))</f>
        <v xml:space="preserve"> </v>
      </c>
      <c r="T229" s="295" t="str">
        <f>IF(A229="N/A"," ",(IF(MONTH(A229)&gt;=4,IF(MONTH(A229)&lt;=10,Inputs!$H$2,Inputs!$H$3),Inputs!$H$3)))</f>
        <v xml:space="preserve"> </v>
      </c>
      <c r="U229" s="463" t="str">
        <f t="shared" si="58"/>
        <v xml:space="preserve"> </v>
      </c>
      <c r="AF229" s="205">
        <v>43405</v>
      </c>
      <c r="AG229" s="194">
        <v>21</v>
      </c>
      <c r="AH229" s="194">
        <v>4</v>
      </c>
      <c r="AI229" s="194">
        <v>5</v>
      </c>
      <c r="AJ229" s="194">
        <v>1</v>
      </c>
      <c r="AK229" s="194">
        <v>30</v>
      </c>
    </row>
    <row r="230" spans="1:37">
      <c r="A230" s="176" t="str">
        <f>Calculations!A197</f>
        <v>N/A</v>
      </c>
      <c r="B230" s="201" t="str">
        <f t="shared" si="59"/>
        <v xml:space="preserve"> </v>
      </c>
      <c r="C230" s="203" t="str">
        <f t="shared" si="65"/>
        <v xml:space="preserve"> </v>
      </c>
      <c r="D230" s="202" t="str">
        <f t="shared" ref="D230:D288" si="72">IF(A230="N/A"," ",C230*B230)</f>
        <v xml:space="preserve"> </v>
      </c>
      <c r="E230" s="201" t="str">
        <f t="shared" si="60"/>
        <v xml:space="preserve"> </v>
      </c>
      <c r="F230" s="202" t="str">
        <f t="shared" ref="F230:F288" si="73">IF(A230="N/A"," ",E230*C230)</f>
        <v xml:space="preserve"> </v>
      </c>
      <c r="G230" s="201" t="str">
        <f t="shared" si="61"/>
        <v xml:space="preserve"> </v>
      </c>
      <c r="H230" s="202" t="str">
        <f t="shared" ref="H230:H288" si="74">IF(A230="N/A"," ",G230*C230)</f>
        <v xml:space="preserve"> </v>
      </c>
      <c r="I230" s="202" t="str">
        <f t="shared" si="62"/>
        <v xml:space="preserve"> </v>
      </c>
      <c r="J230" s="276" t="str">
        <f t="shared" ref="J230:J288" si="75">IF(A230="N/A"," ",K230+L230+T230)</f>
        <v xml:space="preserve"> </v>
      </c>
      <c r="K230" s="363" t="str">
        <f t="shared" si="63"/>
        <v xml:space="preserve"> </v>
      </c>
      <c r="L230" s="363" t="str">
        <f t="shared" si="64"/>
        <v xml:space="preserve"> </v>
      </c>
      <c r="M230" s="445"/>
      <c r="N230" s="293" t="str">
        <f t="shared" si="66"/>
        <v xml:space="preserve"> </v>
      </c>
      <c r="O230" s="293" t="str">
        <f t="shared" si="67"/>
        <v xml:space="preserve"> </v>
      </c>
      <c r="P230" s="293" t="str">
        <f t="shared" si="68"/>
        <v xml:space="preserve"> </v>
      </c>
      <c r="Q230" s="294" t="str">
        <f t="shared" si="69"/>
        <v xml:space="preserve"> </v>
      </c>
      <c r="R230" s="295" t="str">
        <f t="shared" si="70"/>
        <v xml:space="preserve"> </v>
      </c>
      <c r="S230" s="295" t="str">
        <f t="shared" si="71"/>
        <v xml:space="preserve"> </v>
      </c>
      <c r="T230" s="295" t="str">
        <f>IF(A230="N/A"," ",(IF(MONTH(A230)&gt;=4,IF(MONTH(A230)&lt;=10,Inputs!$H$2,Inputs!$H$3),Inputs!$H$3)))</f>
        <v xml:space="preserve"> </v>
      </c>
      <c r="U230" s="463" t="str">
        <f t="shared" ref="U230:U288" si="76">IF(A230="N/A"," ",(VLOOKUP($A230,InterestRatesTable,2)))</f>
        <v xml:space="preserve"> </v>
      </c>
      <c r="AF230" s="205">
        <v>43435</v>
      </c>
      <c r="AG230" s="194">
        <v>20</v>
      </c>
      <c r="AH230" s="194">
        <v>5</v>
      </c>
      <c r="AI230" s="194">
        <v>6</v>
      </c>
      <c r="AJ230" s="194">
        <v>1</v>
      </c>
      <c r="AK230" s="194">
        <v>31</v>
      </c>
    </row>
    <row r="231" spans="1:37">
      <c r="A231" s="176" t="str">
        <f>Calculations!A198</f>
        <v>N/A</v>
      </c>
      <c r="B231" s="201" t="str">
        <f t="shared" si="59"/>
        <v xml:space="preserve"> </v>
      </c>
      <c r="C231" s="203" t="str">
        <f t="shared" si="65"/>
        <v xml:space="preserve"> </v>
      </c>
      <c r="D231" s="202" t="str">
        <f t="shared" si="72"/>
        <v xml:space="preserve"> </v>
      </c>
      <c r="E231" s="201" t="str">
        <f t="shared" si="60"/>
        <v xml:space="preserve"> </v>
      </c>
      <c r="F231" s="202" t="str">
        <f t="shared" si="73"/>
        <v xml:space="preserve"> </v>
      </c>
      <c r="G231" s="201" t="str">
        <f t="shared" si="61"/>
        <v xml:space="preserve"> </v>
      </c>
      <c r="H231" s="202" t="str">
        <f t="shared" si="74"/>
        <v xml:space="preserve"> </v>
      </c>
      <c r="I231" s="202" t="str">
        <f t="shared" si="62"/>
        <v xml:space="preserve"> </v>
      </c>
      <c r="J231" s="276" t="str">
        <f t="shared" si="75"/>
        <v xml:space="preserve"> </v>
      </c>
      <c r="K231" s="363" t="str">
        <f t="shared" si="63"/>
        <v xml:space="preserve"> </v>
      </c>
      <c r="L231" s="363" t="str">
        <f t="shared" si="64"/>
        <v xml:space="preserve"> </v>
      </c>
      <c r="M231" s="445"/>
      <c r="N231" s="293" t="str">
        <f t="shared" si="66"/>
        <v xml:space="preserve"> </v>
      </c>
      <c r="O231" s="293" t="str">
        <f t="shared" si="67"/>
        <v xml:space="preserve"> </v>
      </c>
      <c r="P231" s="293" t="str">
        <f t="shared" si="68"/>
        <v xml:space="preserve"> </v>
      </c>
      <c r="Q231" s="294" t="str">
        <f t="shared" si="69"/>
        <v xml:space="preserve"> </v>
      </c>
      <c r="R231" s="295" t="str">
        <f t="shared" si="70"/>
        <v xml:space="preserve"> </v>
      </c>
      <c r="S231" s="295" t="str">
        <f t="shared" si="71"/>
        <v xml:space="preserve"> </v>
      </c>
      <c r="T231" s="295" t="str">
        <f>IF(A231="N/A"," ",(IF(MONTH(A231)&gt;=4,IF(MONTH(A231)&lt;=10,Inputs!$H$2,Inputs!$H$3),Inputs!$H$3)))</f>
        <v xml:space="preserve"> </v>
      </c>
      <c r="U231" s="463" t="str">
        <f t="shared" si="76"/>
        <v xml:space="preserve"> </v>
      </c>
      <c r="AF231" s="205">
        <v>43466</v>
      </c>
      <c r="AG231" s="194">
        <v>22</v>
      </c>
      <c r="AH231" s="194">
        <v>4</v>
      </c>
      <c r="AI231" s="194">
        <v>5</v>
      </c>
      <c r="AJ231" s="194">
        <v>1</v>
      </c>
      <c r="AK231" s="194">
        <v>31</v>
      </c>
    </row>
    <row r="232" spans="1:37">
      <c r="A232" s="176" t="str">
        <f>Calculations!A199</f>
        <v>N/A</v>
      </c>
      <c r="B232" s="201" t="str">
        <f t="shared" si="59"/>
        <v xml:space="preserve"> </v>
      </c>
      <c r="C232" s="203" t="str">
        <f t="shared" si="65"/>
        <v xml:space="preserve"> </v>
      </c>
      <c r="D232" s="202" t="str">
        <f t="shared" si="72"/>
        <v xml:space="preserve"> </v>
      </c>
      <c r="E232" s="201" t="str">
        <f t="shared" si="60"/>
        <v xml:space="preserve"> </v>
      </c>
      <c r="F232" s="202" t="str">
        <f t="shared" si="73"/>
        <v xml:space="preserve"> </v>
      </c>
      <c r="G232" s="201" t="str">
        <f t="shared" si="61"/>
        <v xml:space="preserve"> </v>
      </c>
      <c r="H232" s="202" t="str">
        <f t="shared" si="74"/>
        <v xml:space="preserve"> </v>
      </c>
      <c r="I232" s="202" t="str">
        <f t="shared" si="62"/>
        <v xml:space="preserve"> </v>
      </c>
      <c r="J232" s="276" t="str">
        <f t="shared" si="75"/>
        <v xml:space="preserve"> </v>
      </c>
      <c r="K232" s="363" t="str">
        <f t="shared" si="63"/>
        <v xml:space="preserve"> </v>
      </c>
      <c r="L232" s="363" t="str">
        <f t="shared" si="64"/>
        <v xml:space="preserve"> </v>
      </c>
      <c r="M232" s="445"/>
      <c r="N232" s="293" t="str">
        <f t="shared" si="66"/>
        <v xml:space="preserve"> </v>
      </c>
      <c r="O232" s="293" t="str">
        <f t="shared" si="67"/>
        <v xml:space="preserve"> </v>
      </c>
      <c r="P232" s="293" t="str">
        <f t="shared" si="68"/>
        <v xml:space="preserve"> </v>
      </c>
      <c r="Q232" s="294" t="str">
        <f t="shared" si="69"/>
        <v xml:space="preserve"> </v>
      </c>
      <c r="R232" s="295" t="str">
        <f t="shared" si="70"/>
        <v xml:space="preserve"> </v>
      </c>
      <c r="S232" s="295" t="str">
        <f t="shared" si="71"/>
        <v xml:space="preserve"> </v>
      </c>
      <c r="T232" s="295" t="str">
        <f>IF(A232="N/A"," ",(IF(MONTH(A232)&gt;=4,IF(MONTH(A232)&lt;=10,Inputs!$H$2,Inputs!$H$3),Inputs!$H$3)))</f>
        <v xml:space="preserve"> </v>
      </c>
      <c r="U232" s="463" t="str">
        <f t="shared" si="76"/>
        <v xml:space="preserve"> </v>
      </c>
      <c r="AF232" s="205">
        <v>43497</v>
      </c>
      <c r="AG232" s="194">
        <v>20</v>
      </c>
      <c r="AH232" s="194">
        <v>4</v>
      </c>
      <c r="AI232" s="194">
        <v>4</v>
      </c>
      <c r="AJ232" s="194">
        <v>0</v>
      </c>
      <c r="AK232" s="194">
        <v>28</v>
      </c>
    </row>
    <row r="233" spans="1:37">
      <c r="A233" s="176" t="str">
        <f>Calculations!A200</f>
        <v>N/A</v>
      </c>
      <c r="B233" s="201" t="str">
        <f t="shared" si="59"/>
        <v xml:space="preserve"> </v>
      </c>
      <c r="C233" s="203" t="str">
        <f t="shared" si="65"/>
        <v xml:space="preserve"> </v>
      </c>
      <c r="D233" s="202" t="str">
        <f t="shared" si="72"/>
        <v xml:space="preserve"> </v>
      </c>
      <c r="E233" s="201" t="str">
        <f t="shared" si="60"/>
        <v xml:space="preserve"> </v>
      </c>
      <c r="F233" s="202" t="str">
        <f t="shared" si="73"/>
        <v xml:space="preserve"> </v>
      </c>
      <c r="G233" s="201" t="str">
        <f t="shared" si="61"/>
        <v xml:space="preserve"> </v>
      </c>
      <c r="H233" s="202" t="str">
        <f t="shared" si="74"/>
        <v xml:space="preserve"> </v>
      </c>
      <c r="I233" s="202" t="str">
        <f t="shared" si="62"/>
        <v xml:space="preserve"> </v>
      </c>
      <c r="J233" s="276" t="str">
        <f t="shared" si="75"/>
        <v xml:space="preserve"> </v>
      </c>
      <c r="K233" s="363" t="str">
        <f t="shared" si="63"/>
        <v xml:space="preserve"> </v>
      </c>
      <c r="L233" s="363" t="str">
        <f t="shared" si="64"/>
        <v xml:space="preserve"> </v>
      </c>
      <c r="M233" s="445"/>
      <c r="N233" s="293" t="str">
        <f t="shared" si="66"/>
        <v xml:space="preserve"> </v>
      </c>
      <c r="O233" s="293" t="str">
        <f t="shared" si="67"/>
        <v xml:space="preserve"> </v>
      </c>
      <c r="P233" s="293" t="str">
        <f t="shared" si="68"/>
        <v xml:space="preserve"> </v>
      </c>
      <c r="Q233" s="294" t="str">
        <f t="shared" si="69"/>
        <v xml:space="preserve"> </v>
      </c>
      <c r="R233" s="295" t="str">
        <f t="shared" si="70"/>
        <v xml:space="preserve"> </v>
      </c>
      <c r="S233" s="295" t="str">
        <f t="shared" si="71"/>
        <v xml:space="preserve"> </v>
      </c>
      <c r="T233" s="295" t="str">
        <f>IF(A233="N/A"," ",(IF(MONTH(A233)&gt;=4,IF(MONTH(A233)&lt;=10,Inputs!$H$2,Inputs!$H$3),Inputs!$H$3)))</f>
        <v xml:space="preserve"> </v>
      </c>
      <c r="U233" s="463" t="str">
        <f t="shared" si="76"/>
        <v xml:space="preserve"> </v>
      </c>
      <c r="AF233" s="205">
        <v>43525</v>
      </c>
      <c r="AG233" s="194">
        <v>21</v>
      </c>
      <c r="AH233" s="194">
        <v>5</v>
      </c>
      <c r="AI233" s="194">
        <v>5</v>
      </c>
      <c r="AJ233" s="194">
        <v>0</v>
      </c>
      <c r="AK233" s="194">
        <v>31</v>
      </c>
    </row>
    <row r="234" spans="1:37">
      <c r="A234" s="176" t="str">
        <f>Calculations!A201</f>
        <v>N/A</v>
      </c>
      <c r="B234" s="201" t="str">
        <f t="shared" si="59"/>
        <v xml:space="preserve"> </v>
      </c>
      <c r="C234" s="203" t="str">
        <f t="shared" si="65"/>
        <v xml:space="preserve"> </v>
      </c>
      <c r="D234" s="202" t="str">
        <f t="shared" si="72"/>
        <v xml:space="preserve"> </v>
      </c>
      <c r="E234" s="201" t="str">
        <f t="shared" si="60"/>
        <v xml:space="preserve"> </v>
      </c>
      <c r="F234" s="202" t="str">
        <f t="shared" si="73"/>
        <v xml:space="preserve"> </v>
      </c>
      <c r="G234" s="201" t="str">
        <f t="shared" si="61"/>
        <v xml:space="preserve"> </v>
      </c>
      <c r="H234" s="202" t="str">
        <f t="shared" si="74"/>
        <v xml:space="preserve"> </v>
      </c>
      <c r="I234" s="202" t="str">
        <f t="shared" si="62"/>
        <v xml:space="preserve"> </v>
      </c>
      <c r="J234" s="276" t="str">
        <f t="shared" si="75"/>
        <v xml:space="preserve"> </v>
      </c>
      <c r="K234" s="363" t="str">
        <f t="shared" si="63"/>
        <v xml:space="preserve"> </v>
      </c>
      <c r="L234" s="363" t="str">
        <f t="shared" si="64"/>
        <v xml:space="preserve"> </v>
      </c>
      <c r="M234" s="445"/>
      <c r="N234" s="293" t="str">
        <f t="shared" si="66"/>
        <v xml:space="preserve"> </v>
      </c>
      <c r="O234" s="293" t="str">
        <f t="shared" si="67"/>
        <v xml:space="preserve"> </v>
      </c>
      <c r="P234" s="293" t="str">
        <f t="shared" si="68"/>
        <v xml:space="preserve"> </v>
      </c>
      <c r="Q234" s="294" t="str">
        <f t="shared" si="69"/>
        <v xml:space="preserve"> </v>
      </c>
      <c r="R234" s="295" t="str">
        <f t="shared" si="70"/>
        <v xml:space="preserve"> </v>
      </c>
      <c r="S234" s="295" t="str">
        <f t="shared" si="71"/>
        <v xml:space="preserve"> </v>
      </c>
      <c r="T234" s="295" t="str">
        <f>IF(A234="N/A"," ",(IF(MONTH(A234)&gt;=4,IF(MONTH(A234)&lt;=10,Inputs!$H$2,Inputs!$H$3),Inputs!$H$3)))</f>
        <v xml:space="preserve"> </v>
      </c>
      <c r="U234" s="463" t="str">
        <f t="shared" si="76"/>
        <v xml:space="preserve"> </v>
      </c>
      <c r="AF234" s="205">
        <v>43556</v>
      </c>
      <c r="AG234" s="194">
        <v>22</v>
      </c>
      <c r="AH234" s="194">
        <v>4</v>
      </c>
      <c r="AI234" s="194">
        <v>4</v>
      </c>
      <c r="AJ234" s="194">
        <v>0</v>
      </c>
      <c r="AK234" s="194">
        <v>30</v>
      </c>
    </row>
    <row r="235" spans="1:37">
      <c r="A235" s="176" t="str">
        <f>Calculations!A202</f>
        <v>N/A</v>
      </c>
      <c r="B235" s="201" t="str">
        <f t="shared" si="59"/>
        <v xml:space="preserve"> </v>
      </c>
      <c r="C235" s="203" t="str">
        <f t="shared" si="65"/>
        <v xml:space="preserve"> </v>
      </c>
      <c r="D235" s="202" t="str">
        <f t="shared" si="72"/>
        <v xml:space="preserve"> </v>
      </c>
      <c r="E235" s="201" t="str">
        <f t="shared" si="60"/>
        <v xml:space="preserve"> </v>
      </c>
      <c r="F235" s="202" t="str">
        <f t="shared" si="73"/>
        <v xml:space="preserve"> </v>
      </c>
      <c r="G235" s="201" t="str">
        <f t="shared" si="61"/>
        <v xml:space="preserve"> </v>
      </c>
      <c r="H235" s="202" t="str">
        <f t="shared" si="74"/>
        <v xml:space="preserve"> </v>
      </c>
      <c r="I235" s="202" t="str">
        <f t="shared" si="62"/>
        <v xml:space="preserve"> </v>
      </c>
      <c r="J235" s="276" t="str">
        <f t="shared" si="75"/>
        <v xml:space="preserve"> </v>
      </c>
      <c r="K235" s="363" t="str">
        <f t="shared" si="63"/>
        <v xml:space="preserve"> </v>
      </c>
      <c r="L235" s="363" t="str">
        <f t="shared" si="64"/>
        <v xml:space="preserve"> </v>
      </c>
      <c r="M235" s="445"/>
      <c r="N235" s="293" t="str">
        <f t="shared" si="66"/>
        <v xml:space="preserve"> </v>
      </c>
      <c r="O235" s="293" t="str">
        <f t="shared" si="67"/>
        <v xml:space="preserve"> </v>
      </c>
      <c r="P235" s="293" t="str">
        <f t="shared" si="68"/>
        <v xml:space="preserve"> </v>
      </c>
      <c r="Q235" s="294" t="str">
        <f t="shared" si="69"/>
        <v xml:space="preserve"> </v>
      </c>
      <c r="R235" s="295" t="str">
        <f t="shared" si="70"/>
        <v xml:space="preserve"> </v>
      </c>
      <c r="S235" s="295" t="str">
        <f t="shared" si="71"/>
        <v xml:space="preserve"> </v>
      </c>
      <c r="T235" s="295" t="str">
        <f>IF(A235="N/A"," ",(IF(MONTH(A235)&gt;=4,IF(MONTH(A235)&lt;=10,Inputs!$H$2,Inputs!$H$3),Inputs!$H$3)))</f>
        <v xml:space="preserve"> </v>
      </c>
      <c r="U235" s="463" t="str">
        <f t="shared" si="76"/>
        <v xml:space="preserve"> </v>
      </c>
      <c r="AF235" s="205">
        <v>43586</v>
      </c>
      <c r="AG235" s="194">
        <v>22</v>
      </c>
      <c r="AH235" s="194">
        <v>4</v>
      </c>
      <c r="AI235" s="194">
        <v>5</v>
      </c>
      <c r="AJ235" s="194">
        <v>1</v>
      </c>
      <c r="AK235" s="194">
        <v>31</v>
      </c>
    </row>
    <row r="236" spans="1:37">
      <c r="A236" s="176" t="str">
        <f>Calculations!A203</f>
        <v>N/A</v>
      </c>
      <c r="B236" s="201" t="str">
        <f t="shared" si="59"/>
        <v xml:space="preserve"> </v>
      </c>
      <c r="C236" s="203" t="str">
        <f t="shared" si="65"/>
        <v xml:space="preserve"> </v>
      </c>
      <c r="D236" s="202" t="str">
        <f t="shared" si="72"/>
        <v xml:space="preserve"> </v>
      </c>
      <c r="E236" s="201" t="str">
        <f t="shared" si="60"/>
        <v xml:space="preserve"> </v>
      </c>
      <c r="F236" s="202" t="str">
        <f t="shared" si="73"/>
        <v xml:space="preserve"> </v>
      </c>
      <c r="G236" s="201" t="str">
        <f t="shared" si="61"/>
        <v xml:space="preserve"> </v>
      </c>
      <c r="H236" s="202" t="str">
        <f t="shared" si="74"/>
        <v xml:space="preserve"> </v>
      </c>
      <c r="I236" s="202" t="str">
        <f t="shared" si="62"/>
        <v xml:space="preserve"> </v>
      </c>
      <c r="J236" s="276" t="str">
        <f t="shared" si="75"/>
        <v xml:space="preserve"> </v>
      </c>
      <c r="K236" s="363" t="str">
        <f t="shared" si="63"/>
        <v xml:space="preserve"> </v>
      </c>
      <c r="L236" s="363" t="str">
        <f t="shared" si="64"/>
        <v xml:space="preserve"> </v>
      </c>
      <c r="M236" s="445"/>
      <c r="N236" s="293" t="str">
        <f t="shared" si="66"/>
        <v xml:space="preserve"> </v>
      </c>
      <c r="O236" s="293" t="str">
        <f t="shared" si="67"/>
        <v xml:space="preserve"> </v>
      </c>
      <c r="P236" s="293" t="str">
        <f t="shared" si="68"/>
        <v xml:space="preserve"> </v>
      </c>
      <c r="Q236" s="294" t="str">
        <f t="shared" si="69"/>
        <v xml:space="preserve"> </v>
      </c>
      <c r="R236" s="295" t="str">
        <f t="shared" si="70"/>
        <v xml:space="preserve"> </v>
      </c>
      <c r="S236" s="295" t="str">
        <f t="shared" si="71"/>
        <v xml:space="preserve"> </v>
      </c>
      <c r="T236" s="295" t="str">
        <f>IF(A236="N/A"," ",(IF(MONTH(A236)&gt;=4,IF(MONTH(A236)&lt;=10,Inputs!$H$2,Inputs!$H$3),Inputs!$H$3)))</f>
        <v xml:space="preserve"> </v>
      </c>
      <c r="U236" s="463" t="str">
        <f t="shared" si="76"/>
        <v xml:space="preserve"> </v>
      </c>
      <c r="AF236" s="205">
        <v>43617</v>
      </c>
      <c r="AG236" s="194">
        <v>20</v>
      </c>
      <c r="AH236" s="194">
        <v>5</v>
      </c>
      <c r="AI236" s="194">
        <v>5</v>
      </c>
      <c r="AJ236" s="194">
        <v>0</v>
      </c>
      <c r="AK236" s="194">
        <v>30</v>
      </c>
    </row>
    <row r="237" spans="1:37">
      <c r="A237" s="176" t="str">
        <f>Calculations!A204</f>
        <v>N/A</v>
      </c>
      <c r="B237" s="201" t="str">
        <f t="shared" si="59"/>
        <v xml:space="preserve"> </v>
      </c>
      <c r="C237" s="203" t="str">
        <f t="shared" si="65"/>
        <v xml:space="preserve"> </v>
      </c>
      <c r="D237" s="202" t="str">
        <f t="shared" si="72"/>
        <v xml:space="preserve"> </v>
      </c>
      <c r="E237" s="201" t="str">
        <f t="shared" si="60"/>
        <v xml:space="preserve"> </v>
      </c>
      <c r="F237" s="202" t="str">
        <f t="shared" si="73"/>
        <v xml:space="preserve"> </v>
      </c>
      <c r="G237" s="201" t="str">
        <f t="shared" si="61"/>
        <v xml:space="preserve"> </v>
      </c>
      <c r="H237" s="202" t="str">
        <f t="shared" si="74"/>
        <v xml:space="preserve"> </v>
      </c>
      <c r="I237" s="202" t="str">
        <f t="shared" si="62"/>
        <v xml:space="preserve"> </v>
      </c>
      <c r="J237" s="276" t="str">
        <f t="shared" si="75"/>
        <v xml:space="preserve"> </v>
      </c>
      <c r="K237" s="363" t="str">
        <f t="shared" si="63"/>
        <v xml:space="preserve"> </v>
      </c>
      <c r="L237" s="363" t="str">
        <f t="shared" si="64"/>
        <v xml:space="preserve"> </v>
      </c>
      <c r="M237" s="445"/>
      <c r="N237" s="293" t="str">
        <f t="shared" si="66"/>
        <v xml:space="preserve"> </v>
      </c>
      <c r="O237" s="293" t="str">
        <f t="shared" si="67"/>
        <v xml:space="preserve"> </v>
      </c>
      <c r="P237" s="293" t="str">
        <f t="shared" si="68"/>
        <v xml:space="preserve"> </v>
      </c>
      <c r="Q237" s="294" t="str">
        <f t="shared" si="69"/>
        <v xml:space="preserve"> </v>
      </c>
      <c r="R237" s="295" t="str">
        <f t="shared" si="70"/>
        <v xml:space="preserve"> </v>
      </c>
      <c r="S237" s="295" t="str">
        <f t="shared" si="71"/>
        <v xml:space="preserve"> </v>
      </c>
      <c r="T237" s="295" t="str">
        <f>IF(A237="N/A"," ",(IF(MONTH(A237)&gt;=4,IF(MONTH(A237)&lt;=10,Inputs!$H$2,Inputs!$H$3),Inputs!$H$3)))</f>
        <v xml:space="preserve"> </v>
      </c>
      <c r="U237" s="463" t="str">
        <f t="shared" si="76"/>
        <v xml:space="preserve"> </v>
      </c>
      <c r="AF237" s="205">
        <v>43647</v>
      </c>
      <c r="AG237" s="194">
        <v>22</v>
      </c>
      <c r="AH237" s="194">
        <v>4</v>
      </c>
      <c r="AI237" s="194">
        <v>5</v>
      </c>
      <c r="AJ237" s="194">
        <v>1</v>
      </c>
      <c r="AK237" s="194">
        <v>31</v>
      </c>
    </row>
    <row r="238" spans="1:37">
      <c r="A238" s="176" t="str">
        <f>Calculations!A205</f>
        <v>N/A</v>
      </c>
      <c r="B238" s="201" t="str">
        <f t="shared" si="59"/>
        <v xml:space="preserve"> </v>
      </c>
      <c r="C238" s="203" t="str">
        <f t="shared" si="65"/>
        <v xml:space="preserve"> </v>
      </c>
      <c r="D238" s="202" t="str">
        <f t="shared" si="72"/>
        <v xml:space="preserve"> </v>
      </c>
      <c r="E238" s="201" t="str">
        <f t="shared" si="60"/>
        <v xml:space="preserve"> </v>
      </c>
      <c r="F238" s="202" t="str">
        <f t="shared" si="73"/>
        <v xml:space="preserve"> </v>
      </c>
      <c r="G238" s="201" t="str">
        <f t="shared" si="61"/>
        <v xml:space="preserve"> </v>
      </c>
      <c r="H238" s="202" t="str">
        <f t="shared" si="74"/>
        <v xml:space="preserve"> </v>
      </c>
      <c r="I238" s="202" t="str">
        <f t="shared" si="62"/>
        <v xml:space="preserve"> </v>
      </c>
      <c r="J238" s="276" t="str">
        <f t="shared" si="75"/>
        <v xml:space="preserve"> </v>
      </c>
      <c r="K238" s="363" t="str">
        <f t="shared" si="63"/>
        <v xml:space="preserve"> </v>
      </c>
      <c r="L238" s="363" t="str">
        <f t="shared" si="64"/>
        <v xml:space="preserve"> </v>
      </c>
      <c r="M238" s="445"/>
      <c r="N238" s="293" t="str">
        <f t="shared" si="66"/>
        <v xml:space="preserve"> </v>
      </c>
      <c r="O238" s="293" t="str">
        <f t="shared" si="67"/>
        <v xml:space="preserve"> </v>
      </c>
      <c r="P238" s="293" t="str">
        <f t="shared" si="68"/>
        <v xml:space="preserve"> </v>
      </c>
      <c r="Q238" s="294" t="str">
        <f t="shared" si="69"/>
        <v xml:space="preserve"> </v>
      </c>
      <c r="R238" s="295" t="str">
        <f t="shared" si="70"/>
        <v xml:space="preserve"> </v>
      </c>
      <c r="S238" s="295" t="str">
        <f t="shared" si="71"/>
        <v xml:space="preserve"> </v>
      </c>
      <c r="T238" s="295" t="str">
        <f>IF(A238="N/A"," ",(IF(MONTH(A238)&gt;=4,IF(MONTH(A238)&lt;=10,Inputs!$H$2,Inputs!$H$3),Inputs!$H$3)))</f>
        <v xml:space="preserve"> </v>
      </c>
      <c r="U238" s="463" t="str">
        <f t="shared" si="76"/>
        <v xml:space="preserve"> </v>
      </c>
      <c r="AF238" s="205">
        <v>43678</v>
      </c>
      <c r="AG238" s="194">
        <v>22</v>
      </c>
      <c r="AH238" s="194">
        <v>5</v>
      </c>
      <c r="AI238" s="194">
        <v>4</v>
      </c>
      <c r="AJ238" s="194">
        <v>0</v>
      </c>
      <c r="AK238" s="194">
        <v>31</v>
      </c>
    </row>
    <row r="239" spans="1:37">
      <c r="A239" s="176" t="str">
        <f>Calculations!A206</f>
        <v>N/A</v>
      </c>
      <c r="B239" s="201" t="str">
        <f t="shared" si="59"/>
        <v xml:space="preserve"> </v>
      </c>
      <c r="C239" s="203" t="str">
        <f t="shared" si="65"/>
        <v xml:space="preserve"> </v>
      </c>
      <c r="D239" s="202" t="str">
        <f t="shared" si="72"/>
        <v xml:space="preserve"> </v>
      </c>
      <c r="E239" s="201" t="str">
        <f t="shared" si="60"/>
        <v xml:space="preserve"> </v>
      </c>
      <c r="F239" s="202" t="str">
        <f t="shared" si="73"/>
        <v xml:space="preserve"> </v>
      </c>
      <c r="G239" s="201" t="str">
        <f t="shared" si="61"/>
        <v xml:space="preserve"> </v>
      </c>
      <c r="H239" s="202" t="str">
        <f t="shared" si="74"/>
        <v xml:space="preserve"> </v>
      </c>
      <c r="I239" s="202" t="str">
        <f t="shared" si="62"/>
        <v xml:space="preserve"> </v>
      </c>
      <c r="J239" s="276" t="str">
        <f t="shared" si="75"/>
        <v xml:space="preserve"> </v>
      </c>
      <c r="K239" s="363" t="str">
        <f t="shared" si="63"/>
        <v xml:space="preserve"> </v>
      </c>
      <c r="L239" s="363" t="str">
        <f t="shared" si="64"/>
        <v xml:space="preserve"> </v>
      </c>
      <c r="M239" s="445"/>
      <c r="N239" s="293" t="str">
        <f t="shared" si="66"/>
        <v xml:space="preserve"> </v>
      </c>
      <c r="O239" s="293" t="str">
        <f t="shared" si="67"/>
        <v xml:space="preserve"> </v>
      </c>
      <c r="P239" s="293" t="str">
        <f t="shared" si="68"/>
        <v xml:space="preserve"> </v>
      </c>
      <c r="Q239" s="294" t="str">
        <f t="shared" si="69"/>
        <v xml:space="preserve"> </v>
      </c>
      <c r="R239" s="295" t="str">
        <f t="shared" si="70"/>
        <v xml:space="preserve"> </v>
      </c>
      <c r="S239" s="295" t="str">
        <f t="shared" si="71"/>
        <v xml:space="preserve"> </v>
      </c>
      <c r="T239" s="295" t="str">
        <f>IF(A239="N/A"," ",(IF(MONTH(A239)&gt;=4,IF(MONTH(A239)&lt;=10,Inputs!$H$2,Inputs!$H$3),Inputs!$H$3)))</f>
        <v xml:space="preserve"> </v>
      </c>
      <c r="U239" s="463" t="str">
        <f t="shared" si="76"/>
        <v xml:space="preserve"> </v>
      </c>
      <c r="AF239" s="205">
        <v>43709</v>
      </c>
      <c r="AG239" s="194">
        <v>20</v>
      </c>
      <c r="AH239" s="194">
        <v>4</v>
      </c>
      <c r="AI239" s="194">
        <v>6</v>
      </c>
      <c r="AJ239" s="194">
        <v>1</v>
      </c>
      <c r="AK239" s="194">
        <v>30</v>
      </c>
    </row>
    <row r="240" spans="1:37">
      <c r="A240" s="176" t="str">
        <f>Calculations!A207</f>
        <v>N/A</v>
      </c>
      <c r="B240" s="201" t="str">
        <f t="shared" si="59"/>
        <v xml:space="preserve"> </v>
      </c>
      <c r="C240" s="203" t="str">
        <f t="shared" si="65"/>
        <v xml:space="preserve"> </v>
      </c>
      <c r="D240" s="202" t="str">
        <f t="shared" si="72"/>
        <v xml:space="preserve"> </v>
      </c>
      <c r="E240" s="201" t="str">
        <f t="shared" si="60"/>
        <v xml:space="preserve"> </v>
      </c>
      <c r="F240" s="202" t="str">
        <f t="shared" si="73"/>
        <v xml:space="preserve"> </v>
      </c>
      <c r="G240" s="201" t="str">
        <f t="shared" si="61"/>
        <v xml:space="preserve"> </v>
      </c>
      <c r="H240" s="202" t="str">
        <f t="shared" si="74"/>
        <v xml:space="preserve"> </v>
      </c>
      <c r="I240" s="202" t="str">
        <f t="shared" si="62"/>
        <v xml:space="preserve"> </v>
      </c>
      <c r="J240" s="276" t="str">
        <f t="shared" si="75"/>
        <v xml:space="preserve"> </v>
      </c>
      <c r="K240" s="363" t="str">
        <f t="shared" si="63"/>
        <v xml:space="preserve"> </v>
      </c>
      <c r="L240" s="363" t="str">
        <f t="shared" si="64"/>
        <v xml:space="preserve"> </v>
      </c>
      <c r="M240" s="445"/>
      <c r="N240" s="293" t="str">
        <f t="shared" si="66"/>
        <v xml:space="preserve"> </v>
      </c>
      <c r="O240" s="293" t="str">
        <f t="shared" si="67"/>
        <v xml:space="preserve"> </v>
      </c>
      <c r="P240" s="293" t="str">
        <f t="shared" si="68"/>
        <v xml:space="preserve"> </v>
      </c>
      <c r="Q240" s="294" t="str">
        <f t="shared" si="69"/>
        <v xml:space="preserve"> </v>
      </c>
      <c r="R240" s="295" t="str">
        <f t="shared" si="70"/>
        <v xml:space="preserve"> </v>
      </c>
      <c r="S240" s="295" t="str">
        <f t="shared" si="71"/>
        <v xml:space="preserve"> </v>
      </c>
      <c r="T240" s="295" t="str">
        <f>IF(A240="N/A"," ",(IF(MONTH(A240)&gt;=4,IF(MONTH(A240)&lt;=10,Inputs!$H$2,Inputs!$H$3),Inputs!$H$3)))</f>
        <v xml:space="preserve"> </v>
      </c>
      <c r="U240" s="463" t="str">
        <f t="shared" si="76"/>
        <v xml:space="preserve"> </v>
      </c>
      <c r="AF240" s="205">
        <v>43739</v>
      </c>
      <c r="AG240" s="194">
        <v>23</v>
      </c>
      <c r="AH240" s="194">
        <v>4</v>
      </c>
      <c r="AI240" s="194">
        <v>4</v>
      </c>
      <c r="AJ240" s="194">
        <v>0</v>
      </c>
      <c r="AK240" s="194">
        <v>31</v>
      </c>
    </row>
    <row r="241" spans="1:37">
      <c r="A241" s="176" t="str">
        <f>Calculations!A208</f>
        <v>N/A</v>
      </c>
      <c r="B241" s="201" t="str">
        <f t="shared" ref="B241:B288" si="77">IF(A241="N/A"," ",IF(ISERROR(N241),B229*Pwresc,N241)*VLOOKUP(MONTH(A241),Curveadj,3))</f>
        <v xml:space="preserve"> </v>
      </c>
      <c r="C241" s="203" t="str">
        <f t="shared" si="65"/>
        <v xml:space="preserve"> </v>
      </c>
      <c r="D241" s="202" t="str">
        <f t="shared" si="72"/>
        <v xml:space="preserve"> </v>
      </c>
      <c r="E241" s="201" t="str">
        <f t="shared" ref="E241:E288" si="78">IF(A241="N/A"," ",IF(ISERROR(O241),E229*Pwresc,O241)*VLOOKUP(MONTH(A241),Curveadj,3))</f>
        <v xml:space="preserve"> </v>
      </c>
      <c r="F241" s="202" t="str">
        <f t="shared" si="73"/>
        <v xml:space="preserve"> </v>
      </c>
      <c r="G241" s="201" t="str">
        <f t="shared" ref="G241:G288" si="79">IF(A241="N/A"," ",IF(ISERROR(P241),G229*Pwresc,P241)*VLOOKUP(MONTH(A241),Curveadj,3))</f>
        <v xml:space="preserve"> </v>
      </c>
      <c r="H241" s="202" t="str">
        <f t="shared" si="74"/>
        <v xml:space="preserve"> </v>
      </c>
      <c r="I241" s="202" t="str">
        <f t="shared" ref="I241:I288" si="80">IF(A241="N/A"," ",IF(ISERROR(Q241),I229*Pwresc,Q241))</f>
        <v xml:space="preserve"> </v>
      </c>
      <c r="J241" s="276" t="str">
        <f t="shared" si="75"/>
        <v xml:space="preserve"> </v>
      </c>
      <c r="K241" s="363" t="str">
        <f t="shared" ref="K241:K288" si="81">IF(A241="N/A"," ",IF(ISERROR(R241),K229*Gasesc,R241))</f>
        <v xml:space="preserve"> </v>
      </c>
      <c r="L241" s="363" t="str">
        <f t="shared" ref="L241:L288" si="82">IF(A241="N/A"," ",IF(ISERROR(S241),L229*Gasesc,IF(S241=0,L229*Gasesc,S241)))</f>
        <v xml:space="preserve"> </v>
      </c>
      <c r="M241" s="445"/>
      <c r="N241" s="293" t="str">
        <f t="shared" si="66"/>
        <v xml:space="preserve"> </v>
      </c>
      <c r="O241" s="293" t="str">
        <f t="shared" si="67"/>
        <v xml:space="preserve"> </v>
      </c>
      <c r="P241" s="293" t="str">
        <f t="shared" si="68"/>
        <v xml:space="preserve"> </v>
      </c>
      <c r="Q241" s="294" t="str">
        <f t="shared" si="69"/>
        <v xml:space="preserve"> </v>
      </c>
      <c r="R241" s="295" t="str">
        <f t="shared" si="70"/>
        <v xml:space="preserve"> </v>
      </c>
      <c r="S241" s="295" t="str">
        <f t="shared" si="71"/>
        <v xml:space="preserve"> </v>
      </c>
      <c r="T241" s="295" t="str">
        <f>IF(A241="N/A"," ",(IF(MONTH(A241)&gt;=4,IF(MONTH(A241)&lt;=10,Inputs!$H$2,Inputs!$H$3),Inputs!$H$3)))</f>
        <v xml:space="preserve"> </v>
      </c>
      <c r="U241" s="463" t="str">
        <f t="shared" si="76"/>
        <v xml:space="preserve"> </v>
      </c>
      <c r="AF241" s="205">
        <v>43770</v>
      </c>
      <c r="AG241" s="194">
        <v>20</v>
      </c>
      <c r="AH241" s="194">
        <v>5</v>
      </c>
      <c r="AI241" s="194">
        <v>5</v>
      </c>
      <c r="AJ241" s="194">
        <v>1</v>
      </c>
      <c r="AK241" s="194">
        <v>30</v>
      </c>
    </row>
    <row r="242" spans="1:37">
      <c r="A242" s="176" t="str">
        <f>Calculations!A209</f>
        <v>N/A</v>
      </c>
      <c r="B242" s="201" t="str">
        <f t="shared" si="77"/>
        <v xml:space="preserve"> </v>
      </c>
      <c r="C242" s="203" t="str">
        <f t="shared" si="65"/>
        <v xml:space="preserve"> </v>
      </c>
      <c r="D242" s="202" t="str">
        <f t="shared" si="72"/>
        <v xml:space="preserve"> </v>
      </c>
      <c r="E242" s="201" t="str">
        <f t="shared" si="78"/>
        <v xml:space="preserve"> </v>
      </c>
      <c r="F242" s="202" t="str">
        <f t="shared" si="73"/>
        <v xml:space="preserve"> </v>
      </c>
      <c r="G242" s="201" t="str">
        <f t="shared" si="79"/>
        <v xml:space="preserve"> </v>
      </c>
      <c r="H242" s="202" t="str">
        <f t="shared" si="74"/>
        <v xml:space="preserve"> </v>
      </c>
      <c r="I242" s="202" t="str">
        <f t="shared" si="80"/>
        <v xml:space="preserve"> </v>
      </c>
      <c r="J242" s="276" t="str">
        <f t="shared" si="75"/>
        <v xml:space="preserve"> </v>
      </c>
      <c r="K242" s="363" t="str">
        <f t="shared" si="81"/>
        <v xml:space="preserve"> </v>
      </c>
      <c r="L242" s="363" t="str">
        <f t="shared" si="82"/>
        <v xml:space="preserve"> </v>
      </c>
      <c r="M242" s="445"/>
      <c r="N242" s="293" t="str">
        <f t="shared" si="66"/>
        <v xml:space="preserve"> </v>
      </c>
      <c r="O242" s="293" t="str">
        <f t="shared" si="67"/>
        <v xml:space="preserve"> </v>
      </c>
      <c r="P242" s="293" t="str">
        <f t="shared" si="68"/>
        <v xml:space="preserve"> </v>
      </c>
      <c r="Q242" s="294" t="str">
        <f t="shared" si="69"/>
        <v xml:space="preserve"> </v>
      </c>
      <c r="R242" s="295" t="str">
        <f t="shared" si="70"/>
        <v xml:space="preserve"> </v>
      </c>
      <c r="S242" s="295" t="str">
        <f t="shared" si="71"/>
        <v xml:space="preserve"> </v>
      </c>
      <c r="T242" s="295" t="str">
        <f>IF(A242="N/A"," ",(IF(MONTH(A242)&gt;=4,IF(MONTH(A242)&lt;=10,Inputs!$H$2,Inputs!$H$3),Inputs!$H$3)))</f>
        <v xml:space="preserve"> </v>
      </c>
      <c r="U242" s="463" t="str">
        <f t="shared" si="76"/>
        <v xml:space="preserve"> </v>
      </c>
      <c r="AF242" s="205">
        <v>43800</v>
      </c>
      <c r="AG242" s="194">
        <v>21</v>
      </c>
      <c r="AH242" s="194">
        <v>4</v>
      </c>
      <c r="AI242" s="194">
        <v>6</v>
      </c>
      <c r="AJ242" s="194">
        <v>1</v>
      </c>
      <c r="AK242" s="194">
        <v>31</v>
      </c>
    </row>
    <row r="243" spans="1:37">
      <c r="A243" s="176" t="str">
        <f>Calculations!A210</f>
        <v>N/A</v>
      </c>
      <c r="B243" s="201" t="str">
        <f t="shared" si="77"/>
        <v xml:space="preserve"> </v>
      </c>
      <c r="C243" s="203" t="str">
        <f t="shared" si="65"/>
        <v xml:space="preserve"> </v>
      </c>
      <c r="D243" s="202" t="str">
        <f t="shared" si="72"/>
        <v xml:space="preserve"> </v>
      </c>
      <c r="E243" s="201" t="str">
        <f t="shared" si="78"/>
        <v xml:space="preserve"> </v>
      </c>
      <c r="F243" s="202" t="str">
        <f t="shared" si="73"/>
        <v xml:space="preserve"> </v>
      </c>
      <c r="G243" s="201" t="str">
        <f t="shared" si="79"/>
        <v xml:space="preserve"> </v>
      </c>
      <c r="H243" s="202" t="str">
        <f t="shared" si="74"/>
        <v xml:space="preserve"> </v>
      </c>
      <c r="I243" s="202" t="str">
        <f t="shared" si="80"/>
        <v xml:space="preserve"> </v>
      </c>
      <c r="J243" s="276" t="str">
        <f t="shared" si="75"/>
        <v xml:space="preserve"> </v>
      </c>
      <c r="K243" s="363" t="str">
        <f t="shared" si="81"/>
        <v xml:space="preserve"> </v>
      </c>
      <c r="L243" s="363" t="str">
        <f t="shared" si="82"/>
        <v xml:space="preserve"> </v>
      </c>
      <c r="M243" s="445"/>
      <c r="N243" s="293" t="str">
        <f t="shared" si="66"/>
        <v xml:space="preserve"> </v>
      </c>
      <c r="O243" s="293" t="str">
        <f t="shared" si="67"/>
        <v xml:space="preserve"> </v>
      </c>
      <c r="P243" s="293" t="str">
        <f t="shared" si="68"/>
        <v xml:space="preserve"> </v>
      </c>
      <c r="Q243" s="294" t="str">
        <f t="shared" si="69"/>
        <v xml:space="preserve"> </v>
      </c>
      <c r="R243" s="295" t="str">
        <f t="shared" si="70"/>
        <v xml:space="preserve"> </v>
      </c>
      <c r="S243" s="295" t="str">
        <f t="shared" si="71"/>
        <v xml:space="preserve"> </v>
      </c>
      <c r="T243" s="295" t="str">
        <f>IF(A243="N/A"," ",(IF(MONTH(A243)&gt;=4,IF(MONTH(A243)&lt;=10,Inputs!$H$2,Inputs!$H$3),Inputs!$H$3)))</f>
        <v xml:space="preserve"> </v>
      </c>
      <c r="U243" s="463" t="str">
        <f t="shared" si="76"/>
        <v xml:space="preserve"> </v>
      </c>
      <c r="AF243" s="205">
        <v>43831</v>
      </c>
      <c r="AG243" s="194">
        <v>22</v>
      </c>
      <c r="AH243" s="194">
        <v>4</v>
      </c>
      <c r="AI243" s="194">
        <v>5</v>
      </c>
      <c r="AJ243" s="194">
        <v>1</v>
      </c>
      <c r="AK243" s="194">
        <v>31</v>
      </c>
    </row>
    <row r="244" spans="1:37">
      <c r="A244" s="176" t="str">
        <f>Calculations!A211</f>
        <v>N/A</v>
      </c>
      <c r="B244" s="201" t="str">
        <f t="shared" si="77"/>
        <v xml:space="preserve"> </v>
      </c>
      <c r="C244" s="203" t="str">
        <f t="shared" si="65"/>
        <v xml:space="preserve"> </v>
      </c>
      <c r="D244" s="202" t="str">
        <f t="shared" si="72"/>
        <v xml:space="preserve"> </v>
      </c>
      <c r="E244" s="201" t="str">
        <f t="shared" si="78"/>
        <v xml:space="preserve"> </v>
      </c>
      <c r="F244" s="202" t="str">
        <f t="shared" si="73"/>
        <v xml:space="preserve"> </v>
      </c>
      <c r="G244" s="201" t="str">
        <f t="shared" si="79"/>
        <v xml:space="preserve"> </v>
      </c>
      <c r="H244" s="202" t="str">
        <f t="shared" si="74"/>
        <v xml:space="preserve"> </v>
      </c>
      <c r="I244" s="202" t="str">
        <f t="shared" si="80"/>
        <v xml:space="preserve"> </v>
      </c>
      <c r="J244" s="276" t="str">
        <f t="shared" si="75"/>
        <v xml:space="preserve"> </v>
      </c>
      <c r="K244" s="363" t="str">
        <f t="shared" si="81"/>
        <v xml:space="preserve"> </v>
      </c>
      <c r="L244" s="363" t="str">
        <f t="shared" si="82"/>
        <v xml:space="preserve"> </v>
      </c>
      <c r="M244" s="445"/>
      <c r="N244" s="293" t="str">
        <f t="shared" si="66"/>
        <v xml:space="preserve"> </v>
      </c>
      <c r="O244" s="293" t="str">
        <f t="shared" si="67"/>
        <v xml:space="preserve"> </v>
      </c>
      <c r="P244" s="293" t="str">
        <f t="shared" si="68"/>
        <v xml:space="preserve"> </v>
      </c>
      <c r="Q244" s="294" t="str">
        <f t="shared" si="69"/>
        <v xml:space="preserve"> </v>
      </c>
      <c r="R244" s="295" t="str">
        <f t="shared" si="70"/>
        <v xml:space="preserve"> </v>
      </c>
      <c r="S244" s="295" t="str">
        <f t="shared" si="71"/>
        <v xml:space="preserve"> </v>
      </c>
      <c r="T244" s="295" t="str">
        <f>IF(A244="N/A"," ",(IF(MONTH(A244)&gt;=4,IF(MONTH(A244)&lt;=10,Inputs!$H$2,Inputs!$H$3),Inputs!$H$3)))</f>
        <v xml:space="preserve"> </v>
      </c>
      <c r="U244" s="463" t="str">
        <f t="shared" si="76"/>
        <v xml:space="preserve"> </v>
      </c>
      <c r="AF244" s="205">
        <v>43862</v>
      </c>
      <c r="AG244" s="194">
        <v>20</v>
      </c>
      <c r="AH244" s="194">
        <v>5</v>
      </c>
      <c r="AI244" s="194">
        <v>4</v>
      </c>
      <c r="AJ244" s="194">
        <v>0</v>
      </c>
      <c r="AK244" s="194">
        <v>29</v>
      </c>
    </row>
    <row r="245" spans="1:37">
      <c r="A245" s="176" t="str">
        <f>Calculations!A212</f>
        <v>N/A</v>
      </c>
      <c r="B245" s="201" t="str">
        <f t="shared" si="77"/>
        <v xml:space="preserve"> </v>
      </c>
      <c r="C245" s="203" t="str">
        <f t="shared" si="65"/>
        <v xml:space="preserve"> </v>
      </c>
      <c r="D245" s="202" t="str">
        <f t="shared" si="72"/>
        <v xml:space="preserve"> </v>
      </c>
      <c r="E245" s="201" t="str">
        <f t="shared" si="78"/>
        <v xml:space="preserve"> </v>
      </c>
      <c r="F245" s="202" t="str">
        <f t="shared" si="73"/>
        <v xml:space="preserve"> </v>
      </c>
      <c r="G245" s="201" t="str">
        <f t="shared" si="79"/>
        <v xml:space="preserve"> </v>
      </c>
      <c r="H245" s="202" t="str">
        <f t="shared" si="74"/>
        <v xml:space="preserve"> </v>
      </c>
      <c r="I245" s="202" t="str">
        <f t="shared" si="80"/>
        <v xml:space="preserve"> </v>
      </c>
      <c r="J245" s="276" t="str">
        <f t="shared" si="75"/>
        <v xml:space="preserve"> </v>
      </c>
      <c r="K245" s="363" t="str">
        <f t="shared" si="81"/>
        <v xml:space="preserve"> </v>
      </c>
      <c r="L245" s="363" t="str">
        <f t="shared" si="82"/>
        <v xml:space="preserve"> </v>
      </c>
      <c r="M245" s="445"/>
      <c r="N245" s="293" t="str">
        <f t="shared" si="66"/>
        <v xml:space="preserve"> </v>
      </c>
      <c r="O245" s="293" t="str">
        <f t="shared" si="67"/>
        <v xml:space="preserve"> </v>
      </c>
      <c r="P245" s="293" t="str">
        <f t="shared" si="68"/>
        <v xml:space="preserve"> </v>
      </c>
      <c r="Q245" s="294" t="str">
        <f t="shared" si="69"/>
        <v xml:space="preserve"> </v>
      </c>
      <c r="R245" s="295" t="str">
        <f t="shared" si="70"/>
        <v xml:space="preserve"> </v>
      </c>
      <c r="S245" s="295" t="str">
        <f t="shared" si="71"/>
        <v xml:space="preserve"> </v>
      </c>
      <c r="T245" s="295" t="str">
        <f>IF(A245="N/A"," ",(IF(MONTH(A245)&gt;=4,IF(MONTH(A245)&lt;=10,Inputs!$H$2,Inputs!$H$3),Inputs!$H$3)))</f>
        <v xml:space="preserve"> </v>
      </c>
      <c r="U245" s="463" t="str">
        <f t="shared" si="76"/>
        <v xml:space="preserve"> </v>
      </c>
      <c r="AF245" s="205">
        <v>43891</v>
      </c>
      <c r="AG245" s="194">
        <v>22</v>
      </c>
      <c r="AH245" s="194">
        <v>4</v>
      </c>
      <c r="AI245" s="194">
        <v>5</v>
      </c>
      <c r="AJ245" s="194">
        <v>0</v>
      </c>
      <c r="AK245" s="194">
        <v>31</v>
      </c>
    </row>
    <row r="246" spans="1:37">
      <c r="A246" s="176" t="str">
        <f>Calculations!A213</f>
        <v>N/A</v>
      </c>
      <c r="B246" s="201" t="str">
        <f t="shared" si="77"/>
        <v xml:space="preserve"> </v>
      </c>
      <c r="C246" s="203" t="str">
        <f t="shared" si="65"/>
        <v xml:space="preserve"> </v>
      </c>
      <c r="D246" s="202" t="str">
        <f t="shared" si="72"/>
        <v xml:space="preserve"> </v>
      </c>
      <c r="E246" s="201" t="str">
        <f t="shared" si="78"/>
        <v xml:space="preserve"> </v>
      </c>
      <c r="F246" s="202" t="str">
        <f t="shared" si="73"/>
        <v xml:space="preserve"> </v>
      </c>
      <c r="G246" s="201" t="str">
        <f t="shared" si="79"/>
        <v xml:space="preserve"> </v>
      </c>
      <c r="H246" s="202" t="str">
        <f t="shared" si="74"/>
        <v xml:space="preserve"> </v>
      </c>
      <c r="I246" s="202" t="str">
        <f t="shared" si="80"/>
        <v xml:space="preserve"> </v>
      </c>
      <c r="J246" s="276" t="str">
        <f t="shared" si="75"/>
        <v xml:space="preserve"> </v>
      </c>
      <c r="K246" s="363" t="str">
        <f t="shared" si="81"/>
        <v xml:space="preserve"> </v>
      </c>
      <c r="L246" s="363" t="str">
        <f t="shared" si="82"/>
        <v xml:space="preserve"> </v>
      </c>
      <c r="M246" s="445"/>
      <c r="N246" s="293" t="str">
        <f t="shared" si="66"/>
        <v xml:space="preserve"> </v>
      </c>
      <c r="O246" s="293" t="str">
        <f t="shared" si="67"/>
        <v xml:space="preserve"> </v>
      </c>
      <c r="P246" s="293" t="str">
        <f t="shared" si="68"/>
        <v xml:space="preserve"> </v>
      </c>
      <c r="Q246" s="294" t="str">
        <f t="shared" si="69"/>
        <v xml:space="preserve"> </v>
      </c>
      <c r="R246" s="295" t="str">
        <f t="shared" si="70"/>
        <v xml:space="preserve"> </v>
      </c>
      <c r="S246" s="295" t="str">
        <f t="shared" si="71"/>
        <v xml:space="preserve"> </v>
      </c>
      <c r="T246" s="295" t="str">
        <f>IF(A246="N/A"," ",(IF(MONTH(A246)&gt;=4,IF(MONTH(A246)&lt;=10,Inputs!$H$2,Inputs!$H$3),Inputs!$H$3)))</f>
        <v xml:space="preserve"> </v>
      </c>
      <c r="U246" s="463" t="str">
        <f t="shared" si="76"/>
        <v xml:space="preserve"> </v>
      </c>
      <c r="AF246" s="205">
        <v>43922</v>
      </c>
      <c r="AG246" s="194">
        <v>22</v>
      </c>
      <c r="AH246" s="194">
        <v>4</v>
      </c>
      <c r="AI246" s="194">
        <v>4</v>
      </c>
      <c r="AJ246" s="194">
        <v>0</v>
      </c>
      <c r="AK246" s="194">
        <v>30</v>
      </c>
    </row>
    <row r="247" spans="1:37">
      <c r="A247" s="176" t="str">
        <f>Calculations!A214</f>
        <v>N/A</v>
      </c>
      <c r="B247" s="201" t="str">
        <f t="shared" si="77"/>
        <v xml:space="preserve"> </v>
      </c>
      <c r="C247" s="203" t="str">
        <f t="shared" si="65"/>
        <v xml:space="preserve"> </v>
      </c>
      <c r="D247" s="202" t="str">
        <f t="shared" si="72"/>
        <v xml:space="preserve"> </v>
      </c>
      <c r="E247" s="201" t="str">
        <f t="shared" si="78"/>
        <v xml:space="preserve"> </v>
      </c>
      <c r="F247" s="202" t="str">
        <f t="shared" si="73"/>
        <v xml:space="preserve"> </v>
      </c>
      <c r="G247" s="201" t="str">
        <f t="shared" si="79"/>
        <v xml:space="preserve"> </v>
      </c>
      <c r="H247" s="202" t="str">
        <f t="shared" si="74"/>
        <v xml:space="preserve"> </v>
      </c>
      <c r="I247" s="202" t="str">
        <f t="shared" si="80"/>
        <v xml:space="preserve"> </v>
      </c>
      <c r="J247" s="276" t="str">
        <f t="shared" si="75"/>
        <v xml:space="preserve"> </v>
      </c>
      <c r="K247" s="363" t="str">
        <f t="shared" si="81"/>
        <v xml:space="preserve"> </v>
      </c>
      <c r="L247" s="363" t="str">
        <f t="shared" si="82"/>
        <v xml:space="preserve"> </v>
      </c>
      <c r="M247" s="445"/>
      <c r="N247" s="293" t="str">
        <f t="shared" si="66"/>
        <v xml:space="preserve"> </v>
      </c>
      <c r="O247" s="293" t="str">
        <f t="shared" si="67"/>
        <v xml:space="preserve"> </v>
      </c>
      <c r="P247" s="293" t="str">
        <f t="shared" si="68"/>
        <v xml:space="preserve"> </v>
      </c>
      <c r="Q247" s="294" t="str">
        <f t="shared" si="69"/>
        <v xml:space="preserve"> </v>
      </c>
      <c r="R247" s="295" t="str">
        <f t="shared" si="70"/>
        <v xml:space="preserve"> </v>
      </c>
      <c r="S247" s="295" t="str">
        <f t="shared" si="71"/>
        <v xml:space="preserve"> </v>
      </c>
      <c r="T247" s="295" t="str">
        <f>IF(A247="N/A"," ",(IF(MONTH(A247)&gt;=4,IF(MONTH(A247)&lt;=10,Inputs!$H$2,Inputs!$H$3),Inputs!$H$3)))</f>
        <v xml:space="preserve"> </v>
      </c>
      <c r="U247" s="463" t="str">
        <f t="shared" si="76"/>
        <v xml:space="preserve"> </v>
      </c>
      <c r="AF247" s="205">
        <v>43952</v>
      </c>
      <c r="AG247" s="194">
        <v>20</v>
      </c>
      <c r="AH247" s="194">
        <v>5</v>
      </c>
      <c r="AI247" s="194">
        <v>6</v>
      </c>
      <c r="AJ247" s="194">
        <v>1</v>
      </c>
      <c r="AK247" s="194">
        <v>31</v>
      </c>
    </row>
    <row r="248" spans="1:37">
      <c r="A248" s="176" t="str">
        <f>Calculations!A215</f>
        <v>N/A</v>
      </c>
      <c r="B248" s="201" t="str">
        <f t="shared" si="77"/>
        <v xml:space="preserve"> </v>
      </c>
      <c r="C248" s="203" t="str">
        <f t="shared" si="65"/>
        <v xml:space="preserve"> </v>
      </c>
      <c r="D248" s="202" t="str">
        <f t="shared" si="72"/>
        <v xml:space="preserve"> </v>
      </c>
      <c r="E248" s="201" t="str">
        <f t="shared" si="78"/>
        <v xml:space="preserve"> </v>
      </c>
      <c r="F248" s="202" t="str">
        <f t="shared" si="73"/>
        <v xml:space="preserve"> </v>
      </c>
      <c r="G248" s="201" t="str">
        <f t="shared" si="79"/>
        <v xml:space="preserve"> </v>
      </c>
      <c r="H248" s="202" t="str">
        <f t="shared" si="74"/>
        <v xml:space="preserve"> </v>
      </c>
      <c r="I248" s="202" t="str">
        <f t="shared" si="80"/>
        <v xml:space="preserve"> </v>
      </c>
      <c r="J248" s="276" t="str">
        <f t="shared" si="75"/>
        <v xml:space="preserve"> </v>
      </c>
      <c r="K248" s="363" t="str">
        <f t="shared" si="81"/>
        <v xml:space="preserve"> </v>
      </c>
      <c r="L248" s="363" t="str">
        <f t="shared" si="82"/>
        <v xml:space="preserve"> </v>
      </c>
      <c r="M248" s="445"/>
      <c r="N248" s="293" t="str">
        <f t="shared" si="66"/>
        <v xml:space="preserve"> </v>
      </c>
      <c r="O248" s="293" t="str">
        <f t="shared" si="67"/>
        <v xml:space="preserve"> </v>
      </c>
      <c r="P248" s="293" t="str">
        <f t="shared" si="68"/>
        <v xml:space="preserve"> </v>
      </c>
      <c r="Q248" s="294" t="str">
        <f t="shared" si="69"/>
        <v xml:space="preserve"> </v>
      </c>
      <c r="R248" s="295" t="str">
        <f t="shared" si="70"/>
        <v xml:space="preserve"> </v>
      </c>
      <c r="S248" s="295" t="str">
        <f t="shared" si="71"/>
        <v xml:space="preserve"> </v>
      </c>
      <c r="T248" s="295" t="str">
        <f>IF(A248="N/A"," ",(IF(MONTH(A248)&gt;=4,IF(MONTH(A248)&lt;=10,Inputs!$H$2,Inputs!$H$3),Inputs!$H$3)))</f>
        <v xml:space="preserve"> </v>
      </c>
      <c r="U248" s="463" t="str">
        <f t="shared" si="76"/>
        <v xml:space="preserve"> </v>
      </c>
      <c r="AF248" s="205">
        <v>43983</v>
      </c>
      <c r="AG248" s="194">
        <v>22</v>
      </c>
      <c r="AH248" s="194">
        <v>4</v>
      </c>
      <c r="AI248" s="194">
        <v>4</v>
      </c>
      <c r="AJ248" s="194">
        <v>0</v>
      </c>
      <c r="AK248" s="194">
        <v>30</v>
      </c>
    </row>
    <row r="249" spans="1:37">
      <c r="A249" s="176" t="str">
        <f>Calculations!A216</f>
        <v>N/A</v>
      </c>
      <c r="B249" s="201" t="str">
        <f t="shared" si="77"/>
        <v xml:space="preserve"> </v>
      </c>
      <c r="C249" s="203" t="str">
        <f t="shared" si="65"/>
        <v xml:space="preserve"> </v>
      </c>
      <c r="D249" s="202" t="str">
        <f t="shared" si="72"/>
        <v xml:space="preserve"> </v>
      </c>
      <c r="E249" s="201" t="str">
        <f t="shared" si="78"/>
        <v xml:space="preserve"> </v>
      </c>
      <c r="F249" s="202" t="str">
        <f t="shared" si="73"/>
        <v xml:space="preserve"> </v>
      </c>
      <c r="G249" s="201" t="str">
        <f t="shared" si="79"/>
        <v xml:space="preserve"> </v>
      </c>
      <c r="H249" s="202" t="str">
        <f t="shared" si="74"/>
        <v xml:space="preserve"> </v>
      </c>
      <c r="I249" s="202" t="str">
        <f t="shared" si="80"/>
        <v xml:space="preserve"> </v>
      </c>
      <c r="J249" s="276" t="str">
        <f t="shared" si="75"/>
        <v xml:space="preserve"> </v>
      </c>
      <c r="K249" s="363" t="str">
        <f t="shared" si="81"/>
        <v xml:space="preserve"> </v>
      </c>
      <c r="L249" s="363" t="str">
        <f t="shared" si="82"/>
        <v xml:space="preserve"> </v>
      </c>
      <c r="M249" s="445"/>
      <c r="N249" s="293" t="str">
        <f t="shared" si="66"/>
        <v xml:space="preserve"> </v>
      </c>
      <c r="O249" s="293" t="str">
        <f t="shared" si="67"/>
        <v xml:space="preserve"> </v>
      </c>
      <c r="P249" s="293" t="str">
        <f t="shared" si="68"/>
        <v xml:space="preserve"> </v>
      </c>
      <c r="Q249" s="294" t="str">
        <f t="shared" si="69"/>
        <v xml:space="preserve"> </v>
      </c>
      <c r="R249" s="295" t="str">
        <f t="shared" si="70"/>
        <v xml:space="preserve"> </v>
      </c>
      <c r="S249" s="295" t="str">
        <f t="shared" si="71"/>
        <v xml:space="preserve"> </v>
      </c>
      <c r="T249" s="295" t="str">
        <f>IF(A249="N/A"," ",(IF(MONTH(A249)&gt;=4,IF(MONTH(A249)&lt;=10,Inputs!$H$2,Inputs!$H$3),Inputs!$H$3)))</f>
        <v xml:space="preserve"> </v>
      </c>
      <c r="U249" s="463" t="str">
        <f t="shared" si="76"/>
        <v xml:space="preserve"> </v>
      </c>
      <c r="AF249" s="205">
        <v>44013</v>
      </c>
      <c r="AG249" s="194">
        <v>23</v>
      </c>
      <c r="AH249" s="194">
        <v>3</v>
      </c>
      <c r="AI249" s="194">
        <v>5</v>
      </c>
      <c r="AJ249" s="194">
        <v>1</v>
      </c>
      <c r="AK249" s="194">
        <v>31</v>
      </c>
    </row>
    <row r="250" spans="1:37">
      <c r="A250" s="176" t="str">
        <f>Calculations!A217</f>
        <v>N/A</v>
      </c>
      <c r="B250" s="201" t="str">
        <f t="shared" si="77"/>
        <v xml:space="preserve"> </v>
      </c>
      <c r="C250" s="203" t="str">
        <f t="shared" si="65"/>
        <v xml:space="preserve"> </v>
      </c>
      <c r="D250" s="202" t="str">
        <f t="shared" si="72"/>
        <v xml:space="preserve"> </v>
      </c>
      <c r="E250" s="201" t="str">
        <f t="shared" si="78"/>
        <v xml:space="preserve"> </v>
      </c>
      <c r="F250" s="202" t="str">
        <f t="shared" si="73"/>
        <v xml:space="preserve"> </v>
      </c>
      <c r="G250" s="201" t="str">
        <f t="shared" si="79"/>
        <v xml:space="preserve"> </v>
      </c>
      <c r="H250" s="202" t="str">
        <f t="shared" si="74"/>
        <v xml:space="preserve"> </v>
      </c>
      <c r="I250" s="202" t="str">
        <f t="shared" si="80"/>
        <v xml:space="preserve"> </v>
      </c>
      <c r="J250" s="276" t="str">
        <f t="shared" si="75"/>
        <v xml:space="preserve"> </v>
      </c>
      <c r="K250" s="363" t="str">
        <f t="shared" si="81"/>
        <v xml:space="preserve"> </v>
      </c>
      <c r="L250" s="363" t="str">
        <f t="shared" si="82"/>
        <v xml:space="preserve"> </v>
      </c>
      <c r="M250" s="445"/>
      <c r="N250" s="293" t="str">
        <f t="shared" si="66"/>
        <v xml:space="preserve"> </v>
      </c>
      <c r="O250" s="293" t="str">
        <f t="shared" si="67"/>
        <v xml:space="preserve"> </v>
      </c>
      <c r="P250" s="293" t="str">
        <f t="shared" si="68"/>
        <v xml:space="preserve"> </v>
      </c>
      <c r="Q250" s="294" t="str">
        <f t="shared" si="69"/>
        <v xml:space="preserve"> </v>
      </c>
      <c r="R250" s="295" t="str">
        <f t="shared" si="70"/>
        <v xml:space="preserve"> </v>
      </c>
      <c r="S250" s="295" t="str">
        <f t="shared" si="71"/>
        <v xml:space="preserve"> </v>
      </c>
      <c r="T250" s="295" t="str">
        <f>IF(A250="N/A"," ",(IF(MONTH(A250)&gt;=4,IF(MONTH(A250)&lt;=10,Inputs!$H$2,Inputs!$H$3),Inputs!$H$3)))</f>
        <v xml:space="preserve"> </v>
      </c>
      <c r="U250" s="463" t="str">
        <f t="shared" si="76"/>
        <v xml:space="preserve"> </v>
      </c>
      <c r="AF250" s="205">
        <v>44044</v>
      </c>
      <c r="AG250" s="194">
        <v>21</v>
      </c>
      <c r="AH250" s="194">
        <v>5</v>
      </c>
      <c r="AI250" s="194">
        <v>5</v>
      </c>
      <c r="AJ250" s="194">
        <v>0</v>
      </c>
      <c r="AK250" s="194">
        <v>31</v>
      </c>
    </row>
    <row r="251" spans="1:37">
      <c r="A251" s="176" t="str">
        <f>Calculations!A218</f>
        <v>N/A</v>
      </c>
      <c r="B251" s="201" t="str">
        <f t="shared" si="77"/>
        <v xml:space="preserve"> </v>
      </c>
      <c r="C251" s="203" t="str">
        <f t="shared" si="65"/>
        <v xml:space="preserve"> </v>
      </c>
      <c r="D251" s="202" t="str">
        <f t="shared" si="72"/>
        <v xml:space="preserve"> </v>
      </c>
      <c r="E251" s="201" t="str">
        <f t="shared" si="78"/>
        <v xml:space="preserve"> </v>
      </c>
      <c r="F251" s="202" t="str">
        <f t="shared" si="73"/>
        <v xml:space="preserve"> </v>
      </c>
      <c r="G251" s="201" t="str">
        <f t="shared" si="79"/>
        <v xml:space="preserve"> </v>
      </c>
      <c r="H251" s="202" t="str">
        <f t="shared" si="74"/>
        <v xml:space="preserve"> </v>
      </c>
      <c r="I251" s="202" t="str">
        <f t="shared" si="80"/>
        <v xml:space="preserve"> </v>
      </c>
      <c r="J251" s="276" t="str">
        <f t="shared" si="75"/>
        <v xml:space="preserve"> </v>
      </c>
      <c r="K251" s="363" t="str">
        <f t="shared" si="81"/>
        <v xml:space="preserve"> </v>
      </c>
      <c r="L251" s="363" t="str">
        <f t="shared" si="82"/>
        <v xml:space="preserve"> </v>
      </c>
      <c r="M251" s="445"/>
      <c r="N251" s="293" t="str">
        <f t="shared" si="66"/>
        <v xml:space="preserve"> </v>
      </c>
      <c r="O251" s="293" t="str">
        <f t="shared" si="67"/>
        <v xml:space="preserve"> </v>
      </c>
      <c r="P251" s="293" t="str">
        <f t="shared" si="68"/>
        <v xml:space="preserve"> </v>
      </c>
      <c r="Q251" s="294" t="str">
        <f t="shared" si="69"/>
        <v xml:space="preserve"> </v>
      </c>
      <c r="R251" s="295" t="str">
        <f t="shared" si="70"/>
        <v xml:space="preserve"> </v>
      </c>
      <c r="S251" s="295" t="str">
        <f t="shared" si="71"/>
        <v xml:space="preserve"> </v>
      </c>
      <c r="T251" s="295" t="str">
        <f>IF(A251="N/A"," ",(IF(MONTH(A251)&gt;=4,IF(MONTH(A251)&lt;=10,Inputs!$H$2,Inputs!$H$3),Inputs!$H$3)))</f>
        <v xml:space="preserve"> </v>
      </c>
      <c r="U251" s="463" t="str">
        <f t="shared" si="76"/>
        <v xml:space="preserve"> </v>
      </c>
      <c r="AF251" s="205">
        <v>44075</v>
      </c>
      <c r="AG251" s="194">
        <v>21</v>
      </c>
      <c r="AH251" s="194">
        <v>4</v>
      </c>
      <c r="AI251" s="194">
        <v>5</v>
      </c>
      <c r="AJ251" s="194">
        <v>1</v>
      </c>
      <c r="AK251" s="194">
        <v>30</v>
      </c>
    </row>
    <row r="252" spans="1:37">
      <c r="A252" s="176" t="str">
        <f>Calculations!A219</f>
        <v>N/A</v>
      </c>
      <c r="B252" s="201" t="str">
        <f t="shared" si="77"/>
        <v xml:space="preserve"> </v>
      </c>
      <c r="C252" s="203" t="str">
        <f t="shared" si="65"/>
        <v xml:space="preserve"> </v>
      </c>
      <c r="D252" s="202" t="str">
        <f t="shared" si="72"/>
        <v xml:space="preserve"> </v>
      </c>
      <c r="E252" s="201" t="str">
        <f t="shared" si="78"/>
        <v xml:space="preserve"> </v>
      </c>
      <c r="F252" s="202" t="str">
        <f t="shared" si="73"/>
        <v xml:space="preserve"> </v>
      </c>
      <c r="G252" s="201" t="str">
        <f t="shared" si="79"/>
        <v xml:space="preserve"> </v>
      </c>
      <c r="H252" s="202" t="str">
        <f t="shared" si="74"/>
        <v xml:space="preserve"> </v>
      </c>
      <c r="I252" s="202" t="str">
        <f t="shared" si="80"/>
        <v xml:space="preserve"> </v>
      </c>
      <c r="J252" s="276" t="str">
        <f t="shared" si="75"/>
        <v xml:space="preserve"> </v>
      </c>
      <c r="K252" s="363" t="str">
        <f t="shared" si="81"/>
        <v xml:space="preserve"> </v>
      </c>
      <c r="L252" s="363" t="str">
        <f t="shared" si="82"/>
        <v xml:space="preserve"> </v>
      </c>
      <c r="M252" s="445"/>
      <c r="N252" s="293" t="str">
        <f t="shared" si="66"/>
        <v xml:space="preserve"> </v>
      </c>
      <c r="O252" s="293" t="str">
        <f t="shared" si="67"/>
        <v xml:space="preserve"> </v>
      </c>
      <c r="P252" s="293" t="str">
        <f t="shared" si="68"/>
        <v xml:space="preserve"> </v>
      </c>
      <c r="Q252" s="294" t="str">
        <f t="shared" si="69"/>
        <v xml:space="preserve"> </v>
      </c>
      <c r="R252" s="295" t="str">
        <f t="shared" si="70"/>
        <v xml:space="preserve"> </v>
      </c>
      <c r="S252" s="295" t="str">
        <f t="shared" si="71"/>
        <v xml:space="preserve"> </v>
      </c>
      <c r="T252" s="295" t="str">
        <f>IF(A252="N/A"," ",(IF(MONTH(A252)&gt;=4,IF(MONTH(A252)&lt;=10,Inputs!$H$2,Inputs!$H$3),Inputs!$H$3)))</f>
        <v xml:space="preserve"> </v>
      </c>
      <c r="U252" s="463" t="str">
        <f t="shared" si="76"/>
        <v xml:space="preserve"> </v>
      </c>
      <c r="AF252" s="205">
        <v>44105</v>
      </c>
      <c r="AG252" s="194">
        <v>22</v>
      </c>
      <c r="AH252" s="194">
        <v>5</v>
      </c>
      <c r="AI252" s="194">
        <v>4</v>
      </c>
      <c r="AJ252" s="194">
        <v>0</v>
      </c>
      <c r="AK252" s="194">
        <v>31</v>
      </c>
    </row>
    <row r="253" spans="1:37">
      <c r="A253" s="176" t="str">
        <f>Calculations!A220</f>
        <v>N/A</v>
      </c>
      <c r="B253" s="201" t="str">
        <f t="shared" si="77"/>
        <v xml:space="preserve"> </v>
      </c>
      <c r="C253" s="203" t="str">
        <f t="shared" si="65"/>
        <v xml:space="preserve"> </v>
      </c>
      <c r="D253" s="202" t="str">
        <f t="shared" si="72"/>
        <v xml:space="preserve"> </v>
      </c>
      <c r="E253" s="201" t="str">
        <f t="shared" si="78"/>
        <v xml:space="preserve"> </v>
      </c>
      <c r="F253" s="202" t="str">
        <f t="shared" si="73"/>
        <v xml:space="preserve"> </v>
      </c>
      <c r="G253" s="201" t="str">
        <f t="shared" si="79"/>
        <v xml:space="preserve"> </v>
      </c>
      <c r="H253" s="202" t="str">
        <f t="shared" si="74"/>
        <v xml:space="preserve"> </v>
      </c>
      <c r="I253" s="202" t="str">
        <f t="shared" si="80"/>
        <v xml:space="preserve"> </v>
      </c>
      <c r="J253" s="276" t="str">
        <f t="shared" si="75"/>
        <v xml:space="preserve"> </v>
      </c>
      <c r="K253" s="363" t="str">
        <f t="shared" si="81"/>
        <v xml:space="preserve"> </v>
      </c>
      <c r="L253" s="363" t="str">
        <f t="shared" si="82"/>
        <v xml:space="preserve"> </v>
      </c>
      <c r="M253" s="445"/>
      <c r="N253" s="293" t="str">
        <f t="shared" si="66"/>
        <v xml:space="preserve"> </v>
      </c>
      <c r="O253" s="293" t="str">
        <f t="shared" si="67"/>
        <v xml:space="preserve"> </v>
      </c>
      <c r="P253" s="293" t="str">
        <f t="shared" si="68"/>
        <v xml:space="preserve"> </v>
      </c>
      <c r="Q253" s="294" t="str">
        <f t="shared" si="69"/>
        <v xml:space="preserve"> </v>
      </c>
      <c r="R253" s="295" t="str">
        <f t="shared" si="70"/>
        <v xml:space="preserve"> </v>
      </c>
      <c r="S253" s="295" t="str">
        <f t="shared" si="71"/>
        <v xml:space="preserve"> </v>
      </c>
      <c r="T253" s="295" t="str">
        <f>IF(A253="N/A"," ",(IF(MONTH(A253)&gt;=4,IF(MONTH(A253)&lt;=10,Inputs!$H$2,Inputs!$H$3),Inputs!$H$3)))</f>
        <v xml:space="preserve"> </v>
      </c>
      <c r="U253" s="463" t="str">
        <f t="shared" si="76"/>
        <v xml:space="preserve"> </v>
      </c>
      <c r="AF253" s="205">
        <v>44136</v>
      </c>
      <c r="AG253" s="194">
        <v>20</v>
      </c>
      <c r="AH253" s="194">
        <v>4</v>
      </c>
      <c r="AI253" s="194">
        <v>6</v>
      </c>
      <c r="AJ253" s="194">
        <v>1</v>
      </c>
      <c r="AK253" s="194">
        <v>30</v>
      </c>
    </row>
    <row r="254" spans="1:37">
      <c r="A254" s="176" t="str">
        <f>Calculations!A221</f>
        <v>N/A</v>
      </c>
      <c r="B254" s="201" t="str">
        <f t="shared" si="77"/>
        <v xml:space="preserve"> </v>
      </c>
      <c r="C254" s="203" t="str">
        <f t="shared" si="65"/>
        <v xml:space="preserve"> </v>
      </c>
      <c r="D254" s="202" t="str">
        <f t="shared" si="72"/>
        <v xml:space="preserve"> </v>
      </c>
      <c r="E254" s="201" t="str">
        <f t="shared" si="78"/>
        <v xml:space="preserve"> </v>
      </c>
      <c r="F254" s="202" t="str">
        <f t="shared" si="73"/>
        <v xml:space="preserve"> </v>
      </c>
      <c r="G254" s="201" t="str">
        <f t="shared" si="79"/>
        <v xml:space="preserve"> </v>
      </c>
      <c r="H254" s="202" t="str">
        <f t="shared" si="74"/>
        <v xml:space="preserve"> </v>
      </c>
      <c r="I254" s="202" t="str">
        <f t="shared" si="80"/>
        <v xml:space="preserve"> </v>
      </c>
      <c r="J254" s="276" t="str">
        <f t="shared" si="75"/>
        <v xml:space="preserve"> </v>
      </c>
      <c r="K254" s="363" t="str">
        <f t="shared" si="81"/>
        <v xml:space="preserve"> </v>
      </c>
      <c r="L254" s="363" t="str">
        <f t="shared" si="82"/>
        <v xml:space="preserve"> </v>
      </c>
      <c r="M254" s="445"/>
      <c r="N254" s="293" t="str">
        <f t="shared" si="66"/>
        <v xml:space="preserve"> </v>
      </c>
      <c r="O254" s="293" t="str">
        <f t="shared" si="67"/>
        <v xml:space="preserve"> </v>
      </c>
      <c r="P254" s="293" t="str">
        <f t="shared" si="68"/>
        <v xml:space="preserve"> </v>
      </c>
      <c r="Q254" s="294" t="str">
        <f t="shared" si="69"/>
        <v xml:space="preserve"> </v>
      </c>
      <c r="R254" s="295" t="str">
        <f t="shared" si="70"/>
        <v xml:space="preserve"> </v>
      </c>
      <c r="S254" s="295" t="str">
        <f t="shared" si="71"/>
        <v xml:space="preserve"> </v>
      </c>
      <c r="T254" s="295" t="str">
        <f>IF(A254="N/A"," ",(IF(MONTH(A254)&gt;=4,IF(MONTH(A254)&lt;=10,Inputs!$H$2,Inputs!$H$3),Inputs!$H$3)))</f>
        <v xml:space="preserve"> </v>
      </c>
      <c r="U254" s="463" t="str">
        <f t="shared" si="76"/>
        <v xml:space="preserve"> </v>
      </c>
      <c r="AF254" s="205">
        <v>44166</v>
      </c>
      <c r="AG254" s="194">
        <v>22</v>
      </c>
      <c r="AH254" s="194">
        <v>4</v>
      </c>
      <c r="AI254" s="194">
        <v>5</v>
      </c>
      <c r="AJ254" s="194">
        <v>1</v>
      </c>
      <c r="AK254" s="194">
        <v>31</v>
      </c>
    </row>
    <row r="255" spans="1:37">
      <c r="A255" s="176" t="str">
        <f>Calculations!A222</f>
        <v>N/A</v>
      </c>
      <c r="B255" s="201" t="str">
        <f t="shared" si="77"/>
        <v xml:space="preserve"> </v>
      </c>
      <c r="C255" s="203" t="str">
        <f t="shared" si="65"/>
        <v xml:space="preserve"> </v>
      </c>
      <c r="D255" s="202" t="str">
        <f t="shared" si="72"/>
        <v xml:space="preserve"> </v>
      </c>
      <c r="E255" s="201" t="str">
        <f t="shared" si="78"/>
        <v xml:space="preserve"> </v>
      </c>
      <c r="F255" s="202" t="str">
        <f t="shared" si="73"/>
        <v xml:space="preserve"> </v>
      </c>
      <c r="G255" s="201" t="str">
        <f t="shared" si="79"/>
        <v xml:space="preserve"> </v>
      </c>
      <c r="H255" s="202" t="str">
        <f t="shared" si="74"/>
        <v xml:space="preserve"> </v>
      </c>
      <c r="I255" s="202" t="str">
        <f t="shared" si="80"/>
        <v xml:space="preserve"> </v>
      </c>
      <c r="J255" s="276" t="str">
        <f t="shared" si="75"/>
        <v xml:space="preserve"> </v>
      </c>
      <c r="K255" s="363" t="str">
        <f t="shared" si="81"/>
        <v xml:space="preserve"> </v>
      </c>
      <c r="L255" s="363" t="str">
        <f t="shared" si="82"/>
        <v xml:space="preserve"> </v>
      </c>
      <c r="M255" s="445"/>
      <c r="N255" s="293" t="str">
        <f t="shared" si="66"/>
        <v xml:space="preserve"> </v>
      </c>
      <c r="O255" s="293" t="str">
        <f t="shared" si="67"/>
        <v xml:space="preserve"> </v>
      </c>
      <c r="P255" s="293" t="str">
        <f t="shared" si="68"/>
        <v xml:space="preserve"> </v>
      </c>
      <c r="Q255" s="294" t="str">
        <f t="shared" si="69"/>
        <v xml:space="preserve"> </v>
      </c>
      <c r="R255" s="295" t="str">
        <f t="shared" si="70"/>
        <v xml:space="preserve"> </v>
      </c>
      <c r="S255" s="295" t="str">
        <f t="shared" si="71"/>
        <v xml:space="preserve"> </v>
      </c>
      <c r="T255" s="295" t="str">
        <f>IF(A255="N/A"," ",(IF(MONTH(A255)&gt;=4,IF(MONTH(A255)&lt;=10,Inputs!$H$2,Inputs!$H$3),Inputs!$H$3)))</f>
        <v xml:space="preserve"> </v>
      </c>
      <c r="U255" s="463" t="str">
        <f t="shared" si="76"/>
        <v xml:space="preserve"> </v>
      </c>
      <c r="AF255" s="205">
        <f t="shared" ref="AF255:AF286" si="83">EOMONTH(AF254,0)+1</f>
        <v>44197</v>
      </c>
      <c r="AG255" s="194">
        <v>22</v>
      </c>
      <c r="AH255" s="194">
        <v>4</v>
      </c>
      <c r="AI255" s="194">
        <v>5</v>
      </c>
      <c r="AJ255" s="194">
        <v>1</v>
      </c>
      <c r="AK255" s="194">
        <v>31</v>
      </c>
    </row>
    <row r="256" spans="1:37">
      <c r="A256" s="176" t="str">
        <f>Calculations!A223</f>
        <v>N/A</v>
      </c>
      <c r="B256" s="201" t="str">
        <f t="shared" si="77"/>
        <v xml:space="preserve"> </v>
      </c>
      <c r="C256" s="203" t="str">
        <f t="shared" si="65"/>
        <v xml:space="preserve"> </v>
      </c>
      <c r="D256" s="202" t="str">
        <f t="shared" si="72"/>
        <v xml:space="preserve"> </v>
      </c>
      <c r="E256" s="201" t="str">
        <f t="shared" si="78"/>
        <v xml:space="preserve"> </v>
      </c>
      <c r="F256" s="202" t="str">
        <f t="shared" si="73"/>
        <v xml:space="preserve"> </v>
      </c>
      <c r="G256" s="201" t="str">
        <f t="shared" si="79"/>
        <v xml:space="preserve"> </v>
      </c>
      <c r="H256" s="202" t="str">
        <f t="shared" si="74"/>
        <v xml:space="preserve"> </v>
      </c>
      <c r="I256" s="202" t="str">
        <f t="shared" si="80"/>
        <v xml:space="preserve"> </v>
      </c>
      <c r="J256" s="276" t="str">
        <f t="shared" si="75"/>
        <v xml:space="preserve"> </v>
      </c>
      <c r="K256" s="363" t="str">
        <f t="shared" si="81"/>
        <v xml:space="preserve"> </v>
      </c>
      <c r="L256" s="363" t="str">
        <f t="shared" si="82"/>
        <v xml:space="preserve"> </v>
      </c>
      <c r="M256" s="445"/>
      <c r="N256" s="293" t="str">
        <f t="shared" si="66"/>
        <v xml:space="preserve"> </v>
      </c>
      <c r="O256" s="293" t="str">
        <f t="shared" si="67"/>
        <v xml:space="preserve"> </v>
      </c>
      <c r="P256" s="293" t="str">
        <f t="shared" si="68"/>
        <v xml:space="preserve"> </v>
      </c>
      <c r="Q256" s="294" t="str">
        <f t="shared" si="69"/>
        <v xml:space="preserve"> </v>
      </c>
      <c r="R256" s="295" t="str">
        <f t="shared" si="70"/>
        <v xml:space="preserve"> </v>
      </c>
      <c r="S256" s="295" t="str">
        <f t="shared" si="71"/>
        <v xml:space="preserve"> </v>
      </c>
      <c r="T256" s="295" t="str">
        <f>IF(A256="N/A"," ",(IF(MONTH(A256)&gt;=4,IF(MONTH(A256)&lt;=10,Inputs!$H$2,Inputs!$H$3),Inputs!$H$3)))</f>
        <v xml:space="preserve"> </v>
      </c>
      <c r="U256" s="463" t="str">
        <f t="shared" si="76"/>
        <v xml:space="preserve"> </v>
      </c>
      <c r="AF256" s="205">
        <f t="shared" si="83"/>
        <v>44228</v>
      </c>
      <c r="AG256" s="194">
        <v>20</v>
      </c>
      <c r="AH256" s="194">
        <v>4</v>
      </c>
      <c r="AI256" s="194">
        <v>4</v>
      </c>
      <c r="AJ256" s="194">
        <v>0</v>
      </c>
      <c r="AK256" s="194">
        <v>28</v>
      </c>
    </row>
    <row r="257" spans="1:37">
      <c r="A257" s="176" t="str">
        <f>Calculations!A224</f>
        <v>N/A</v>
      </c>
      <c r="B257" s="201" t="str">
        <f t="shared" si="77"/>
        <v xml:space="preserve"> </v>
      </c>
      <c r="C257" s="203" t="str">
        <f t="shared" si="65"/>
        <v xml:space="preserve"> </v>
      </c>
      <c r="D257" s="202" t="str">
        <f t="shared" si="72"/>
        <v xml:space="preserve"> </v>
      </c>
      <c r="E257" s="201" t="str">
        <f t="shared" si="78"/>
        <v xml:space="preserve"> </v>
      </c>
      <c r="F257" s="202" t="str">
        <f t="shared" si="73"/>
        <v xml:space="preserve"> </v>
      </c>
      <c r="G257" s="201" t="str">
        <f t="shared" si="79"/>
        <v xml:space="preserve"> </v>
      </c>
      <c r="H257" s="202" t="str">
        <f t="shared" si="74"/>
        <v xml:space="preserve"> </v>
      </c>
      <c r="I257" s="202" t="str">
        <f t="shared" si="80"/>
        <v xml:space="preserve"> </v>
      </c>
      <c r="J257" s="276" t="str">
        <f t="shared" si="75"/>
        <v xml:space="preserve"> </v>
      </c>
      <c r="K257" s="363" t="str">
        <f t="shared" si="81"/>
        <v xml:space="preserve"> </v>
      </c>
      <c r="L257" s="363" t="str">
        <f t="shared" si="82"/>
        <v xml:space="preserve"> </v>
      </c>
      <c r="M257" s="445"/>
      <c r="N257" s="293" t="str">
        <f t="shared" si="66"/>
        <v xml:space="preserve"> </v>
      </c>
      <c r="O257" s="293" t="str">
        <f t="shared" si="67"/>
        <v xml:space="preserve"> </v>
      </c>
      <c r="P257" s="293" t="str">
        <f t="shared" si="68"/>
        <v xml:space="preserve"> </v>
      </c>
      <c r="Q257" s="294" t="str">
        <f t="shared" si="69"/>
        <v xml:space="preserve"> </v>
      </c>
      <c r="R257" s="295" t="str">
        <f t="shared" si="70"/>
        <v xml:space="preserve"> </v>
      </c>
      <c r="S257" s="295" t="str">
        <f t="shared" si="71"/>
        <v xml:space="preserve"> </v>
      </c>
      <c r="T257" s="295" t="str">
        <f>IF(A257="N/A"," ",(IF(MONTH(A257)&gt;=4,IF(MONTH(A257)&lt;=10,Inputs!$H$2,Inputs!$H$3),Inputs!$H$3)))</f>
        <v xml:space="preserve"> </v>
      </c>
      <c r="U257" s="463" t="str">
        <f t="shared" si="76"/>
        <v xml:space="preserve"> </v>
      </c>
      <c r="AF257" s="205">
        <f t="shared" si="83"/>
        <v>44256</v>
      </c>
      <c r="AG257" s="194">
        <v>21</v>
      </c>
      <c r="AH257" s="194">
        <v>5</v>
      </c>
      <c r="AI257" s="194">
        <v>5</v>
      </c>
      <c r="AJ257" s="194">
        <v>0</v>
      </c>
      <c r="AK257" s="194">
        <v>31</v>
      </c>
    </row>
    <row r="258" spans="1:37">
      <c r="A258" s="176" t="str">
        <f>Calculations!A225</f>
        <v>N/A</v>
      </c>
      <c r="B258" s="201" t="str">
        <f t="shared" si="77"/>
        <v xml:space="preserve"> </v>
      </c>
      <c r="C258" s="203" t="str">
        <f t="shared" si="65"/>
        <v xml:space="preserve"> </v>
      </c>
      <c r="D258" s="202" t="str">
        <f t="shared" si="72"/>
        <v xml:space="preserve"> </v>
      </c>
      <c r="E258" s="201" t="str">
        <f t="shared" si="78"/>
        <v xml:space="preserve"> </v>
      </c>
      <c r="F258" s="202" t="str">
        <f t="shared" si="73"/>
        <v xml:space="preserve"> </v>
      </c>
      <c r="G258" s="201" t="str">
        <f t="shared" si="79"/>
        <v xml:space="preserve"> </v>
      </c>
      <c r="H258" s="202" t="str">
        <f t="shared" si="74"/>
        <v xml:space="preserve"> </v>
      </c>
      <c r="I258" s="202" t="str">
        <f t="shared" si="80"/>
        <v xml:space="preserve"> </v>
      </c>
      <c r="J258" s="276" t="str">
        <f t="shared" si="75"/>
        <v xml:space="preserve"> </v>
      </c>
      <c r="K258" s="363" t="str">
        <f t="shared" si="81"/>
        <v xml:space="preserve"> </v>
      </c>
      <c r="L258" s="363" t="str">
        <f t="shared" si="82"/>
        <v xml:space="preserve"> </v>
      </c>
      <c r="M258" s="445"/>
      <c r="N258" s="293" t="str">
        <f t="shared" si="66"/>
        <v xml:space="preserve"> </v>
      </c>
      <c r="O258" s="293" t="str">
        <f t="shared" si="67"/>
        <v xml:space="preserve"> </v>
      </c>
      <c r="P258" s="293" t="str">
        <f t="shared" si="68"/>
        <v xml:space="preserve"> </v>
      </c>
      <c r="Q258" s="294" t="str">
        <f t="shared" si="69"/>
        <v xml:space="preserve"> </v>
      </c>
      <c r="R258" s="295" t="str">
        <f t="shared" si="70"/>
        <v xml:space="preserve"> </v>
      </c>
      <c r="S258" s="295" t="str">
        <f t="shared" si="71"/>
        <v xml:space="preserve"> </v>
      </c>
      <c r="T258" s="295" t="str">
        <f>IF(A258="N/A"," ",(IF(MONTH(A258)&gt;=4,IF(MONTH(A258)&lt;=10,Inputs!$H$2,Inputs!$H$3),Inputs!$H$3)))</f>
        <v xml:space="preserve"> </v>
      </c>
      <c r="U258" s="463" t="str">
        <f t="shared" si="76"/>
        <v xml:space="preserve"> </v>
      </c>
      <c r="AF258" s="205">
        <f t="shared" si="83"/>
        <v>44287</v>
      </c>
      <c r="AG258" s="194">
        <v>22</v>
      </c>
      <c r="AH258" s="194">
        <v>4</v>
      </c>
      <c r="AI258" s="194">
        <v>4</v>
      </c>
      <c r="AJ258" s="194">
        <v>0</v>
      </c>
      <c r="AK258" s="194">
        <v>30</v>
      </c>
    </row>
    <row r="259" spans="1:37">
      <c r="A259" s="176" t="str">
        <f>Calculations!A226</f>
        <v>N/A</v>
      </c>
      <c r="B259" s="201" t="str">
        <f t="shared" si="77"/>
        <v xml:space="preserve"> </v>
      </c>
      <c r="C259" s="203" t="str">
        <f t="shared" si="65"/>
        <v xml:space="preserve"> </v>
      </c>
      <c r="D259" s="202" t="str">
        <f t="shared" si="72"/>
        <v xml:space="preserve"> </v>
      </c>
      <c r="E259" s="201" t="str">
        <f t="shared" si="78"/>
        <v xml:space="preserve"> </v>
      </c>
      <c r="F259" s="202" t="str">
        <f t="shared" si="73"/>
        <v xml:space="preserve"> </v>
      </c>
      <c r="G259" s="201" t="str">
        <f t="shared" si="79"/>
        <v xml:space="preserve"> </v>
      </c>
      <c r="H259" s="202" t="str">
        <f t="shared" si="74"/>
        <v xml:space="preserve"> </v>
      </c>
      <c r="I259" s="202" t="str">
        <f t="shared" si="80"/>
        <v xml:space="preserve"> </v>
      </c>
      <c r="J259" s="276" t="str">
        <f t="shared" si="75"/>
        <v xml:space="preserve"> </v>
      </c>
      <c r="K259" s="363" t="str">
        <f t="shared" si="81"/>
        <v xml:space="preserve"> </v>
      </c>
      <c r="L259" s="363" t="str">
        <f t="shared" si="82"/>
        <v xml:space="preserve"> </v>
      </c>
      <c r="M259" s="445"/>
      <c r="N259" s="293" t="str">
        <f t="shared" si="66"/>
        <v xml:space="preserve"> </v>
      </c>
      <c r="O259" s="293" t="str">
        <f t="shared" si="67"/>
        <v xml:space="preserve"> </v>
      </c>
      <c r="P259" s="293" t="str">
        <f t="shared" si="68"/>
        <v xml:space="preserve"> </v>
      </c>
      <c r="Q259" s="294" t="str">
        <f t="shared" si="69"/>
        <v xml:space="preserve"> </v>
      </c>
      <c r="R259" s="295" t="str">
        <f t="shared" si="70"/>
        <v xml:space="preserve"> </v>
      </c>
      <c r="S259" s="295" t="str">
        <f t="shared" si="71"/>
        <v xml:space="preserve"> </v>
      </c>
      <c r="T259" s="295" t="str">
        <f>IF(A259="N/A"," ",(IF(MONTH(A259)&gt;=4,IF(MONTH(A259)&lt;=10,Inputs!$H$2,Inputs!$H$3),Inputs!$H$3)))</f>
        <v xml:space="preserve"> </v>
      </c>
      <c r="U259" s="463" t="str">
        <f t="shared" si="76"/>
        <v xml:space="preserve"> </v>
      </c>
      <c r="AF259" s="205">
        <f t="shared" si="83"/>
        <v>44317</v>
      </c>
      <c r="AG259" s="194">
        <v>22</v>
      </c>
      <c r="AH259" s="194">
        <v>4</v>
      </c>
      <c r="AI259" s="194">
        <v>5</v>
      </c>
      <c r="AJ259" s="194">
        <v>1</v>
      </c>
      <c r="AK259" s="194">
        <v>31</v>
      </c>
    </row>
    <row r="260" spans="1:37">
      <c r="A260" s="176" t="str">
        <f>Calculations!A227</f>
        <v>N/A</v>
      </c>
      <c r="B260" s="201" t="str">
        <f t="shared" si="77"/>
        <v xml:space="preserve"> </v>
      </c>
      <c r="C260" s="203" t="str">
        <f t="shared" si="65"/>
        <v xml:space="preserve"> </v>
      </c>
      <c r="D260" s="202" t="str">
        <f t="shared" si="72"/>
        <v xml:space="preserve"> </v>
      </c>
      <c r="E260" s="201" t="str">
        <f t="shared" si="78"/>
        <v xml:space="preserve"> </v>
      </c>
      <c r="F260" s="202" t="str">
        <f t="shared" si="73"/>
        <v xml:space="preserve"> </v>
      </c>
      <c r="G260" s="201" t="str">
        <f t="shared" si="79"/>
        <v xml:space="preserve"> </v>
      </c>
      <c r="H260" s="202" t="str">
        <f t="shared" si="74"/>
        <v xml:space="preserve"> </v>
      </c>
      <c r="I260" s="202" t="str">
        <f t="shared" si="80"/>
        <v xml:space="preserve"> </v>
      </c>
      <c r="J260" s="276" t="str">
        <f t="shared" si="75"/>
        <v xml:space="preserve"> </v>
      </c>
      <c r="K260" s="363" t="str">
        <f t="shared" si="81"/>
        <v xml:space="preserve"> </v>
      </c>
      <c r="L260" s="363" t="str">
        <f t="shared" si="82"/>
        <v xml:space="preserve"> </v>
      </c>
      <c r="M260" s="445"/>
      <c r="N260" s="293" t="str">
        <f t="shared" si="66"/>
        <v xml:space="preserve"> </v>
      </c>
      <c r="O260" s="293" t="str">
        <f t="shared" si="67"/>
        <v xml:space="preserve"> </v>
      </c>
      <c r="P260" s="293" t="str">
        <f t="shared" si="68"/>
        <v xml:space="preserve"> </v>
      </c>
      <c r="Q260" s="294" t="str">
        <f t="shared" si="69"/>
        <v xml:space="preserve"> </v>
      </c>
      <c r="R260" s="295" t="str">
        <f t="shared" si="70"/>
        <v xml:space="preserve"> </v>
      </c>
      <c r="S260" s="295" t="str">
        <f t="shared" si="71"/>
        <v xml:space="preserve"> </v>
      </c>
      <c r="T260" s="295" t="str">
        <f>IF(A260="N/A"," ",(IF(MONTH(A260)&gt;=4,IF(MONTH(A260)&lt;=10,Inputs!$H$2,Inputs!$H$3),Inputs!$H$3)))</f>
        <v xml:space="preserve"> </v>
      </c>
      <c r="U260" s="463" t="str">
        <f t="shared" si="76"/>
        <v xml:space="preserve"> </v>
      </c>
      <c r="AF260" s="205">
        <f t="shared" si="83"/>
        <v>44348</v>
      </c>
      <c r="AG260" s="194">
        <v>20</v>
      </c>
      <c r="AH260" s="194">
        <v>5</v>
      </c>
      <c r="AI260" s="194">
        <v>5</v>
      </c>
      <c r="AJ260" s="194">
        <v>0</v>
      </c>
      <c r="AK260" s="194">
        <v>30</v>
      </c>
    </row>
    <row r="261" spans="1:37">
      <c r="A261" s="176" t="str">
        <f>Calculations!A228</f>
        <v>N/A</v>
      </c>
      <c r="B261" s="201" t="str">
        <f t="shared" si="77"/>
        <v xml:space="preserve"> </v>
      </c>
      <c r="C261" s="203" t="str">
        <f t="shared" si="65"/>
        <v xml:space="preserve"> </v>
      </c>
      <c r="D261" s="202" t="str">
        <f t="shared" si="72"/>
        <v xml:space="preserve"> </v>
      </c>
      <c r="E261" s="201" t="str">
        <f t="shared" si="78"/>
        <v xml:space="preserve"> </v>
      </c>
      <c r="F261" s="202" t="str">
        <f t="shared" si="73"/>
        <v xml:space="preserve"> </v>
      </c>
      <c r="G261" s="201" t="str">
        <f t="shared" si="79"/>
        <v xml:space="preserve"> </v>
      </c>
      <c r="H261" s="202" t="str">
        <f t="shared" si="74"/>
        <v xml:space="preserve"> </v>
      </c>
      <c r="I261" s="202" t="str">
        <f t="shared" si="80"/>
        <v xml:space="preserve"> </v>
      </c>
      <c r="J261" s="276" t="str">
        <f t="shared" si="75"/>
        <v xml:space="preserve"> </v>
      </c>
      <c r="K261" s="363" t="str">
        <f t="shared" si="81"/>
        <v xml:space="preserve"> </v>
      </c>
      <c r="L261" s="363" t="str">
        <f t="shared" si="82"/>
        <v xml:space="preserve"> </v>
      </c>
      <c r="M261" s="445"/>
      <c r="N261" s="293" t="str">
        <f t="shared" si="66"/>
        <v xml:space="preserve"> </v>
      </c>
      <c r="O261" s="293" t="str">
        <f t="shared" si="67"/>
        <v xml:space="preserve"> </v>
      </c>
      <c r="P261" s="293" t="str">
        <f t="shared" si="68"/>
        <v xml:space="preserve"> </v>
      </c>
      <c r="Q261" s="294" t="str">
        <f t="shared" si="69"/>
        <v xml:space="preserve"> </v>
      </c>
      <c r="R261" s="295" t="str">
        <f t="shared" si="70"/>
        <v xml:space="preserve"> </v>
      </c>
      <c r="S261" s="295" t="str">
        <f t="shared" si="71"/>
        <v xml:space="preserve"> </v>
      </c>
      <c r="T261" s="295" t="str">
        <f>IF(A261="N/A"," ",(IF(MONTH(A261)&gt;=4,IF(MONTH(A261)&lt;=10,Inputs!$H$2,Inputs!$H$3),Inputs!$H$3)))</f>
        <v xml:space="preserve"> </v>
      </c>
      <c r="U261" s="463" t="str">
        <f t="shared" si="76"/>
        <v xml:space="preserve"> </v>
      </c>
      <c r="AF261" s="205">
        <f t="shared" si="83"/>
        <v>44378</v>
      </c>
      <c r="AG261" s="194">
        <v>22</v>
      </c>
      <c r="AH261" s="194">
        <v>4</v>
      </c>
      <c r="AI261" s="194">
        <v>5</v>
      </c>
      <c r="AJ261" s="194">
        <v>1</v>
      </c>
      <c r="AK261" s="194">
        <v>31</v>
      </c>
    </row>
    <row r="262" spans="1:37">
      <c r="A262" s="176" t="str">
        <f>Calculations!A229</f>
        <v>N/A</v>
      </c>
      <c r="B262" s="201" t="str">
        <f t="shared" si="77"/>
        <v xml:space="preserve"> </v>
      </c>
      <c r="C262" s="203" t="str">
        <f t="shared" si="65"/>
        <v xml:space="preserve"> </v>
      </c>
      <c r="D262" s="202" t="str">
        <f t="shared" si="72"/>
        <v xml:space="preserve"> </v>
      </c>
      <c r="E262" s="201" t="str">
        <f t="shared" si="78"/>
        <v xml:space="preserve"> </v>
      </c>
      <c r="F262" s="202" t="str">
        <f t="shared" si="73"/>
        <v xml:space="preserve"> </v>
      </c>
      <c r="G262" s="201" t="str">
        <f t="shared" si="79"/>
        <v xml:space="preserve"> </v>
      </c>
      <c r="H262" s="202" t="str">
        <f t="shared" si="74"/>
        <v xml:space="preserve"> </v>
      </c>
      <c r="I262" s="202" t="str">
        <f t="shared" si="80"/>
        <v xml:space="preserve"> </v>
      </c>
      <c r="J262" s="276" t="str">
        <f t="shared" si="75"/>
        <v xml:space="preserve"> </v>
      </c>
      <c r="K262" s="363" t="str">
        <f t="shared" si="81"/>
        <v xml:space="preserve"> </v>
      </c>
      <c r="L262" s="363" t="str">
        <f t="shared" si="82"/>
        <v xml:space="preserve"> </v>
      </c>
      <c r="M262" s="445"/>
      <c r="N262" s="293" t="str">
        <f t="shared" si="66"/>
        <v xml:space="preserve"> </v>
      </c>
      <c r="O262" s="293" t="str">
        <f t="shared" si="67"/>
        <v xml:space="preserve"> </v>
      </c>
      <c r="P262" s="293" t="str">
        <f t="shared" si="68"/>
        <v xml:space="preserve"> </v>
      </c>
      <c r="Q262" s="294" t="str">
        <f t="shared" si="69"/>
        <v xml:space="preserve"> </v>
      </c>
      <c r="R262" s="295" t="str">
        <f t="shared" si="70"/>
        <v xml:space="preserve"> </v>
      </c>
      <c r="S262" s="295" t="str">
        <f t="shared" si="71"/>
        <v xml:space="preserve"> </v>
      </c>
      <c r="T262" s="295" t="str">
        <f>IF(A262="N/A"," ",(IF(MONTH(A262)&gt;=4,IF(MONTH(A262)&lt;=10,Inputs!$H$2,Inputs!$H$3),Inputs!$H$3)))</f>
        <v xml:space="preserve"> </v>
      </c>
      <c r="U262" s="463" t="str">
        <f t="shared" si="76"/>
        <v xml:space="preserve"> </v>
      </c>
      <c r="AF262" s="205">
        <f t="shared" si="83"/>
        <v>44409</v>
      </c>
      <c r="AG262" s="194">
        <v>22</v>
      </c>
      <c r="AH262" s="194">
        <v>5</v>
      </c>
      <c r="AI262" s="194">
        <v>4</v>
      </c>
      <c r="AJ262" s="194">
        <v>0</v>
      </c>
      <c r="AK262" s="194">
        <v>31</v>
      </c>
    </row>
    <row r="263" spans="1:37">
      <c r="A263" s="176" t="str">
        <f>Calculations!A230</f>
        <v>N/A</v>
      </c>
      <c r="B263" s="201" t="str">
        <f t="shared" si="77"/>
        <v xml:space="preserve"> </v>
      </c>
      <c r="C263" s="203" t="str">
        <f t="shared" si="65"/>
        <v xml:space="preserve"> </v>
      </c>
      <c r="D263" s="202" t="str">
        <f t="shared" si="72"/>
        <v xml:space="preserve"> </v>
      </c>
      <c r="E263" s="201" t="str">
        <f t="shared" si="78"/>
        <v xml:space="preserve"> </v>
      </c>
      <c r="F263" s="202" t="str">
        <f t="shared" si="73"/>
        <v xml:space="preserve"> </v>
      </c>
      <c r="G263" s="201" t="str">
        <f t="shared" si="79"/>
        <v xml:space="preserve"> </v>
      </c>
      <c r="H263" s="202" t="str">
        <f t="shared" si="74"/>
        <v xml:space="preserve"> </v>
      </c>
      <c r="I263" s="202" t="str">
        <f t="shared" si="80"/>
        <v xml:space="preserve"> </v>
      </c>
      <c r="J263" s="276" t="str">
        <f t="shared" si="75"/>
        <v xml:space="preserve"> </v>
      </c>
      <c r="K263" s="363" t="str">
        <f t="shared" si="81"/>
        <v xml:space="preserve"> </v>
      </c>
      <c r="L263" s="363" t="str">
        <f t="shared" si="82"/>
        <v xml:space="preserve"> </v>
      </c>
      <c r="M263" s="445"/>
      <c r="N263" s="293" t="str">
        <f t="shared" si="66"/>
        <v xml:space="preserve"> </v>
      </c>
      <c r="O263" s="293" t="str">
        <f t="shared" si="67"/>
        <v xml:space="preserve"> </v>
      </c>
      <c r="P263" s="293" t="str">
        <f t="shared" si="68"/>
        <v xml:space="preserve"> </v>
      </c>
      <c r="Q263" s="294" t="str">
        <f t="shared" si="69"/>
        <v xml:space="preserve"> </v>
      </c>
      <c r="R263" s="295" t="str">
        <f t="shared" si="70"/>
        <v xml:space="preserve"> </v>
      </c>
      <c r="S263" s="295" t="str">
        <f t="shared" si="71"/>
        <v xml:space="preserve"> </v>
      </c>
      <c r="T263" s="295" t="str">
        <f>IF(A263="N/A"," ",(IF(MONTH(A263)&gt;=4,IF(MONTH(A263)&lt;=10,Inputs!$H$2,Inputs!$H$3),Inputs!$H$3)))</f>
        <v xml:space="preserve"> </v>
      </c>
      <c r="U263" s="463" t="str">
        <f t="shared" si="76"/>
        <v xml:space="preserve"> </v>
      </c>
      <c r="AF263" s="205">
        <f t="shared" si="83"/>
        <v>44440</v>
      </c>
      <c r="AG263" s="194">
        <v>20</v>
      </c>
      <c r="AH263" s="194">
        <v>4</v>
      </c>
      <c r="AI263" s="194">
        <v>6</v>
      </c>
      <c r="AJ263" s="194">
        <v>1</v>
      </c>
      <c r="AK263" s="194">
        <v>30</v>
      </c>
    </row>
    <row r="264" spans="1:37">
      <c r="A264" s="176" t="str">
        <f>Calculations!A231</f>
        <v>N/A</v>
      </c>
      <c r="B264" s="201" t="str">
        <f t="shared" si="77"/>
        <v xml:space="preserve"> </v>
      </c>
      <c r="C264" s="203" t="str">
        <f t="shared" si="65"/>
        <v xml:space="preserve"> </v>
      </c>
      <c r="D264" s="202" t="str">
        <f t="shared" si="72"/>
        <v xml:space="preserve"> </v>
      </c>
      <c r="E264" s="201" t="str">
        <f t="shared" si="78"/>
        <v xml:space="preserve"> </v>
      </c>
      <c r="F264" s="202" t="str">
        <f t="shared" si="73"/>
        <v xml:space="preserve"> </v>
      </c>
      <c r="G264" s="201" t="str">
        <f t="shared" si="79"/>
        <v xml:space="preserve"> </v>
      </c>
      <c r="H264" s="202" t="str">
        <f t="shared" si="74"/>
        <v xml:space="preserve"> </v>
      </c>
      <c r="I264" s="202" t="str">
        <f t="shared" si="80"/>
        <v xml:space="preserve"> </v>
      </c>
      <c r="J264" s="276" t="str">
        <f t="shared" si="75"/>
        <v xml:space="preserve"> </v>
      </c>
      <c r="K264" s="363" t="str">
        <f t="shared" si="81"/>
        <v xml:space="preserve"> </v>
      </c>
      <c r="L264" s="363" t="str">
        <f t="shared" si="82"/>
        <v xml:space="preserve"> </v>
      </c>
      <c r="M264" s="445"/>
      <c r="N264" s="293" t="str">
        <f t="shared" si="66"/>
        <v xml:space="preserve"> </v>
      </c>
      <c r="O264" s="293" t="str">
        <f t="shared" si="67"/>
        <v xml:space="preserve"> </v>
      </c>
      <c r="P264" s="293" t="str">
        <f t="shared" si="68"/>
        <v xml:space="preserve"> </v>
      </c>
      <c r="Q264" s="294" t="str">
        <f t="shared" si="69"/>
        <v xml:space="preserve"> </v>
      </c>
      <c r="R264" s="295" t="str">
        <f t="shared" si="70"/>
        <v xml:space="preserve"> </v>
      </c>
      <c r="S264" s="295" t="str">
        <f t="shared" si="71"/>
        <v xml:space="preserve"> </v>
      </c>
      <c r="T264" s="295" t="str">
        <f>IF(A264="N/A"," ",(IF(MONTH(A264)&gt;=4,IF(MONTH(A264)&lt;=10,Inputs!$H$2,Inputs!$H$3),Inputs!$H$3)))</f>
        <v xml:space="preserve"> </v>
      </c>
      <c r="U264" s="463" t="str">
        <f t="shared" si="76"/>
        <v xml:space="preserve"> </v>
      </c>
      <c r="AF264" s="205">
        <f t="shared" si="83"/>
        <v>44470</v>
      </c>
      <c r="AG264" s="194">
        <v>23</v>
      </c>
      <c r="AH264" s="194">
        <v>4</v>
      </c>
      <c r="AI264" s="194">
        <v>4</v>
      </c>
      <c r="AJ264" s="194">
        <v>0</v>
      </c>
      <c r="AK264" s="194">
        <v>31</v>
      </c>
    </row>
    <row r="265" spans="1:37">
      <c r="A265" s="176" t="str">
        <f>Calculations!A232</f>
        <v>N/A</v>
      </c>
      <c r="B265" s="201" t="str">
        <f t="shared" si="77"/>
        <v xml:space="preserve"> </v>
      </c>
      <c r="C265" s="203" t="str">
        <f t="shared" si="65"/>
        <v xml:space="preserve"> </v>
      </c>
      <c r="D265" s="202" t="str">
        <f t="shared" si="72"/>
        <v xml:space="preserve"> </v>
      </c>
      <c r="E265" s="201" t="str">
        <f t="shared" si="78"/>
        <v xml:space="preserve"> </v>
      </c>
      <c r="F265" s="202" t="str">
        <f t="shared" si="73"/>
        <v xml:space="preserve"> </v>
      </c>
      <c r="G265" s="201" t="str">
        <f t="shared" si="79"/>
        <v xml:space="preserve"> </v>
      </c>
      <c r="H265" s="202" t="str">
        <f t="shared" si="74"/>
        <v xml:space="preserve"> </v>
      </c>
      <c r="I265" s="202" t="str">
        <f t="shared" si="80"/>
        <v xml:space="preserve"> </v>
      </c>
      <c r="J265" s="276" t="str">
        <f t="shared" si="75"/>
        <v xml:space="preserve"> </v>
      </c>
      <c r="K265" s="363" t="str">
        <f t="shared" si="81"/>
        <v xml:space="preserve"> </v>
      </c>
      <c r="L265" s="363" t="str">
        <f t="shared" si="82"/>
        <v xml:space="preserve"> </v>
      </c>
      <c r="M265" s="445"/>
      <c r="N265" s="293" t="str">
        <f t="shared" si="66"/>
        <v xml:space="preserve"> </v>
      </c>
      <c r="O265" s="293" t="str">
        <f t="shared" si="67"/>
        <v xml:space="preserve"> </v>
      </c>
      <c r="P265" s="293" t="str">
        <f t="shared" si="68"/>
        <v xml:space="preserve"> </v>
      </c>
      <c r="Q265" s="294" t="str">
        <f t="shared" si="69"/>
        <v xml:space="preserve"> </v>
      </c>
      <c r="R265" s="295" t="str">
        <f t="shared" si="70"/>
        <v xml:space="preserve"> </v>
      </c>
      <c r="S265" s="295" t="str">
        <f t="shared" si="71"/>
        <v xml:space="preserve"> </v>
      </c>
      <c r="T265" s="295" t="str">
        <f>IF(A265="N/A"," ",(IF(MONTH(A265)&gt;=4,IF(MONTH(A265)&lt;=10,Inputs!$H$2,Inputs!$H$3),Inputs!$H$3)))</f>
        <v xml:space="preserve"> </v>
      </c>
      <c r="U265" s="463" t="str">
        <f t="shared" si="76"/>
        <v xml:space="preserve"> </v>
      </c>
      <c r="AF265" s="205">
        <f t="shared" si="83"/>
        <v>44501</v>
      </c>
      <c r="AG265" s="194">
        <v>20</v>
      </c>
      <c r="AH265" s="194">
        <v>5</v>
      </c>
      <c r="AI265" s="194">
        <v>5</v>
      </c>
      <c r="AJ265" s="194">
        <v>1</v>
      </c>
      <c r="AK265" s="194">
        <v>30</v>
      </c>
    </row>
    <row r="266" spans="1:37">
      <c r="A266" s="176" t="str">
        <f>Calculations!A233</f>
        <v>N/A</v>
      </c>
      <c r="B266" s="201" t="str">
        <f t="shared" si="77"/>
        <v xml:space="preserve"> </v>
      </c>
      <c r="C266" s="203" t="str">
        <f t="shared" si="65"/>
        <v xml:space="preserve"> </v>
      </c>
      <c r="D266" s="202" t="str">
        <f t="shared" si="72"/>
        <v xml:space="preserve"> </v>
      </c>
      <c r="E266" s="201" t="str">
        <f t="shared" si="78"/>
        <v xml:space="preserve"> </v>
      </c>
      <c r="F266" s="202" t="str">
        <f t="shared" si="73"/>
        <v xml:space="preserve"> </v>
      </c>
      <c r="G266" s="201" t="str">
        <f t="shared" si="79"/>
        <v xml:space="preserve"> </v>
      </c>
      <c r="H266" s="202" t="str">
        <f t="shared" si="74"/>
        <v xml:space="preserve"> </v>
      </c>
      <c r="I266" s="202" t="str">
        <f t="shared" si="80"/>
        <v xml:space="preserve"> </v>
      </c>
      <c r="J266" s="276" t="str">
        <f t="shared" si="75"/>
        <v xml:space="preserve"> </v>
      </c>
      <c r="K266" s="363" t="str">
        <f t="shared" si="81"/>
        <v xml:space="preserve"> </v>
      </c>
      <c r="L266" s="363" t="str">
        <f t="shared" si="82"/>
        <v xml:space="preserve"> </v>
      </c>
      <c r="M266" s="445"/>
      <c r="N266" s="293" t="str">
        <f t="shared" si="66"/>
        <v xml:space="preserve"> </v>
      </c>
      <c r="O266" s="293" t="str">
        <f t="shared" si="67"/>
        <v xml:space="preserve"> </v>
      </c>
      <c r="P266" s="293" t="str">
        <f t="shared" si="68"/>
        <v xml:space="preserve"> </v>
      </c>
      <c r="Q266" s="294" t="str">
        <f t="shared" si="69"/>
        <v xml:space="preserve"> </v>
      </c>
      <c r="R266" s="295" t="str">
        <f t="shared" si="70"/>
        <v xml:space="preserve"> </v>
      </c>
      <c r="S266" s="295" t="str">
        <f t="shared" si="71"/>
        <v xml:space="preserve"> </v>
      </c>
      <c r="T266" s="295" t="str">
        <f>IF(A266="N/A"," ",(IF(MONTH(A266)&gt;=4,IF(MONTH(A266)&lt;=10,Inputs!$H$2,Inputs!$H$3),Inputs!$H$3)))</f>
        <v xml:space="preserve"> </v>
      </c>
      <c r="U266" s="463" t="str">
        <f t="shared" si="76"/>
        <v xml:space="preserve"> </v>
      </c>
      <c r="AF266" s="205">
        <f t="shared" si="83"/>
        <v>44531</v>
      </c>
      <c r="AG266" s="194">
        <v>21</v>
      </c>
      <c r="AH266" s="194">
        <v>4</v>
      </c>
      <c r="AI266" s="194">
        <v>6</v>
      </c>
      <c r="AJ266" s="194">
        <v>1</v>
      </c>
      <c r="AK266" s="194">
        <v>31</v>
      </c>
    </row>
    <row r="267" spans="1:37">
      <c r="A267" s="176" t="str">
        <f>Calculations!A234</f>
        <v>N/A</v>
      </c>
      <c r="B267" s="201" t="str">
        <f t="shared" si="77"/>
        <v xml:space="preserve"> </v>
      </c>
      <c r="C267" s="203" t="str">
        <f t="shared" si="65"/>
        <v xml:space="preserve"> </v>
      </c>
      <c r="D267" s="202" t="str">
        <f t="shared" si="72"/>
        <v xml:space="preserve"> </v>
      </c>
      <c r="E267" s="201" t="str">
        <f t="shared" si="78"/>
        <v xml:space="preserve"> </v>
      </c>
      <c r="F267" s="202" t="str">
        <f t="shared" si="73"/>
        <v xml:space="preserve"> </v>
      </c>
      <c r="G267" s="201" t="str">
        <f t="shared" si="79"/>
        <v xml:space="preserve"> </v>
      </c>
      <c r="H267" s="202" t="str">
        <f t="shared" si="74"/>
        <v xml:space="preserve"> </v>
      </c>
      <c r="I267" s="202" t="str">
        <f t="shared" si="80"/>
        <v xml:space="preserve"> </v>
      </c>
      <c r="J267" s="276" t="str">
        <f t="shared" si="75"/>
        <v xml:space="preserve"> </v>
      </c>
      <c r="K267" s="363" t="str">
        <f t="shared" si="81"/>
        <v xml:space="preserve"> </v>
      </c>
      <c r="L267" s="363" t="str">
        <f t="shared" si="82"/>
        <v xml:space="preserve"> </v>
      </c>
      <c r="M267" s="445"/>
      <c r="N267" s="293" t="str">
        <f t="shared" si="66"/>
        <v xml:space="preserve"> </v>
      </c>
      <c r="O267" s="293" t="str">
        <f t="shared" si="67"/>
        <v xml:space="preserve"> </v>
      </c>
      <c r="P267" s="293" t="str">
        <f t="shared" si="68"/>
        <v xml:space="preserve"> </v>
      </c>
      <c r="Q267" s="294" t="str">
        <f t="shared" si="69"/>
        <v xml:space="preserve"> </v>
      </c>
      <c r="R267" s="295" t="str">
        <f t="shared" si="70"/>
        <v xml:space="preserve"> </v>
      </c>
      <c r="S267" s="295" t="str">
        <f t="shared" si="71"/>
        <v xml:space="preserve"> </v>
      </c>
      <c r="T267" s="295" t="str">
        <f>IF(A267="N/A"," ",(IF(MONTH(A267)&gt;=4,IF(MONTH(A267)&lt;=10,Inputs!$H$2,Inputs!$H$3),Inputs!$H$3)))</f>
        <v xml:space="preserve"> </v>
      </c>
      <c r="U267" s="463" t="str">
        <f t="shared" si="76"/>
        <v xml:space="preserve"> </v>
      </c>
      <c r="AF267" s="205">
        <f t="shared" si="83"/>
        <v>44562</v>
      </c>
      <c r="AG267" s="194">
        <v>22</v>
      </c>
      <c r="AH267" s="194">
        <v>4</v>
      </c>
      <c r="AI267" s="194">
        <v>5</v>
      </c>
      <c r="AJ267" s="194">
        <v>1</v>
      </c>
      <c r="AK267" s="194">
        <v>31</v>
      </c>
    </row>
    <row r="268" spans="1:37">
      <c r="A268" s="176" t="str">
        <f>Calculations!A235</f>
        <v>N/A</v>
      </c>
      <c r="B268" s="201" t="str">
        <f t="shared" si="77"/>
        <v xml:space="preserve"> </v>
      </c>
      <c r="C268" s="203" t="str">
        <f t="shared" si="65"/>
        <v xml:space="preserve"> </v>
      </c>
      <c r="D268" s="202" t="str">
        <f t="shared" si="72"/>
        <v xml:space="preserve"> </v>
      </c>
      <c r="E268" s="201" t="str">
        <f t="shared" si="78"/>
        <v xml:space="preserve"> </v>
      </c>
      <c r="F268" s="202" t="str">
        <f t="shared" si="73"/>
        <v xml:space="preserve"> </v>
      </c>
      <c r="G268" s="201" t="str">
        <f t="shared" si="79"/>
        <v xml:space="preserve"> </v>
      </c>
      <c r="H268" s="202" t="str">
        <f t="shared" si="74"/>
        <v xml:space="preserve"> </v>
      </c>
      <c r="I268" s="202" t="str">
        <f t="shared" si="80"/>
        <v xml:space="preserve"> </v>
      </c>
      <c r="J268" s="276" t="str">
        <f t="shared" si="75"/>
        <v xml:space="preserve"> </v>
      </c>
      <c r="K268" s="363" t="str">
        <f t="shared" si="81"/>
        <v xml:space="preserve"> </v>
      </c>
      <c r="L268" s="363" t="str">
        <f t="shared" si="82"/>
        <v xml:space="preserve"> </v>
      </c>
      <c r="M268" s="445"/>
      <c r="N268" s="293" t="str">
        <f t="shared" si="66"/>
        <v xml:space="preserve"> </v>
      </c>
      <c r="O268" s="293" t="str">
        <f t="shared" si="67"/>
        <v xml:space="preserve"> </v>
      </c>
      <c r="P268" s="293" t="str">
        <f t="shared" si="68"/>
        <v xml:space="preserve"> </v>
      </c>
      <c r="Q268" s="294" t="str">
        <f t="shared" si="69"/>
        <v xml:space="preserve"> </v>
      </c>
      <c r="R268" s="295" t="str">
        <f t="shared" si="70"/>
        <v xml:space="preserve"> </v>
      </c>
      <c r="S268" s="295" t="str">
        <f t="shared" si="71"/>
        <v xml:space="preserve"> </v>
      </c>
      <c r="T268" s="295" t="str">
        <f>IF(A268="N/A"," ",(IF(MONTH(A268)&gt;=4,IF(MONTH(A268)&lt;=10,Inputs!$H$2,Inputs!$H$3),Inputs!$H$3)))</f>
        <v xml:space="preserve"> </v>
      </c>
      <c r="U268" s="463" t="str">
        <f t="shared" si="76"/>
        <v xml:space="preserve"> </v>
      </c>
      <c r="AF268" s="205">
        <f t="shared" si="83"/>
        <v>44593</v>
      </c>
      <c r="AG268" s="194">
        <v>20</v>
      </c>
      <c r="AH268" s="194">
        <v>4</v>
      </c>
      <c r="AI268" s="194">
        <v>4</v>
      </c>
      <c r="AJ268" s="194">
        <v>0</v>
      </c>
      <c r="AK268" s="194">
        <v>28</v>
      </c>
    </row>
    <row r="269" spans="1:37">
      <c r="A269" s="176" t="str">
        <f>Calculations!A236</f>
        <v>N/A</v>
      </c>
      <c r="B269" s="201" t="str">
        <f t="shared" si="77"/>
        <v xml:space="preserve"> </v>
      </c>
      <c r="C269" s="203" t="str">
        <f t="shared" si="65"/>
        <v xml:space="preserve"> </v>
      </c>
      <c r="D269" s="202" t="str">
        <f t="shared" si="72"/>
        <v xml:space="preserve"> </v>
      </c>
      <c r="E269" s="201" t="str">
        <f t="shared" si="78"/>
        <v xml:space="preserve"> </v>
      </c>
      <c r="F269" s="202" t="str">
        <f t="shared" si="73"/>
        <v xml:space="preserve"> </v>
      </c>
      <c r="G269" s="201" t="str">
        <f t="shared" si="79"/>
        <v xml:space="preserve"> </v>
      </c>
      <c r="H269" s="202" t="str">
        <f t="shared" si="74"/>
        <v xml:space="preserve"> </v>
      </c>
      <c r="I269" s="202" t="str">
        <f t="shared" si="80"/>
        <v xml:space="preserve"> </v>
      </c>
      <c r="J269" s="276" t="str">
        <f t="shared" si="75"/>
        <v xml:space="preserve"> </v>
      </c>
      <c r="K269" s="363" t="str">
        <f t="shared" si="81"/>
        <v xml:space="preserve"> </v>
      </c>
      <c r="L269" s="363" t="str">
        <f t="shared" si="82"/>
        <v xml:space="preserve"> </v>
      </c>
      <c r="M269" s="445"/>
      <c r="N269" s="293" t="str">
        <f t="shared" si="66"/>
        <v xml:space="preserve"> </v>
      </c>
      <c r="O269" s="293" t="str">
        <f t="shared" si="67"/>
        <v xml:space="preserve"> </v>
      </c>
      <c r="P269" s="293" t="str">
        <f t="shared" si="68"/>
        <v xml:space="preserve"> </v>
      </c>
      <c r="Q269" s="294" t="str">
        <f t="shared" si="69"/>
        <v xml:space="preserve"> </v>
      </c>
      <c r="R269" s="295" t="str">
        <f t="shared" si="70"/>
        <v xml:space="preserve"> </v>
      </c>
      <c r="S269" s="295" t="str">
        <f t="shared" si="71"/>
        <v xml:space="preserve"> </v>
      </c>
      <c r="T269" s="295" t="str">
        <f>IF(A269="N/A"," ",(IF(MONTH(A269)&gt;=4,IF(MONTH(A269)&lt;=10,Inputs!$H$2,Inputs!$H$3),Inputs!$H$3)))</f>
        <v xml:space="preserve"> </v>
      </c>
      <c r="U269" s="463" t="str">
        <f t="shared" si="76"/>
        <v xml:space="preserve"> </v>
      </c>
      <c r="AF269" s="205">
        <f t="shared" si="83"/>
        <v>44621</v>
      </c>
      <c r="AG269" s="194">
        <v>21</v>
      </c>
      <c r="AH269" s="194">
        <v>5</v>
      </c>
      <c r="AI269" s="194">
        <v>5</v>
      </c>
      <c r="AJ269" s="194">
        <v>0</v>
      </c>
      <c r="AK269" s="194">
        <v>31</v>
      </c>
    </row>
    <row r="270" spans="1:37">
      <c r="A270" s="176" t="str">
        <f>Calculations!A237</f>
        <v>N/A</v>
      </c>
      <c r="B270" s="201" t="str">
        <f t="shared" si="77"/>
        <v xml:space="preserve"> </v>
      </c>
      <c r="C270" s="203" t="str">
        <f t="shared" si="65"/>
        <v xml:space="preserve"> </v>
      </c>
      <c r="D270" s="202" t="str">
        <f t="shared" si="72"/>
        <v xml:space="preserve"> </v>
      </c>
      <c r="E270" s="201" t="str">
        <f t="shared" si="78"/>
        <v xml:space="preserve"> </v>
      </c>
      <c r="F270" s="202" t="str">
        <f t="shared" si="73"/>
        <v xml:space="preserve"> </v>
      </c>
      <c r="G270" s="201" t="str">
        <f t="shared" si="79"/>
        <v xml:space="preserve"> </v>
      </c>
      <c r="H270" s="202" t="str">
        <f t="shared" si="74"/>
        <v xml:space="preserve"> </v>
      </c>
      <c r="I270" s="202" t="str">
        <f t="shared" si="80"/>
        <v xml:space="preserve"> </v>
      </c>
      <c r="J270" s="276" t="str">
        <f t="shared" si="75"/>
        <v xml:space="preserve"> </v>
      </c>
      <c r="K270" s="363" t="str">
        <f t="shared" si="81"/>
        <v xml:space="preserve"> </v>
      </c>
      <c r="L270" s="363" t="str">
        <f t="shared" si="82"/>
        <v xml:space="preserve"> </v>
      </c>
      <c r="M270" s="445"/>
      <c r="N270" s="293" t="str">
        <f t="shared" si="66"/>
        <v xml:space="preserve"> </v>
      </c>
      <c r="O270" s="293" t="str">
        <f t="shared" si="67"/>
        <v xml:space="preserve"> </v>
      </c>
      <c r="P270" s="293" t="str">
        <f t="shared" si="68"/>
        <v xml:space="preserve"> </v>
      </c>
      <c r="Q270" s="294" t="str">
        <f t="shared" si="69"/>
        <v xml:space="preserve"> </v>
      </c>
      <c r="R270" s="295" t="str">
        <f t="shared" si="70"/>
        <v xml:space="preserve"> </v>
      </c>
      <c r="S270" s="295" t="str">
        <f t="shared" si="71"/>
        <v xml:space="preserve"> </v>
      </c>
      <c r="T270" s="295" t="str">
        <f>IF(A270="N/A"," ",(IF(MONTH(A270)&gt;=4,IF(MONTH(A270)&lt;=10,Inputs!$H$2,Inputs!$H$3),Inputs!$H$3)))</f>
        <v xml:space="preserve"> </v>
      </c>
      <c r="U270" s="463" t="str">
        <f t="shared" si="76"/>
        <v xml:space="preserve"> </v>
      </c>
      <c r="AF270" s="205">
        <f t="shared" si="83"/>
        <v>44652</v>
      </c>
      <c r="AG270" s="194">
        <v>22</v>
      </c>
      <c r="AH270" s="194">
        <v>4</v>
      </c>
      <c r="AI270" s="194">
        <v>4</v>
      </c>
      <c r="AJ270" s="194">
        <v>0</v>
      </c>
      <c r="AK270" s="194">
        <v>30</v>
      </c>
    </row>
    <row r="271" spans="1:37">
      <c r="A271" s="176" t="str">
        <f>Calculations!A238</f>
        <v>N/A</v>
      </c>
      <c r="B271" s="201" t="str">
        <f t="shared" si="77"/>
        <v xml:space="preserve"> </v>
      </c>
      <c r="C271" s="203" t="str">
        <f t="shared" si="65"/>
        <v xml:space="preserve"> </v>
      </c>
      <c r="D271" s="202" t="str">
        <f t="shared" si="72"/>
        <v xml:space="preserve"> </v>
      </c>
      <c r="E271" s="201" t="str">
        <f t="shared" si="78"/>
        <v xml:space="preserve"> </v>
      </c>
      <c r="F271" s="202" t="str">
        <f t="shared" si="73"/>
        <v xml:space="preserve"> </v>
      </c>
      <c r="G271" s="201" t="str">
        <f t="shared" si="79"/>
        <v xml:space="preserve"> </v>
      </c>
      <c r="H271" s="202" t="str">
        <f t="shared" si="74"/>
        <v xml:space="preserve"> </v>
      </c>
      <c r="I271" s="202" t="str">
        <f t="shared" si="80"/>
        <v xml:space="preserve"> </v>
      </c>
      <c r="J271" s="276" t="str">
        <f t="shared" si="75"/>
        <v xml:space="preserve"> </v>
      </c>
      <c r="K271" s="363" t="str">
        <f t="shared" si="81"/>
        <v xml:space="preserve"> </v>
      </c>
      <c r="L271" s="363" t="str">
        <f t="shared" si="82"/>
        <v xml:space="preserve"> </v>
      </c>
      <c r="M271" s="445"/>
      <c r="N271" s="293" t="str">
        <f t="shared" si="66"/>
        <v xml:space="preserve"> </v>
      </c>
      <c r="O271" s="293" t="str">
        <f t="shared" si="67"/>
        <v xml:space="preserve"> </v>
      </c>
      <c r="P271" s="293" t="str">
        <f t="shared" si="68"/>
        <v xml:space="preserve"> </v>
      </c>
      <c r="Q271" s="294" t="str">
        <f t="shared" si="69"/>
        <v xml:space="preserve"> </v>
      </c>
      <c r="R271" s="295" t="str">
        <f t="shared" si="70"/>
        <v xml:space="preserve"> </v>
      </c>
      <c r="S271" s="295" t="str">
        <f t="shared" si="71"/>
        <v xml:space="preserve"> </v>
      </c>
      <c r="T271" s="295" t="str">
        <f>IF(A271="N/A"," ",(IF(MONTH(A271)&gt;=4,IF(MONTH(A271)&lt;=10,Inputs!$H$2,Inputs!$H$3),Inputs!$H$3)))</f>
        <v xml:space="preserve"> </v>
      </c>
      <c r="U271" s="463" t="str">
        <f t="shared" si="76"/>
        <v xml:space="preserve"> </v>
      </c>
      <c r="AF271" s="205">
        <f t="shared" si="83"/>
        <v>44682</v>
      </c>
      <c r="AG271" s="194">
        <v>22</v>
      </c>
      <c r="AH271" s="194">
        <v>4</v>
      </c>
      <c r="AI271" s="194">
        <v>5</v>
      </c>
      <c r="AJ271" s="194">
        <v>1</v>
      </c>
      <c r="AK271" s="194">
        <v>31</v>
      </c>
    </row>
    <row r="272" spans="1:37">
      <c r="A272" s="176" t="str">
        <f>Calculations!A239</f>
        <v>N/A</v>
      </c>
      <c r="B272" s="201" t="str">
        <f t="shared" si="77"/>
        <v xml:space="preserve"> </v>
      </c>
      <c r="C272" s="203" t="str">
        <f t="shared" si="65"/>
        <v xml:space="preserve"> </v>
      </c>
      <c r="D272" s="202" t="str">
        <f t="shared" si="72"/>
        <v xml:space="preserve"> </v>
      </c>
      <c r="E272" s="201" t="str">
        <f t="shared" si="78"/>
        <v xml:space="preserve"> </v>
      </c>
      <c r="F272" s="202" t="str">
        <f t="shared" si="73"/>
        <v xml:space="preserve"> </v>
      </c>
      <c r="G272" s="201" t="str">
        <f t="shared" si="79"/>
        <v xml:space="preserve"> </v>
      </c>
      <c r="H272" s="202" t="str">
        <f t="shared" si="74"/>
        <v xml:space="preserve"> </v>
      </c>
      <c r="I272" s="202" t="str">
        <f t="shared" si="80"/>
        <v xml:space="preserve"> </v>
      </c>
      <c r="J272" s="276" t="str">
        <f t="shared" si="75"/>
        <v xml:space="preserve"> </v>
      </c>
      <c r="K272" s="363" t="str">
        <f t="shared" si="81"/>
        <v xml:space="preserve"> </v>
      </c>
      <c r="L272" s="363" t="str">
        <f t="shared" si="82"/>
        <v xml:space="preserve"> </v>
      </c>
      <c r="M272" s="445"/>
      <c r="N272" s="293" t="str">
        <f t="shared" si="66"/>
        <v xml:space="preserve"> </v>
      </c>
      <c r="O272" s="293" t="str">
        <f t="shared" si="67"/>
        <v xml:space="preserve"> </v>
      </c>
      <c r="P272" s="293" t="str">
        <f t="shared" si="68"/>
        <v xml:space="preserve"> </v>
      </c>
      <c r="Q272" s="294" t="str">
        <f t="shared" si="69"/>
        <v xml:space="preserve"> </v>
      </c>
      <c r="R272" s="295" t="str">
        <f t="shared" si="70"/>
        <v xml:space="preserve"> </v>
      </c>
      <c r="S272" s="295" t="str">
        <f t="shared" si="71"/>
        <v xml:space="preserve"> </v>
      </c>
      <c r="T272" s="295" t="str">
        <f>IF(A272="N/A"," ",(IF(MONTH(A272)&gt;=4,IF(MONTH(A272)&lt;=10,Inputs!$H$2,Inputs!$H$3),Inputs!$H$3)))</f>
        <v xml:space="preserve"> </v>
      </c>
      <c r="U272" s="463" t="str">
        <f t="shared" si="76"/>
        <v xml:space="preserve"> </v>
      </c>
      <c r="AF272" s="205">
        <f t="shared" si="83"/>
        <v>44713</v>
      </c>
      <c r="AG272" s="194">
        <v>20</v>
      </c>
      <c r="AH272" s="194">
        <v>5</v>
      </c>
      <c r="AI272" s="194">
        <v>5</v>
      </c>
      <c r="AJ272" s="194">
        <v>0</v>
      </c>
      <c r="AK272" s="194">
        <v>30</v>
      </c>
    </row>
    <row r="273" spans="1:37">
      <c r="A273" s="176" t="str">
        <f>Calculations!A240</f>
        <v>N/A</v>
      </c>
      <c r="B273" s="201" t="str">
        <f t="shared" si="77"/>
        <v xml:space="preserve"> </v>
      </c>
      <c r="C273" s="203" t="str">
        <f t="shared" si="65"/>
        <v xml:space="preserve"> </v>
      </c>
      <c r="D273" s="202" t="str">
        <f t="shared" si="72"/>
        <v xml:space="preserve"> </v>
      </c>
      <c r="E273" s="201" t="str">
        <f t="shared" si="78"/>
        <v xml:space="preserve"> </v>
      </c>
      <c r="F273" s="202" t="str">
        <f t="shared" si="73"/>
        <v xml:space="preserve"> </v>
      </c>
      <c r="G273" s="201" t="str">
        <f t="shared" si="79"/>
        <v xml:space="preserve"> </v>
      </c>
      <c r="H273" s="202" t="str">
        <f t="shared" si="74"/>
        <v xml:space="preserve"> </v>
      </c>
      <c r="I273" s="202" t="str">
        <f t="shared" si="80"/>
        <v xml:space="preserve"> </v>
      </c>
      <c r="J273" s="276" t="str">
        <f t="shared" si="75"/>
        <v xml:space="preserve"> </v>
      </c>
      <c r="K273" s="363" t="str">
        <f t="shared" si="81"/>
        <v xml:space="preserve"> </v>
      </c>
      <c r="L273" s="363" t="str">
        <f t="shared" si="82"/>
        <v xml:space="preserve"> </v>
      </c>
      <c r="M273" s="445"/>
      <c r="N273" s="293" t="str">
        <f t="shared" si="66"/>
        <v xml:space="preserve"> </v>
      </c>
      <c r="O273" s="293" t="str">
        <f t="shared" si="67"/>
        <v xml:space="preserve"> </v>
      </c>
      <c r="P273" s="293" t="str">
        <f t="shared" si="68"/>
        <v xml:space="preserve"> </v>
      </c>
      <c r="Q273" s="294" t="str">
        <f t="shared" si="69"/>
        <v xml:space="preserve"> </v>
      </c>
      <c r="R273" s="295" t="str">
        <f t="shared" si="70"/>
        <v xml:space="preserve"> </v>
      </c>
      <c r="S273" s="295" t="str">
        <f t="shared" si="71"/>
        <v xml:space="preserve"> </v>
      </c>
      <c r="T273" s="295" t="str">
        <f>IF(A273="N/A"," ",(IF(MONTH(A273)&gt;=4,IF(MONTH(A273)&lt;=10,Inputs!$H$2,Inputs!$H$3),Inputs!$H$3)))</f>
        <v xml:space="preserve"> </v>
      </c>
      <c r="U273" s="463" t="str">
        <f t="shared" si="76"/>
        <v xml:space="preserve"> </v>
      </c>
      <c r="AF273" s="205">
        <f t="shared" si="83"/>
        <v>44743</v>
      </c>
      <c r="AG273" s="194">
        <v>22</v>
      </c>
      <c r="AH273" s="194">
        <v>4</v>
      </c>
      <c r="AI273" s="194">
        <v>5</v>
      </c>
      <c r="AJ273" s="194">
        <v>1</v>
      </c>
      <c r="AK273" s="194">
        <v>31</v>
      </c>
    </row>
    <row r="274" spans="1:37">
      <c r="A274" s="176" t="str">
        <f>Calculations!A241</f>
        <v>N/A</v>
      </c>
      <c r="B274" s="201" t="str">
        <f t="shared" si="77"/>
        <v xml:space="preserve"> </v>
      </c>
      <c r="C274" s="203" t="str">
        <f t="shared" si="65"/>
        <v xml:space="preserve"> </v>
      </c>
      <c r="D274" s="202" t="str">
        <f t="shared" si="72"/>
        <v xml:space="preserve"> </v>
      </c>
      <c r="E274" s="201" t="str">
        <f t="shared" si="78"/>
        <v xml:space="preserve"> </v>
      </c>
      <c r="F274" s="202" t="str">
        <f t="shared" si="73"/>
        <v xml:space="preserve"> </v>
      </c>
      <c r="G274" s="201" t="str">
        <f t="shared" si="79"/>
        <v xml:space="preserve"> </v>
      </c>
      <c r="H274" s="202" t="str">
        <f t="shared" si="74"/>
        <v xml:space="preserve"> </v>
      </c>
      <c r="I274" s="202" t="str">
        <f t="shared" si="80"/>
        <v xml:space="preserve"> </v>
      </c>
      <c r="J274" s="276" t="str">
        <f t="shared" si="75"/>
        <v xml:space="preserve"> </v>
      </c>
      <c r="K274" s="363" t="str">
        <f t="shared" si="81"/>
        <v xml:space="preserve"> </v>
      </c>
      <c r="L274" s="363" t="str">
        <f t="shared" si="82"/>
        <v xml:space="preserve"> </v>
      </c>
      <c r="M274" s="445"/>
      <c r="N274" s="293" t="str">
        <f t="shared" si="66"/>
        <v xml:space="preserve"> </v>
      </c>
      <c r="O274" s="293" t="str">
        <f t="shared" si="67"/>
        <v xml:space="preserve"> </v>
      </c>
      <c r="P274" s="293" t="str">
        <f t="shared" si="68"/>
        <v xml:space="preserve"> </v>
      </c>
      <c r="Q274" s="294" t="str">
        <f t="shared" si="69"/>
        <v xml:space="preserve"> </v>
      </c>
      <c r="R274" s="295" t="str">
        <f t="shared" si="70"/>
        <v xml:space="preserve"> </v>
      </c>
      <c r="S274" s="295" t="str">
        <f t="shared" si="71"/>
        <v xml:space="preserve"> </v>
      </c>
      <c r="T274" s="295" t="str">
        <f>IF(A274="N/A"," ",(IF(MONTH(A274)&gt;=4,IF(MONTH(A274)&lt;=10,Inputs!$H$2,Inputs!$H$3),Inputs!$H$3)))</f>
        <v xml:space="preserve"> </v>
      </c>
      <c r="U274" s="463" t="str">
        <f t="shared" si="76"/>
        <v xml:space="preserve"> </v>
      </c>
      <c r="AF274" s="205">
        <f t="shared" si="83"/>
        <v>44774</v>
      </c>
      <c r="AG274" s="194">
        <v>22</v>
      </c>
      <c r="AH274" s="194">
        <v>5</v>
      </c>
      <c r="AI274" s="194">
        <v>4</v>
      </c>
      <c r="AJ274" s="194">
        <v>0</v>
      </c>
      <c r="AK274" s="194">
        <v>31</v>
      </c>
    </row>
    <row r="275" spans="1:37">
      <c r="A275" s="176" t="str">
        <f>Calculations!A242</f>
        <v>N/A</v>
      </c>
      <c r="B275" s="201" t="str">
        <f t="shared" si="77"/>
        <v xml:space="preserve"> </v>
      </c>
      <c r="C275" s="203" t="str">
        <f t="shared" si="65"/>
        <v xml:space="preserve"> </v>
      </c>
      <c r="D275" s="202" t="str">
        <f t="shared" si="72"/>
        <v xml:space="preserve"> </v>
      </c>
      <c r="E275" s="201" t="str">
        <f t="shared" si="78"/>
        <v xml:space="preserve"> </v>
      </c>
      <c r="F275" s="202" t="str">
        <f t="shared" si="73"/>
        <v xml:space="preserve"> </v>
      </c>
      <c r="G275" s="201" t="str">
        <f t="shared" si="79"/>
        <v xml:space="preserve"> </v>
      </c>
      <c r="H275" s="202" t="str">
        <f t="shared" si="74"/>
        <v xml:space="preserve"> </v>
      </c>
      <c r="I275" s="202" t="str">
        <f t="shared" si="80"/>
        <v xml:space="preserve"> </v>
      </c>
      <c r="J275" s="276" t="str">
        <f t="shared" si="75"/>
        <v xml:space="preserve"> </v>
      </c>
      <c r="K275" s="363" t="str">
        <f t="shared" si="81"/>
        <v xml:space="preserve"> </v>
      </c>
      <c r="L275" s="363" t="str">
        <f t="shared" si="82"/>
        <v xml:space="preserve"> </v>
      </c>
      <c r="M275" s="445"/>
      <c r="N275" s="293" t="str">
        <f t="shared" si="66"/>
        <v xml:space="preserve"> </v>
      </c>
      <c r="O275" s="293" t="str">
        <f t="shared" si="67"/>
        <v xml:space="preserve"> </v>
      </c>
      <c r="P275" s="293" t="str">
        <f t="shared" si="68"/>
        <v xml:space="preserve"> </v>
      </c>
      <c r="Q275" s="294" t="str">
        <f t="shared" si="69"/>
        <v xml:space="preserve"> </v>
      </c>
      <c r="R275" s="295" t="str">
        <f t="shared" si="70"/>
        <v xml:space="preserve"> </v>
      </c>
      <c r="S275" s="295" t="str">
        <f t="shared" si="71"/>
        <v xml:space="preserve"> </v>
      </c>
      <c r="T275" s="295" t="str">
        <f>IF(A275="N/A"," ",(IF(MONTH(A275)&gt;=4,IF(MONTH(A275)&lt;=10,Inputs!$H$2,Inputs!$H$3),Inputs!$H$3)))</f>
        <v xml:space="preserve"> </v>
      </c>
      <c r="U275" s="463" t="str">
        <f t="shared" si="76"/>
        <v xml:space="preserve"> </v>
      </c>
      <c r="AF275" s="205">
        <f t="shared" si="83"/>
        <v>44805</v>
      </c>
      <c r="AG275" s="194">
        <v>20</v>
      </c>
      <c r="AH275" s="194">
        <v>4</v>
      </c>
      <c r="AI275" s="194">
        <v>6</v>
      </c>
      <c r="AJ275" s="194">
        <v>1</v>
      </c>
      <c r="AK275" s="194">
        <v>30</v>
      </c>
    </row>
    <row r="276" spans="1:37">
      <c r="A276" s="176" t="str">
        <f>Calculations!A243</f>
        <v>N/A</v>
      </c>
      <c r="B276" s="201" t="str">
        <f t="shared" si="77"/>
        <v xml:space="preserve"> </v>
      </c>
      <c r="C276" s="203" t="str">
        <f t="shared" si="65"/>
        <v xml:space="preserve"> </v>
      </c>
      <c r="D276" s="202" t="str">
        <f t="shared" si="72"/>
        <v xml:space="preserve"> </v>
      </c>
      <c r="E276" s="201" t="str">
        <f t="shared" si="78"/>
        <v xml:space="preserve"> </v>
      </c>
      <c r="F276" s="202" t="str">
        <f t="shared" si="73"/>
        <v xml:space="preserve"> </v>
      </c>
      <c r="G276" s="201" t="str">
        <f t="shared" si="79"/>
        <v xml:space="preserve"> </v>
      </c>
      <c r="H276" s="202" t="str">
        <f t="shared" si="74"/>
        <v xml:space="preserve"> </v>
      </c>
      <c r="I276" s="202" t="str">
        <f t="shared" si="80"/>
        <v xml:space="preserve"> </v>
      </c>
      <c r="J276" s="276" t="str">
        <f t="shared" si="75"/>
        <v xml:space="preserve"> </v>
      </c>
      <c r="K276" s="363" t="str">
        <f t="shared" si="81"/>
        <v xml:space="preserve"> </v>
      </c>
      <c r="L276" s="363" t="str">
        <f t="shared" si="82"/>
        <v xml:space="preserve"> </v>
      </c>
      <c r="M276" s="445"/>
      <c r="N276" s="293" t="str">
        <f t="shared" si="66"/>
        <v xml:space="preserve"> </v>
      </c>
      <c r="O276" s="293" t="str">
        <f t="shared" si="67"/>
        <v xml:space="preserve"> </v>
      </c>
      <c r="P276" s="293" t="str">
        <f t="shared" si="68"/>
        <v xml:space="preserve"> </v>
      </c>
      <c r="Q276" s="294" t="str">
        <f t="shared" si="69"/>
        <v xml:space="preserve"> </v>
      </c>
      <c r="R276" s="295" t="str">
        <f t="shared" si="70"/>
        <v xml:space="preserve"> </v>
      </c>
      <c r="S276" s="295" t="str">
        <f t="shared" si="71"/>
        <v xml:space="preserve"> </v>
      </c>
      <c r="T276" s="295" t="str">
        <f>IF(A276="N/A"," ",(IF(MONTH(A276)&gt;=4,IF(MONTH(A276)&lt;=10,Inputs!$H$2,Inputs!$H$3),Inputs!$H$3)))</f>
        <v xml:space="preserve"> </v>
      </c>
      <c r="U276" s="463" t="str">
        <f t="shared" si="76"/>
        <v xml:space="preserve"> </v>
      </c>
      <c r="AF276" s="205">
        <f t="shared" si="83"/>
        <v>44835</v>
      </c>
      <c r="AG276" s="194">
        <v>23</v>
      </c>
      <c r="AH276" s="194">
        <v>4</v>
      </c>
      <c r="AI276" s="194">
        <v>4</v>
      </c>
      <c r="AJ276" s="194">
        <v>0</v>
      </c>
      <c r="AK276" s="194">
        <v>31</v>
      </c>
    </row>
    <row r="277" spans="1:37">
      <c r="A277" s="176" t="str">
        <f>Calculations!A244</f>
        <v>N/A</v>
      </c>
      <c r="B277" s="201" t="str">
        <f t="shared" si="77"/>
        <v xml:space="preserve"> </v>
      </c>
      <c r="C277" s="203" t="str">
        <f t="shared" si="65"/>
        <v xml:space="preserve"> </v>
      </c>
      <c r="D277" s="202" t="str">
        <f t="shared" si="72"/>
        <v xml:space="preserve"> </v>
      </c>
      <c r="E277" s="201" t="str">
        <f t="shared" si="78"/>
        <v xml:space="preserve"> </v>
      </c>
      <c r="F277" s="202" t="str">
        <f t="shared" si="73"/>
        <v xml:space="preserve"> </v>
      </c>
      <c r="G277" s="201" t="str">
        <f t="shared" si="79"/>
        <v xml:space="preserve"> </v>
      </c>
      <c r="H277" s="202" t="str">
        <f t="shared" si="74"/>
        <v xml:space="preserve"> </v>
      </c>
      <c r="I277" s="202" t="str">
        <f t="shared" si="80"/>
        <v xml:space="preserve"> </v>
      </c>
      <c r="J277" s="276" t="str">
        <f t="shared" si="75"/>
        <v xml:space="preserve"> </v>
      </c>
      <c r="K277" s="363" t="str">
        <f t="shared" si="81"/>
        <v xml:space="preserve"> </v>
      </c>
      <c r="L277" s="363" t="str">
        <f t="shared" si="82"/>
        <v xml:space="preserve"> </v>
      </c>
      <c r="M277" s="445"/>
      <c r="N277" s="293" t="str">
        <f t="shared" si="66"/>
        <v xml:space="preserve"> </v>
      </c>
      <c r="O277" s="293" t="str">
        <f t="shared" si="67"/>
        <v xml:space="preserve"> </v>
      </c>
      <c r="P277" s="293" t="str">
        <f t="shared" si="68"/>
        <v xml:space="preserve"> </v>
      </c>
      <c r="Q277" s="294" t="str">
        <f t="shared" si="69"/>
        <v xml:space="preserve"> </v>
      </c>
      <c r="R277" s="295" t="str">
        <f t="shared" si="70"/>
        <v xml:space="preserve"> </v>
      </c>
      <c r="S277" s="295" t="str">
        <f t="shared" si="71"/>
        <v xml:space="preserve"> </v>
      </c>
      <c r="T277" s="295" t="str">
        <f>IF(A277="N/A"," ",(IF(MONTH(A277)&gt;=4,IF(MONTH(A277)&lt;=10,Inputs!$H$2,Inputs!$H$3),Inputs!$H$3)))</f>
        <v xml:space="preserve"> </v>
      </c>
      <c r="U277" s="463" t="str">
        <f t="shared" si="76"/>
        <v xml:space="preserve"> </v>
      </c>
      <c r="AF277" s="205">
        <f t="shared" si="83"/>
        <v>44866</v>
      </c>
      <c r="AG277" s="194">
        <v>20</v>
      </c>
      <c r="AH277" s="194">
        <v>5</v>
      </c>
      <c r="AI277" s="194">
        <v>5</v>
      </c>
      <c r="AJ277" s="194">
        <v>1</v>
      </c>
      <c r="AK277" s="194">
        <v>30</v>
      </c>
    </row>
    <row r="278" spans="1:37">
      <c r="A278" s="176" t="str">
        <f>Calculations!A245</f>
        <v>N/A</v>
      </c>
      <c r="B278" s="201" t="str">
        <f t="shared" si="77"/>
        <v xml:space="preserve"> </v>
      </c>
      <c r="C278" s="203" t="str">
        <f t="shared" si="65"/>
        <v xml:space="preserve"> </v>
      </c>
      <c r="D278" s="202" t="str">
        <f t="shared" si="72"/>
        <v xml:space="preserve"> </v>
      </c>
      <c r="E278" s="201" t="str">
        <f t="shared" si="78"/>
        <v xml:space="preserve"> </v>
      </c>
      <c r="F278" s="202" t="str">
        <f t="shared" si="73"/>
        <v xml:space="preserve"> </v>
      </c>
      <c r="G278" s="201" t="str">
        <f t="shared" si="79"/>
        <v xml:space="preserve"> </v>
      </c>
      <c r="H278" s="202" t="str">
        <f t="shared" si="74"/>
        <v xml:space="preserve"> </v>
      </c>
      <c r="I278" s="202" t="str">
        <f t="shared" si="80"/>
        <v xml:space="preserve"> </v>
      </c>
      <c r="J278" s="276" t="str">
        <f t="shared" si="75"/>
        <v xml:space="preserve"> </v>
      </c>
      <c r="K278" s="363" t="str">
        <f t="shared" si="81"/>
        <v xml:space="preserve"> </v>
      </c>
      <c r="L278" s="363" t="str">
        <f t="shared" si="82"/>
        <v xml:space="preserve"> </v>
      </c>
      <c r="M278" s="445"/>
      <c r="N278" s="293" t="str">
        <f t="shared" si="66"/>
        <v xml:space="preserve"> </v>
      </c>
      <c r="O278" s="293" t="str">
        <f t="shared" si="67"/>
        <v xml:space="preserve"> </v>
      </c>
      <c r="P278" s="293" t="str">
        <f t="shared" si="68"/>
        <v xml:space="preserve"> </v>
      </c>
      <c r="Q278" s="294" t="str">
        <f t="shared" si="69"/>
        <v xml:space="preserve"> </v>
      </c>
      <c r="R278" s="295" t="str">
        <f t="shared" si="70"/>
        <v xml:space="preserve"> </v>
      </c>
      <c r="S278" s="295" t="str">
        <f t="shared" si="71"/>
        <v xml:space="preserve"> </v>
      </c>
      <c r="T278" s="295" t="str">
        <f>IF(A278="N/A"," ",(IF(MONTH(A278)&gt;=4,IF(MONTH(A278)&lt;=10,Inputs!$H$2,Inputs!$H$3),Inputs!$H$3)))</f>
        <v xml:space="preserve"> </v>
      </c>
      <c r="U278" s="463" t="str">
        <f t="shared" si="76"/>
        <v xml:space="preserve"> </v>
      </c>
      <c r="AF278" s="205">
        <f t="shared" si="83"/>
        <v>44896</v>
      </c>
      <c r="AG278" s="194">
        <v>21</v>
      </c>
      <c r="AH278" s="194">
        <v>4</v>
      </c>
      <c r="AI278" s="194">
        <v>6</v>
      </c>
      <c r="AJ278" s="194">
        <v>1</v>
      </c>
      <c r="AK278" s="194">
        <v>31</v>
      </c>
    </row>
    <row r="279" spans="1:37">
      <c r="A279" s="176" t="str">
        <f>Calculations!A246</f>
        <v>N/A</v>
      </c>
      <c r="B279" s="201" t="str">
        <f t="shared" si="77"/>
        <v xml:space="preserve"> </v>
      </c>
      <c r="C279" s="203" t="str">
        <f t="shared" si="65"/>
        <v xml:space="preserve"> </v>
      </c>
      <c r="D279" s="202" t="str">
        <f t="shared" si="72"/>
        <v xml:space="preserve"> </v>
      </c>
      <c r="E279" s="201" t="str">
        <f t="shared" si="78"/>
        <v xml:space="preserve"> </v>
      </c>
      <c r="F279" s="202" t="str">
        <f t="shared" si="73"/>
        <v xml:space="preserve"> </v>
      </c>
      <c r="G279" s="201" t="str">
        <f t="shared" si="79"/>
        <v xml:space="preserve"> </v>
      </c>
      <c r="H279" s="202" t="str">
        <f t="shared" si="74"/>
        <v xml:space="preserve"> </v>
      </c>
      <c r="I279" s="202" t="str">
        <f t="shared" si="80"/>
        <v xml:space="preserve"> </v>
      </c>
      <c r="J279" s="276" t="str">
        <f t="shared" si="75"/>
        <v xml:space="preserve"> </v>
      </c>
      <c r="K279" s="363" t="str">
        <f t="shared" si="81"/>
        <v xml:space="preserve"> </v>
      </c>
      <c r="L279" s="363" t="str">
        <f t="shared" si="82"/>
        <v xml:space="preserve"> </v>
      </c>
      <c r="M279" s="445"/>
      <c r="N279" s="293" t="str">
        <f t="shared" si="66"/>
        <v xml:space="preserve"> </v>
      </c>
      <c r="O279" s="293" t="str">
        <f t="shared" si="67"/>
        <v xml:space="preserve"> </v>
      </c>
      <c r="P279" s="293" t="str">
        <f t="shared" si="68"/>
        <v xml:space="preserve"> </v>
      </c>
      <c r="Q279" s="294" t="str">
        <f t="shared" si="69"/>
        <v xml:space="preserve"> </v>
      </c>
      <c r="R279" s="295" t="str">
        <f t="shared" si="70"/>
        <v xml:space="preserve"> </v>
      </c>
      <c r="S279" s="295" t="str">
        <f t="shared" si="71"/>
        <v xml:space="preserve"> </v>
      </c>
      <c r="T279" s="295" t="str">
        <f>IF(A279="N/A"," ",(IF(MONTH(A279)&gt;=4,IF(MONTH(A279)&lt;=10,Inputs!$H$2,Inputs!$H$3),Inputs!$H$3)))</f>
        <v xml:space="preserve"> </v>
      </c>
      <c r="U279" s="463" t="str">
        <f t="shared" si="76"/>
        <v xml:space="preserve"> </v>
      </c>
      <c r="AF279" s="205">
        <f t="shared" si="83"/>
        <v>44927</v>
      </c>
      <c r="AG279" s="194">
        <v>22</v>
      </c>
      <c r="AH279" s="194">
        <v>4</v>
      </c>
      <c r="AI279" s="194">
        <v>5</v>
      </c>
      <c r="AJ279" s="194">
        <v>1</v>
      </c>
      <c r="AK279" s="194">
        <v>31</v>
      </c>
    </row>
    <row r="280" spans="1:37">
      <c r="A280" s="176" t="str">
        <f>Calculations!A247</f>
        <v>N/A</v>
      </c>
      <c r="B280" s="201" t="str">
        <f t="shared" si="77"/>
        <v xml:space="preserve"> </v>
      </c>
      <c r="C280" s="203" t="str">
        <f t="shared" si="65"/>
        <v xml:space="preserve"> </v>
      </c>
      <c r="D280" s="202" t="str">
        <f t="shared" si="72"/>
        <v xml:space="preserve"> </v>
      </c>
      <c r="E280" s="201" t="str">
        <f t="shared" si="78"/>
        <v xml:space="preserve"> </v>
      </c>
      <c r="F280" s="202" t="str">
        <f t="shared" si="73"/>
        <v xml:space="preserve"> </v>
      </c>
      <c r="G280" s="201" t="str">
        <f t="shared" si="79"/>
        <v xml:space="preserve"> </v>
      </c>
      <c r="H280" s="202" t="str">
        <f t="shared" si="74"/>
        <v xml:space="preserve"> </v>
      </c>
      <c r="I280" s="202" t="str">
        <f t="shared" si="80"/>
        <v xml:space="preserve"> </v>
      </c>
      <c r="J280" s="276" t="str">
        <f t="shared" si="75"/>
        <v xml:space="preserve"> </v>
      </c>
      <c r="K280" s="363" t="str">
        <f t="shared" si="81"/>
        <v xml:space="preserve"> </v>
      </c>
      <c r="L280" s="363" t="str">
        <f t="shared" si="82"/>
        <v xml:space="preserve"> </v>
      </c>
      <c r="M280" s="445"/>
      <c r="N280" s="293" t="str">
        <f t="shared" si="66"/>
        <v xml:space="preserve"> </v>
      </c>
      <c r="O280" s="293" t="str">
        <f t="shared" si="67"/>
        <v xml:space="preserve"> </v>
      </c>
      <c r="P280" s="293" t="str">
        <f t="shared" si="68"/>
        <v xml:space="preserve"> </v>
      </c>
      <c r="Q280" s="294" t="str">
        <f t="shared" si="69"/>
        <v xml:space="preserve"> </v>
      </c>
      <c r="R280" s="295" t="str">
        <f t="shared" si="70"/>
        <v xml:space="preserve"> </v>
      </c>
      <c r="S280" s="295" t="str">
        <f t="shared" si="71"/>
        <v xml:space="preserve"> </v>
      </c>
      <c r="T280" s="295" t="str">
        <f>IF(A280="N/A"," ",(IF(MONTH(A280)&gt;=4,IF(MONTH(A280)&lt;=10,Inputs!$H$2,Inputs!$H$3),Inputs!$H$3)))</f>
        <v xml:space="preserve"> </v>
      </c>
      <c r="U280" s="463" t="str">
        <f t="shared" si="76"/>
        <v xml:space="preserve"> </v>
      </c>
      <c r="AF280" s="205">
        <f t="shared" si="83"/>
        <v>44958</v>
      </c>
      <c r="AG280" s="194">
        <v>20</v>
      </c>
      <c r="AH280" s="194">
        <v>4</v>
      </c>
      <c r="AI280" s="194">
        <v>4</v>
      </c>
      <c r="AJ280" s="194">
        <v>0</v>
      </c>
      <c r="AK280" s="194">
        <v>28</v>
      </c>
    </row>
    <row r="281" spans="1:37">
      <c r="A281" s="176" t="str">
        <f>Calculations!A248</f>
        <v>N/A</v>
      </c>
      <c r="B281" s="201" t="str">
        <f t="shared" si="77"/>
        <v xml:space="preserve"> </v>
      </c>
      <c r="C281" s="203" t="str">
        <f t="shared" si="65"/>
        <v xml:space="preserve"> </v>
      </c>
      <c r="D281" s="202" t="str">
        <f t="shared" si="72"/>
        <v xml:space="preserve"> </v>
      </c>
      <c r="E281" s="201" t="str">
        <f t="shared" si="78"/>
        <v xml:space="preserve"> </v>
      </c>
      <c r="F281" s="202" t="str">
        <f t="shared" si="73"/>
        <v xml:space="preserve"> </v>
      </c>
      <c r="G281" s="201" t="str">
        <f t="shared" si="79"/>
        <v xml:space="preserve"> </v>
      </c>
      <c r="H281" s="202" t="str">
        <f t="shared" si="74"/>
        <v xml:space="preserve"> </v>
      </c>
      <c r="I281" s="202" t="str">
        <f t="shared" si="80"/>
        <v xml:space="preserve"> </v>
      </c>
      <c r="J281" s="276" t="str">
        <f t="shared" si="75"/>
        <v xml:space="preserve"> </v>
      </c>
      <c r="K281" s="363" t="str">
        <f t="shared" si="81"/>
        <v xml:space="preserve"> </v>
      </c>
      <c r="L281" s="363" t="str">
        <f t="shared" si="82"/>
        <v xml:space="preserve"> </v>
      </c>
      <c r="M281" s="445"/>
      <c r="N281" s="293" t="str">
        <f t="shared" si="66"/>
        <v xml:space="preserve"> </v>
      </c>
      <c r="O281" s="293" t="str">
        <f t="shared" si="67"/>
        <v xml:space="preserve"> </v>
      </c>
      <c r="P281" s="293" t="str">
        <f t="shared" si="68"/>
        <v xml:space="preserve"> </v>
      </c>
      <c r="Q281" s="294" t="str">
        <f t="shared" si="69"/>
        <v xml:space="preserve"> </v>
      </c>
      <c r="R281" s="295" t="str">
        <f t="shared" si="70"/>
        <v xml:space="preserve"> </v>
      </c>
      <c r="S281" s="295" t="str">
        <f t="shared" si="71"/>
        <v xml:space="preserve"> </v>
      </c>
      <c r="T281" s="295" t="str">
        <f>IF(A281="N/A"," ",(IF(MONTH(A281)&gt;=4,IF(MONTH(A281)&lt;=10,Inputs!$H$2,Inputs!$H$3),Inputs!$H$3)))</f>
        <v xml:space="preserve"> </v>
      </c>
      <c r="U281" s="463" t="str">
        <f t="shared" si="76"/>
        <v xml:space="preserve"> </v>
      </c>
      <c r="AF281" s="205">
        <f t="shared" si="83"/>
        <v>44986</v>
      </c>
      <c r="AG281" s="194">
        <v>21</v>
      </c>
      <c r="AH281" s="194">
        <v>5</v>
      </c>
      <c r="AI281" s="194">
        <v>5</v>
      </c>
      <c r="AJ281" s="194">
        <v>0</v>
      </c>
      <c r="AK281" s="194">
        <v>31</v>
      </c>
    </row>
    <row r="282" spans="1:37">
      <c r="A282" s="176" t="str">
        <f>Calculations!A249</f>
        <v>N/A</v>
      </c>
      <c r="B282" s="201" t="str">
        <f t="shared" si="77"/>
        <v xml:space="preserve"> </v>
      </c>
      <c r="C282" s="203" t="str">
        <f t="shared" si="65"/>
        <v xml:space="preserve"> </v>
      </c>
      <c r="D282" s="202" t="str">
        <f t="shared" si="72"/>
        <v xml:space="preserve"> </v>
      </c>
      <c r="E282" s="201" t="str">
        <f t="shared" si="78"/>
        <v xml:space="preserve"> </v>
      </c>
      <c r="F282" s="202" t="str">
        <f t="shared" si="73"/>
        <v xml:space="preserve"> </v>
      </c>
      <c r="G282" s="201" t="str">
        <f t="shared" si="79"/>
        <v xml:space="preserve"> </v>
      </c>
      <c r="H282" s="202" t="str">
        <f t="shared" si="74"/>
        <v xml:space="preserve"> </v>
      </c>
      <c r="I282" s="202" t="str">
        <f t="shared" si="80"/>
        <v xml:space="preserve"> </v>
      </c>
      <c r="J282" s="276" t="str">
        <f t="shared" si="75"/>
        <v xml:space="preserve"> </v>
      </c>
      <c r="K282" s="363" t="str">
        <f t="shared" si="81"/>
        <v xml:space="preserve"> </v>
      </c>
      <c r="L282" s="363" t="str">
        <f t="shared" si="82"/>
        <v xml:space="preserve"> </v>
      </c>
      <c r="M282" s="445"/>
      <c r="N282" s="293" t="str">
        <f t="shared" si="66"/>
        <v xml:space="preserve"> </v>
      </c>
      <c r="O282" s="293" t="str">
        <f t="shared" si="67"/>
        <v xml:space="preserve"> </v>
      </c>
      <c r="P282" s="293" t="str">
        <f t="shared" si="68"/>
        <v xml:space="preserve"> </v>
      </c>
      <c r="Q282" s="294" t="str">
        <f t="shared" si="69"/>
        <v xml:space="preserve"> </v>
      </c>
      <c r="R282" s="295" t="str">
        <f t="shared" si="70"/>
        <v xml:space="preserve"> </v>
      </c>
      <c r="S282" s="295" t="str">
        <f t="shared" si="71"/>
        <v xml:space="preserve"> </v>
      </c>
      <c r="T282" s="295" t="str">
        <f>IF(A282="N/A"," ",(IF(MONTH(A282)&gt;=4,IF(MONTH(A282)&lt;=10,Inputs!$H$2,Inputs!$H$3),Inputs!$H$3)))</f>
        <v xml:space="preserve"> </v>
      </c>
      <c r="U282" s="463" t="str">
        <f t="shared" si="76"/>
        <v xml:space="preserve"> </v>
      </c>
      <c r="AF282" s="205">
        <f t="shared" si="83"/>
        <v>45017</v>
      </c>
      <c r="AG282" s="194">
        <v>22</v>
      </c>
      <c r="AH282" s="194">
        <v>4</v>
      </c>
      <c r="AI282" s="194">
        <v>4</v>
      </c>
      <c r="AJ282" s="194">
        <v>0</v>
      </c>
      <c r="AK282" s="194">
        <v>30</v>
      </c>
    </row>
    <row r="283" spans="1:37">
      <c r="A283" s="176" t="str">
        <f>Calculations!A250</f>
        <v>N/A</v>
      </c>
      <c r="B283" s="201" t="str">
        <f t="shared" si="77"/>
        <v xml:space="preserve"> </v>
      </c>
      <c r="C283" s="203" t="str">
        <f t="shared" si="65"/>
        <v xml:space="preserve"> </v>
      </c>
      <c r="D283" s="202" t="str">
        <f t="shared" si="72"/>
        <v xml:space="preserve"> </v>
      </c>
      <c r="E283" s="201" t="str">
        <f t="shared" si="78"/>
        <v xml:space="preserve"> </v>
      </c>
      <c r="F283" s="202" t="str">
        <f t="shared" si="73"/>
        <v xml:space="preserve"> </v>
      </c>
      <c r="G283" s="201" t="str">
        <f t="shared" si="79"/>
        <v xml:space="preserve"> </v>
      </c>
      <c r="H283" s="202" t="str">
        <f t="shared" si="74"/>
        <v xml:space="preserve"> </v>
      </c>
      <c r="I283" s="202" t="str">
        <f t="shared" si="80"/>
        <v xml:space="preserve"> </v>
      </c>
      <c r="J283" s="276" t="str">
        <f t="shared" si="75"/>
        <v xml:space="preserve"> </v>
      </c>
      <c r="K283" s="363" t="str">
        <f t="shared" si="81"/>
        <v xml:space="preserve"> </v>
      </c>
      <c r="L283" s="363" t="str">
        <f t="shared" si="82"/>
        <v xml:space="preserve"> </v>
      </c>
      <c r="M283" s="445"/>
      <c r="N283" s="293" t="str">
        <f t="shared" si="66"/>
        <v xml:space="preserve"> </v>
      </c>
      <c r="O283" s="293" t="str">
        <f t="shared" si="67"/>
        <v xml:space="preserve"> </v>
      </c>
      <c r="P283" s="293" t="str">
        <f t="shared" si="68"/>
        <v xml:space="preserve"> </v>
      </c>
      <c r="Q283" s="294" t="str">
        <f t="shared" si="69"/>
        <v xml:space="preserve"> </v>
      </c>
      <c r="R283" s="295" t="str">
        <f t="shared" si="70"/>
        <v xml:space="preserve"> </v>
      </c>
      <c r="S283" s="295" t="str">
        <f t="shared" si="71"/>
        <v xml:space="preserve"> </v>
      </c>
      <c r="T283" s="295" t="str">
        <f>IF(A283="N/A"," ",(IF(MONTH(A283)&gt;=4,IF(MONTH(A283)&lt;=10,Inputs!$H$2,Inputs!$H$3),Inputs!$H$3)))</f>
        <v xml:space="preserve"> </v>
      </c>
      <c r="U283" s="463" t="str">
        <f t="shared" si="76"/>
        <v xml:space="preserve"> </v>
      </c>
      <c r="AF283" s="205">
        <f t="shared" si="83"/>
        <v>45047</v>
      </c>
      <c r="AG283" s="194">
        <v>22</v>
      </c>
      <c r="AH283" s="194">
        <v>4</v>
      </c>
      <c r="AI283" s="194">
        <v>5</v>
      </c>
      <c r="AJ283" s="194">
        <v>1</v>
      </c>
      <c r="AK283" s="194">
        <v>31</v>
      </c>
    </row>
    <row r="284" spans="1:37">
      <c r="A284" s="176" t="str">
        <f>Calculations!A251</f>
        <v>N/A</v>
      </c>
      <c r="B284" s="201" t="str">
        <f t="shared" si="77"/>
        <v xml:space="preserve"> </v>
      </c>
      <c r="C284" s="203" t="str">
        <f t="shared" si="65"/>
        <v xml:space="preserve"> </v>
      </c>
      <c r="D284" s="202" t="str">
        <f t="shared" si="72"/>
        <v xml:space="preserve"> </v>
      </c>
      <c r="E284" s="201" t="str">
        <f t="shared" si="78"/>
        <v xml:space="preserve"> </v>
      </c>
      <c r="F284" s="202" t="str">
        <f t="shared" si="73"/>
        <v xml:space="preserve"> </v>
      </c>
      <c r="G284" s="201" t="str">
        <f t="shared" si="79"/>
        <v xml:space="preserve"> </v>
      </c>
      <c r="H284" s="202" t="str">
        <f t="shared" si="74"/>
        <v xml:space="preserve"> </v>
      </c>
      <c r="I284" s="202" t="str">
        <f t="shared" si="80"/>
        <v xml:space="preserve"> </v>
      </c>
      <c r="J284" s="276" t="str">
        <f t="shared" si="75"/>
        <v xml:space="preserve"> </v>
      </c>
      <c r="K284" s="363" t="str">
        <f t="shared" si="81"/>
        <v xml:space="preserve"> </v>
      </c>
      <c r="L284" s="363" t="str">
        <f t="shared" si="82"/>
        <v xml:space="preserve"> </v>
      </c>
      <c r="M284" s="445"/>
      <c r="N284" s="293" t="str">
        <f t="shared" si="66"/>
        <v xml:space="preserve"> </v>
      </c>
      <c r="O284" s="293" t="str">
        <f t="shared" si="67"/>
        <v xml:space="preserve"> </v>
      </c>
      <c r="P284" s="293" t="str">
        <f t="shared" si="68"/>
        <v xml:space="preserve"> </v>
      </c>
      <c r="Q284" s="294" t="str">
        <f t="shared" si="69"/>
        <v xml:space="preserve"> </v>
      </c>
      <c r="R284" s="295" t="str">
        <f t="shared" si="70"/>
        <v xml:space="preserve"> </v>
      </c>
      <c r="S284" s="295" t="str">
        <f t="shared" si="71"/>
        <v xml:space="preserve"> </v>
      </c>
      <c r="T284" s="295" t="str">
        <f>IF(A284="N/A"," ",(IF(MONTH(A284)&gt;=4,IF(MONTH(A284)&lt;=10,Inputs!$H$2,Inputs!$H$3),Inputs!$H$3)))</f>
        <v xml:space="preserve"> </v>
      </c>
      <c r="U284" s="463" t="str">
        <f t="shared" si="76"/>
        <v xml:space="preserve"> </v>
      </c>
      <c r="AF284" s="205">
        <f t="shared" si="83"/>
        <v>45078</v>
      </c>
      <c r="AG284" s="194">
        <v>20</v>
      </c>
      <c r="AH284" s="194">
        <v>5</v>
      </c>
      <c r="AI284" s="194">
        <v>5</v>
      </c>
      <c r="AJ284" s="194">
        <v>0</v>
      </c>
      <c r="AK284" s="194">
        <v>30</v>
      </c>
    </row>
    <row r="285" spans="1:37">
      <c r="A285" s="176" t="str">
        <f>Calculations!A252</f>
        <v>N/A</v>
      </c>
      <c r="B285" s="201" t="str">
        <f t="shared" si="77"/>
        <v xml:space="preserve"> </v>
      </c>
      <c r="C285" s="203" t="str">
        <f t="shared" si="65"/>
        <v xml:space="preserve"> </v>
      </c>
      <c r="D285" s="202" t="str">
        <f t="shared" si="72"/>
        <v xml:space="preserve"> </v>
      </c>
      <c r="E285" s="201" t="str">
        <f t="shared" si="78"/>
        <v xml:space="preserve"> </v>
      </c>
      <c r="F285" s="202" t="str">
        <f t="shared" si="73"/>
        <v xml:space="preserve"> </v>
      </c>
      <c r="G285" s="201" t="str">
        <f t="shared" si="79"/>
        <v xml:space="preserve"> </v>
      </c>
      <c r="H285" s="202" t="str">
        <f t="shared" si="74"/>
        <v xml:space="preserve"> </v>
      </c>
      <c r="I285" s="202" t="str">
        <f t="shared" si="80"/>
        <v xml:space="preserve"> </v>
      </c>
      <c r="J285" s="276" t="str">
        <f t="shared" si="75"/>
        <v xml:space="preserve"> </v>
      </c>
      <c r="K285" s="363" t="str">
        <f t="shared" si="81"/>
        <v xml:space="preserve"> </v>
      </c>
      <c r="L285" s="363" t="str">
        <f t="shared" si="82"/>
        <v xml:space="preserve"> </v>
      </c>
      <c r="M285" s="445"/>
      <c r="N285" s="293" t="str">
        <f t="shared" si="66"/>
        <v xml:space="preserve"> </v>
      </c>
      <c r="O285" s="293" t="str">
        <f t="shared" si="67"/>
        <v xml:space="preserve"> </v>
      </c>
      <c r="P285" s="293" t="str">
        <f t="shared" si="68"/>
        <v xml:space="preserve"> </v>
      </c>
      <c r="Q285" s="294" t="str">
        <f t="shared" si="69"/>
        <v xml:space="preserve"> </v>
      </c>
      <c r="R285" s="295" t="str">
        <f t="shared" si="70"/>
        <v xml:space="preserve"> </v>
      </c>
      <c r="S285" s="295" t="str">
        <f t="shared" si="71"/>
        <v xml:space="preserve"> </v>
      </c>
      <c r="T285" s="295" t="str">
        <f>IF(A285="N/A"," ",(IF(MONTH(A285)&gt;=4,IF(MONTH(A285)&lt;=10,Inputs!$H$2,Inputs!$H$3),Inputs!$H$3)))</f>
        <v xml:space="preserve"> </v>
      </c>
      <c r="U285" s="463" t="str">
        <f t="shared" si="76"/>
        <v xml:space="preserve"> </v>
      </c>
      <c r="AF285" s="205">
        <f t="shared" si="83"/>
        <v>45108</v>
      </c>
      <c r="AG285" s="194">
        <v>22</v>
      </c>
      <c r="AH285" s="194">
        <v>4</v>
      </c>
      <c r="AI285" s="194">
        <v>5</v>
      </c>
      <c r="AJ285" s="194">
        <v>1</v>
      </c>
      <c r="AK285" s="194">
        <v>31</v>
      </c>
    </row>
    <row r="286" spans="1:37">
      <c r="A286" s="176" t="str">
        <f>Calculations!A253</f>
        <v>N/A</v>
      </c>
      <c r="B286" s="201" t="str">
        <f t="shared" si="77"/>
        <v xml:space="preserve"> </v>
      </c>
      <c r="C286" s="203" t="str">
        <f t="shared" si="65"/>
        <v xml:space="preserve"> </v>
      </c>
      <c r="D286" s="202" t="str">
        <f t="shared" si="72"/>
        <v xml:space="preserve"> </v>
      </c>
      <c r="E286" s="201" t="str">
        <f t="shared" si="78"/>
        <v xml:space="preserve"> </v>
      </c>
      <c r="F286" s="202" t="str">
        <f t="shared" si="73"/>
        <v xml:space="preserve"> </v>
      </c>
      <c r="G286" s="201" t="str">
        <f t="shared" si="79"/>
        <v xml:space="preserve"> </v>
      </c>
      <c r="H286" s="202" t="str">
        <f t="shared" si="74"/>
        <v xml:space="preserve"> </v>
      </c>
      <c r="I286" s="202" t="str">
        <f t="shared" si="80"/>
        <v xml:space="preserve"> </v>
      </c>
      <c r="J286" s="276" t="str">
        <f t="shared" si="75"/>
        <v xml:space="preserve"> </v>
      </c>
      <c r="K286" s="363" t="str">
        <f t="shared" si="81"/>
        <v xml:space="preserve"> </v>
      </c>
      <c r="L286" s="363" t="str">
        <f t="shared" si="82"/>
        <v xml:space="preserve"> </v>
      </c>
      <c r="M286" s="445"/>
      <c r="N286" s="293" t="str">
        <f t="shared" si="66"/>
        <v xml:space="preserve"> </v>
      </c>
      <c r="O286" s="293" t="str">
        <f t="shared" si="67"/>
        <v xml:space="preserve"> </v>
      </c>
      <c r="P286" s="293" t="str">
        <f t="shared" si="68"/>
        <v xml:space="preserve"> </v>
      </c>
      <c r="Q286" s="294" t="str">
        <f t="shared" si="69"/>
        <v xml:space="preserve"> </v>
      </c>
      <c r="R286" s="295" t="str">
        <f t="shared" si="70"/>
        <v xml:space="preserve"> </v>
      </c>
      <c r="S286" s="295" t="str">
        <f t="shared" si="71"/>
        <v xml:space="preserve"> </v>
      </c>
      <c r="T286" s="295" t="str">
        <f>IF(A286="N/A"," ",(IF(MONTH(A286)&gt;=4,IF(MONTH(A286)&lt;=10,Inputs!$H$2,Inputs!$H$3),Inputs!$H$3)))</f>
        <v xml:space="preserve"> </v>
      </c>
      <c r="U286" s="463" t="str">
        <f t="shared" si="76"/>
        <v xml:space="preserve"> </v>
      </c>
      <c r="AF286" s="205">
        <f t="shared" si="83"/>
        <v>45139</v>
      </c>
      <c r="AG286" s="194">
        <v>22</v>
      </c>
      <c r="AH286" s="194">
        <v>5</v>
      </c>
      <c r="AI286" s="194">
        <v>4</v>
      </c>
      <c r="AJ286" s="194">
        <v>0</v>
      </c>
      <c r="AK286" s="194">
        <v>31</v>
      </c>
    </row>
    <row r="287" spans="1:37">
      <c r="A287" s="176" t="str">
        <f>Calculations!A254</f>
        <v>N/A</v>
      </c>
      <c r="B287" s="201" t="str">
        <f t="shared" si="77"/>
        <v xml:space="preserve"> </v>
      </c>
      <c r="C287" s="203" t="str">
        <f t="shared" si="65"/>
        <v xml:space="preserve"> </v>
      </c>
      <c r="D287" s="202" t="str">
        <f t="shared" si="72"/>
        <v xml:space="preserve"> </v>
      </c>
      <c r="E287" s="201" t="str">
        <f t="shared" si="78"/>
        <v xml:space="preserve"> </v>
      </c>
      <c r="F287" s="202" t="str">
        <f t="shared" si="73"/>
        <v xml:space="preserve"> </v>
      </c>
      <c r="G287" s="201" t="str">
        <f t="shared" si="79"/>
        <v xml:space="preserve"> </v>
      </c>
      <c r="H287" s="202" t="str">
        <f t="shared" si="74"/>
        <v xml:space="preserve"> </v>
      </c>
      <c r="I287" s="202" t="str">
        <f t="shared" si="80"/>
        <v xml:space="preserve"> </v>
      </c>
      <c r="J287" s="276" t="str">
        <f t="shared" si="75"/>
        <v xml:space="preserve"> </v>
      </c>
      <c r="K287" s="363" t="str">
        <f t="shared" si="81"/>
        <v xml:space="preserve"> </v>
      </c>
      <c r="L287" s="363" t="str">
        <f t="shared" si="82"/>
        <v xml:space="preserve"> </v>
      </c>
      <c r="M287" s="445"/>
      <c r="N287" s="293" t="str">
        <f t="shared" si="66"/>
        <v xml:space="preserve"> </v>
      </c>
      <c r="O287" s="293" t="str">
        <f t="shared" si="67"/>
        <v xml:space="preserve"> </v>
      </c>
      <c r="P287" s="293" t="str">
        <f t="shared" si="68"/>
        <v xml:space="preserve"> </v>
      </c>
      <c r="Q287" s="294" t="str">
        <f t="shared" si="69"/>
        <v xml:space="preserve"> </v>
      </c>
      <c r="R287" s="295" t="str">
        <f t="shared" si="70"/>
        <v xml:space="preserve"> </v>
      </c>
      <c r="S287" s="295" t="str">
        <f t="shared" si="71"/>
        <v xml:space="preserve"> </v>
      </c>
      <c r="T287" s="295" t="str">
        <f>IF(A287="N/A"," ",(IF(MONTH(A287)&gt;=4,IF(MONTH(A287)&lt;=10,Inputs!$H$2,Inputs!$H$3),Inputs!$H$3)))</f>
        <v xml:space="preserve"> </v>
      </c>
      <c r="U287" s="463" t="str">
        <f t="shared" si="76"/>
        <v xml:space="preserve"> </v>
      </c>
      <c r="AF287" s="205">
        <f t="shared" ref="AF287:AF318" si="84">EOMONTH(AF286,0)+1</f>
        <v>45170</v>
      </c>
      <c r="AG287" s="194">
        <v>20</v>
      </c>
      <c r="AH287" s="194">
        <v>4</v>
      </c>
      <c r="AI287" s="194">
        <v>6</v>
      </c>
      <c r="AJ287" s="194">
        <v>1</v>
      </c>
      <c r="AK287" s="194">
        <v>30</v>
      </c>
    </row>
    <row r="288" spans="1:37">
      <c r="A288" s="176" t="str">
        <f>Calculations!A255</f>
        <v>N/A</v>
      </c>
      <c r="B288" s="201" t="str">
        <f t="shared" si="77"/>
        <v xml:space="preserve"> </v>
      </c>
      <c r="C288" s="203" t="str">
        <f t="shared" si="65"/>
        <v xml:space="preserve"> </v>
      </c>
      <c r="D288" s="202" t="str">
        <f t="shared" si="72"/>
        <v xml:space="preserve"> </v>
      </c>
      <c r="E288" s="201" t="str">
        <f t="shared" si="78"/>
        <v xml:space="preserve"> </v>
      </c>
      <c r="F288" s="202" t="str">
        <f t="shared" si="73"/>
        <v xml:space="preserve"> </v>
      </c>
      <c r="G288" s="201" t="str">
        <f t="shared" si="79"/>
        <v xml:space="preserve"> </v>
      </c>
      <c r="H288" s="202" t="str">
        <f t="shared" si="74"/>
        <v xml:space="preserve"> </v>
      </c>
      <c r="I288" s="202" t="str">
        <f t="shared" si="80"/>
        <v xml:space="preserve"> </v>
      </c>
      <c r="J288" s="276" t="str">
        <f t="shared" si="75"/>
        <v xml:space="preserve"> </v>
      </c>
      <c r="K288" s="363" t="str">
        <f t="shared" si="81"/>
        <v xml:space="preserve"> </v>
      </c>
      <c r="L288" s="363" t="str">
        <f t="shared" si="82"/>
        <v xml:space="preserve"> </v>
      </c>
      <c r="M288" s="445"/>
      <c r="N288" s="293" t="str">
        <f t="shared" si="66"/>
        <v xml:space="preserve"> </v>
      </c>
      <c r="O288" s="293" t="str">
        <f t="shared" si="67"/>
        <v xml:space="preserve"> </v>
      </c>
      <c r="P288" s="293" t="str">
        <f t="shared" si="68"/>
        <v xml:space="preserve"> </v>
      </c>
      <c r="Q288" s="294" t="str">
        <f t="shared" si="69"/>
        <v xml:space="preserve"> </v>
      </c>
      <c r="R288" s="295" t="str">
        <f t="shared" si="70"/>
        <v xml:space="preserve"> </v>
      </c>
      <c r="S288" s="295" t="str">
        <f t="shared" si="71"/>
        <v xml:space="preserve"> </v>
      </c>
      <c r="T288" s="295" t="str">
        <f>IF(A288="N/A"," ",(IF(MONTH(A288)&gt;=4,IF(MONTH(A288)&lt;=10,Inputs!$H$2,Inputs!$H$3),Inputs!$H$3)))</f>
        <v xml:space="preserve"> </v>
      </c>
      <c r="U288" s="463" t="str">
        <f t="shared" si="76"/>
        <v xml:space="preserve"> </v>
      </c>
      <c r="AF288" s="205">
        <f t="shared" si="84"/>
        <v>45200</v>
      </c>
      <c r="AG288" s="194">
        <v>23</v>
      </c>
      <c r="AH288" s="194">
        <v>4</v>
      </c>
      <c r="AI288" s="194">
        <v>4</v>
      </c>
      <c r="AJ288" s="194">
        <v>0</v>
      </c>
      <c r="AK288" s="194">
        <v>31</v>
      </c>
    </row>
    <row r="289" spans="1:37">
      <c r="A289" s="455"/>
      <c r="B289" s="456"/>
      <c r="C289" s="457"/>
      <c r="D289" s="458"/>
      <c r="E289" s="456"/>
      <c r="F289" s="458"/>
      <c r="G289" s="456"/>
      <c r="H289" s="458"/>
      <c r="I289" s="458"/>
      <c r="J289" s="459"/>
      <c r="K289" s="460"/>
      <c r="L289" s="460"/>
      <c r="M289" s="4"/>
      <c r="N289" s="456"/>
      <c r="O289" s="456"/>
      <c r="P289" s="456"/>
      <c r="Q289" s="458"/>
      <c r="R289" s="459"/>
      <c r="S289" s="459"/>
      <c r="T289" s="459"/>
      <c r="AF289" s="205">
        <f t="shared" si="84"/>
        <v>45231</v>
      </c>
      <c r="AG289" s="194">
        <v>20</v>
      </c>
      <c r="AH289" s="194">
        <v>5</v>
      </c>
      <c r="AI289" s="194">
        <v>5</v>
      </c>
      <c r="AJ289" s="194">
        <v>1</v>
      </c>
      <c r="AK289" s="194">
        <v>30</v>
      </c>
    </row>
    <row r="290" spans="1:37">
      <c r="A290" s="455"/>
      <c r="B290" s="456"/>
      <c r="C290" s="457"/>
      <c r="D290" s="458"/>
      <c r="E290" s="456"/>
      <c r="F290" s="458"/>
      <c r="G290" s="456"/>
      <c r="H290" s="458"/>
      <c r="I290" s="458"/>
      <c r="J290" s="459"/>
      <c r="K290" s="460"/>
      <c r="L290" s="460"/>
      <c r="M290" s="4"/>
      <c r="N290" s="456"/>
      <c r="O290" s="456"/>
      <c r="P290" s="456"/>
      <c r="Q290" s="458"/>
      <c r="R290" s="459"/>
      <c r="S290" s="459"/>
      <c r="T290" s="459"/>
      <c r="AF290" s="205">
        <f t="shared" si="84"/>
        <v>45261</v>
      </c>
      <c r="AG290" s="194">
        <v>21</v>
      </c>
      <c r="AH290" s="194">
        <v>4</v>
      </c>
      <c r="AI290" s="194">
        <v>6</v>
      </c>
      <c r="AJ290" s="194">
        <v>1</v>
      </c>
      <c r="AK290" s="194">
        <v>31</v>
      </c>
    </row>
    <row r="291" spans="1:37">
      <c r="A291" s="455"/>
      <c r="B291" s="456"/>
      <c r="C291" s="457"/>
      <c r="D291" s="458"/>
      <c r="E291" s="456"/>
      <c r="F291" s="458"/>
      <c r="G291" s="456"/>
      <c r="H291" s="458"/>
      <c r="I291" s="458"/>
      <c r="J291" s="459"/>
      <c r="K291" s="460"/>
      <c r="L291" s="460"/>
      <c r="M291" s="4"/>
      <c r="N291" s="456"/>
      <c r="O291" s="456"/>
      <c r="P291" s="456"/>
      <c r="Q291" s="458"/>
      <c r="R291" s="459"/>
      <c r="S291" s="459"/>
      <c r="T291" s="459"/>
      <c r="AF291" s="205">
        <f t="shared" si="84"/>
        <v>45292</v>
      </c>
      <c r="AG291" s="194">
        <v>22</v>
      </c>
      <c r="AH291" s="194">
        <v>4</v>
      </c>
      <c r="AI291" s="194">
        <v>5</v>
      </c>
      <c r="AJ291" s="194">
        <v>1</v>
      </c>
      <c r="AK291" s="194">
        <v>31</v>
      </c>
    </row>
    <row r="292" spans="1:37">
      <c r="A292" s="455"/>
      <c r="B292" s="456"/>
      <c r="C292" s="457"/>
      <c r="D292" s="458"/>
      <c r="E292" s="456"/>
      <c r="F292" s="458"/>
      <c r="G292" s="456"/>
      <c r="H292" s="458"/>
      <c r="I292" s="458"/>
      <c r="J292" s="459"/>
      <c r="K292" s="460"/>
      <c r="L292" s="460"/>
      <c r="M292" s="4"/>
      <c r="N292" s="456"/>
      <c r="O292" s="456"/>
      <c r="P292" s="456"/>
      <c r="Q292" s="458"/>
      <c r="R292" s="459"/>
      <c r="S292" s="459"/>
      <c r="T292" s="459"/>
      <c r="AF292" s="205">
        <f t="shared" si="84"/>
        <v>45323</v>
      </c>
      <c r="AG292" s="194">
        <v>20</v>
      </c>
      <c r="AH292" s="194">
        <v>5</v>
      </c>
      <c r="AI292" s="194">
        <v>4</v>
      </c>
      <c r="AJ292" s="194">
        <v>0</v>
      </c>
      <c r="AK292" s="194">
        <v>29</v>
      </c>
    </row>
    <row r="293" spans="1:37">
      <c r="A293" s="455"/>
      <c r="B293" s="456"/>
      <c r="C293" s="457"/>
      <c r="D293" s="458"/>
      <c r="E293" s="456"/>
      <c r="F293" s="458"/>
      <c r="G293" s="456"/>
      <c r="H293" s="458"/>
      <c r="I293" s="458"/>
      <c r="J293" s="459"/>
      <c r="K293" s="460"/>
      <c r="L293" s="460"/>
      <c r="M293" s="4"/>
      <c r="N293" s="456"/>
      <c r="O293" s="456"/>
      <c r="P293" s="456"/>
      <c r="Q293" s="458"/>
      <c r="R293" s="459"/>
      <c r="S293" s="459"/>
      <c r="T293" s="459"/>
      <c r="AF293" s="205">
        <f t="shared" si="84"/>
        <v>45352</v>
      </c>
      <c r="AG293" s="194">
        <v>22</v>
      </c>
      <c r="AH293" s="194">
        <v>4</v>
      </c>
      <c r="AI293" s="194">
        <v>5</v>
      </c>
      <c r="AJ293" s="194">
        <v>0</v>
      </c>
      <c r="AK293" s="194">
        <v>31</v>
      </c>
    </row>
    <row r="294" spans="1:37">
      <c r="A294" s="455"/>
      <c r="B294" s="456"/>
      <c r="C294" s="457"/>
      <c r="D294" s="458"/>
      <c r="E294" s="456"/>
      <c r="F294" s="458"/>
      <c r="G294" s="456"/>
      <c r="H294" s="458"/>
      <c r="I294" s="458"/>
      <c r="J294" s="459"/>
      <c r="K294" s="460"/>
      <c r="L294" s="460"/>
      <c r="M294" s="4"/>
      <c r="N294" s="456"/>
      <c r="O294" s="456"/>
      <c r="P294" s="456"/>
      <c r="Q294" s="458"/>
      <c r="R294" s="459"/>
      <c r="S294" s="459"/>
      <c r="T294" s="459"/>
      <c r="AF294" s="205">
        <f t="shared" si="84"/>
        <v>45383</v>
      </c>
      <c r="AG294" s="194">
        <v>22</v>
      </c>
      <c r="AH294" s="194">
        <v>4</v>
      </c>
      <c r="AI294" s="194">
        <v>4</v>
      </c>
      <c r="AJ294" s="194">
        <v>0</v>
      </c>
      <c r="AK294" s="194">
        <v>30</v>
      </c>
    </row>
    <row r="295" spans="1:37">
      <c r="A295" s="455"/>
      <c r="B295" s="456"/>
      <c r="C295" s="457"/>
      <c r="D295" s="458"/>
      <c r="E295" s="456"/>
      <c r="F295" s="458"/>
      <c r="G295" s="456"/>
      <c r="H295" s="458"/>
      <c r="I295" s="458"/>
      <c r="J295" s="459"/>
      <c r="K295" s="460"/>
      <c r="L295" s="460"/>
      <c r="M295" s="4"/>
      <c r="N295" s="456"/>
      <c r="O295" s="456"/>
      <c r="P295" s="456"/>
      <c r="Q295" s="458"/>
      <c r="R295" s="459"/>
      <c r="S295" s="459"/>
      <c r="T295" s="459"/>
      <c r="AF295" s="205">
        <f t="shared" si="84"/>
        <v>45413</v>
      </c>
      <c r="AG295" s="194">
        <v>20</v>
      </c>
      <c r="AH295" s="194">
        <v>5</v>
      </c>
      <c r="AI295" s="194">
        <v>6</v>
      </c>
      <c r="AJ295" s="194">
        <v>1</v>
      </c>
      <c r="AK295" s="194">
        <v>31</v>
      </c>
    </row>
    <row r="296" spans="1:37">
      <c r="A296" s="455"/>
      <c r="B296" s="456"/>
      <c r="C296" s="457"/>
      <c r="D296" s="458"/>
      <c r="E296" s="456"/>
      <c r="F296" s="458"/>
      <c r="G296" s="456"/>
      <c r="H296" s="458"/>
      <c r="I296" s="458"/>
      <c r="J296" s="459"/>
      <c r="K296" s="460"/>
      <c r="L296" s="460"/>
      <c r="M296" s="4"/>
      <c r="N296" s="456"/>
      <c r="O296" s="456"/>
      <c r="P296" s="456"/>
      <c r="Q296" s="458"/>
      <c r="R296" s="459"/>
      <c r="S296" s="459"/>
      <c r="T296" s="459"/>
      <c r="AF296" s="205">
        <f t="shared" si="84"/>
        <v>45444</v>
      </c>
      <c r="AG296" s="194">
        <v>22</v>
      </c>
      <c r="AH296" s="194">
        <v>4</v>
      </c>
      <c r="AI296" s="194">
        <v>4</v>
      </c>
      <c r="AJ296" s="194">
        <v>0</v>
      </c>
      <c r="AK296" s="194">
        <v>30</v>
      </c>
    </row>
    <row r="297" spans="1:37">
      <c r="A297" s="455"/>
      <c r="B297" s="456"/>
      <c r="C297" s="457"/>
      <c r="D297" s="458"/>
      <c r="E297" s="456"/>
      <c r="F297" s="458"/>
      <c r="G297" s="456"/>
      <c r="H297" s="458"/>
      <c r="I297" s="458"/>
      <c r="J297" s="459"/>
      <c r="K297" s="460"/>
      <c r="L297" s="460"/>
      <c r="M297" s="4"/>
      <c r="N297" s="456"/>
      <c r="O297" s="456"/>
      <c r="P297" s="456"/>
      <c r="Q297" s="458"/>
      <c r="R297" s="459"/>
      <c r="S297" s="459"/>
      <c r="T297" s="459"/>
      <c r="AF297" s="205">
        <f t="shared" si="84"/>
        <v>45474</v>
      </c>
      <c r="AG297" s="194">
        <v>23</v>
      </c>
      <c r="AH297" s="194">
        <v>3</v>
      </c>
      <c r="AI297" s="194">
        <v>5</v>
      </c>
      <c r="AJ297" s="194">
        <v>1</v>
      </c>
      <c r="AK297" s="194">
        <v>31</v>
      </c>
    </row>
    <row r="298" spans="1:37">
      <c r="A298" s="455"/>
      <c r="B298" s="456"/>
      <c r="C298" s="457"/>
      <c r="D298" s="458"/>
      <c r="E298" s="456"/>
      <c r="F298" s="458"/>
      <c r="G298" s="456"/>
      <c r="H298" s="458"/>
      <c r="I298" s="458"/>
      <c r="J298" s="459"/>
      <c r="K298" s="460"/>
      <c r="L298" s="460"/>
      <c r="M298" s="4"/>
      <c r="N298" s="456"/>
      <c r="O298" s="456"/>
      <c r="P298" s="456"/>
      <c r="Q298" s="458"/>
      <c r="R298" s="459"/>
      <c r="S298" s="459"/>
      <c r="T298" s="459"/>
      <c r="AF298" s="205">
        <f t="shared" si="84"/>
        <v>45505</v>
      </c>
      <c r="AG298" s="194">
        <v>21</v>
      </c>
      <c r="AH298" s="194">
        <v>5</v>
      </c>
      <c r="AI298" s="194">
        <v>5</v>
      </c>
      <c r="AJ298" s="194">
        <v>0</v>
      </c>
      <c r="AK298" s="194">
        <v>31</v>
      </c>
    </row>
    <row r="299" spans="1:37">
      <c r="A299" s="455"/>
      <c r="B299" s="456"/>
      <c r="C299" s="457"/>
      <c r="D299" s="458"/>
      <c r="E299" s="456"/>
      <c r="F299" s="458"/>
      <c r="G299" s="456"/>
      <c r="H299" s="458"/>
      <c r="I299" s="458"/>
      <c r="J299" s="459"/>
      <c r="K299" s="460"/>
      <c r="L299" s="460"/>
      <c r="M299" s="4"/>
      <c r="N299" s="456"/>
      <c r="O299" s="456"/>
      <c r="P299" s="456"/>
      <c r="Q299" s="458"/>
      <c r="R299" s="459"/>
      <c r="S299" s="459"/>
      <c r="T299" s="459"/>
      <c r="AF299" s="205">
        <f t="shared" si="84"/>
        <v>45536</v>
      </c>
      <c r="AG299" s="194">
        <v>21</v>
      </c>
      <c r="AH299" s="194">
        <v>4</v>
      </c>
      <c r="AI299" s="194">
        <v>5</v>
      </c>
      <c r="AJ299" s="194">
        <v>1</v>
      </c>
      <c r="AK299" s="194">
        <v>30</v>
      </c>
    </row>
    <row r="300" spans="1:37">
      <c r="A300" s="455"/>
      <c r="B300" s="456"/>
      <c r="C300" s="457"/>
      <c r="D300" s="458"/>
      <c r="E300" s="456"/>
      <c r="F300" s="458"/>
      <c r="G300" s="456"/>
      <c r="H300" s="458"/>
      <c r="I300" s="458"/>
      <c r="J300" s="459"/>
      <c r="K300" s="460"/>
      <c r="L300" s="460"/>
      <c r="M300" s="4"/>
      <c r="N300" s="456"/>
      <c r="O300" s="456"/>
      <c r="P300" s="456"/>
      <c r="Q300" s="458"/>
      <c r="R300" s="459"/>
      <c r="S300" s="459"/>
      <c r="T300" s="459"/>
      <c r="AF300" s="205">
        <f t="shared" si="84"/>
        <v>45566</v>
      </c>
      <c r="AG300" s="194">
        <v>22</v>
      </c>
      <c r="AH300" s="194">
        <v>5</v>
      </c>
      <c r="AI300" s="194">
        <v>4</v>
      </c>
      <c r="AJ300" s="194">
        <v>0</v>
      </c>
      <c r="AK300" s="194">
        <v>31</v>
      </c>
    </row>
    <row r="301" spans="1:37">
      <c r="A301" s="455"/>
      <c r="B301" s="456"/>
      <c r="C301" s="457"/>
      <c r="D301" s="458"/>
      <c r="E301" s="456"/>
      <c r="F301" s="458"/>
      <c r="G301" s="456"/>
      <c r="H301" s="458"/>
      <c r="I301" s="458"/>
      <c r="J301" s="459"/>
      <c r="K301" s="460"/>
      <c r="L301" s="460"/>
      <c r="M301" s="4"/>
      <c r="N301" s="456"/>
      <c r="O301" s="456"/>
      <c r="P301" s="456"/>
      <c r="Q301" s="458"/>
      <c r="R301" s="459"/>
      <c r="S301" s="459"/>
      <c r="T301" s="459"/>
      <c r="AF301" s="205">
        <f t="shared" si="84"/>
        <v>45597</v>
      </c>
      <c r="AG301" s="194">
        <v>20</v>
      </c>
      <c r="AH301" s="194">
        <v>4</v>
      </c>
      <c r="AI301" s="194">
        <v>6</v>
      </c>
      <c r="AJ301" s="194">
        <v>1</v>
      </c>
      <c r="AK301" s="194">
        <v>30</v>
      </c>
    </row>
    <row r="302" spans="1:37">
      <c r="A302" s="455"/>
      <c r="B302" s="456"/>
      <c r="C302" s="457"/>
      <c r="D302" s="458"/>
      <c r="E302" s="456"/>
      <c r="F302" s="458"/>
      <c r="G302" s="456"/>
      <c r="H302" s="458"/>
      <c r="I302" s="458"/>
      <c r="J302" s="459"/>
      <c r="K302" s="460"/>
      <c r="L302" s="460"/>
      <c r="M302" s="4"/>
      <c r="N302" s="456"/>
      <c r="O302" s="456"/>
      <c r="P302" s="456"/>
      <c r="Q302" s="458"/>
      <c r="R302" s="459"/>
      <c r="S302" s="459"/>
      <c r="T302" s="459"/>
      <c r="AF302" s="205">
        <f t="shared" si="84"/>
        <v>45627</v>
      </c>
      <c r="AG302" s="194">
        <v>22</v>
      </c>
      <c r="AH302" s="194">
        <v>4</v>
      </c>
      <c r="AI302" s="194">
        <v>5</v>
      </c>
      <c r="AJ302" s="194">
        <v>1</v>
      </c>
      <c r="AK302" s="194">
        <v>31</v>
      </c>
    </row>
    <row r="303" spans="1:37">
      <c r="A303" s="455"/>
      <c r="B303" s="456"/>
      <c r="C303" s="457"/>
      <c r="D303" s="458"/>
      <c r="E303" s="456"/>
      <c r="F303" s="458"/>
      <c r="G303" s="456"/>
      <c r="H303" s="458"/>
      <c r="I303" s="458"/>
      <c r="J303" s="459"/>
      <c r="K303" s="460"/>
      <c r="L303" s="460"/>
      <c r="M303" s="4"/>
      <c r="N303" s="456"/>
      <c r="O303" s="456"/>
      <c r="P303" s="456"/>
      <c r="Q303" s="458"/>
      <c r="R303" s="459"/>
      <c r="S303" s="459"/>
      <c r="T303" s="459"/>
      <c r="AF303" s="205">
        <f t="shared" si="84"/>
        <v>45658</v>
      </c>
      <c r="AG303" s="194">
        <v>22</v>
      </c>
      <c r="AH303" s="194">
        <v>4</v>
      </c>
      <c r="AI303" s="194">
        <v>5</v>
      </c>
      <c r="AJ303" s="194">
        <v>1</v>
      </c>
      <c r="AK303" s="194">
        <v>31</v>
      </c>
    </row>
    <row r="304" spans="1:37">
      <c r="A304" s="455"/>
      <c r="B304" s="456"/>
      <c r="C304" s="457"/>
      <c r="D304" s="458"/>
      <c r="E304" s="456"/>
      <c r="F304" s="458"/>
      <c r="G304" s="456"/>
      <c r="H304" s="458"/>
      <c r="I304" s="458"/>
      <c r="J304" s="459"/>
      <c r="K304" s="460"/>
      <c r="L304" s="460"/>
      <c r="M304" s="4"/>
      <c r="N304" s="456"/>
      <c r="O304" s="456"/>
      <c r="P304" s="456"/>
      <c r="Q304" s="458"/>
      <c r="R304" s="459"/>
      <c r="S304" s="459"/>
      <c r="T304" s="459"/>
      <c r="AF304" s="205">
        <f t="shared" si="84"/>
        <v>45689</v>
      </c>
      <c r="AG304" s="194">
        <v>20</v>
      </c>
      <c r="AH304" s="194">
        <v>4</v>
      </c>
      <c r="AI304" s="194">
        <v>4</v>
      </c>
      <c r="AJ304" s="194">
        <v>0</v>
      </c>
      <c r="AK304" s="194">
        <v>28</v>
      </c>
    </row>
    <row r="305" spans="1:37">
      <c r="A305" s="455"/>
      <c r="B305" s="456"/>
      <c r="C305" s="457"/>
      <c r="D305" s="458"/>
      <c r="E305" s="456"/>
      <c r="F305" s="458"/>
      <c r="G305" s="456"/>
      <c r="H305" s="458"/>
      <c r="I305" s="458"/>
      <c r="J305" s="459"/>
      <c r="K305" s="460"/>
      <c r="L305" s="460"/>
      <c r="M305" s="4"/>
      <c r="N305" s="456"/>
      <c r="O305" s="456"/>
      <c r="P305" s="456"/>
      <c r="Q305" s="458"/>
      <c r="R305" s="459"/>
      <c r="S305" s="459"/>
      <c r="T305" s="459"/>
      <c r="AF305" s="205">
        <f t="shared" si="84"/>
        <v>45717</v>
      </c>
      <c r="AG305" s="194">
        <v>21</v>
      </c>
      <c r="AH305" s="194">
        <v>5</v>
      </c>
      <c r="AI305" s="194">
        <v>5</v>
      </c>
      <c r="AJ305" s="194">
        <v>0</v>
      </c>
      <c r="AK305" s="194">
        <v>31</v>
      </c>
    </row>
    <row r="306" spans="1:37">
      <c r="A306" s="455"/>
      <c r="B306" s="456"/>
      <c r="C306" s="457"/>
      <c r="D306" s="458"/>
      <c r="E306" s="456"/>
      <c r="F306" s="458"/>
      <c r="G306" s="456"/>
      <c r="H306" s="458"/>
      <c r="I306" s="458"/>
      <c r="J306" s="459"/>
      <c r="K306" s="460"/>
      <c r="L306" s="460"/>
      <c r="M306" s="4"/>
      <c r="N306" s="456"/>
      <c r="O306" s="456"/>
      <c r="P306" s="456"/>
      <c r="Q306" s="458"/>
      <c r="R306" s="459"/>
      <c r="S306" s="459"/>
      <c r="T306" s="459"/>
      <c r="AF306" s="205">
        <f t="shared" si="84"/>
        <v>45748</v>
      </c>
      <c r="AG306" s="194">
        <v>22</v>
      </c>
      <c r="AH306" s="194">
        <v>4</v>
      </c>
      <c r="AI306" s="194">
        <v>4</v>
      </c>
      <c r="AJ306" s="194">
        <v>0</v>
      </c>
      <c r="AK306" s="194">
        <v>30</v>
      </c>
    </row>
    <row r="307" spans="1:37">
      <c r="A307" s="455"/>
      <c r="B307" s="456"/>
      <c r="C307" s="457"/>
      <c r="D307" s="458"/>
      <c r="E307" s="456"/>
      <c r="F307" s="458"/>
      <c r="G307" s="456"/>
      <c r="H307" s="458"/>
      <c r="I307" s="458"/>
      <c r="J307" s="459"/>
      <c r="K307" s="460"/>
      <c r="L307" s="460"/>
      <c r="M307" s="4"/>
      <c r="N307" s="456"/>
      <c r="O307" s="456"/>
      <c r="P307" s="456"/>
      <c r="Q307" s="458"/>
      <c r="R307" s="459"/>
      <c r="S307" s="459"/>
      <c r="T307" s="459"/>
      <c r="AF307" s="205">
        <f t="shared" si="84"/>
        <v>45778</v>
      </c>
      <c r="AG307" s="194">
        <v>22</v>
      </c>
      <c r="AH307" s="194">
        <v>4</v>
      </c>
      <c r="AI307" s="194">
        <v>5</v>
      </c>
      <c r="AJ307" s="194">
        <v>1</v>
      </c>
      <c r="AK307" s="194">
        <v>31</v>
      </c>
    </row>
    <row r="308" spans="1:37">
      <c r="A308" s="455"/>
      <c r="B308" s="456"/>
      <c r="C308" s="457"/>
      <c r="D308" s="458"/>
      <c r="E308" s="456"/>
      <c r="F308" s="458"/>
      <c r="G308" s="456"/>
      <c r="H308" s="458"/>
      <c r="I308" s="458"/>
      <c r="J308" s="459"/>
      <c r="K308" s="460"/>
      <c r="L308" s="460"/>
      <c r="M308" s="4"/>
      <c r="N308" s="456"/>
      <c r="O308" s="456"/>
      <c r="P308" s="456"/>
      <c r="Q308" s="458"/>
      <c r="R308" s="459"/>
      <c r="S308" s="459"/>
      <c r="T308" s="459"/>
      <c r="AF308" s="205">
        <f t="shared" si="84"/>
        <v>45809</v>
      </c>
      <c r="AG308" s="194">
        <v>20</v>
      </c>
      <c r="AH308" s="194">
        <v>5</v>
      </c>
      <c r="AI308" s="194">
        <v>5</v>
      </c>
      <c r="AJ308" s="194">
        <v>0</v>
      </c>
      <c r="AK308" s="194">
        <v>30</v>
      </c>
    </row>
    <row r="309" spans="1:37">
      <c r="A309" s="455"/>
      <c r="B309" s="456"/>
      <c r="C309" s="457"/>
      <c r="D309" s="458"/>
      <c r="E309" s="456"/>
      <c r="F309" s="458"/>
      <c r="G309" s="456"/>
      <c r="H309" s="458"/>
      <c r="I309" s="458"/>
      <c r="J309" s="459"/>
      <c r="K309" s="460"/>
      <c r="L309" s="460"/>
      <c r="M309" s="4"/>
      <c r="N309" s="456"/>
      <c r="O309" s="456"/>
      <c r="P309" s="456"/>
      <c r="Q309" s="458"/>
      <c r="R309" s="459"/>
      <c r="S309" s="459"/>
      <c r="T309" s="459"/>
      <c r="AF309" s="205">
        <f t="shared" si="84"/>
        <v>45839</v>
      </c>
      <c r="AG309" s="194">
        <v>22</v>
      </c>
      <c r="AH309" s="194">
        <v>4</v>
      </c>
      <c r="AI309" s="194">
        <v>5</v>
      </c>
      <c r="AJ309" s="194">
        <v>1</v>
      </c>
      <c r="AK309" s="194">
        <v>31</v>
      </c>
    </row>
    <row r="310" spans="1:37">
      <c r="A310" s="455"/>
      <c r="B310" s="456"/>
      <c r="C310" s="457"/>
      <c r="D310" s="458"/>
      <c r="E310" s="456"/>
      <c r="F310" s="458"/>
      <c r="G310" s="456"/>
      <c r="H310" s="458"/>
      <c r="I310" s="458"/>
      <c r="J310" s="459"/>
      <c r="K310" s="460"/>
      <c r="L310" s="460"/>
      <c r="M310" s="4"/>
      <c r="N310" s="456"/>
      <c r="O310" s="456"/>
      <c r="P310" s="456"/>
      <c r="Q310" s="458"/>
      <c r="R310" s="459"/>
      <c r="S310" s="459"/>
      <c r="T310" s="459"/>
      <c r="AF310" s="205">
        <f t="shared" si="84"/>
        <v>45870</v>
      </c>
      <c r="AG310" s="194">
        <v>22</v>
      </c>
      <c r="AH310" s="194">
        <v>5</v>
      </c>
      <c r="AI310" s="194">
        <v>4</v>
      </c>
      <c r="AJ310" s="194">
        <v>0</v>
      </c>
      <c r="AK310" s="194">
        <v>31</v>
      </c>
    </row>
    <row r="311" spans="1:37">
      <c r="A311" s="455"/>
      <c r="B311" s="456"/>
      <c r="C311" s="457"/>
      <c r="D311" s="458"/>
      <c r="E311" s="456"/>
      <c r="F311" s="458"/>
      <c r="G311" s="456"/>
      <c r="H311" s="458"/>
      <c r="I311" s="458"/>
      <c r="J311" s="459"/>
      <c r="K311" s="460"/>
      <c r="L311" s="460"/>
      <c r="M311" s="4"/>
      <c r="N311" s="456"/>
      <c r="O311" s="456"/>
      <c r="P311" s="456"/>
      <c r="Q311" s="458"/>
      <c r="R311" s="459"/>
      <c r="S311" s="459"/>
      <c r="T311" s="459"/>
      <c r="AF311" s="205">
        <f t="shared" si="84"/>
        <v>45901</v>
      </c>
      <c r="AG311" s="194">
        <v>20</v>
      </c>
      <c r="AH311" s="194">
        <v>4</v>
      </c>
      <c r="AI311" s="194">
        <v>6</v>
      </c>
      <c r="AJ311" s="194">
        <v>1</v>
      </c>
      <c r="AK311" s="194">
        <v>30</v>
      </c>
    </row>
    <row r="312" spans="1:37">
      <c r="A312" s="455"/>
      <c r="B312" s="456"/>
      <c r="C312" s="457"/>
      <c r="D312" s="458"/>
      <c r="E312" s="456"/>
      <c r="F312" s="458"/>
      <c r="G312" s="456"/>
      <c r="H312" s="458"/>
      <c r="I312" s="458"/>
      <c r="J312" s="459"/>
      <c r="K312" s="460"/>
      <c r="L312" s="460"/>
      <c r="M312" s="4"/>
      <c r="N312" s="456"/>
      <c r="O312" s="456"/>
      <c r="P312" s="456"/>
      <c r="Q312" s="458"/>
      <c r="R312" s="459"/>
      <c r="S312" s="459"/>
      <c r="T312" s="459"/>
      <c r="AF312" s="205">
        <f t="shared" si="84"/>
        <v>45931</v>
      </c>
      <c r="AG312" s="194">
        <v>23</v>
      </c>
      <c r="AH312" s="194">
        <v>4</v>
      </c>
      <c r="AI312" s="194">
        <v>4</v>
      </c>
      <c r="AJ312" s="194">
        <v>0</v>
      </c>
      <c r="AK312" s="194">
        <v>31</v>
      </c>
    </row>
    <row r="313" spans="1:37">
      <c r="A313" s="455"/>
      <c r="B313" s="456"/>
      <c r="C313" s="457"/>
      <c r="D313" s="458"/>
      <c r="E313" s="456"/>
      <c r="F313" s="458"/>
      <c r="G313" s="456"/>
      <c r="H313" s="458"/>
      <c r="I313" s="458"/>
      <c r="J313" s="459"/>
      <c r="K313" s="460"/>
      <c r="L313" s="460"/>
      <c r="M313" s="4"/>
      <c r="N313" s="456"/>
      <c r="O313" s="456"/>
      <c r="P313" s="456"/>
      <c r="Q313" s="458"/>
      <c r="R313" s="459"/>
      <c r="S313" s="459"/>
      <c r="T313" s="459"/>
      <c r="AF313" s="205">
        <f t="shared" si="84"/>
        <v>45962</v>
      </c>
      <c r="AG313" s="194">
        <v>20</v>
      </c>
      <c r="AH313" s="194">
        <v>5</v>
      </c>
      <c r="AI313" s="194">
        <v>5</v>
      </c>
      <c r="AJ313" s="194">
        <v>1</v>
      </c>
      <c r="AK313" s="194">
        <v>30</v>
      </c>
    </row>
    <row r="314" spans="1:37">
      <c r="A314" s="455"/>
      <c r="B314" s="456"/>
      <c r="C314" s="457"/>
      <c r="D314" s="458"/>
      <c r="E314" s="456"/>
      <c r="F314" s="458"/>
      <c r="G314" s="456"/>
      <c r="H314" s="458"/>
      <c r="I314" s="458"/>
      <c r="J314" s="459"/>
      <c r="K314" s="460"/>
      <c r="L314" s="460"/>
      <c r="M314" s="4"/>
      <c r="N314" s="456"/>
      <c r="O314" s="456"/>
      <c r="P314" s="456"/>
      <c r="Q314" s="458"/>
      <c r="R314" s="459"/>
      <c r="S314" s="459"/>
      <c r="T314" s="459"/>
      <c r="AF314" s="205">
        <f t="shared" si="84"/>
        <v>45992</v>
      </c>
      <c r="AG314" s="194">
        <v>21</v>
      </c>
      <c r="AH314" s="194">
        <v>4</v>
      </c>
      <c r="AI314" s="194">
        <v>6</v>
      </c>
      <c r="AJ314" s="194">
        <v>1</v>
      </c>
      <c r="AK314" s="194">
        <v>31</v>
      </c>
    </row>
    <row r="315" spans="1:37">
      <c r="A315" s="455"/>
      <c r="B315" s="456"/>
      <c r="C315" s="457"/>
      <c r="D315" s="458"/>
      <c r="E315" s="456"/>
      <c r="F315" s="458"/>
      <c r="G315" s="456"/>
      <c r="H315" s="458"/>
      <c r="I315" s="458"/>
      <c r="J315" s="459"/>
      <c r="K315" s="460"/>
      <c r="L315" s="460"/>
      <c r="M315" s="4"/>
      <c r="N315" s="456"/>
      <c r="O315" s="456"/>
      <c r="P315" s="456"/>
      <c r="Q315" s="458"/>
      <c r="R315" s="459"/>
      <c r="S315" s="459"/>
      <c r="T315" s="459"/>
      <c r="AF315" s="205">
        <f t="shared" si="84"/>
        <v>46023</v>
      </c>
      <c r="AG315" s="194">
        <v>22</v>
      </c>
      <c r="AH315" s="194">
        <v>4</v>
      </c>
      <c r="AI315" s="194">
        <v>5</v>
      </c>
      <c r="AJ315" s="194">
        <v>1</v>
      </c>
      <c r="AK315" s="194">
        <v>31</v>
      </c>
    </row>
    <row r="316" spans="1:37">
      <c r="A316" s="455"/>
      <c r="B316" s="456"/>
      <c r="C316" s="457"/>
      <c r="D316" s="458"/>
      <c r="E316" s="456"/>
      <c r="F316" s="458"/>
      <c r="G316" s="456"/>
      <c r="H316" s="458"/>
      <c r="I316" s="458"/>
      <c r="J316" s="459"/>
      <c r="K316" s="460"/>
      <c r="L316" s="460"/>
      <c r="M316" s="4"/>
      <c r="N316" s="456"/>
      <c r="O316" s="456"/>
      <c r="P316" s="456"/>
      <c r="Q316" s="458"/>
      <c r="R316" s="459"/>
      <c r="S316" s="459"/>
      <c r="T316" s="459"/>
      <c r="AF316" s="205">
        <f t="shared" si="84"/>
        <v>46054</v>
      </c>
      <c r="AG316" s="194">
        <v>20</v>
      </c>
      <c r="AH316" s="194">
        <v>4</v>
      </c>
      <c r="AI316" s="194">
        <v>4</v>
      </c>
      <c r="AJ316" s="194">
        <v>0</v>
      </c>
      <c r="AK316" s="194">
        <v>28</v>
      </c>
    </row>
    <row r="317" spans="1:37">
      <c r="A317" s="455"/>
      <c r="B317" s="456"/>
      <c r="C317" s="457"/>
      <c r="D317" s="458"/>
      <c r="E317" s="456"/>
      <c r="F317" s="458"/>
      <c r="G317" s="456"/>
      <c r="H317" s="458"/>
      <c r="I317" s="458"/>
      <c r="J317" s="459"/>
      <c r="K317" s="460"/>
      <c r="L317" s="460"/>
      <c r="M317" s="4"/>
      <c r="N317" s="456"/>
      <c r="O317" s="456"/>
      <c r="P317" s="456"/>
      <c r="Q317" s="458"/>
      <c r="R317" s="459"/>
      <c r="S317" s="459"/>
      <c r="T317" s="459"/>
      <c r="AF317" s="205">
        <f t="shared" si="84"/>
        <v>46082</v>
      </c>
      <c r="AG317" s="194">
        <v>21</v>
      </c>
      <c r="AH317" s="194">
        <v>5</v>
      </c>
      <c r="AI317" s="194">
        <v>5</v>
      </c>
      <c r="AJ317" s="194">
        <v>0</v>
      </c>
      <c r="AK317" s="194">
        <v>31</v>
      </c>
    </row>
    <row r="318" spans="1:37">
      <c r="A318" s="455"/>
      <c r="B318" s="456"/>
      <c r="C318" s="457"/>
      <c r="D318" s="458"/>
      <c r="E318" s="456"/>
      <c r="F318" s="458"/>
      <c r="G318" s="456"/>
      <c r="H318" s="458"/>
      <c r="I318" s="458"/>
      <c r="J318" s="459"/>
      <c r="K318" s="460"/>
      <c r="L318" s="460"/>
      <c r="M318" s="4"/>
      <c r="N318" s="456"/>
      <c r="O318" s="456"/>
      <c r="P318" s="456"/>
      <c r="Q318" s="458"/>
      <c r="R318" s="459"/>
      <c r="S318" s="459"/>
      <c r="T318" s="459"/>
      <c r="AF318" s="205">
        <f t="shared" si="84"/>
        <v>46113</v>
      </c>
      <c r="AG318" s="194">
        <v>22</v>
      </c>
      <c r="AH318" s="194">
        <v>4</v>
      </c>
      <c r="AI318" s="194">
        <v>4</v>
      </c>
      <c r="AJ318" s="194">
        <v>0</v>
      </c>
      <c r="AK318" s="194">
        <v>30</v>
      </c>
    </row>
    <row r="319" spans="1:37">
      <c r="A319" s="455"/>
      <c r="B319" s="456"/>
      <c r="C319" s="457"/>
      <c r="D319" s="458"/>
      <c r="E319" s="456"/>
      <c r="F319" s="458"/>
      <c r="G319" s="456"/>
      <c r="H319" s="458"/>
      <c r="I319" s="458"/>
      <c r="J319" s="459"/>
      <c r="K319" s="460"/>
      <c r="L319" s="460"/>
      <c r="M319" s="4"/>
      <c r="N319" s="456"/>
      <c r="O319" s="456"/>
      <c r="P319" s="456"/>
      <c r="Q319" s="458"/>
      <c r="R319" s="459"/>
      <c r="S319" s="459"/>
      <c r="T319" s="459"/>
      <c r="AF319" s="205">
        <f t="shared" ref="AF319:AF350" si="85">EOMONTH(AF318,0)+1</f>
        <v>46143</v>
      </c>
      <c r="AG319" s="194">
        <v>22</v>
      </c>
      <c r="AH319" s="194">
        <v>4</v>
      </c>
      <c r="AI319" s="194">
        <v>5</v>
      </c>
      <c r="AJ319" s="194">
        <v>1</v>
      </c>
      <c r="AK319" s="194">
        <v>31</v>
      </c>
    </row>
    <row r="320" spans="1:37">
      <c r="A320" s="455"/>
      <c r="B320" s="456"/>
      <c r="C320" s="457"/>
      <c r="D320" s="458"/>
      <c r="E320" s="456"/>
      <c r="F320" s="458"/>
      <c r="G320" s="456"/>
      <c r="H320" s="458"/>
      <c r="I320" s="458"/>
      <c r="J320" s="459"/>
      <c r="K320" s="460"/>
      <c r="L320" s="460"/>
      <c r="M320" s="4"/>
      <c r="N320" s="456"/>
      <c r="O320" s="456"/>
      <c r="P320" s="456"/>
      <c r="Q320" s="458"/>
      <c r="R320" s="459"/>
      <c r="S320" s="459"/>
      <c r="T320" s="459"/>
      <c r="AF320" s="205">
        <f t="shared" si="85"/>
        <v>46174</v>
      </c>
      <c r="AG320" s="194">
        <v>20</v>
      </c>
      <c r="AH320" s="194">
        <v>5</v>
      </c>
      <c r="AI320" s="194">
        <v>5</v>
      </c>
      <c r="AJ320" s="194">
        <v>0</v>
      </c>
      <c r="AK320" s="194">
        <v>30</v>
      </c>
    </row>
    <row r="321" spans="1:37">
      <c r="A321" s="455"/>
      <c r="B321" s="456"/>
      <c r="C321" s="457"/>
      <c r="D321" s="458"/>
      <c r="E321" s="456"/>
      <c r="F321" s="458"/>
      <c r="G321" s="456"/>
      <c r="H321" s="458"/>
      <c r="I321" s="458"/>
      <c r="J321" s="459"/>
      <c r="K321" s="460"/>
      <c r="L321" s="460"/>
      <c r="M321" s="4"/>
      <c r="N321" s="456"/>
      <c r="O321" s="456"/>
      <c r="P321" s="456"/>
      <c r="Q321" s="458"/>
      <c r="R321" s="459"/>
      <c r="S321" s="459"/>
      <c r="T321" s="459"/>
      <c r="AF321" s="205">
        <f t="shared" si="85"/>
        <v>46204</v>
      </c>
      <c r="AG321" s="194">
        <v>22</v>
      </c>
      <c r="AH321" s="194">
        <v>4</v>
      </c>
      <c r="AI321" s="194">
        <v>5</v>
      </c>
      <c r="AJ321" s="194">
        <v>1</v>
      </c>
      <c r="AK321" s="194">
        <v>31</v>
      </c>
    </row>
    <row r="322" spans="1:37">
      <c r="A322" s="455"/>
      <c r="B322" s="456"/>
      <c r="C322" s="457"/>
      <c r="D322" s="458"/>
      <c r="E322" s="456"/>
      <c r="F322" s="458"/>
      <c r="G322" s="456"/>
      <c r="H322" s="458"/>
      <c r="I322" s="458"/>
      <c r="J322" s="459"/>
      <c r="K322" s="460"/>
      <c r="L322" s="460"/>
      <c r="M322" s="4"/>
      <c r="N322" s="456"/>
      <c r="O322" s="456"/>
      <c r="P322" s="456"/>
      <c r="Q322" s="458"/>
      <c r="R322" s="459"/>
      <c r="S322" s="459"/>
      <c r="T322" s="459"/>
      <c r="AF322" s="205">
        <f t="shared" si="85"/>
        <v>46235</v>
      </c>
      <c r="AG322" s="194">
        <v>22</v>
      </c>
      <c r="AH322" s="194">
        <v>5</v>
      </c>
      <c r="AI322" s="194">
        <v>4</v>
      </c>
      <c r="AJ322" s="194">
        <v>0</v>
      </c>
      <c r="AK322" s="194">
        <v>31</v>
      </c>
    </row>
    <row r="323" spans="1:37">
      <c r="A323" s="455"/>
      <c r="B323" s="456"/>
      <c r="C323" s="457"/>
      <c r="D323" s="458"/>
      <c r="E323" s="456"/>
      <c r="F323" s="458"/>
      <c r="G323" s="456"/>
      <c r="H323" s="458"/>
      <c r="I323" s="458"/>
      <c r="J323" s="459"/>
      <c r="K323" s="460"/>
      <c r="L323" s="460"/>
      <c r="M323" s="4"/>
      <c r="N323" s="456"/>
      <c r="O323" s="456"/>
      <c r="P323" s="456"/>
      <c r="Q323" s="458"/>
      <c r="R323" s="459"/>
      <c r="S323" s="459"/>
      <c r="T323" s="459"/>
      <c r="AF323" s="205">
        <f t="shared" si="85"/>
        <v>46266</v>
      </c>
      <c r="AG323" s="194">
        <v>20</v>
      </c>
      <c r="AH323" s="194">
        <v>4</v>
      </c>
      <c r="AI323" s="194">
        <v>6</v>
      </c>
      <c r="AJ323" s="194">
        <v>1</v>
      </c>
      <c r="AK323" s="194">
        <v>30</v>
      </c>
    </row>
    <row r="324" spans="1:37">
      <c r="A324" s="455"/>
      <c r="B324" s="456"/>
      <c r="C324" s="457"/>
      <c r="D324" s="458"/>
      <c r="E324" s="456"/>
      <c r="F324" s="458"/>
      <c r="G324" s="456"/>
      <c r="H324" s="458"/>
      <c r="I324" s="458"/>
      <c r="J324" s="459"/>
      <c r="K324" s="460"/>
      <c r="L324" s="460"/>
      <c r="M324" s="4"/>
      <c r="N324" s="456"/>
      <c r="O324" s="456"/>
      <c r="P324" s="456"/>
      <c r="Q324" s="458"/>
      <c r="R324" s="459"/>
      <c r="S324" s="459"/>
      <c r="T324" s="459"/>
      <c r="AF324" s="205">
        <f t="shared" si="85"/>
        <v>46296</v>
      </c>
      <c r="AG324" s="194">
        <v>23</v>
      </c>
      <c r="AH324" s="194">
        <v>4</v>
      </c>
      <c r="AI324" s="194">
        <v>4</v>
      </c>
      <c r="AJ324" s="194">
        <v>0</v>
      </c>
      <c r="AK324" s="194">
        <v>31</v>
      </c>
    </row>
    <row r="325" spans="1:37">
      <c r="A325" s="455"/>
      <c r="B325" s="456"/>
      <c r="C325" s="457"/>
      <c r="D325" s="458"/>
      <c r="E325" s="456"/>
      <c r="F325" s="458"/>
      <c r="G325" s="456"/>
      <c r="H325" s="458"/>
      <c r="I325" s="458"/>
      <c r="J325" s="459"/>
      <c r="K325" s="460"/>
      <c r="L325" s="460"/>
      <c r="M325" s="4"/>
      <c r="N325" s="456"/>
      <c r="O325" s="456"/>
      <c r="P325" s="456"/>
      <c r="Q325" s="458"/>
      <c r="R325" s="459"/>
      <c r="S325" s="459"/>
      <c r="T325" s="459"/>
      <c r="AF325" s="205">
        <f t="shared" si="85"/>
        <v>46327</v>
      </c>
      <c r="AG325" s="194">
        <v>20</v>
      </c>
      <c r="AH325" s="194">
        <v>5</v>
      </c>
      <c r="AI325" s="194">
        <v>5</v>
      </c>
      <c r="AJ325" s="194">
        <v>1</v>
      </c>
      <c r="AK325" s="194">
        <v>30</v>
      </c>
    </row>
    <row r="326" spans="1:37">
      <c r="A326" s="455"/>
      <c r="B326" s="456"/>
      <c r="C326" s="457"/>
      <c r="D326" s="458"/>
      <c r="E326" s="456"/>
      <c r="F326" s="458"/>
      <c r="G326" s="456"/>
      <c r="H326" s="458"/>
      <c r="I326" s="458"/>
      <c r="J326" s="459"/>
      <c r="K326" s="460"/>
      <c r="L326" s="460"/>
      <c r="M326" s="4"/>
      <c r="N326" s="456"/>
      <c r="O326" s="456"/>
      <c r="P326" s="456"/>
      <c r="Q326" s="458"/>
      <c r="R326" s="459"/>
      <c r="S326" s="459"/>
      <c r="T326" s="459"/>
      <c r="AF326" s="205">
        <f t="shared" si="85"/>
        <v>46357</v>
      </c>
      <c r="AG326" s="194">
        <v>21</v>
      </c>
      <c r="AH326" s="194">
        <v>4</v>
      </c>
      <c r="AI326" s="194">
        <v>6</v>
      </c>
      <c r="AJ326" s="194">
        <v>1</v>
      </c>
      <c r="AK326" s="194">
        <v>31</v>
      </c>
    </row>
    <row r="327" spans="1:37">
      <c r="A327" s="455"/>
      <c r="B327" s="456"/>
      <c r="C327" s="457"/>
      <c r="D327" s="458"/>
      <c r="E327" s="456"/>
      <c r="F327" s="458"/>
      <c r="G327" s="456"/>
      <c r="H327" s="458"/>
      <c r="I327" s="458"/>
      <c r="J327" s="459"/>
      <c r="K327" s="460"/>
      <c r="L327" s="460"/>
      <c r="M327" s="4"/>
      <c r="N327" s="456"/>
      <c r="O327" s="456"/>
      <c r="P327" s="456"/>
      <c r="Q327" s="458"/>
      <c r="R327" s="459"/>
      <c r="S327" s="459"/>
      <c r="T327" s="459"/>
      <c r="AF327" s="205">
        <f t="shared" si="85"/>
        <v>46388</v>
      </c>
      <c r="AG327" s="194">
        <v>22</v>
      </c>
      <c r="AH327" s="194">
        <v>4</v>
      </c>
      <c r="AI327" s="194">
        <v>5</v>
      </c>
      <c r="AJ327" s="194">
        <v>1</v>
      </c>
      <c r="AK327" s="194">
        <v>31</v>
      </c>
    </row>
    <row r="328" spans="1:37">
      <c r="A328" s="455"/>
      <c r="B328" s="456"/>
      <c r="C328" s="457"/>
      <c r="D328" s="458"/>
      <c r="E328" s="456"/>
      <c r="F328" s="458"/>
      <c r="G328" s="456"/>
      <c r="H328" s="458"/>
      <c r="I328" s="458"/>
      <c r="J328" s="459"/>
      <c r="K328" s="460"/>
      <c r="L328" s="460"/>
      <c r="M328" s="4"/>
      <c r="N328" s="456"/>
      <c r="O328" s="456"/>
      <c r="P328" s="456"/>
      <c r="Q328" s="458"/>
      <c r="R328" s="459"/>
      <c r="S328" s="459"/>
      <c r="T328" s="459"/>
      <c r="AF328" s="205">
        <f t="shared" si="85"/>
        <v>46419</v>
      </c>
      <c r="AG328" s="194">
        <v>20</v>
      </c>
      <c r="AH328" s="194">
        <v>4</v>
      </c>
      <c r="AI328" s="194">
        <v>4</v>
      </c>
      <c r="AJ328" s="194">
        <v>0</v>
      </c>
      <c r="AK328" s="194">
        <v>28</v>
      </c>
    </row>
    <row r="329" spans="1:37">
      <c r="A329" s="455"/>
      <c r="B329" s="456"/>
      <c r="C329" s="457"/>
      <c r="D329" s="458"/>
      <c r="E329" s="456"/>
      <c r="F329" s="458"/>
      <c r="G329" s="456"/>
      <c r="H329" s="458"/>
      <c r="I329" s="458"/>
      <c r="J329" s="459"/>
      <c r="K329" s="460"/>
      <c r="L329" s="460"/>
      <c r="M329" s="4"/>
      <c r="N329" s="456"/>
      <c r="O329" s="456"/>
      <c r="P329" s="456"/>
      <c r="Q329" s="458"/>
      <c r="R329" s="459"/>
      <c r="S329" s="459"/>
      <c r="T329" s="459"/>
      <c r="AF329" s="205">
        <f t="shared" si="85"/>
        <v>46447</v>
      </c>
      <c r="AG329" s="194">
        <v>21</v>
      </c>
      <c r="AH329" s="194">
        <v>5</v>
      </c>
      <c r="AI329" s="194">
        <v>5</v>
      </c>
      <c r="AJ329" s="194">
        <v>0</v>
      </c>
      <c r="AK329" s="194">
        <v>31</v>
      </c>
    </row>
    <row r="330" spans="1:37">
      <c r="A330" s="455"/>
      <c r="B330" s="456"/>
      <c r="C330" s="457"/>
      <c r="D330" s="458"/>
      <c r="E330" s="456"/>
      <c r="F330" s="458"/>
      <c r="G330" s="456"/>
      <c r="H330" s="458"/>
      <c r="I330" s="458"/>
      <c r="J330" s="459"/>
      <c r="K330" s="460"/>
      <c r="L330" s="460"/>
      <c r="M330" s="4"/>
      <c r="N330" s="456"/>
      <c r="O330" s="456"/>
      <c r="P330" s="456"/>
      <c r="Q330" s="458"/>
      <c r="R330" s="459"/>
      <c r="S330" s="459"/>
      <c r="T330" s="459"/>
      <c r="AF330" s="205">
        <f t="shared" si="85"/>
        <v>46478</v>
      </c>
      <c r="AG330" s="194">
        <v>22</v>
      </c>
      <c r="AH330" s="194">
        <v>4</v>
      </c>
      <c r="AI330" s="194">
        <v>4</v>
      </c>
      <c r="AJ330" s="194">
        <v>0</v>
      </c>
      <c r="AK330" s="194">
        <v>30</v>
      </c>
    </row>
    <row r="331" spans="1:37">
      <c r="A331" s="455"/>
      <c r="B331" s="456"/>
      <c r="C331" s="457"/>
      <c r="D331" s="458"/>
      <c r="E331" s="456"/>
      <c r="F331" s="458"/>
      <c r="G331" s="456"/>
      <c r="H331" s="458"/>
      <c r="I331" s="458"/>
      <c r="J331" s="459"/>
      <c r="K331" s="460"/>
      <c r="L331" s="460"/>
      <c r="M331" s="4"/>
      <c r="N331" s="456"/>
      <c r="O331" s="456"/>
      <c r="P331" s="456"/>
      <c r="Q331" s="458"/>
      <c r="R331" s="459"/>
      <c r="S331" s="459"/>
      <c r="T331" s="459"/>
      <c r="AF331" s="205">
        <f t="shared" si="85"/>
        <v>46508</v>
      </c>
      <c r="AG331" s="194">
        <v>22</v>
      </c>
      <c r="AH331" s="194">
        <v>4</v>
      </c>
      <c r="AI331" s="194">
        <v>5</v>
      </c>
      <c r="AJ331" s="194">
        <v>1</v>
      </c>
      <c r="AK331" s="194">
        <v>31</v>
      </c>
    </row>
    <row r="332" spans="1:37">
      <c r="A332" s="455"/>
      <c r="B332" s="456"/>
      <c r="C332" s="457"/>
      <c r="D332" s="458"/>
      <c r="E332" s="456"/>
      <c r="F332" s="458"/>
      <c r="G332" s="456"/>
      <c r="H332" s="458"/>
      <c r="I332" s="458"/>
      <c r="J332" s="459"/>
      <c r="K332" s="460"/>
      <c r="L332" s="460"/>
      <c r="M332" s="4"/>
      <c r="N332" s="456"/>
      <c r="O332" s="456"/>
      <c r="P332" s="456"/>
      <c r="Q332" s="458"/>
      <c r="R332" s="459"/>
      <c r="S332" s="459"/>
      <c r="T332" s="459"/>
      <c r="AF332" s="205">
        <f t="shared" si="85"/>
        <v>46539</v>
      </c>
      <c r="AG332" s="194">
        <v>20</v>
      </c>
      <c r="AH332" s="194">
        <v>5</v>
      </c>
      <c r="AI332" s="194">
        <v>5</v>
      </c>
      <c r="AJ332" s="194">
        <v>0</v>
      </c>
      <c r="AK332" s="194">
        <v>30</v>
      </c>
    </row>
    <row r="333" spans="1:37">
      <c r="A333" s="455"/>
      <c r="B333" s="456"/>
      <c r="C333" s="457"/>
      <c r="D333" s="458"/>
      <c r="E333" s="456"/>
      <c r="F333" s="458"/>
      <c r="G333" s="456"/>
      <c r="H333" s="458"/>
      <c r="I333" s="458"/>
      <c r="J333" s="459"/>
      <c r="K333" s="460"/>
      <c r="L333" s="460"/>
      <c r="M333" s="4"/>
      <c r="N333" s="456"/>
      <c r="O333" s="456"/>
      <c r="P333" s="456"/>
      <c r="Q333" s="458"/>
      <c r="R333" s="459"/>
      <c r="S333" s="459"/>
      <c r="T333" s="459"/>
      <c r="AF333" s="205">
        <f t="shared" si="85"/>
        <v>46569</v>
      </c>
      <c r="AG333" s="194">
        <v>22</v>
      </c>
      <c r="AH333" s="194">
        <v>4</v>
      </c>
      <c r="AI333" s="194">
        <v>5</v>
      </c>
      <c r="AJ333" s="194">
        <v>1</v>
      </c>
      <c r="AK333" s="194">
        <v>31</v>
      </c>
    </row>
    <row r="334" spans="1:37">
      <c r="A334" s="455"/>
      <c r="B334" s="456"/>
      <c r="C334" s="457"/>
      <c r="D334" s="458"/>
      <c r="E334" s="456"/>
      <c r="F334" s="458"/>
      <c r="G334" s="456"/>
      <c r="H334" s="458"/>
      <c r="I334" s="458"/>
      <c r="J334" s="459"/>
      <c r="K334" s="460"/>
      <c r="L334" s="460"/>
      <c r="M334" s="4"/>
      <c r="N334" s="456"/>
      <c r="O334" s="456"/>
      <c r="P334" s="456"/>
      <c r="Q334" s="458"/>
      <c r="R334" s="459"/>
      <c r="S334" s="459"/>
      <c r="T334" s="459"/>
      <c r="AF334" s="205">
        <f t="shared" si="85"/>
        <v>46600</v>
      </c>
      <c r="AG334" s="194">
        <v>22</v>
      </c>
      <c r="AH334" s="194">
        <v>5</v>
      </c>
      <c r="AI334" s="194">
        <v>4</v>
      </c>
      <c r="AJ334" s="194">
        <v>0</v>
      </c>
      <c r="AK334" s="194">
        <v>31</v>
      </c>
    </row>
    <row r="335" spans="1:37">
      <c r="A335" s="455"/>
      <c r="B335" s="456"/>
      <c r="C335" s="457"/>
      <c r="D335" s="458"/>
      <c r="E335" s="456"/>
      <c r="F335" s="458"/>
      <c r="G335" s="456"/>
      <c r="H335" s="458"/>
      <c r="I335" s="458"/>
      <c r="J335" s="459"/>
      <c r="K335" s="460"/>
      <c r="L335" s="460"/>
      <c r="M335" s="4"/>
      <c r="N335" s="456"/>
      <c r="O335" s="456"/>
      <c r="P335" s="456"/>
      <c r="Q335" s="458"/>
      <c r="R335" s="459"/>
      <c r="S335" s="459"/>
      <c r="T335" s="459"/>
      <c r="AF335" s="205">
        <f t="shared" si="85"/>
        <v>46631</v>
      </c>
      <c r="AG335" s="194">
        <v>20</v>
      </c>
      <c r="AH335" s="194">
        <v>4</v>
      </c>
      <c r="AI335" s="194">
        <v>6</v>
      </c>
      <c r="AJ335" s="194">
        <v>1</v>
      </c>
      <c r="AK335" s="194">
        <v>30</v>
      </c>
    </row>
    <row r="336" spans="1:37">
      <c r="A336" s="455"/>
      <c r="B336" s="456"/>
      <c r="C336" s="457"/>
      <c r="D336" s="458"/>
      <c r="E336" s="456"/>
      <c r="F336" s="458"/>
      <c r="G336" s="456"/>
      <c r="H336" s="458"/>
      <c r="I336" s="458"/>
      <c r="J336" s="459"/>
      <c r="K336" s="460"/>
      <c r="L336" s="460"/>
      <c r="M336" s="4"/>
      <c r="N336" s="456"/>
      <c r="O336" s="456"/>
      <c r="P336" s="456"/>
      <c r="Q336" s="458"/>
      <c r="R336" s="459"/>
      <c r="S336" s="459"/>
      <c r="T336" s="459"/>
      <c r="AF336" s="205">
        <f t="shared" si="85"/>
        <v>46661</v>
      </c>
      <c r="AG336" s="194">
        <v>23</v>
      </c>
      <c r="AH336" s="194">
        <v>4</v>
      </c>
      <c r="AI336" s="194">
        <v>4</v>
      </c>
      <c r="AJ336" s="194">
        <v>0</v>
      </c>
      <c r="AK336" s="194">
        <v>31</v>
      </c>
    </row>
    <row r="337" spans="1:37">
      <c r="A337" s="455"/>
      <c r="B337" s="456"/>
      <c r="C337" s="457"/>
      <c r="D337" s="458"/>
      <c r="E337" s="456"/>
      <c r="F337" s="458"/>
      <c r="G337" s="456"/>
      <c r="H337" s="458"/>
      <c r="I337" s="458"/>
      <c r="J337" s="459"/>
      <c r="K337" s="460"/>
      <c r="L337" s="460"/>
      <c r="M337" s="4"/>
      <c r="N337" s="456"/>
      <c r="O337" s="456"/>
      <c r="P337" s="456"/>
      <c r="Q337" s="458"/>
      <c r="R337" s="459"/>
      <c r="S337" s="459"/>
      <c r="T337" s="459"/>
      <c r="AF337" s="205">
        <f t="shared" si="85"/>
        <v>46692</v>
      </c>
      <c r="AG337" s="194">
        <v>20</v>
      </c>
      <c r="AH337" s="194">
        <v>5</v>
      </c>
      <c r="AI337" s="194">
        <v>5</v>
      </c>
      <c r="AJ337" s="194">
        <v>1</v>
      </c>
      <c r="AK337" s="194">
        <v>30</v>
      </c>
    </row>
    <row r="338" spans="1:37">
      <c r="A338" s="455"/>
      <c r="B338" s="456"/>
      <c r="C338" s="457"/>
      <c r="D338" s="458"/>
      <c r="E338" s="456"/>
      <c r="F338" s="458"/>
      <c r="G338" s="456"/>
      <c r="H338" s="458"/>
      <c r="I338" s="458"/>
      <c r="J338" s="459"/>
      <c r="K338" s="460"/>
      <c r="L338" s="460"/>
      <c r="M338" s="4"/>
      <c r="N338" s="456"/>
      <c r="O338" s="456"/>
      <c r="P338" s="456"/>
      <c r="Q338" s="458"/>
      <c r="R338" s="459"/>
      <c r="S338" s="459"/>
      <c r="T338" s="459"/>
      <c r="AF338" s="205">
        <f t="shared" si="85"/>
        <v>46722</v>
      </c>
      <c r="AG338" s="194">
        <v>21</v>
      </c>
      <c r="AH338" s="194">
        <v>4</v>
      </c>
      <c r="AI338" s="194">
        <v>6</v>
      </c>
      <c r="AJ338" s="194">
        <v>1</v>
      </c>
      <c r="AK338" s="194">
        <v>31</v>
      </c>
    </row>
    <row r="339" spans="1:37">
      <c r="A339" s="455"/>
      <c r="B339" s="456"/>
      <c r="C339" s="457"/>
      <c r="D339" s="458"/>
      <c r="E339" s="456"/>
      <c r="F339" s="458"/>
      <c r="G339" s="456"/>
      <c r="H339" s="458"/>
      <c r="I339" s="458"/>
      <c r="J339" s="459"/>
      <c r="K339" s="460"/>
      <c r="L339" s="460"/>
      <c r="M339" s="4"/>
      <c r="N339" s="456"/>
      <c r="O339" s="456"/>
      <c r="P339" s="456"/>
      <c r="Q339" s="458"/>
      <c r="R339" s="459"/>
      <c r="S339" s="459"/>
      <c r="T339" s="459"/>
      <c r="AF339" s="205">
        <f t="shared" si="85"/>
        <v>46753</v>
      </c>
      <c r="AG339" s="194">
        <v>22</v>
      </c>
      <c r="AH339" s="194">
        <v>4</v>
      </c>
      <c r="AI339" s="194">
        <v>5</v>
      </c>
      <c r="AJ339" s="194">
        <v>1</v>
      </c>
      <c r="AK339" s="194">
        <v>31</v>
      </c>
    </row>
    <row r="340" spans="1:37">
      <c r="A340" s="455"/>
      <c r="B340" s="456"/>
      <c r="C340" s="457"/>
      <c r="D340" s="458"/>
      <c r="E340" s="456"/>
      <c r="F340" s="458"/>
      <c r="G340" s="456"/>
      <c r="H340" s="458"/>
      <c r="I340" s="458"/>
      <c r="J340" s="459"/>
      <c r="K340" s="460"/>
      <c r="L340" s="460"/>
      <c r="M340" s="4"/>
      <c r="N340" s="456"/>
      <c r="O340" s="456"/>
      <c r="P340" s="456"/>
      <c r="Q340" s="458"/>
      <c r="R340" s="459"/>
      <c r="S340" s="459"/>
      <c r="T340" s="459"/>
      <c r="AF340" s="205">
        <f t="shared" si="85"/>
        <v>46784</v>
      </c>
      <c r="AG340" s="194">
        <v>20</v>
      </c>
      <c r="AH340" s="194">
        <v>5</v>
      </c>
      <c r="AI340" s="194">
        <v>4</v>
      </c>
      <c r="AJ340" s="194">
        <v>0</v>
      </c>
      <c r="AK340" s="194">
        <v>29</v>
      </c>
    </row>
    <row r="341" spans="1:37">
      <c r="A341" s="455"/>
      <c r="B341" s="456"/>
      <c r="C341" s="457"/>
      <c r="D341" s="458"/>
      <c r="E341" s="456"/>
      <c r="F341" s="458"/>
      <c r="G341" s="456"/>
      <c r="H341" s="458"/>
      <c r="I341" s="458"/>
      <c r="J341" s="459"/>
      <c r="K341" s="460"/>
      <c r="L341" s="460"/>
      <c r="M341" s="4"/>
      <c r="N341" s="456"/>
      <c r="O341" s="456"/>
      <c r="P341" s="456"/>
      <c r="Q341" s="458"/>
      <c r="R341" s="459"/>
      <c r="S341" s="459"/>
      <c r="T341" s="459"/>
      <c r="AF341" s="205">
        <f t="shared" si="85"/>
        <v>46813</v>
      </c>
      <c r="AG341" s="194">
        <v>22</v>
      </c>
      <c r="AH341" s="194">
        <v>4</v>
      </c>
      <c r="AI341" s="194">
        <v>5</v>
      </c>
      <c r="AJ341" s="194">
        <v>0</v>
      </c>
      <c r="AK341" s="194">
        <v>31</v>
      </c>
    </row>
    <row r="342" spans="1:37">
      <c r="A342" s="455"/>
      <c r="B342" s="456"/>
      <c r="C342" s="457"/>
      <c r="D342" s="458"/>
      <c r="E342" s="456"/>
      <c r="F342" s="458"/>
      <c r="G342" s="456"/>
      <c r="H342" s="458"/>
      <c r="I342" s="458"/>
      <c r="J342" s="459"/>
      <c r="K342" s="460"/>
      <c r="L342" s="460"/>
      <c r="M342" s="4"/>
      <c r="N342" s="456"/>
      <c r="O342" s="456"/>
      <c r="P342" s="456"/>
      <c r="Q342" s="458"/>
      <c r="R342" s="459"/>
      <c r="S342" s="459"/>
      <c r="T342" s="459"/>
      <c r="AF342" s="205">
        <f t="shared" si="85"/>
        <v>46844</v>
      </c>
      <c r="AG342" s="194">
        <v>22</v>
      </c>
      <c r="AH342" s="194">
        <v>4</v>
      </c>
      <c r="AI342" s="194">
        <v>4</v>
      </c>
      <c r="AJ342" s="194">
        <v>0</v>
      </c>
      <c r="AK342" s="194">
        <v>30</v>
      </c>
    </row>
    <row r="343" spans="1:37">
      <c r="A343" s="455"/>
      <c r="B343" s="456"/>
      <c r="C343" s="457"/>
      <c r="D343" s="458"/>
      <c r="E343" s="456"/>
      <c r="F343" s="458"/>
      <c r="G343" s="456"/>
      <c r="H343" s="458"/>
      <c r="I343" s="458"/>
      <c r="J343" s="459"/>
      <c r="K343" s="460"/>
      <c r="L343" s="460"/>
      <c r="M343" s="4"/>
      <c r="N343" s="456"/>
      <c r="O343" s="456"/>
      <c r="P343" s="456"/>
      <c r="Q343" s="458"/>
      <c r="R343" s="459"/>
      <c r="S343" s="459"/>
      <c r="T343" s="459"/>
      <c r="AF343" s="205">
        <f t="shared" si="85"/>
        <v>46874</v>
      </c>
      <c r="AG343" s="194">
        <v>20</v>
      </c>
      <c r="AH343" s="194">
        <v>5</v>
      </c>
      <c r="AI343" s="194">
        <v>6</v>
      </c>
      <c r="AJ343" s="194">
        <v>1</v>
      </c>
      <c r="AK343" s="194">
        <v>31</v>
      </c>
    </row>
    <row r="344" spans="1:37">
      <c r="A344" s="455"/>
      <c r="B344" s="456"/>
      <c r="C344" s="457"/>
      <c r="D344" s="458"/>
      <c r="E344" s="456"/>
      <c r="F344" s="458"/>
      <c r="G344" s="456"/>
      <c r="H344" s="458"/>
      <c r="I344" s="458"/>
      <c r="J344" s="459"/>
      <c r="K344" s="460"/>
      <c r="L344" s="460"/>
      <c r="M344" s="4"/>
      <c r="N344" s="456"/>
      <c r="O344" s="456"/>
      <c r="P344" s="456"/>
      <c r="Q344" s="458"/>
      <c r="R344" s="459"/>
      <c r="S344" s="459"/>
      <c r="T344" s="459"/>
      <c r="AF344" s="205">
        <f t="shared" si="85"/>
        <v>46905</v>
      </c>
      <c r="AG344" s="194">
        <v>22</v>
      </c>
      <c r="AH344" s="194">
        <v>4</v>
      </c>
      <c r="AI344" s="194">
        <v>4</v>
      </c>
      <c r="AJ344" s="194">
        <v>0</v>
      </c>
      <c r="AK344" s="194">
        <v>30</v>
      </c>
    </row>
    <row r="345" spans="1:37">
      <c r="A345" s="455"/>
      <c r="B345" s="456"/>
      <c r="C345" s="457"/>
      <c r="D345" s="458"/>
      <c r="E345" s="456"/>
      <c r="F345" s="458"/>
      <c r="G345" s="456"/>
      <c r="H345" s="458"/>
      <c r="I345" s="458"/>
      <c r="J345" s="459"/>
      <c r="K345" s="460"/>
      <c r="L345" s="460"/>
      <c r="M345" s="4"/>
      <c r="N345" s="456"/>
      <c r="O345" s="456"/>
      <c r="P345" s="456"/>
      <c r="Q345" s="458"/>
      <c r="R345" s="459"/>
      <c r="S345" s="459"/>
      <c r="T345" s="459"/>
      <c r="AF345" s="205">
        <f t="shared" si="85"/>
        <v>46935</v>
      </c>
      <c r="AG345" s="194">
        <v>23</v>
      </c>
      <c r="AH345" s="194">
        <v>3</v>
      </c>
      <c r="AI345" s="194">
        <v>5</v>
      </c>
      <c r="AJ345" s="194">
        <v>1</v>
      </c>
      <c r="AK345" s="194">
        <v>31</v>
      </c>
    </row>
    <row r="346" spans="1:37">
      <c r="A346" s="455"/>
      <c r="B346" s="456"/>
      <c r="C346" s="457"/>
      <c r="D346" s="458"/>
      <c r="E346" s="456"/>
      <c r="F346" s="458"/>
      <c r="G346" s="456"/>
      <c r="H346" s="458"/>
      <c r="I346" s="458"/>
      <c r="J346" s="459"/>
      <c r="K346" s="460"/>
      <c r="L346" s="460"/>
      <c r="M346" s="4"/>
      <c r="N346" s="456"/>
      <c r="O346" s="456"/>
      <c r="P346" s="456"/>
      <c r="Q346" s="458"/>
      <c r="R346" s="459"/>
      <c r="S346" s="459"/>
      <c r="T346" s="459"/>
      <c r="AF346" s="205">
        <f t="shared" si="85"/>
        <v>46966</v>
      </c>
      <c r="AG346" s="194">
        <v>21</v>
      </c>
      <c r="AH346" s="194">
        <v>5</v>
      </c>
      <c r="AI346" s="194">
        <v>5</v>
      </c>
      <c r="AJ346" s="194">
        <v>0</v>
      </c>
      <c r="AK346" s="194">
        <v>31</v>
      </c>
    </row>
    <row r="347" spans="1:37">
      <c r="A347" s="455"/>
      <c r="B347" s="456"/>
      <c r="C347" s="457"/>
      <c r="D347" s="458"/>
      <c r="E347" s="456"/>
      <c r="F347" s="458"/>
      <c r="G347" s="456"/>
      <c r="H347" s="458"/>
      <c r="I347" s="458"/>
      <c r="J347" s="459"/>
      <c r="K347" s="460"/>
      <c r="L347" s="460"/>
      <c r="M347" s="4"/>
      <c r="N347" s="456"/>
      <c r="O347" s="456"/>
      <c r="P347" s="456"/>
      <c r="Q347" s="458"/>
      <c r="R347" s="459"/>
      <c r="S347" s="459"/>
      <c r="T347" s="459"/>
      <c r="AF347" s="205">
        <f t="shared" si="85"/>
        <v>46997</v>
      </c>
      <c r="AG347" s="194">
        <v>21</v>
      </c>
      <c r="AH347" s="194">
        <v>4</v>
      </c>
      <c r="AI347" s="194">
        <v>5</v>
      </c>
      <c r="AJ347" s="194">
        <v>1</v>
      </c>
      <c r="AK347" s="194">
        <v>30</v>
      </c>
    </row>
    <row r="348" spans="1:37">
      <c r="A348" s="455"/>
      <c r="B348" s="456"/>
      <c r="C348" s="457"/>
      <c r="D348" s="458"/>
      <c r="E348" s="456"/>
      <c r="F348" s="458"/>
      <c r="G348" s="456"/>
      <c r="H348" s="458"/>
      <c r="I348" s="458"/>
      <c r="J348" s="459"/>
      <c r="K348" s="460"/>
      <c r="L348" s="460"/>
      <c r="M348" s="4"/>
      <c r="N348" s="456"/>
      <c r="O348" s="456"/>
      <c r="P348" s="456"/>
      <c r="Q348" s="458"/>
      <c r="R348" s="459"/>
      <c r="S348" s="459"/>
      <c r="T348" s="459"/>
      <c r="AF348" s="205">
        <f t="shared" si="85"/>
        <v>47027</v>
      </c>
      <c r="AG348" s="194">
        <v>22</v>
      </c>
      <c r="AH348" s="194">
        <v>5</v>
      </c>
      <c r="AI348" s="194">
        <v>4</v>
      </c>
      <c r="AJ348" s="194">
        <v>0</v>
      </c>
      <c r="AK348" s="194">
        <v>31</v>
      </c>
    </row>
    <row r="349" spans="1:37">
      <c r="A349" s="455"/>
      <c r="B349" s="456"/>
      <c r="C349" s="457"/>
      <c r="D349" s="458"/>
      <c r="E349" s="456"/>
      <c r="F349" s="458"/>
      <c r="G349" s="456"/>
      <c r="H349" s="458"/>
      <c r="I349" s="458"/>
      <c r="J349" s="459"/>
      <c r="K349" s="460"/>
      <c r="L349" s="460"/>
      <c r="M349" s="4"/>
      <c r="N349" s="456"/>
      <c r="O349" s="456"/>
      <c r="P349" s="456"/>
      <c r="Q349" s="458"/>
      <c r="R349" s="459"/>
      <c r="S349" s="459"/>
      <c r="T349" s="459"/>
      <c r="AF349" s="205">
        <f t="shared" si="85"/>
        <v>47058</v>
      </c>
      <c r="AG349" s="194">
        <v>20</v>
      </c>
      <c r="AH349" s="194">
        <v>4</v>
      </c>
      <c r="AI349" s="194">
        <v>6</v>
      </c>
      <c r="AJ349" s="194">
        <v>1</v>
      </c>
      <c r="AK349" s="194">
        <v>30</v>
      </c>
    </row>
    <row r="350" spans="1:37">
      <c r="A350" s="455"/>
      <c r="B350" s="456"/>
      <c r="C350" s="457"/>
      <c r="D350" s="458"/>
      <c r="E350" s="456"/>
      <c r="F350" s="458"/>
      <c r="G350" s="456"/>
      <c r="H350" s="458"/>
      <c r="I350" s="458"/>
      <c r="J350" s="459"/>
      <c r="K350" s="460"/>
      <c r="L350" s="460"/>
      <c r="M350" s="4"/>
      <c r="N350" s="456"/>
      <c r="O350" s="456"/>
      <c r="P350" s="456"/>
      <c r="Q350" s="458"/>
      <c r="R350" s="459"/>
      <c r="S350" s="459"/>
      <c r="T350" s="459"/>
      <c r="AF350" s="205">
        <f t="shared" si="85"/>
        <v>47088</v>
      </c>
      <c r="AG350" s="194">
        <v>22</v>
      </c>
      <c r="AH350" s="194">
        <v>4</v>
      </c>
      <c r="AI350" s="194">
        <v>5</v>
      </c>
      <c r="AJ350" s="194">
        <v>1</v>
      </c>
      <c r="AK350" s="194">
        <v>31</v>
      </c>
    </row>
    <row r="351" spans="1:37">
      <c r="A351" s="455"/>
      <c r="B351" s="456"/>
      <c r="C351" s="457"/>
      <c r="D351" s="458"/>
      <c r="E351" s="456"/>
      <c r="F351" s="458"/>
      <c r="G351" s="456"/>
      <c r="H351" s="458"/>
      <c r="I351" s="458"/>
      <c r="J351" s="459"/>
      <c r="K351" s="460"/>
      <c r="L351" s="460"/>
      <c r="M351" s="4"/>
      <c r="N351" s="456"/>
      <c r="O351" s="456"/>
      <c r="P351" s="456"/>
      <c r="Q351" s="458"/>
      <c r="R351" s="459"/>
      <c r="S351" s="459"/>
      <c r="T351" s="459"/>
      <c r="AF351" s="205">
        <f t="shared" ref="AF351:AF382" si="86">EOMONTH(AF350,0)+1</f>
        <v>47119</v>
      </c>
      <c r="AG351" s="194">
        <v>22</v>
      </c>
      <c r="AH351" s="194">
        <v>4</v>
      </c>
      <c r="AI351" s="194">
        <v>5</v>
      </c>
      <c r="AJ351" s="194">
        <v>1</v>
      </c>
      <c r="AK351" s="194">
        <v>31</v>
      </c>
    </row>
    <row r="352" spans="1:37">
      <c r="A352" s="455"/>
      <c r="B352" s="456"/>
      <c r="C352" s="457"/>
      <c r="D352" s="458"/>
      <c r="E352" s="456"/>
      <c r="F352" s="458"/>
      <c r="G352" s="456"/>
      <c r="H352" s="458"/>
      <c r="I352" s="458"/>
      <c r="J352" s="459"/>
      <c r="K352" s="460"/>
      <c r="L352" s="460"/>
      <c r="M352" s="4"/>
      <c r="N352" s="456"/>
      <c r="O352" s="456"/>
      <c r="P352" s="456"/>
      <c r="Q352" s="458"/>
      <c r="R352" s="459"/>
      <c r="S352" s="459"/>
      <c r="T352" s="459"/>
      <c r="AF352" s="205">
        <f t="shared" si="86"/>
        <v>47150</v>
      </c>
      <c r="AG352" s="194">
        <v>20</v>
      </c>
      <c r="AH352" s="194">
        <v>4</v>
      </c>
      <c r="AI352" s="194">
        <v>4</v>
      </c>
      <c r="AJ352" s="194">
        <v>0</v>
      </c>
      <c r="AK352" s="194">
        <v>28</v>
      </c>
    </row>
    <row r="353" spans="1:37">
      <c r="A353" s="455"/>
      <c r="B353" s="456"/>
      <c r="C353" s="457"/>
      <c r="D353" s="458"/>
      <c r="E353" s="456"/>
      <c r="F353" s="458"/>
      <c r="G353" s="456"/>
      <c r="H353" s="458"/>
      <c r="I353" s="458"/>
      <c r="J353" s="459"/>
      <c r="K353" s="460"/>
      <c r="L353" s="460"/>
      <c r="M353" s="4"/>
      <c r="N353" s="456"/>
      <c r="O353" s="456"/>
      <c r="P353" s="456"/>
      <c r="Q353" s="458"/>
      <c r="R353" s="459"/>
      <c r="S353" s="459"/>
      <c r="T353" s="459"/>
      <c r="AF353" s="205">
        <f t="shared" si="86"/>
        <v>47178</v>
      </c>
      <c r="AG353" s="194">
        <v>21</v>
      </c>
      <c r="AH353" s="194">
        <v>5</v>
      </c>
      <c r="AI353" s="194">
        <v>5</v>
      </c>
      <c r="AJ353" s="194">
        <v>0</v>
      </c>
      <c r="AK353" s="194">
        <v>31</v>
      </c>
    </row>
    <row r="354" spans="1:37">
      <c r="A354" s="455"/>
      <c r="B354" s="456"/>
      <c r="C354" s="457"/>
      <c r="D354" s="458"/>
      <c r="E354" s="456"/>
      <c r="F354" s="458"/>
      <c r="G354" s="456"/>
      <c r="H354" s="458"/>
      <c r="I354" s="458"/>
      <c r="J354" s="459"/>
      <c r="K354" s="460"/>
      <c r="L354" s="460"/>
      <c r="M354" s="4"/>
      <c r="N354" s="456"/>
      <c r="O354" s="456"/>
      <c r="P354" s="456"/>
      <c r="Q354" s="458"/>
      <c r="R354" s="459"/>
      <c r="S354" s="459"/>
      <c r="T354" s="459"/>
      <c r="AF354" s="205">
        <f t="shared" si="86"/>
        <v>47209</v>
      </c>
      <c r="AG354" s="194">
        <v>22</v>
      </c>
      <c r="AH354" s="194">
        <v>4</v>
      </c>
      <c r="AI354" s="194">
        <v>4</v>
      </c>
      <c r="AJ354" s="194">
        <v>0</v>
      </c>
      <c r="AK354" s="194">
        <v>30</v>
      </c>
    </row>
    <row r="355" spans="1:37">
      <c r="A355" s="455"/>
      <c r="B355" s="456"/>
      <c r="C355" s="457"/>
      <c r="D355" s="458"/>
      <c r="E355" s="456"/>
      <c r="F355" s="458"/>
      <c r="G355" s="456"/>
      <c r="H355" s="458"/>
      <c r="I355" s="458"/>
      <c r="J355" s="459"/>
      <c r="K355" s="460"/>
      <c r="L355" s="460"/>
      <c r="M355" s="4"/>
      <c r="N355" s="456"/>
      <c r="O355" s="456"/>
      <c r="P355" s="456"/>
      <c r="Q355" s="458"/>
      <c r="R355" s="459"/>
      <c r="S355" s="459"/>
      <c r="T355" s="459"/>
      <c r="AF355" s="205">
        <f t="shared" si="86"/>
        <v>47239</v>
      </c>
      <c r="AG355" s="194">
        <v>22</v>
      </c>
      <c r="AH355" s="194">
        <v>4</v>
      </c>
      <c r="AI355" s="194">
        <v>5</v>
      </c>
      <c r="AJ355" s="194">
        <v>1</v>
      </c>
      <c r="AK355" s="194">
        <v>31</v>
      </c>
    </row>
    <row r="356" spans="1:37">
      <c r="A356" s="455"/>
      <c r="B356" s="456"/>
      <c r="C356" s="457"/>
      <c r="D356" s="458"/>
      <c r="E356" s="456"/>
      <c r="F356" s="458"/>
      <c r="G356" s="456"/>
      <c r="H356" s="458"/>
      <c r="I356" s="458"/>
      <c r="J356" s="459"/>
      <c r="K356" s="460"/>
      <c r="L356" s="460"/>
      <c r="M356" s="4"/>
      <c r="N356" s="456"/>
      <c r="O356" s="456"/>
      <c r="P356" s="456"/>
      <c r="Q356" s="458"/>
      <c r="R356" s="459"/>
      <c r="S356" s="459"/>
      <c r="T356" s="459"/>
      <c r="AF356" s="205">
        <f t="shared" si="86"/>
        <v>47270</v>
      </c>
      <c r="AG356" s="194">
        <v>20</v>
      </c>
      <c r="AH356" s="194">
        <v>5</v>
      </c>
      <c r="AI356" s="194">
        <v>5</v>
      </c>
      <c r="AJ356" s="194">
        <v>0</v>
      </c>
      <c r="AK356" s="194">
        <v>30</v>
      </c>
    </row>
    <row r="357" spans="1:37">
      <c r="A357" s="455"/>
      <c r="B357" s="456"/>
      <c r="C357" s="457"/>
      <c r="D357" s="458"/>
      <c r="E357" s="456"/>
      <c r="F357" s="458"/>
      <c r="G357" s="456"/>
      <c r="H357" s="458"/>
      <c r="I357" s="458"/>
      <c r="J357" s="459"/>
      <c r="K357" s="460"/>
      <c r="L357" s="460"/>
      <c r="M357" s="4"/>
      <c r="N357" s="456"/>
      <c r="O357" s="456"/>
      <c r="P357" s="456"/>
      <c r="Q357" s="458"/>
      <c r="R357" s="459"/>
      <c r="S357" s="459"/>
      <c r="T357" s="459"/>
      <c r="AF357" s="205">
        <f t="shared" si="86"/>
        <v>47300</v>
      </c>
      <c r="AG357" s="194">
        <v>22</v>
      </c>
      <c r="AH357" s="194">
        <v>4</v>
      </c>
      <c r="AI357" s="194">
        <v>5</v>
      </c>
      <c r="AJ357" s="194">
        <v>1</v>
      </c>
      <c r="AK357" s="194">
        <v>31</v>
      </c>
    </row>
    <row r="358" spans="1:37">
      <c r="A358" s="455"/>
      <c r="B358" s="456"/>
      <c r="C358" s="457"/>
      <c r="D358" s="458"/>
      <c r="E358" s="456"/>
      <c r="F358" s="458"/>
      <c r="G358" s="456"/>
      <c r="H358" s="458"/>
      <c r="I358" s="458"/>
      <c r="J358" s="459"/>
      <c r="K358" s="460"/>
      <c r="L358" s="460"/>
      <c r="M358" s="4"/>
      <c r="N358" s="456"/>
      <c r="O358" s="456"/>
      <c r="P358" s="456"/>
      <c r="Q358" s="458"/>
      <c r="R358" s="459"/>
      <c r="S358" s="459"/>
      <c r="T358" s="459"/>
      <c r="AF358" s="205">
        <f t="shared" si="86"/>
        <v>47331</v>
      </c>
      <c r="AG358" s="194">
        <v>22</v>
      </c>
      <c r="AH358" s="194">
        <v>5</v>
      </c>
      <c r="AI358" s="194">
        <v>4</v>
      </c>
      <c r="AJ358" s="194">
        <v>0</v>
      </c>
      <c r="AK358" s="194">
        <v>31</v>
      </c>
    </row>
    <row r="359" spans="1:37">
      <c r="A359" s="455"/>
      <c r="B359" s="456"/>
      <c r="C359" s="457"/>
      <c r="D359" s="458"/>
      <c r="E359" s="456"/>
      <c r="F359" s="458"/>
      <c r="G359" s="456"/>
      <c r="H359" s="458"/>
      <c r="I359" s="458"/>
      <c r="J359" s="459"/>
      <c r="K359" s="460"/>
      <c r="L359" s="460"/>
      <c r="M359" s="4"/>
      <c r="N359" s="456"/>
      <c r="O359" s="456"/>
      <c r="P359" s="456"/>
      <c r="Q359" s="458"/>
      <c r="R359" s="459"/>
      <c r="S359" s="459"/>
      <c r="T359" s="459"/>
      <c r="AF359" s="205">
        <f t="shared" si="86"/>
        <v>47362</v>
      </c>
      <c r="AG359" s="194">
        <v>20</v>
      </c>
      <c r="AH359" s="194">
        <v>4</v>
      </c>
      <c r="AI359" s="194">
        <v>6</v>
      </c>
      <c r="AJ359" s="194">
        <v>1</v>
      </c>
      <c r="AK359" s="194">
        <v>30</v>
      </c>
    </row>
    <row r="360" spans="1:37">
      <c r="A360" s="455"/>
      <c r="B360" s="456"/>
      <c r="C360" s="457"/>
      <c r="D360" s="458"/>
      <c r="E360" s="456"/>
      <c r="F360" s="458"/>
      <c r="G360" s="456"/>
      <c r="H360" s="458"/>
      <c r="I360" s="458"/>
      <c r="J360" s="459"/>
      <c r="K360" s="460"/>
      <c r="L360" s="460"/>
      <c r="M360" s="4"/>
      <c r="N360" s="456"/>
      <c r="O360" s="456"/>
      <c r="P360" s="456"/>
      <c r="Q360" s="458"/>
      <c r="R360" s="459"/>
      <c r="S360" s="459"/>
      <c r="T360" s="459"/>
      <c r="AF360" s="205">
        <f t="shared" si="86"/>
        <v>47392</v>
      </c>
      <c r="AG360" s="194">
        <v>23</v>
      </c>
      <c r="AH360" s="194">
        <v>4</v>
      </c>
      <c r="AI360" s="194">
        <v>4</v>
      </c>
      <c r="AJ360" s="194">
        <v>0</v>
      </c>
      <c r="AK360" s="194">
        <v>31</v>
      </c>
    </row>
    <row r="361" spans="1:37">
      <c r="A361" s="455"/>
      <c r="B361" s="456"/>
      <c r="C361" s="457"/>
      <c r="D361" s="458"/>
      <c r="E361" s="456"/>
      <c r="F361" s="458"/>
      <c r="G361" s="456"/>
      <c r="H361" s="458"/>
      <c r="I361" s="458"/>
      <c r="J361" s="459"/>
      <c r="K361" s="460"/>
      <c r="L361" s="460"/>
      <c r="M361" s="4"/>
      <c r="N361" s="456"/>
      <c r="O361" s="456"/>
      <c r="P361" s="456"/>
      <c r="Q361" s="458"/>
      <c r="R361" s="459"/>
      <c r="S361" s="459"/>
      <c r="T361" s="459"/>
      <c r="AF361" s="205">
        <f t="shared" si="86"/>
        <v>47423</v>
      </c>
      <c r="AG361" s="194">
        <v>20</v>
      </c>
      <c r="AH361" s="194">
        <v>5</v>
      </c>
      <c r="AI361" s="194">
        <v>5</v>
      </c>
      <c r="AJ361" s="194">
        <v>1</v>
      </c>
      <c r="AK361" s="194">
        <v>30</v>
      </c>
    </row>
    <row r="362" spans="1:37">
      <c r="A362" s="455"/>
      <c r="B362" s="456"/>
      <c r="C362" s="457"/>
      <c r="D362" s="458"/>
      <c r="E362" s="456"/>
      <c r="F362" s="458"/>
      <c r="G362" s="456"/>
      <c r="H362" s="458"/>
      <c r="I362" s="458"/>
      <c r="J362" s="459"/>
      <c r="K362" s="460"/>
      <c r="L362" s="460"/>
      <c r="M362" s="4"/>
      <c r="N362" s="456"/>
      <c r="O362" s="456"/>
      <c r="P362" s="456"/>
      <c r="Q362" s="458"/>
      <c r="R362" s="459"/>
      <c r="S362" s="459"/>
      <c r="T362" s="459"/>
      <c r="AF362" s="205">
        <f t="shared" si="86"/>
        <v>47453</v>
      </c>
      <c r="AG362" s="194">
        <v>21</v>
      </c>
      <c r="AH362" s="194">
        <v>4</v>
      </c>
      <c r="AI362" s="194">
        <v>6</v>
      </c>
      <c r="AJ362" s="194">
        <v>1</v>
      </c>
      <c r="AK362" s="194">
        <v>31</v>
      </c>
    </row>
    <row r="363" spans="1:37">
      <c r="A363" s="455"/>
      <c r="B363" s="456"/>
      <c r="C363" s="457"/>
      <c r="D363" s="458"/>
      <c r="E363" s="456"/>
      <c r="F363" s="458"/>
      <c r="G363" s="456"/>
      <c r="H363" s="458"/>
      <c r="I363" s="458"/>
      <c r="J363" s="459"/>
      <c r="K363" s="460"/>
      <c r="L363" s="460"/>
      <c r="M363" s="4"/>
      <c r="N363" s="456"/>
      <c r="O363" s="456"/>
      <c r="P363" s="456"/>
      <c r="Q363" s="458"/>
      <c r="R363" s="459"/>
      <c r="S363" s="459"/>
      <c r="T363" s="459"/>
      <c r="AF363" s="205">
        <f t="shared" si="86"/>
        <v>47484</v>
      </c>
      <c r="AG363" s="194">
        <v>22</v>
      </c>
      <c r="AH363" s="194">
        <v>4</v>
      </c>
      <c r="AI363" s="194">
        <v>5</v>
      </c>
      <c r="AJ363" s="194">
        <v>1</v>
      </c>
      <c r="AK363" s="194">
        <v>31</v>
      </c>
    </row>
    <row r="364" spans="1:37">
      <c r="A364" s="455"/>
      <c r="B364" s="456"/>
      <c r="C364" s="457"/>
      <c r="D364" s="458"/>
      <c r="E364" s="456"/>
      <c r="F364" s="458"/>
      <c r="G364" s="456"/>
      <c r="H364" s="458"/>
      <c r="I364" s="458"/>
      <c r="J364" s="459"/>
      <c r="K364" s="460"/>
      <c r="L364" s="460"/>
      <c r="M364" s="4"/>
      <c r="N364" s="456"/>
      <c r="O364" s="456"/>
      <c r="P364" s="456"/>
      <c r="Q364" s="458"/>
      <c r="R364" s="459"/>
      <c r="S364" s="459"/>
      <c r="T364" s="459"/>
      <c r="AF364" s="205">
        <f t="shared" si="86"/>
        <v>47515</v>
      </c>
      <c r="AG364" s="194">
        <v>20</v>
      </c>
      <c r="AH364" s="194">
        <v>4</v>
      </c>
      <c r="AI364" s="194">
        <v>4</v>
      </c>
      <c r="AJ364" s="194">
        <v>0</v>
      </c>
      <c r="AK364" s="194">
        <v>28</v>
      </c>
    </row>
    <row r="365" spans="1:37">
      <c r="A365" s="455"/>
      <c r="B365" s="456"/>
      <c r="C365" s="457"/>
      <c r="D365" s="458"/>
      <c r="E365" s="456"/>
      <c r="F365" s="458"/>
      <c r="G365" s="456"/>
      <c r="H365" s="458"/>
      <c r="I365" s="458"/>
      <c r="J365" s="459"/>
      <c r="K365" s="460"/>
      <c r="L365" s="460"/>
      <c r="M365" s="4"/>
      <c r="N365" s="456"/>
      <c r="O365" s="456"/>
      <c r="P365" s="456"/>
      <c r="Q365" s="458"/>
      <c r="R365" s="459"/>
      <c r="S365" s="459"/>
      <c r="T365" s="459"/>
      <c r="AF365" s="205">
        <f t="shared" si="86"/>
        <v>47543</v>
      </c>
      <c r="AG365" s="194">
        <v>21</v>
      </c>
      <c r="AH365" s="194">
        <v>5</v>
      </c>
      <c r="AI365" s="194">
        <v>5</v>
      </c>
      <c r="AJ365" s="194">
        <v>0</v>
      </c>
      <c r="AK365" s="194">
        <v>31</v>
      </c>
    </row>
    <row r="366" spans="1:37">
      <c r="A366" s="455"/>
      <c r="B366" s="456"/>
      <c r="C366" s="457"/>
      <c r="D366" s="458"/>
      <c r="E366" s="456"/>
      <c r="F366" s="458"/>
      <c r="G366" s="456"/>
      <c r="H366" s="458"/>
      <c r="I366" s="458"/>
      <c r="J366" s="459"/>
      <c r="K366" s="460"/>
      <c r="L366" s="460"/>
      <c r="M366" s="4"/>
      <c r="N366" s="456"/>
      <c r="O366" s="456"/>
      <c r="P366" s="456"/>
      <c r="Q366" s="458"/>
      <c r="R366" s="459"/>
      <c r="S366" s="459"/>
      <c r="T366" s="459"/>
      <c r="AF366" s="205">
        <f t="shared" si="86"/>
        <v>47574</v>
      </c>
      <c r="AG366" s="194">
        <v>22</v>
      </c>
      <c r="AH366" s="194">
        <v>4</v>
      </c>
      <c r="AI366" s="194">
        <v>4</v>
      </c>
      <c r="AJ366" s="194">
        <v>0</v>
      </c>
      <c r="AK366" s="194">
        <v>30</v>
      </c>
    </row>
    <row r="367" spans="1:37">
      <c r="A367" s="455"/>
      <c r="B367" s="456"/>
      <c r="C367" s="457"/>
      <c r="D367" s="458"/>
      <c r="E367" s="456"/>
      <c r="F367" s="458"/>
      <c r="G367" s="456"/>
      <c r="H367" s="458"/>
      <c r="I367" s="458"/>
      <c r="J367" s="459"/>
      <c r="K367" s="460"/>
      <c r="L367" s="460"/>
      <c r="M367" s="4"/>
      <c r="N367" s="456"/>
      <c r="O367" s="456"/>
      <c r="P367" s="456"/>
      <c r="Q367" s="458"/>
      <c r="R367" s="459"/>
      <c r="S367" s="459"/>
      <c r="T367" s="459"/>
      <c r="AF367" s="205">
        <f t="shared" si="86"/>
        <v>47604</v>
      </c>
      <c r="AG367" s="194">
        <v>22</v>
      </c>
      <c r="AH367" s="194">
        <v>4</v>
      </c>
      <c r="AI367" s="194">
        <v>5</v>
      </c>
      <c r="AJ367" s="194">
        <v>1</v>
      </c>
      <c r="AK367" s="194">
        <v>31</v>
      </c>
    </row>
    <row r="368" spans="1:37">
      <c r="A368" s="455"/>
      <c r="B368" s="456"/>
      <c r="C368" s="457"/>
      <c r="D368" s="458"/>
      <c r="E368" s="456"/>
      <c r="F368" s="458"/>
      <c r="G368" s="456"/>
      <c r="H368" s="458"/>
      <c r="I368" s="458"/>
      <c r="J368" s="459"/>
      <c r="K368" s="460"/>
      <c r="L368" s="460"/>
      <c r="M368" s="4"/>
      <c r="N368" s="456"/>
      <c r="O368" s="456"/>
      <c r="P368" s="456"/>
      <c r="Q368" s="458"/>
      <c r="R368" s="459"/>
      <c r="S368" s="459"/>
      <c r="T368" s="459"/>
      <c r="AF368" s="205">
        <f t="shared" si="86"/>
        <v>47635</v>
      </c>
      <c r="AG368" s="194">
        <v>20</v>
      </c>
      <c r="AH368" s="194">
        <v>5</v>
      </c>
      <c r="AI368" s="194">
        <v>5</v>
      </c>
      <c r="AJ368" s="194">
        <v>0</v>
      </c>
      <c r="AK368" s="194">
        <v>30</v>
      </c>
    </row>
    <row r="369" spans="1:37">
      <c r="A369" s="455"/>
      <c r="B369" s="456"/>
      <c r="C369" s="457"/>
      <c r="D369" s="458"/>
      <c r="E369" s="456"/>
      <c r="F369" s="458"/>
      <c r="G369" s="456"/>
      <c r="H369" s="458"/>
      <c r="I369" s="458"/>
      <c r="J369" s="459"/>
      <c r="K369" s="460"/>
      <c r="L369" s="460"/>
      <c r="M369" s="4"/>
      <c r="N369" s="456"/>
      <c r="O369" s="456"/>
      <c r="P369" s="456"/>
      <c r="Q369" s="458"/>
      <c r="R369" s="459"/>
      <c r="S369" s="459"/>
      <c r="T369" s="459"/>
      <c r="AF369" s="205">
        <f t="shared" si="86"/>
        <v>47665</v>
      </c>
      <c r="AG369" s="194">
        <v>22</v>
      </c>
      <c r="AH369" s="194">
        <v>4</v>
      </c>
      <c r="AI369" s="194">
        <v>5</v>
      </c>
      <c r="AJ369" s="194">
        <v>1</v>
      </c>
      <c r="AK369" s="194">
        <v>31</v>
      </c>
    </row>
    <row r="370" spans="1:37">
      <c r="A370" s="455"/>
      <c r="B370" s="456"/>
      <c r="C370" s="457"/>
      <c r="D370" s="458"/>
      <c r="E370" s="456"/>
      <c r="F370" s="458"/>
      <c r="G370" s="456"/>
      <c r="H370" s="458"/>
      <c r="I370" s="458"/>
      <c r="J370" s="459"/>
      <c r="K370" s="460"/>
      <c r="L370" s="460"/>
      <c r="M370" s="4"/>
      <c r="N370" s="456"/>
      <c r="O370" s="456"/>
      <c r="P370" s="456"/>
      <c r="Q370" s="458"/>
      <c r="R370" s="459"/>
      <c r="S370" s="459"/>
      <c r="T370" s="459"/>
      <c r="AF370" s="205">
        <f t="shared" si="86"/>
        <v>47696</v>
      </c>
      <c r="AG370" s="194">
        <v>22</v>
      </c>
      <c r="AH370" s="194">
        <v>5</v>
      </c>
      <c r="AI370" s="194">
        <v>4</v>
      </c>
      <c r="AJ370" s="194">
        <v>0</v>
      </c>
      <c r="AK370" s="194">
        <v>31</v>
      </c>
    </row>
    <row r="371" spans="1:37">
      <c r="A371" s="455"/>
      <c r="B371" s="456"/>
      <c r="C371" s="457"/>
      <c r="D371" s="458"/>
      <c r="E371" s="456"/>
      <c r="F371" s="458"/>
      <c r="G371" s="456"/>
      <c r="H371" s="458"/>
      <c r="I371" s="458"/>
      <c r="J371" s="459"/>
      <c r="K371" s="460"/>
      <c r="L371" s="460"/>
      <c r="M371" s="4"/>
      <c r="N371" s="456"/>
      <c r="O371" s="456"/>
      <c r="P371" s="456"/>
      <c r="Q371" s="458"/>
      <c r="R371" s="459"/>
      <c r="S371" s="459"/>
      <c r="T371" s="459"/>
      <c r="AF371" s="205">
        <f t="shared" si="86"/>
        <v>47727</v>
      </c>
      <c r="AG371" s="194">
        <v>20</v>
      </c>
      <c r="AH371" s="194">
        <v>4</v>
      </c>
      <c r="AI371" s="194">
        <v>6</v>
      </c>
      <c r="AJ371" s="194">
        <v>1</v>
      </c>
      <c r="AK371" s="194">
        <v>30</v>
      </c>
    </row>
    <row r="372" spans="1:37">
      <c r="A372" s="455"/>
      <c r="B372" s="456"/>
      <c r="C372" s="457"/>
      <c r="D372" s="458"/>
      <c r="E372" s="456"/>
      <c r="F372" s="458"/>
      <c r="G372" s="456"/>
      <c r="H372" s="458"/>
      <c r="I372" s="458"/>
      <c r="J372" s="459"/>
      <c r="K372" s="460"/>
      <c r="L372" s="460"/>
      <c r="M372" s="4"/>
      <c r="N372" s="456"/>
      <c r="O372" s="456"/>
      <c r="P372" s="456"/>
      <c r="Q372" s="458"/>
      <c r="R372" s="459"/>
      <c r="S372" s="459"/>
      <c r="T372" s="459"/>
      <c r="AF372" s="205">
        <f t="shared" si="86"/>
        <v>47757</v>
      </c>
      <c r="AG372" s="194">
        <v>23</v>
      </c>
      <c r="AH372" s="194">
        <v>4</v>
      </c>
      <c r="AI372" s="194">
        <v>4</v>
      </c>
      <c r="AJ372" s="194">
        <v>0</v>
      </c>
      <c r="AK372" s="194">
        <v>31</v>
      </c>
    </row>
    <row r="373" spans="1:37">
      <c r="A373" s="455"/>
      <c r="B373" s="456"/>
      <c r="C373" s="457"/>
      <c r="D373" s="458"/>
      <c r="E373" s="456"/>
      <c r="F373" s="458"/>
      <c r="G373" s="456"/>
      <c r="H373" s="458"/>
      <c r="I373" s="458"/>
      <c r="J373" s="459"/>
      <c r="K373" s="460"/>
      <c r="L373" s="460"/>
      <c r="M373" s="4"/>
      <c r="N373" s="456"/>
      <c r="O373" s="456"/>
      <c r="P373" s="456"/>
      <c r="Q373" s="458"/>
      <c r="R373" s="459"/>
      <c r="S373" s="459"/>
      <c r="T373" s="459"/>
      <c r="AF373" s="205">
        <f t="shared" si="86"/>
        <v>47788</v>
      </c>
      <c r="AG373" s="194">
        <v>20</v>
      </c>
      <c r="AH373" s="194">
        <v>5</v>
      </c>
      <c r="AI373" s="194">
        <v>5</v>
      </c>
      <c r="AJ373" s="194">
        <v>1</v>
      </c>
      <c r="AK373" s="194">
        <v>30</v>
      </c>
    </row>
    <row r="374" spans="1:37">
      <c r="A374" s="455"/>
      <c r="B374" s="456"/>
      <c r="C374" s="457"/>
      <c r="D374" s="458"/>
      <c r="E374" s="456"/>
      <c r="F374" s="458"/>
      <c r="G374" s="456"/>
      <c r="H374" s="458"/>
      <c r="I374" s="458"/>
      <c r="J374" s="459"/>
      <c r="K374" s="460"/>
      <c r="L374" s="460"/>
      <c r="M374" s="4"/>
      <c r="N374" s="456"/>
      <c r="O374" s="456"/>
      <c r="P374" s="456"/>
      <c r="Q374" s="458"/>
      <c r="R374" s="459"/>
      <c r="S374" s="459"/>
      <c r="T374" s="459"/>
      <c r="AF374" s="205">
        <f t="shared" si="86"/>
        <v>47818</v>
      </c>
      <c r="AG374" s="194">
        <v>21</v>
      </c>
      <c r="AH374" s="194">
        <v>4</v>
      </c>
      <c r="AI374" s="194">
        <v>6</v>
      </c>
      <c r="AJ374" s="194">
        <v>1</v>
      </c>
      <c r="AK374" s="194">
        <v>31</v>
      </c>
    </row>
    <row r="375" spans="1:37">
      <c r="A375" s="455"/>
      <c r="B375" s="456"/>
      <c r="C375" s="457"/>
      <c r="D375" s="458"/>
      <c r="E375" s="456"/>
      <c r="F375" s="458"/>
      <c r="G375" s="456"/>
      <c r="H375" s="458"/>
      <c r="I375" s="458"/>
      <c r="J375" s="459"/>
      <c r="K375" s="460"/>
      <c r="L375" s="460"/>
      <c r="M375" s="4"/>
      <c r="N375" s="456"/>
      <c r="O375" s="456"/>
      <c r="P375" s="456"/>
      <c r="Q375" s="458"/>
      <c r="R375" s="459"/>
      <c r="S375" s="459"/>
      <c r="T375" s="459"/>
      <c r="AF375" s="205">
        <f t="shared" si="86"/>
        <v>47849</v>
      </c>
      <c r="AG375" s="194">
        <v>22</v>
      </c>
      <c r="AH375" s="194">
        <v>4</v>
      </c>
      <c r="AI375" s="194">
        <v>5</v>
      </c>
      <c r="AJ375" s="194">
        <v>1</v>
      </c>
      <c r="AK375" s="194">
        <v>31</v>
      </c>
    </row>
    <row r="376" spans="1:37">
      <c r="A376" s="455"/>
      <c r="B376" s="456"/>
      <c r="C376" s="457"/>
      <c r="D376" s="458"/>
      <c r="E376" s="456"/>
      <c r="F376" s="458"/>
      <c r="G376" s="456"/>
      <c r="H376" s="458"/>
      <c r="I376" s="458"/>
      <c r="J376" s="459"/>
      <c r="K376" s="460"/>
      <c r="L376" s="460"/>
      <c r="M376" s="4"/>
      <c r="N376" s="456"/>
      <c r="O376" s="456"/>
      <c r="P376" s="456"/>
      <c r="Q376" s="458"/>
      <c r="R376" s="459"/>
      <c r="S376" s="459"/>
      <c r="T376" s="459"/>
      <c r="AF376" s="205">
        <f t="shared" si="86"/>
        <v>47880</v>
      </c>
      <c r="AG376" s="194">
        <v>20</v>
      </c>
      <c r="AH376" s="194">
        <v>4</v>
      </c>
      <c r="AI376" s="194">
        <v>4</v>
      </c>
      <c r="AJ376" s="194">
        <v>0</v>
      </c>
      <c r="AK376" s="194">
        <v>28</v>
      </c>
    </row>
    <row r="377" spans="1:37">
      <c r="A377" s="455"/>
      <c r="B377" s="456"/>
      <c r="C377" s="457"/>
      <c r="D377" s="458"/>
      <c r="E377" s="456"/>
      <c r="F377" s="458"/>
      <c r="G377" s="456"/>
      <c r="H377" s="458"/>
      <c r="I377" s="458"/>
      <c r="J377" s="459"/>
      <c r="K377" s="460"/>
      <c r="L377" s="460"/>
      <c r="M377" s="4"/>
      <c r="N377" s="456"/>
      <c r="O377" s="456"/>
      <c r="P377" s="456"/>
      <c r="Q377" s="458"/>
      <c r="R377" s="459"/>
      <c r="S377" s="459"/>
      <c r="T377" s="459"/>
      <c r="AF377" s="205">
        <f t="shared" si="86"/>
        <v>47908</v>
      </c>
      <c r="AG377" s="194">
        <v>21</v>
      </c>
      <c r="AH377" s="194">
        <v>5</v>
      </c>
      <c r="AI377" s="194">
        <v>5</v>
      </c>
      <c r="AJ377" s="194">
        <v>0</v>
      </c>
      <c r="AK377" s="194">
        <v>31</v>
      </c>
    </row>
    <row r="378" spans="1:37">
      <c r="A378" s="455"/>
      <c r="B378" s="456"/>
      <c r="C378" s="457"/>
      <c r="D378" s="458"/>
      <c r="E378" s="456"/>
      <c r="F378" s="458"/>
      <c r="G378" s="456"/>
      <c r="H378" s="458"/>
      <c r="I378" s="458"/>
      <c r="J378" s="459"/>
      <c r="K378" s="460"/>
      <c r="L378" s="460"/>
      <c r="M378" s="4"/>
      <c r="N378" s="456"/>
      <c r="O378" s="456"/>
      <c r="P378" s="456"/>
      <c r="Q378" s="458"/>
      <c r="R378" s="459"/>
      <c r="S378" s="459"/>
      <c r="T378" s="459"/>
      <c r="AF378" s="205">
        <f t="shared" si="86"/>
        <v>47939</v>
      </c>
      <c r="AG378" s="194">
        <v>22</v>
      </c>
      <c r="AH378" s="194">
        <v>4</v>
      </c>
      <c r="AI378" s="194">
        <v>4</v>
      </c>
      <c r="AJ378" s="194">
        <v>0</v>
      </c>
      <c r="AK378" s="194">
        <v>30</v>
      </c>
    </row>
    <row r="379" spans="1:37">
      <c r="A379" s="455"/>
      <c r="B379" s="456"/>
      <c r="C379" s="457"/>
      <c r="D379" s="458"/>
      <c r="E379" s="456"/>
      <c r="F379" s="458"/>
      <c r="G379" s="456"/>
      <c r="H379" s="458"/>
      <c r="I379" s="458"/>
      <c r="J379" s="459"/>
      <c r="K379" s="460"/>
      <c r="L379" s="460"/>
      <c r="M379" s="4"/>
      <c r="N379" s="456"/>
      <c r="O379" s="456"/>
      <c r="P379" s="456"/>
      <c r="Q379" s="458"/>
      <c r="R379" s="459"/>
      <c r="S379" s="459"/>
      <c r="T379" s="459"/>
      <c r="AF379" s="205">
        <f t="shared" si="86"/>
        <v>47969</v>
      </c>
      <c r="AG379" s="194">
        <v>22</v>
      </c>
      <c r="AH379" s="194">
        <v>4</v>
      </c>
      <c r="AI379" s="194">
        <v>5</v>
      </c>
      <c r="AJ379" s="194">
        <v>1</v>
      </c>
      <c r="AK379" s="194">
        <v>31</v>
      </c>
    </row>
    <row r="380" spans="1:37">
      <c r="A380" s="455"/>
      <c r="B380" s="456"/>
      <c r="C380" s="457"/>
      <c r="D380" s="458"/>
      <c r="E380" s="456"/>
      <c r="F380" s="458"/>
      <c r="G380" s="456"/>
      <c r="H380" s="458"/>
      <c r="I380" s="458"/>
      <c r="J380" s="459"/>
      <c r="K380" s="460"/>
      <c r="L380" s="460"/>
      <c r="M380" s="4"/>
      <c r="N380" s="456"/>
      <c r="O380" s="456"/>
      <c r="P380" s="456"/>
      <c r="Q380" s="458"/>
      <c r="R380" s="459"/>
      <c r="S380" s="459"/>
      <c r="T380" s="459"/>
      <c r="AF380" s="205">
        <f t="shared" si="86"/>
        <v>48000</v>
      </c>
      <c r="AG380" s="194">
        <v>20</v>
      </c>
      <c r="AH380" s="194">
        <v>5</v>
      </c>
      <c r="AI380" s="194">
        <v>5</v>
      </c>
      <c r="AJ380" s="194">
        <v>0</v>
      </c>
      <c r="AK380" s="194">
        <v>30</v>
      </c>
    </row>
    <row r="381" spans="1:37">
      <c r="A381" s="455"/>
      <c r="B381" s="456"/>
      <c r="C381" s="457"/>
      <c r="D381" s="458"/>
      <c r="E381" s="456"/>
      <c r="F381" s="458"/>
      <c r="G381" s="456"/>
      <c r="H381" s="458"/>
      <c r="I381" s="458"/>
      <c r="J381" s="459"/>
      <c r="K381" s="460"/>
      <c r="L381" s="460"/>
      <c r="M381" s="4"/>
      <c r="N381" s="456"/>
      <c r="O381" s="456"/>
      <c r="P381" s="456"/>
      <c r="Q381" s="458"/>
      <c r="R381" s="459"/>
      <c r="S381" s="459"/>
      <c r="T381" s="459"/>
      <c r="AF381" s="205">
        <f t="shared" si="86"/>
        <v>48030</v>
      </c>
      <c r="AG381" s="194">
        <v>22</v>
      </c>
      <c r="AH381" s="194">
        <v>4</v>
      </c>
      <c r="AI381" s="194">
        <v>5</v>
      </c>
      <c r="AJ381" s="194">
        <v>1</v>
      </c>
      <c r="AK381" s="194">
        <v>31</v>
      </c>
    </row>
    <row r="382" spans="1:37">
      <c r="A382" s="455"/>
      <c r="B382" s="456"/>
      <c r="C382" s="457"/>
      <c r="D382" s="458"/>
      <c r="E382" s="456"/>
      <c r="F382" s="458"/>
      <c r="G382" s="456"/>
      <c r="H382" s="458"/>
      <c r="I382" s="458"/>
      <c r="J382" s="459"/>
      <c r="K382" s="460"/>
      <c r="L382" s="460"/>
      <c r="M382" s="4"/>
      <c r="N382" s="456"/>
      <c r="O382" s="456"/>
      <c r="P382" s="456"/>
      <c r="Q382" s="458"/>
      <c r="R382" s="459"/>
      <c r="S382" s="459"/>
      <c r="T382" s="459"/>
      <c r="AF382" s="205">
        <f t="shared" si="86"/>
        <v>48061</v>
      </c>
      <c r="AG382" s="194">
        <v>22</v>
      </c>
      <c r="AH382" s="194">
        <v>5</v>
      </c>
      <c r="AI382" s="194">
        <v>4</v>
      </c>
      <c r="AJ382" s="194">
        <v>0</v>
      </c>
      <c r="AK382" s="194">
        <v>31</v>
      </c>
    </row>
    <row r="383" spans="1:37">
      <c r="A383" s="455"/>
      <c r="B383" s="456"/>
      <c r="C383" s="457"/>
      <c r="D383" s="458"/>
      <c r="E383" s="456"/>
      <c r="F383" s="458"/>
      <c r="G383" s="456"/>
      <c r="H383" s="458"/>
      <c r="I383" s="458"/>
      <c r="J383" s="459"/>
      <c r="K383" s="460"/>
      <c r="L383" s="460"/>
      <c r="M383" s="4"/>
      <c r="N383" s="456"/>
      <c r="O383" s="456"/>
      <c r="P383" s="456"/>
      <c r="Q383" s="458"/>
      <c r="R383" s="459"/>
      <c r="S383" s="459"/>
      <c r="T383" s="459"/>
      <c r="AF383" s="205">
        <f t="shared" ref="AF383:AF414" si="87">EOMONTH(AF382,0)+1</f>
        <v>48092</v>
      </c>
      <c r="AG383" s="194">
        <v>20</v>
      </c>
      <c r="AH383" s="194">
        <v>4</v>
      </c>
      <c r="AI383" s="194">
        <v>6</v>
      </c>
      <c r="AJ383" s="194">
        <v>1</v>
      </c>
      <c r="AK383" s="194">
        <v>30</v>
      </c>
    </row>
    <row r="384" spans="1:37">
      <c r="A384" s="455"/>
      <c r="B384" s="456"/>
      <c r="C384" s="457"/>
      <c r="D384" s="458"/>
      <c r="E384" s="456"/>
      <c r="F384" s="458"/>
      <c r="G384" s="456"/>
      <c r="H384" s="458"/>
      <c r="I384" s="458"/>
      <c r="J384" s="459"/>
      <c r="K384" s="460"/>
      <c r="L384" s="460"/>
      <c r="M384" s="4"/>
      <c r="N384" s="456"/>
      <c r="O384" s="456"/>
      <c r="P384" s="456"/>
      <c r="Q384" s="458"/>
      <c r="R384" s="459"/>
      <c r="S384" s="459"/>
      <c r="T384" s="459"/>
      <c r="AF384" s="205">
        <f t="shared" si="87"/>
        <v>48122</v>
      </c>
      <c r="AG384" s="194">
        <v>23</v>
      </c>
      <c r="AH384" s="194">
        <v>4</v>
      </c>
      <c r="AI384" s="194">
        <v>4</v>
      </c>
      <c r="AJ384" s="194">
        <v>0</v>
      </c>
      <c r="AK384" s="194">
        <v>31</v>
      </c>
    </row>
    <row r="385" spans="1:37">
      <c r="A385" s="455"/>
      <c r="B385" s="456"/>
      <c r="C385" s="457"/>
      <c r="D385" s="458"/>
      <c r="E385" s="456"/>
      <c r="F385" s="458"/>
      <c r="G385" s="456"/>
      <c r="H385" s="458"/>
      <c r="I385" s="458"/>
      <c r="J385" s="459"/>
      <c r="K385" s="460"/>
      <c r="L385" s="460"/>
      <c r="M385" s="4"/>
      <c r="N385" s="456"/>
      <c r="O385" s="456"/>
      <c r="P385" s="456"/>
      <c r="Q385" s="458"/>
      <c r="R385" s="459"/>
      <c r="S385" s="459"/>
      <c r="T385" s="459"/>
      <c r="AF385" s="205">
        <f t="shared" si="87"/>
        <v>48153</v>
      </c>
      <c r="AG385" s="194">
        <v>20</v>
      </c>
      <c r="AH385" s="194">
        <v>5</v>
      </c>
      <c r="AI385" s="194">
        <v>5</v>
      </c>
      <c r="AJ385" s="194">
        <v>1</v>
      </c>
      <c r="AK385" s="194">
        <v>30</v>
      </c>
    </row>
    <row r="386" spans="1:37">
      <c r="A386" s="455"/>
      <c r="B386" s="456"/>
      <c r="C386" s="457"/>
      <c r="D386" s="458"/>
      <c r="E386" s="456"/>
      <c r="F386" s="458"/>
      <c r="G386" s="456"/>
      <c r="H386" s="458"/>
      <c r="I386" s="458"/>
      <c r="J386" s="459"/>
      <c r="K386" s="460"/>
      <c r="L386" s="460"/>
      <c r="M386" s="4"/>
      <c r="N386" s="456"/>
      <c r="O386" s="456"/>
      <c r="P386" s="456"/>
      <c r="Q386" s="458"/>
      <c r="R386" s="459"/>
      <c r="S386" s="459"/>
      <c r="T386" s="459"/>
      <c r="AF386" s="205">
        <f t="shared" si="87"/>
        <v>48183</v>
      </c>
      <c r="AG386" s="194">
        <v>21</v>
      </c>
      <c r="AH386" s="194">
        <v>4</v>
      </c>
      <c r="AI386" s="194">
        <v>6</v>
      </c>
      <c r="AJ386" s="194">
        <v>1</v>
      </c>
      <c r="AK386" s="194">
        <v>31</v>
      </c>
    </row>
    <row r="387" spans="1:37">
      <c r="A387" s="455"/>
      <c r="B387" s="456"/>
      <c r="C387" s="457"/>
      <c r="D387" s="458"/>
      <c r="E387" s="456"/>
      <c r="F387" s="458"/>
      <c r="G387" s="456"/>
      <c r="H387" s="458"/>
      <c r="I387" s="458"/>
      <c r="J387" s="459"/>
      <c r="K387" s="460"/>
      <c r="L387" s="460"/>
      <c r="M387" s="4"/>
      <c r="N387" s="456"/>
      <c r="O387" s="456"/>
      <c r="P387" s="456"/>
      <c r="Q387" s="458"/>
      <c r="R387" s="459"/>
      <c r="S387" s="459"/>
      <c r="T387" s="459"/>
      <c r="AF387" s="205">
        <f t="shared" si="87"/>
        <v>48214</v>
      </c>
      <c r="AG387" s="194">
        <v>22</v>
      </c>
      <c r="AH387" s="194">
        <v>4</v>
      </c>
      <c r="AI387" s="194">
        <v>5</v>
      </c>
      <c r="AJ387" s="194">
        <v>1</v>
      </c>
      <c r="AK387" s="194">
        <v>31</v>
      </c>
    </row>
    <row r="388" spans="1:37">
      <c r="A388" s="455"/>
      <c r="B388" s="456"/>
      <c r="C388" s="457"/>
      <c r="D388" s="458"/>
      <c r="E388" s="456"/>
      <c r="F388" s="458"/>
      <c r="G388" s="456"/>
      <c r="H388" s="458"/>
      <c r="I388" s="458"/>
      <c r="J388" s="459"/>
      <c r="K388" s="460"/>
      <c r="L388" s="460"/>
      <c r="M388" s="4"/>
      <c r="N388" s="456"/>
      <c r="O388" s="456"/>
      <c r="P388" s="456"/>
      <c r="Q388" s="458"/>
      <c r="R388" s="459"/>
      <c r="S388" s="459"/>
      <c r="T388" s="459"/>
      <c r="AF388" s="205">
        <f t="shared" si="87"/>
        <v>48245</v>
      </c>
      <c r="AG388" s="194">
        <v>20</v>
      </c>
      <c r="AH388" s="194">
        <v>5</v>
      </c>
      <c r="AI388" s="194">
        <v>4</v>
      </c>
      <c r="AJ388" s="194">
        <v>0</v>
      </c>
      <c r="AK388" s="194">
        <v>29</v>
      </c>
    </row>
    <row r="389" spans="1:37">
      <c r="A389" s="455"/>
      <c r="B389" s="456"/>
      <c r="C389" s="457"/>
      <c r="D389" s="458"/>
      <c r="E389" s="456"/>
      <c r="F389" s="458"/>
      <c r="G389" s="456"/>
      <c r="H389" s="458"/>
      <c r="I389" s="458"/>
      <c r="J389" s="459"/>
      <c r="K389" s="460"/>
      <c r="L389" s="460"/>
      <c r="M389" s="4"/>
      <c r="N389" s="456"/>
      <c r="O389" s="456"/>
      <c r="P389" s="456"/>
      <c r="Q389" s="458"/>
      <c r="R389" s="459"/>
      <c r="S389" s="459"/>
      <c r="T389" s="459"/>
      <c r="AF389" s="205">
        <f t="shared" si="87"/>
        <v>48274</v>
      </c>
      <c r="AG389" s="194">
        <v>22</v>
      </c>
      <c r="AH389" s="194">
        <v>4</v>
      </c>
      <c r="AI389" s="194">
        <v>5</v>
      </c>
      <c r="AJ389" s="194">
        <v>0</v>
      </c>
      <c r="AK389" s="194">
        <v>31</v>
      </c>
    </row>
    <row r="390" spans="1:37">
      <c r="A390" s="455"/>
      <c r="B390" s="456"/>
      <c r="C390" s="457"/>
      <c r="D390" s="458"/>
      <c r="E390" s="456"/>
      <c r="F390" s="458"/>
      <c r="G390" s="456"/>
      <c r="H390" s="458"/>
      <c r="I390" s="458"/>
      <c r="J390" s="459"/>
      <c r="K390" s="460"/>
      <c r="L390" s="460"/>
      <c r="M390" s="4"/>
      <c r="N390" s="456"/>
      <c r="O390" s="456"/>
      <c r="P390" s="456"/>
      <c r="Q390" s="458"/>
      <c r="R390" s="459"/>
      <c r="S390" s="459"/>
      <c r="T390" s="459"/>
      <c r="AF390" s="205">
        <f t="shared" si="87"/>
        <v>48305</v>
      </c>
      <c r="AG390" s="194">
        <v>22</v>
      </c>
      <c r="AH390" s="194">
        <v>4</v>
      </c>
      <c r="AI390" s="194">
        <v>4</v>
      </c>
      <c r="AJ390" s="194">
        <v>0</v>
      </c>
      <c r="AK390" s="194">
        <v>30</v>
      </c>
    </row>
    <row r="391" spans="1:37">
      <c r="A391" s="455"/>
      <c r="B391" s="456"/>
      <c r="C391" s="457"/>
      <c r="D391" s="458"/>
      <c r="E391" s="456"/>
      <c r="F391" s="458"/>
      <c r="G391" s="456"/>
      <c r="H391" s="458"/>
      <c r="I391" s="458"/>
      <c r="J391" s="459"/>
      <c r="K391" s="460"/>
      <c r="L391" s="460"/>
      <c r="M391" s="4"/>
      <c r="N391" s="456"/>
      <c r="O391" s="456"/>
      <c r="P391" s="456"/>
      <c r="Q391" s="458"/>
      <c r="R391" s="459"/>
      <c r="S391" s="459"/>
      <c r="T391" s="459"/>
      <c r="AF391" s="205">
        <f t="shared" si="87"/>
        <v>48335</v>
      </c>
      <c r="AG391" s="194">
        <v>20</v>
      </c>
      <c r="AH391" s="194">
        <v>5</v>
      </c>
      <c r="AI391" s="194">
        <v>6</v>
      </c>
      <c r="AJ391" s="194">
        <v>1</v>
      </c>
      <c r="AK391" s="194">
        <v>31</v>
      </c>
    </row>
    <row r="392" spans="1:37">
      <c r="A392" s="455"/>
      <c r="B392" s="456"/>
      <c r="C392" s="457"/>
      <c r="D392" s="458"/>
      <c r="E392" s="456"/>
      <c r="F392" s="458"/>
      <c r="G392" s="456"/>
      <c r="H392" s="458"/>
      <c r="I392" s="458"/>
      <c r="J392" s="459"/>
      <c r="K392" s="460"/>
      <c r="L392" s="460"/>
      <c r="M392" s="4"/>
      <c r="N392" s="456"/>
      <c r="O392" s="456"/>
      <c r="P392" s="456"/>
      <c r="Q392" s="458"/>
      <c r="R392" s="459"/>
      <c r="S392" s="459"/>
      <c r="T392" s="459"/>
      <c r="AF392" s="205">
        <f t="shared" si="87"/>
        <v>48366</v>
      </c>
      <c r="AG392" s="194">
        <v>22</v>
      </c>
      <c r="AH392" s="194">
        <v>4</v>
      </c>
      <c r="AI392" s="194">
        <v>4</v>
      </c>
      <c r="AJ392" s="194">
        <v>0</v>
      </c>
      <c r="AK392" s="194">
        <v>30</v>
      </c>
    </row>
    <row r="393" spans="1:37">
      <c r="A393" s="455"/>
      <c r="B393" s="456"/>
      <c r="C393" s="457"/>
      <c r="D393" s="458"/>
      <c r="E393" s="456"/>
      <c r="F393" s="458"/>
      <c r="G393" s="456"/>
      <c r="H393" s="458"/>
      <c r="I393" s="458"/>
      <c r="J393" s="459"/>
      <c r="K393" s="460"/>
      <c r="L393" s="460"/>
      <c r="M393" s="4"/>
      <c r="N393" s="456"/>
      <c r="O393" s="456"/>
      <c r="P393" s="456"/>
      <c r="Q393" s="458"/>
      <c r="R393" s="459"/>
      <c r="S393" s="459"/>
      <c r="T393" s="459"/>
      <c r="AF393" s="205">
        <f t="shared" si="87"/>
        <v>48396</v>
      </c>
      <c r="AG393" s="194">
        <v>23</v>
      </c>
      <c r="AH393" s="194">
        <v>3</v>
      </c>
      <c r="AI393" s="194">
        <v>5</v>
      </c>
      <c r="AJ393" s="194">
        <v>1</v>
      </c>
      <c r="AK393" s="194">
        <v>31</v>
      </c>
    </row>
    <row r="394" spans="1:37">
      <c r="A394" s="455"/>
      <c r="B394" s="456"/>
      <c r="C394" s="457"/>
      <c r="D394" s="458"/>
      <c r="E394" s="456"/>
      <c r="F394" s="458"/>
      <c r="G394" s="456"/>
      <c r="H394" s="458"/>
      <c r="I394" s="458"/>
      <c r="J394" s="459"/>
      <c r="K394" s="460"/>
      <c r="L394" s="460"/>
      <c r="M394" s="4"/>
      <c r="N394" s="456"/>
      <c r="O394" s="456"/>
      <c r="P394" s="456"/>
      <c r="Q394" s="458"/>
      <c r="R394" s="459"/>
      <c r="S394" s="459"/>
      <c r="T394" s="459"/>
      <c r="AF394" s="205">
        <f t="shared" si="87"/>
        <v>48427</v>
      </c>
      <c r="AG394" s="194">
        <v>21</v>
      </c>
      <c r="AH394" s="194">
        <v>5</v>
      </c>
      <c r="AI394" s="194">
        <v>5</v>
      </c>
      <c r="AJ394" s="194">
        <v>0</v>
      </c>
      <c r="AK394" s="194">
        <v>31</v>
      </c>
    </row>
    <row r="395" spans="1:37">
      <c r="A395" s="455"/>
      <c r="B395" s="456"/>
      <c r="C395" s="457"/>
      <c r="D395" s="458"/>
      <c r="E395" s="456"/>
      <c r="F395" s="458"/>
      <c r="G395" s="456"/>
      <c r="H395" s="458"/>
      <c r="I395" s="458"/>
      <c r="J395" s="459"/>
      <c r="K395" s="460"/>
      <c r="L395" s="460"/>
      <c r="M395" s="4"/>
      <c r="N395" s="456"/>
      <c r="O395" s="456"/>
      <c r="P395" s="456"/>
      <c r="Q395" s="458"/>
      <c r="R395" s="459"/>
      <c r="S395" s="459"/>
      <c r="T395" s="459"/>
      <c r="AF395" s="205">
        <f t="shared" si="87"/>
        <v>48458</v>
      </c>
      <c r="AG395" s="194">
        <v>21</v>
      </c>
      <c r="AH395" s="194">
        <v>4</v>
      </c>
      <c r="AI395" s="194">
        <v>5</v>
      </c>
      <c r="AJ395" s="194">
        <v>1</v>
      </c>
      <c r="AK395" s="194">
        <v>30</v>
      </c>
    </row>
    <row r="396" spans="1:37">
      <c r="A396" s="455"/>
      <c r="B396" s="456"/>
      <c r="C396" s="457"/>
      <c r="D396" s="458"/>
      <c r="E396" s="456"/>
      <c r="F396" s="458"/>
      <c r="G396" s="456"/>
      <c r="H396" s="458"/>
      <c r="I396" s="458"/>
      <c r="J396" s="459"/>
      <c r="K396" s="460"/>
      <c r="L396" s="460"/>
      <c r="M396" s="4"/>
      <c r="N396" s="456"/>
      <c r="O396" s="456"/>
      <c r="P396" s="456"/>
      <c r="Q396" s="458"/>
      <c r="R396" s="459"/>
      <c r="S396" s="459"/>
      <c r="T396" s="459"/>
      <c r="AF396" s="205">
        <f t="shared" si="87"/>
        <v>48488</v>
      </c>
      <c r="AG396" s="194">
        <v>22</v>
      </c>
      <c r="AH396" s="194">
        <v>5</v>
      </c>
      <c r="AI396" s="194">
        <v>4</v>
      </c>
      <c r="AJ396" s="194">
        <v>0</v>
      </c>
      <c r="AK396" s="194">
        <v>31</v>
      </c>
    </row>
    <row r="397" spans="1:37">
      <c r="A397" s="455"/>
      <c r="B397" s="456"/>
      <c r="C397" s="457"/>
      <c r="D397" s="458"/>
      <c r="E397" s="456"/>
      <c r="F397" s="458"/>
      <c r="G397" s="456"/>
      <c r="H397" s="458"/>
      <c r="I397" s="458"/>
      <c r="J397" s="459"/>
      <c r="K397" s="460"/>
      <c r="L397" s="460"/>
      <c r="M397" s="4"/>
      <c r="N397" s="456"/>
      <c r="O397" s="456"/>
      <c r="P397" s="456"/>
      <c r="Q397" s="458"/>
      <c r="R397" s="459"/>
      <c r="S397" s="459"/>
      <c r="T397" s="459"/>
      <c r="AF397" s="205">
        <f t="shared" si="87"/>
        <v>48519</v>
      </c>
      <c r="AG397" s="194">
        <v>20</v>
      </c>
      <c r="AH397" s="194">
        <v>4</v>
      </c>
      <c r="AI397" s="194">
        <v>6</v>
      </c>
      <c r="AJ397" s="194">
        <v>1</v>
      </c>
      <c r="AK397" s="194">
        <v>30</v>
      </c>
    </row>
    <row r="398" spans="1:37">
      <c r="A398" s="455"/>
      <c r="B398" s="456"/>
      <c r="C398" s="457"/>
      <c r="D398" s="458"/>
      <c r="E398" s="456"/>
      <c r="F398" s="458"/>
      <c r="G398" s="456"/>
      <c r="H398" s="458"/>
      <c r="I398" s="458"/>
      <c r="J398" s="459"/>
      <c r="K398" s="460"/>
      <c r="L398" s="460"/>
      <c r="M398" s="4"/>
      <c r="N398" s="456"/>
      <c r="O398" s="456"/>
      <c r="P398" s="456"/>
      <c r="Q398" s="458"/>
      <c r="R398" s="459"/>
      <c r="S398" s="459"/>
      <c r="T398" s="459"/>
      <c r="AF398" s="205">
        <f t="shared" si="87"/>
        <v>48549</v>
      </c>
      <c r="AG398" s="194">
        <v>22</v>
      </c>
      <c r="AH398" s="194">
        <v>4</v>
      </c>
      <c r="AI398" s="194">
        <v>5</v>
      </c>
      <c r="AJ398" s="194">
        <v>1</v>
      </c>
      <c r="AK398" s="194">
        <v>31</v>
      </c>
    </row>
    <row r="399" spans="1:37">
      <c r="A399" s="455"/>
      <c r="B399" s="456"/>
      <c r="C399" s="457"/>
      <c r="D399" s="458"/>
      <c r="E399" s="456"/>
      <c r="F399" s="458"/>
      <c r="G399" s="456"/>
      <c r="H399" s="458"/>
      <c r="I399" s="458"/>
      <c r="J399" s="459"/>
      <c r="K399" s="460"/>
      <c r="L399" s="460"/>
      <c r="M399" s="4"/>
      <c r="N399" s="456"/>
      <c r="O399" s="456"/>
      <c r="P399" s="456"/>
      <c r="Q399" s="458"/>
      <c r="R399" s="459"/>
      <c r="S399" s="459"/>
      <c r="T399" s="459"/>
      <c r="AF399" s="205">
        <f t="shared" si="87"/>
        <v>48580</v>
      </c>
      <c r="AG399" s="194">
        <v>22</v>
      </c>
      <c r="AH399" s="194">
        <v>4</v>
      </c>
      <c r="AI399" s="194">
        <v>5</v>
      </c>
      <c r="AJ399" s="194">
        <v>1</v>
      </c>
      <c r="AK399" s="194">
        <v>31</v>
      </c>
    </row>
    <row r="400" spans="1:37">
      <c r="A400" s="455"/>
      <c r="B400" s="456"/>
      <c r="C400" s="457"/>
      <c r="D400" s="458"/>
      <c r="E400" s="456"/>
      <c r="F400" s="458"/>
      <c r="G400" s="456"/>
      <c r="H400" s="458"/>
      <c r="I400" s="458"/>
      <c r="J400" s="459"/>
      <c r="K400" s="460"/>
      <c r="L400" s="460"/>
      <c r="M400" s="4"/>
      <c r="N400" s="456"/>
      <c r="O400" s="456"/>
      <c r="P400" s="456"/>
      <c r="Q400" s="458"/>
      <c r="R400" s="459"/>
      <c r="S400" s="459"/>
      <c r="T400" s="459"/>
      <c r="AF400" s="205">
        <f t="shared" si="87"/>
        <v>48611</v>
      </c>
      <c r="AG400" s="194">
        <v>20</v>
      </c>
      <c r="AH400" s="194">
        <v>4</v>
      </c>
      <c r="AI400" s="194">
        <v>4</v>
      </c>
      <c r="AJ400" s="194">
        <v>0</v>
      </c>
      <c r="AK400" s="194">
        <v>28</v>
      </c>
    </row>
    <row r="401" spans="1:37">
      <c r="A401" s="455"/>
      <c r="B401" s="456"/>
      <c r="C401" s="457"/>
      <c r="D401" s="458"/>
      <c r="E401" s="456"/>
      <c r="F401" s="458"/>
      <c r="G401" s="456"/>
      <c r="H401" s="458"/>
      <c r="I401" s="458"/>
      <c r="J401" s="459"/>
      <c r="K401" s="460"/>
      <c r="L401" s="460"/>
      <c r="M401" s="4"/>
      <c r="N401" s="456"/>
      <c r="O401" s="456"/>
      <c r="P401" s="456"/>
      <c r="Q401" s="458"/>
      <c r="R401" s="459"/>
      <c r="S401" s="459"/>
      <c r="T401" s="459"/>
      <c r="AF401" s="205">
        <f t="shared" si="87"/>
        <v>48639</v>
      </c>
      <c r="AG401" s="194">
        <v>21</v>
      </c>
      <c r="AH401" s="194">
        <v>5</v>
      </c>
      <c r="AI401" s="194">
        <v>5</v>
      </c>
      <c r="AJ401" s="194">
        <v>0</v>
      </c>
      <c r="AK401" s="194">
        <v>31</v>
      </c>
    </row>
    <row r="402" spans="1:37">
      <c r="A402" s="455"/>
      <c r="B402" s="456"/>
      <c r="C402" s="457"/>
      <c r="D402" s="458"/>
      <c r="E402" s="456"/>
      <c r="F402" s="458"/>
      <c r="G402" s="456"/>
      <c r="H402" s="458"/>
      <c r="I402" s="458"/>
      <c r="J402" s="459"/>
      <c r="K402" s="460"/>
      <c r="L402" s="460"/>
      <c r="M402" s="4"/>
      <c r="N402" s="456"/>
      <c r="O402" s="456"/>
      <c r="P402" s="456"/>
      <c r="Q402" s="458"/>
      <c r="R402" s="459"/>
      <c r="S402" s="459"/>
      <c r="T402" s="459"/>
      <c r="AF402" s="205">
        <f t="shared" si="87"/>
        <v>48670</v>
      </c>
      <c r="AG402" s="194">
        <v>22</v>
      </c>
      <c r="AH402" s="194">
        <v>4</v>
      </c>
      <c r="AI402" s="194">
        <v>4</v>
      </c>
      <c r="AJ402" s="194">
        <v>0</v>
      </c>
      <c r="AK402" s="194">
        <v>30</v>
      </c>
    </row>
    <row r="403" spans="1:37">
      <c r="A403" s="455"/>
      <c r="B403" s="456"/>
      <c r="C403" s="457"/>
      <c r="D403" s="458"/>
      <c r="E403" s="456"/>
      <c r="F403" s="458"/>
      <c r="G403" s="456"/>
      <c r="H403" s="458"/>
      <c r="I403" s="458"/>
      <c r="J403" s="459"/>
      <c r="K403" s="460"/>
      <c r="L403" s="460"/>
      <c r="M403" s="4"/>
      <c r="N403" s="456"/>
      <c r="O403" s="456"/>
      <c r="P403" s="456"/>
      <c r="Q403" s="458"/>
      <c r="R403" s="459"/>
      <c r="S403" s="459"/>
      <c r="T403" s="459"/>
      <c r="AF403" s="205">
        <f t="shared" si="87"/>
        <v>48700</v>
      </c>
      <c r="AG403" s="194">
        <v>22</v>
      </c>
      <c r="AH403" s="194">
        <v>4</v>
      </c>
      <c r="AI403" s="194">
        <v>5</v>
      </c>
      <c r="AJ403" s="194">
        <v>1</v>
      </c>
      <c r="AK403" s="194">
        <v>31</v>
      </c>
    </row>
    <row r="404" spans="1:37">
      <c r="A404" s="455"/>
      <c r="B404" s="456"/>
      <c r="C404" s="457"/>
      <c r="D404" s="458"/>
      <c r="E404" s="456"/>
      <c r="F404" s="458"/>
      <c r="G404" s="456"/>
      <c r="H404" s="458"/>
      <c r="I404" s="458"/>
      <c r="J404" s="459"/>
      <c r="K404" s="460"/>
      <c r="L404" s="460"/>
      <c r="M404" s="4"/>
      <c r="N404" s="456"/>
      <c r="O404" s="456"/>
      <c r="P404" s="456"/>
      <c r="Q404" s="458"/>
      <c r="R404" s="459"/>
      <c r="S404" s="459"/>
      <c r="T404" s="459"/>
      <c r="AF404" s="205">
        <f t="shared" si="87"/>
        <v>48731</v>
      </c>
      <c r="AG404" s="194">
        <v>20</v>
      </c>
      <c r="AH404" s="194">
        <v>5</v>
      </c>
      <c r="AI404" s="194">
        <v>5</v>
      </c>
      <c r="AJ404" s="194">
        <v>0</v>
      </c>
      <c r="AK404" s="194">
        <v>30</v>
      </c>
    </row>
    <row r="405" spans="1:37">
      <c r="A405" s="455"/>
      <c r="B405" s="456"/>
      <c r="C405" s="457"/>
      <c r="D405" s="458"/>
      <c r="E405" s="456"/>
      <c r="F405" s="458"/>
      <c r="G405" s="456"/>
      <c r="H405" s="458"/>
      <c r="I405" s="458"/>
      <c r="J405" s="459"/>
      <c r="K405" s="460"/>
      <c r="L405" s="460"/>
      <c r="M405" s="4"/>
      <c r="N405" s="456"/>
      <c r="O405" s="456"/>
      <c r="P405" s="456"/>
      <c r="Q405" s="458"/>
      <c r="R405" s="459"/>
      <c r="S405" s="459"/>
      <c r="T405" s="459"/>
      <c r="AF405" s="205">
        <f t="shared" si="87"/>
        <v>48761</v>
      </c>
      <c r="AG405" s="194">
        <v>22</v>
      </c>
      <c r="AH405" s="194">
        <v>4</v>
      </c>
      <c r="AI405" s="194">
        <v>5</v>
      </c>
      <c r="AJ405" s="194">
        <v>1</v>
      </c>
      <c r="AK405" s="194">
        <v>31</v>
      </c>
    </row>
    <row r="406" spans="1:37">
      <c r="A406" s="455"/>
      <c r="B406" s="456"/>
      <c r="C406" s="457"/>
      <c r="D406" s="458"/>
      <c r="E406" s="456"/>
      <c r="F406" s="458"/>
      <c r="G406" s="456"/>
      <c r="H406" s="458"/>
      <c r="I406" s="458"/>
      <c r="J406" s="459"/>
      <c r="K406" s="460"/>
      <c r="L406" s="460"/>
      <c r="M406" s="4"/>
      <c r="N406" s="456"/>
      <c r="O406" s="456"/>
      <c r="P406" s="456"/>
      <c r="Q406" s="458"/>
      <c r="R406" s="459"/>
      <c r="S406" s="459"/>
      <c r="T406" s="459"/>
      <c r="AF406" s="205">
        <f t="shared" si="87"/>
        <v>48792</v>
      </c>
      <c r="AG406" s="194">
        <v>22</v>
      </c>
      <c r="AH406" s="194">
        <v>5</v>
      </c>
      <c r="AI406" s="194">
        <v>4</v>
      </c>
      <c r="AJ406" s="194">
        <v>0</v>
      </c>
      <c r="AK406" s="194">
        <v>31</v>
      </c>
    </row>
    <row r="407" spans="1:37">
      <c r="A407" s="455"/>
      <c r="B407" s="456"/>
      <c r="C407" s="457"/>
      <c r="D407" s="458"/>
      <c r="E407" s="456"/>
      <c r="F407" s="458"/>
      <c r="G407" s="456"/>
      <c r="H407" s="458"/>
      <c r="I407" s="458"/>
      <c r="J407" s="459"/>
      <c r="K407" s="460"/>
      <c r="L407" s="460"/>
      <c r="M407" s="4"/>
      <c r="N407" s="456"/>
      <c r="O407" s="456"/>
      <c r="P407" s="456"/>
      <c r="Q407" s="458"/>
      <c r="R407" s="459"/>
      <c r="S407" s="459"/>
      <c r="T407" s="459"/>
      <c r="AF407" s="205">
        <f t="shared" si="87"/>
        <v>48823</v>
      </c>
      <c r="AG407" s="194">
        <v>20</v>
      </c>
      <c r="AH407" s="194">
        <v>4</v>
      </c>
      <c r="AI407" s="194">
        <v>6</v>
      </c>
      <c r="AJ407" s="194">
        <v>1</v>
      </c>
      <c r="AK407" s="194">
        <v>30</v>
      </c>
    </row>
    <row r="408" spans="1:37">
      <c r="A408" s="455"/>
      <c r="B408" s="456"/>
      <c r="C408" s="457"/>
      <c r="D408" s="458"/>
      <c r="E408" s="456"/>
      <c r="F408" s="458"/>
      <c r="G408" s="456"/>
      <c r="H408" s="458"/>
      <c r="I408" s="458"/>
      <c r="J408" s="459"/>
      <c r="K408" s="460"/>
      <c r="L408" s="460"/>
      <c r="M408" s="4"/>
      <c r="N408" s="456"/>
      <c r="O408" s="456"/>
      <c r="P408" s="456"/>
      <c r="Q408" s="458"/>
      <c r="R408" s="459"/>
      <c r="S408" s="459"/>
      <c r="T408" s="459"/>
      <c r="AF408" s="205">
        <f t="shared" si="87"/>
        <v>48853</v>
      </c>
      <c r="AG408" s="194">
        <v>23</v>
      </c>
      <c r="AH408" s="194">
        <v>4</v>
      </c>
      <c r="AI408" s="194">
        <v>4</v>
      </c>
      <c r="AJ408" s="194">
        <v>0</v>
      </c>
      <c r="AK408" s="194">
        <v>31</v>
      </c>
    </row>
    <row r="409" spans="1:37">
      <c r="A409" s="455"/>
      <c r="B409" s="456"/>
      <c r="C409" s="457"/>
      <c r="D409" s="458"/>
      <c r="E409" s="456"/>
      <c r="F409" s="458"/>
      <c r="G409" s="456"/>
      <c r="H409" s="458"/>
      <c r="I409" s="458"/>
      <c r="J409" s="459"/>
      <c r="K409" s="460"/>
      <c r="L409" s="460"/>
      <c r="M409" s="4"/>
      <c r="N409" s="456"/>
      <c r="O409" s="456"/>
      <c r="P409" s="456"/>
      <c r="Q409" s="458"/>
      <c r="R409" s="459"/>
      <c r="S409" s="459"/>
      <c r="T409" s="459"/>
      <c r="AF409" s="205">
        <f t="shared" si="87"/>
        <v>48884</v>
      </c>
      <c r="AG409" s="194">
        <v>20</v>
      </c>
      <c r="AH409" s="194">
        <v>5</v>
      </c>
      <c r="AI409" s="194">
        <v>5</v>
      </c>
      <c r="AJ409" s="194">
        <v>1</v>
      </c>
      <c r="AK409" s="194">
        <v>30</v>
      </c>
    </row>
    <row r="410" spans="1:37">
      <c r="A410" s="455"/>
      <c r="B410" s="456"/>
      <c r="C410" s="457"/>
      <c r="D410" s="458"/>
      <c r="E410" s="456"/>
      <c r="F410" s="458"/>
      <c r="G410" s="456"/>
      <c r="H410" s="458"/>
      <c r="I410" s="458"/>
      <c r="J410" s="459"/>
      <c r="K410" s="460"/>
      <c r="L410" s="460"/>
      <c r="M410" s="4"/>
      <c r="N410" s="456"/>
      <c r="O410" s="456"/>
      <c r="P410" s="456"/>
      <c r="Q410" s="458"/>
      <c r="R410" s="459"/>
      <c r="S410" s="459"/>
      <c r="T410" s="459"/>
      <c r="AF410" s="205">
        <f t="shared" si="87"/>
        <v>48914</v>
      </c>
      <c r="AG410" s="194">
        <v>21</v>
      </c>
      <c r="AH410" s="194">
        <v>4</v>
      </c>
      <c r="AI410" s="194">
        <v>6</v>
      </c>
      <c r="AJ410" s="194">
        <v>1</v>
      </c>
      <c r="AK410" s="194">
        <v>31</v>
      </c>
    </row>
    <row r="411" spans="1:37">
      <c r="A411" s="455"/>
      <c r="B411" s="456"/>
      <c r="C411" s="457"/>
      <c r="D411" s="458"/>
      <c r="E411" s="456"/>
      <c r="F411" s="458"/>
      <c r="G411" s="456"/>
      <c r="H411" s="458"/>
      <c r="I411" s="458"/>
      <c r="J411" s="459"/>
      <c r="K411" s="460"/>
      <c r="L411" s="460"/>
      <c r="M411" s="4"/>
      <c r="N411" s="456"/>
      <c r="O411" s="456"/>
      <c r="P411" s="456"/>
      <c r="Q411" s="458"/>
      <c r="R411" s="459"/>
      <c r="S411" s="459"/>
      <c r="T411" s="459"/>
      <c r="AF411" s="205">
        <f t="shared" si="87"/>
        <v>48945</v>
      </c>
      <c r="AG411" s="194">
        <v>22</v>
      </c>
      <c r="AH411" s="194">
        <v>4</v>
      </c>
      <c r="AI411" s="194">
        <v>5</v>
      </c>
      <c r="AJ411" s="194">
        <v>1</v>
      </c>
      <c r="AK411" s="194">
        <v>31</v>
      </c>
    </row>
    <row r="412" spans="1:37">
      <c r="A412" s="455"/>
      <c r="B412" s="456"/>
      <c r="C412" s="457"/>
      <c r="D412" s="458"/>
      <c r="E412" s="456"/>
      <c r="F412" s="458"/>
      <c r="G412" s="456"/>
      <c r="H412" s="458"/>
      <c r="I412" s="458"/>
      <c r="J412" s="459"/>
      <c r="K412" s="460"/>
      <c r="L412" s="460"/>
      <c r="M412" s="4"/>
      <c r="N412" s="456"/>
      <c r="O412" s="456"/>
      <c r="P412" s="456"/>
      <c r="Q412" s="458"/>
      <c r="R412" s="459"/>
      <c r="S412" s="459"/>
      <c r="T412" s="459"/>
      <c r="AF412" s="205">
        <f t="shared" si="87"/>
        <v>48976</v>
      </c>
      <c r="AG412" s="194">
        <v>20</v>
      </c>
      <c r="AH412" s="194">
        <v>4</v>
      </c>
      <c r="AI412" s="194">
        <v>4</v>
      </c>
      <c r="AJ412" s="194">
        <v>0</v>
      </c>
      <c r="AK412" s="194">
        <v>28</v>
      </c>
    </row>
    <row r="413" spans="1:37">
      <c r="A413" s="455"/>
      <c r="B413" s="456"/>
      <c r="C413" s="457"/>
      <c r="D413" s="458"/>
      <c r="E413" s="456"/>
      <c r="F413" s="458"/>
      <c r="G413" s="456"/>
      <c r="H413" s="458"/>
      <c r="I413" s="458"/>
      <c r="J413" s="459"/>
      <c r="K413" s="460"/>
      <c r="L413" s="460"/>
      <c r="M413" s="4"/>
      <c r="N413" s="456"/>
      <c r="O413" s="456"/>
      <c r="P413" s="456"/>
      <c r="Q413" s="458"/>
      <c r="R413" s="459"/>
      <c r="S413" s="459"/>
      <c r="T413" s="459"/>
      <c r="AF413" s="205">
        <f t="shared" si="87"/>
        <v>49004</v>
      </c>
      <c r="AG413" s="194">
        <v>21</v>
      </c>
      <c r="AH413" s="194">
        <v>5</v>
      </c>
      <c r="AI413" s="194">
        <v>5</v>
      </c>
      <c r="AJ413" s="194">
        <v>0</v>
      </c>
      <c r="AK413" s="194">
        <v>31</v>
      </c>
    </row>
    <row r="414" spans="1:37">
      <c r="A414" s="455"/>
      <c r="B414" s="456"/>
      <c r="C414" s="457"/>
      <c r="D414" s="458"/>
      <c r="E414" s="456"/>
      <c r="F414" s="458"/>
      <c r="G414" s="456"/>
      <c r="H414" s="458"/>
      <c r="I414" s="458"/>
      <c r="J414" s="459"/>
      <c r="K414" s="460"/>
      <c r="L414" s="460"/>
      <c r="M414" s="4"/>
      <c r="N414" s="456"/>
      <c r="O414" s="456"/>
      <c r="P414" s="456"/>
      <c r="Q414" s="458"/>
      <c r="R414" s="459"/>
      <c r="S414" s="459"/>
      <c r="T414" s="459"/>
      <c r="AF414" s="205">
        <f t="shared" si="87"/>
        <v>49035</v>
      </c>
      <c r="AG414" s="194">
        <v>22</v>
      </c>
      <c r="AH414" s="194">
        <v>4</v>
      </c>
      <c r="AI414" s="194">
        <v>4</v>
      </c>
      <c r="AJ414" s="194">
        <v>0</v>
      </c>
      <c r="AK414" s="194">
        <v>30</v>
      </c>
    </row>
    <row r="415" spans="1:37">
      <c r="A415" s="455"/>
      <c r="B415" s="456"/>
      <c r="C415" s="457"/>
      <c r="D415" s="458"/>
      <c r="E415" s="456"/>
      <c r="F415" s="458"/>
      <c r="G415" s="456"/>
      <c r="H415" s="458"/>
      <c r="I415" s="458"/>
      <c r="J415" s="459"/>
      <c r="K415" s="460"/>
      <c r="L415" s="460"/>
      <c r="M415" s="4"/>
      <c r="N415" s="456"/>
      <c r="O415" s="456"/>
      <c r="P415" s="456"/>
      <c r="Q415" s="458"/>
      <c r="R415" s="459"/>
      <c r="S415" s="459"/>
      <c r="T415" s="459"/>
      <c r="AF415" s="205">
        <f t="shared" ref="AF415:AF446" si="88">EOMONTH(AF414,0)+1</f>
        <v>49065</v>
      </c>
      <c r="AG415" s="194">
        <v>22</v>
      </c>
      <c r="AH415" s="194">
        <v>4</v>
      </c>
      <c r="AI415" s="194">
        <v>5</v>
      </c>
      <c r="AJ415" s="194">
        <v>1</v>
      </c>
      <c r="AK415" s="194">
        <v>31</v>
      </c>
    </row>
    <row r="416" spans="1:37">
      <c r="A416" s="455"/>
      <c r="B416" s="456"/>
      <c r="C416" s="457"/>
      <c r="D416" s="458"/>
      <c r="E416" s="456"/>
      <c r="F416" s="458"/>
      <c r="G416" s="456"/>
      <c r="H416" s="458"/>
      <c r="I416" s="458"/>
      <c r="J416" s="459"/>
      <c r="K416" s="460"/>
      <c r="L416" s="460"/>
      <c r="M416" s="4"/>
      <c r="N416" s="456"/>
      <c r="O416" s="456"/>
      <c r="P416" s="456"/>
      <c r="Q416" s="458"/>
      <c r="R416" s="459"/>
      <c r="S416" s="459"/>
      <c r="T416" s="459"/>
      <c r="AF416" s="205">
        <f t="shared" si="88"/>
        <v>49096</v>
      </c>
      <c r="AG416" s="194">
        <v>20</v>
      </c>
      <c r="AH416" s="194">
        <v>5</v>
      </c>
      <c r="AI416" s="194">
        <v>5</v>
      </c>
      <c r="AJ416" s="194">
        <v>0</v>
      </c>
      <c r="AK416" s="194">
        <v>30</v>
      </c>
    </row>
    <row r="417" spans="1:37">
      <c r="A417" s="455"/>
      <c r="B417" s="456"/>
      <c r="C417" s="457"/>
      <c r="D417" s="458"/>
      <c r="E417" s="456"/>
      <c r="F417" s="458"/>
      <c r="G417" s="456"/>
      <c r="H417" s="458"/>
      <c r="I417" s="458"/>
      <c r="J417" s="459"/>
      <c r="K417" s="460"/>
      <c r="L417" s="460"/>
      <c r="M417" s="4"/>
      <c r="N417" s="456"/>
      <c r="O417" s="456"/>
      <c r="P417" s="456"/>
      <c r="Q417" s="458"/>
      <c r="R417" s="459"/>
      <c r="S417" s="459"/>
      <c r="T417" s="459"/>
      <c r="AF417" s="205">
        <f t="shared" si="88"/>
        <v>49126</v>
      </c>
      <c r="AG417" s="194">
        <v>22</v>
      </c>
      <c r="AH417" s="194">
        <v>4</v>
      </c>
      <c r="AI417" s="194">
        <v>5</v>
      </c>
      <c r="AJ417" s="194">
        <v>1</v>
      </c>
      <c r="AK417" s="194">
        <v>31</v>
      </c>
    </row>
    <row r="418" spans="1:37">
      <c r="A418" s="455"/>
      <c r="B418" s="456"/>
      <c r="C418" s="457"/>
      <c r="D418" s="458"/>
      <c r="E418" s="456"/>
      <c r="F418" s="458"/>
      <c r="G418" s="456"/>
      <c r="H418" s="458"/>
      <c r="I418" s="458"/>
      <c r="J418" s="459"/>
      <c r="K418" s="460"/>
      <c r="L418" s="460"/>
      <c r="M418" s="4"/>
      <c r="N418" s="456"/>
      <c r="O418" s="456"/>
      <c r="P418" s="456"/>
      <c r="Q418" s="458"/>
      <c r="R418" s="459"/>
      <c r="S418" s="459"/>
      <c r="T418" s="459"/>
      <c r="AF418" s="205">
        <f t="shared" si="88"/>
        <v>49157</v>
      </c>
      <c r="AG418" s="194">
        <v>22</v>
      </c>
      <c r="AH418" s="194">
        <v>5</v>
      </c>
      <c r="AI418" s="194">
        <v>4</v>
      </c>
      <c r="AJ418" s="194">
        <v>0</v>
      </c>
      <c r="AK418" s="194">
        <v>31</v>
      </c>
    </row>
    <row r="419" spans="1:37">
      <c r="A419" s="455"/>
      <c r="B419" s="456"/>
      <c r="C419" s="457"/>
      <c r="D419" s="458"/>
      <c r="E419" s="456"/>
      <c r="F419" s="458"/>
      <c r="G419" s="456"/>
      <c r="H419" s="458"/>
      <c r="I419" s="458"/>
      <c r="J419" s="459"/>
      <c r="K419" s="460"/>
      <c r="L419" s="460"/>
      <c r="M419" s="4"/>
      <c r="N419" s="456"/>
      <c r="O419" s="456"/>
      <c r="P419" s="456"/>
      <c r="Q419" s="458"/>
      <c r="R419" s="459"/>
      <c r="S419" s="459"/>
      <c r="T419" s="459"/>
      <c r="AF419" s="205">
        <f t="shared" si="88"/>
        <v>49188</v>
      </c>
      <c r="AG419" s="194">
        <v>20</v>
      </c>
      <c r="AH419" s="194">
        <v>4</v>
      </c>
      <c r="AI419" s="194">
        <v>6</v>
      </c>
      <c r="AJ419" s="194">
        <v>1</v>
      </c>
      <c r="AK419" s="194">
        <v>30</v>
      </c>
    </row>
    <row r="420" spans="1:37">
      <c r="A420" s="455"/>
      <c r="B420" s="456"/>
      <c r="C420" s="457"/>
      <c r="D420" s="458"/>
      <c r="E420" s="456"/>
      <c r="F420" s="458"/>
      <c r="G420" s="456"/>
      <c r="H420" s="458"/>
      <c r="I420" s="458"/>
      <c r="J420" s="459"/>
      <c r="K420" s="460"/>
      <c r="L420" s="460"/>
      <c r="M420" s="4"/>
      <c r="N420" s="456"/>
      <c r="O420" s="456"/>
      <c r="P420" s="456"/>
      <c r="Q420" s="458"/>
      <c r="R420" s="459"/>
      <c r="S420" s="459"/>
      <c r="T420" s="459"/>
      <c r="AF420" s="205">
        <f t="shared" si="88"/>
        <v>49218</v>
      </c>
      <c r="AG420" s="194">
        <v>23</v>
      </c>
      <c r="AH420" s="194">
        <v>4</v>
      </c>
      <c r="AI420" s="194">
        <v>4</v>
      </c>
      <c r="AJ420" s="194">
        <v>0</v>
      </c>
      <c r="AK420" s="194">
        <v>31</v>
      </c>
    </row>
    <row r="421" spans="1:37">
      <c r="A421" s="45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AF421" s="205">
        <f t="shared" si="88"/>
        <v>49249</v>
      </c>
      <c r="AG421" s="194">
        <v>20</v>
      </c>
      <c r="AH421" s="194">
        <v>5</v>
      </c>
      <c r="AI421" s="194">
        <v>5</v>
      </c>
      <c r="AJ421" s="194">
        <v>1</v>
      </c>
      <c r="AK421" s="194">
        <v>30</v>
      </c>
    </row>
    <row r="422" spans="1:37">
      <c r="A422" s="45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AF422" s="205">
        <f t="shared" si="88"/>
        <v>49279</v>
      </c>
      <c r="AG422" s="194">
        <v>21</v>
      </c>
      <c r="AH422" s="194">
        <v>4</v>
      </c>
      <c r="AI422" s="194">
        <v>6</v>
      </c>
      <c r="AJ422" s="194">
        <v>1</v>
      </c>
      <c r="AK422" s="194">
        <v>31</v>
      </c>
    </row>
    <row r="423" spans="1:37">
      <c r="A423" s="45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AF423" s="205">
        <f t="shared" si="88"/>
        <v>49310</v>
      </c>
      <c r="AG423" s="194">
        <v>22</v>
      </c>
      <c r="AH423" s="194">
        <v>4</v>
      </c>
      <c r="AI423" s="194">
        <v>5</v>
      </c>
      <c r="AJ423" s="194">
        <v>1</v>
      </c>
      <c r="AK423" s="194">
        <v>31</v>
      </c>
    </row>
    <row r="424" spans="1:37">
      <c r="A424" s="45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AF424" s="205">
        <f t="shared" si="88"/>
        <v>49341</v>
      </c>
      <c r="AG424" s="194">
        <v>20</v>
      </c>
      <c r="AH424" s="194">
        <v>4</v>
      </c>
      <c r="AI424" s="194">
        <v>4</v>
      </c>
      <c r="AJ424" s="194">
        <v>0</v>
      </c>
      <c r="AK424" s="194">
        <v>28</v>
      </c>
    </row>
    <row r="425" spans="1:37">
      <c r="A425" s="45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AF425" s="205">
        <f t="shared" si="88"/>
        <v>49369</v>
      </c>
      <c r="AG425" s="194">
        <v>21</v>
      </c>
      <c r="AH425" s="194">
        <v>5</v>
      </c>
      <c r="AI425" s="194">
        <v>5</v>
      </c>
      <c r="AJ425" s="194">
        <v>0</v>
      </c>
      <c r="AK425" s="194">
        <v>31</v>
      </c>
    </row>
    <row r="426" spans="1:37">
      <c r="A426" s="45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AF426" s="205">
        <f t="shared" si="88"/>
        <v>49400</v>
      </c>
      <c r="AG426" s="194">
        <v>22</v>
      </c>
      <c r="AH426" s="194">
        <v>4</v>
      </c>
      <c r="AI426" s="194">
        <v>4</v>
      </c>
      <c r="AJ426" s="194">
        <v>0</v>
      </c>
      <c r="AK426" s="194">
        <v>30</v>
      </c>
    </row>
    <row r="427" spans="1:37">
      <c r="A427" s="45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AF427" s="205">
        <f t="shared" si="88"/>
        <v>49430</v>
      </c>
      <c r="AG427" s="194">
        <v>22</v>
      </c>
      <c r="AH427" s="194">
        <v>4</v>
      </c>
      <c r="AI427" s="194">
        <v>5</v>
      </c>
      <c r="AJ427" s="194">
        <v>1</v>
      </c>
      <c r="AK427" s="194">
        <v>31</v>
      </c>
    </row>
    <row r="428" spans="1:37">
      <c r="A428" s="176"/>
      <c r="AF428" s="205">
        <f t="shared" si="88"/>
        <v>49461</v>
      </c>
      <c r="AG428" s="194">
        <v>20</v>
      </c>
      <c r="AH428" s="194">
        <v>5</v>
      </c>
      <c r="AI428" s="194">
        <v>5</v>
      </c>
      <c r="AJ428" s="194">
        <v>0</v>
      </c>
      <c r="AK428" s="194">
        <v>30</v>
      </c>
    </row>
    <row r="429" spans="1:37">
      <c r="A429" s="176"/>
      <c r="AF429" s="205">
        <f t="shared" si="88"/>
        <v>49491</v>
      </c>
      <c r="AG429" s="194">
        <v>22</v>
      </c>
      <c r="AH429" s="194">
        <v>4</v>
      </c>
      <c r="AI429" s="194">
        <v>5</v>
      </c>
      <c r="AJ429" s="194">
        <v>1</v>
      </c>
      <c r="AK429" s="194">
        <v>31</v>
      </c>
    </row>
    <row r="430" spans="1:37">
      <c r="A430" s="176"/>
      <c r="AF430" s="205">
        <f t="shared" si="88"/>
        <v>49522</v>
      </c>
      <c r="AG430" s="194">
        <v>22</v>
      </c>
      <c r="AH430" s="194">
        <v>5</v>
      </c>
      <c r="AI430" s="194">
        <v>4</v>
      </c>
      <c r="AJ430" s="194">
        <v>0</v>
      </c>
      <c r="AK430" s="194">
        <v>31</v>
      </c>
    </row>
    <row r="431" spans="1:37">
      <c r="A431" s="176"/>
      <c r="AF431" s="205">
        <f t="shared" si="88"/>
        <v>49553</v>
      </c>
      <c r="AG431" s="194">
        <v>20</v>
      </c>
      <c r="AH431" s="194">
        <v>4</v>
      </c>
      <c r="AI431" s="194">
        <v>6</v>
      </c>
      <c r="AJ431" s="194">
        <v>1</v>
      </c>
      <c r="AK431" s="194">
        <v>30</v>
      </c>
    </row>
    <row r="432" spans="1:37">
      <c r="A432" s="175"/>
      <c r="AF432" s="205">
        <f t="shared" si="88"/>
        <v>49583</v>
      </c>
      <c r="AG432" s="194">
        <v>23</v>
      </c>
      <c r="AH432" s="194">
        <v>4</v>
      </c>
      <c r="AI432" s="194">
        <v>4</v>
      </c>
      <c r="AJ432" s="194">
        <v>0</v>
      </c>
      <c r="AK432" s="194">
        <v>31</v>
      </c>
    </row>
    <row r="433" spans="1:37">
      <c r="A433" s="175"/>
      <c r="AF433" s="205">
        <f t="shared" si="88"/>
        <v>49614</v>
      </c>
      <c r="AG433" s="194">
        <v>20</v>
      </c>
      <c r="AH433" s="194">
        <v>5</v>
      </c>
      <c r="AI433" s="194">
        <v>5</v>
      </c>
      <c r="AJ433" s="194">
        <v>1</v>
      </c>
      <c r="AK433" s="194">
        <v>30</v>
      </c>
    </row>
    <row r="434" spans="1:37">
      <c r="A434" s="175"/>
      <c r="AF434" s="205">
        <f t="shared" si="88"/>
        <v>49644</v>
      </c>
      <c r="AG434" s="194">
        <v>21</v>
      </c>
      <c r="AH434" s="194">
        <v>4</v>
      </c>
      <c r="AI434" s="194">
        <v>6</v>
      </c>
      <c r="AJ434" s="194">
        <v>1</v>
      </c>
      <c r="AK434" s="194">
        <v>31</v>
      </c>
    </row>
    <row r="435" spans="1:37">
      <c r="A435" s="175"/>
      <c r="AF435" s="205">
        <f t="shared" si="88"/>
        <v>49675</v>
      </c>
      <c r="AG435" s="194">
        <v>22</v>
      </c>
      <c r="AH435" s="194">
        <v>4</v>
      </c>
      <c r="AI435" s="194">
        <v>5</v>
      </c>
      <c r="AJ435" s="194">
        <v>1</v>
      </c>
      <c r="AK435" s="194">
        <v>31</v>
      </c>
    </row>
    <row r="436" spans="1:37">
      <c r="A436" s="175"/>
      <c r="AF436" s="205">
        <f t="shared" si="88"/>
        <v>49706</v>
      </c>
      <c r="AG436" s="194">
        <v>20</v>
      </c>
      <c r="AH436" s="194">
        <v>5</v>
      </c>
      <c r="AI436" s="194">
        <v>4</v>
      </c>
      <c r="AJ436" s="194">
        <v>0</v>
      </c>
      <c r="AK436" s="194">
        <v>29</v>
      </c>
    </row>
    <row r="437" spans="1:37">
      <c r="A437" s="175"/>
      <c r="AF437" s="205">
        <f t="shared" si="88"/>
        <v>49735</v>
      </c>
      <c r="AG437" s="194">
        <v>22</v>
      </c>
      <c r="AH437" s="194">
        <v>4</v>
      </c>
      <c r="AI437" s="194">
        <v>5</v>
      </c>
      <c r="AJ437" s="194">
        <v>0</v>
      </c>
      <c r="AK437" s="194">
        <v>31</v>
      </c>
    </row>
    <row r="438" spans="1:37">
      <c r="A438" s="175"/>
      <c r="AF438" s="205">
        <f t="shared" si="88"/>
        <v>49766</v>
      </c>
      <c r="AG438" s="194">
        <v>22</v>
      </c>
      <c r="AH438" s="194">
        <v>4</v>
      </c>
      <c r="AI438" s="194">
        <v>4</v>
      </c>
      <c r="AJ438" s="194">
        <v>0</v>
      </c>
      <c r="AK438" s="194">
        <v>30</v>
      </c>
    </row>
    <row r="439" spans="1:37">
      <c r="A439" s="175"/>
      <c r="AF439" s="205">
        <f t="shared" si="88"/>
        <v>49796</v>
      </c>
      <c r="AG439" s="194">
        <v>20</v>
      </c>
      <c r="AH439" s="194">
        <v>5</v>
      </c>
      <c r="AI439" s="194">
        <v>6</v>
      </c>
      <c r="AJ439" s="194">
        <v>1</v>
      </c>
      <c r="AK439" s="194">
        <v>31</v>
      </c>
    </row>
    <row r="440" spans="1:37">
      <c r="A440" s="175"/>
      <c r="AF440" s="205">
        <f t="shared" si="88"/>
        <v>49827</v>
      </c>
      <c r="AG440" s="194">
        <v>22</v>
      </c>
      <c r="AH440" s="194">
        <v>4</v>
      </c>
      <c r="AI440" s="194">
        <v>4</v>
      </c>
      <c r="AJ440" s="194">
        <v>0</v>
      </c>
      <c r="AK440" s="194">
        <v>30</v>
      </c>
    </row>
    <row r="441" spans="1:37">
      <c r="A441" s="175"/>
      <c r="AF441" s="205">
        <f t="shared" si="88"/>
        <v>49857</v>
      </c>
      <c r="AG441" s="194">
        <v>23</v>
      </c>
      <c r="AH441" s="194">
        <v>3</v>
      </c>
      <c r="AI441" s="194">
        <v>5</v>
      </c>
      <c r="AJ441" s="194">
        <v>1</v>
      </c>
      <c r="AK441" s="194">
        <v>31</v>
      </c>
    </row>
    <row r="442" spans="1:37">
      <c r="A442" s="175"/>
      <c r="AF442" s="205">
        <f t="shared" si="88"/>
        <v>49888</v>
      </c>
      <c r="AG442" s="194">
        <v>21</v>
      </c>
      <c r="AH442" s="194">
        <v>5</v>
      </c>
      <c r="AI442" s="194">
        <v>5</v>
      </c>
      <c r="AJ442" s="194">
        <v>0</v>
      </c>
      <c r="AK442" s="194">
        <v>31</v>
      </c>
    </row>
    <row r="443" spans="1:37">
      <c r="A443" s="175"/>
      <c r="AF443" s="205">
        <f t="shared" si="88"/>
        <v>49919</v>
      </c>
      <c r="AG443" s="194">
        <v>21</v>
      </c>
      <c r="AH443" s="194">
        <v>4</v>
      </c>
      <c r="AI443" s="194">
        <v>5</v>
      </c>
      <c r="AJ443" s="194">
        <v>1</v>
      </c>
      <c r="AK443" s="194">
        <v>30</v>
      </c>
    </row>
    <row r="444" spans="1:37">
      <c r="A444" s="175"/>
      <c r="AF444" s="205">
        <f t="shared" si="88"/>
        <v>49949</v>
      </c>
      <c r="AG444" s="194">
        <v>22</v>
      </c>
      <c r="AH444" s="194">
        <v>5</v>
      </c>
      <c r="AI444" s="194">
        <v>4</v>
      </c>
      <c r="AJ444" s="194">
        <v>0</v>
      </c>
      <c r="AK444" s="194">
        <v>31</v>
      </c>
    </row>
    <row r="445" spans="1:37">
      <c r="A445" s="175"/>
      <c r="AF445" s="205">
        <f t="shared" si="88"/>
        <v>49980</v>
      </c>
      <c r="AG445" s="194">
        <v>20</v>
      </c>
      <c r="AH445" s="194">
        <v>4</v>
      </c>
      <c r="AI445" s="194">
        <v>6</v>
      </c>
      <c r="AJ445" s="194">
        <v>1</v>
      </c>
      <c r="AK445" s="194">
        <v>30</v>
      </c>
    </row>
    <row r="446" spans="1:37">
      <c r="A446" s="175"/>
      <c r="AF446" s="205">
        <f t="shared" si="88"/>
        <v>50010</v>
      </c>
      <c r="AG446" s="194">
        <v>22</v>
      </c>
      <c r="AH446" s="194">
        <v>4</v>
      </c>
      <c r="AI446" s="194">
        <v>5</v>
      </c>
      <c r="AJ446" s="194">
        <v>1</v>
      </c>
      <c r="AK446" s="194">
        <v>31</v>
      </c>
    </row>
    <row r="447" spans="1:37">
      <c r="A447" s="175"/>
    </row>
    <row r="448" spans="1:37">
      <c r="A448" s="175"/>
    </row>
    <row r="449" spans="1:1">
      <c r="A449" s="175"/>
    </row>
    <row r="450" spans="1:1">
      <c r="A450" s="175"/>
    </row>
    <row r="451" spans="1:1">
      <c r="A451" s="175"/>
    </row>
    <row r="452" spans="1:1">
      <c r="A452" s="175"/>
    </row>
    <row r="453" spans="1:1">
      <c r="A453" s="175"/>
    </row>
    <row r="454" spans="1:1">
      <c r="A454" s="175"/>
    </row>
    <row r="455" spans="1:1">
      <c r="A455" s="175"/>
    </row>
    <row r="456" spans="1:1">
      <c r="A456" s="175"/>
    </row>
    <row r="457" spans="1:1">
      <c r="A457" s="175"/>
    </row>
    <row r="458" spans="1:1">
      <c r="A458" s="175"/>
    </row>
    <row r="459" spans="1:1">
      <c r="A459" s="175"/>
    </row>
    <row r="460" spans="1:1">
      <c r="A460" s="175"/>
    </row>
    <row r="461" spans="1:1">
      <c r="A461" s="175"/>
    </row>
    <row r="462" spans="1:1">
      <c r="A462" s="175"/>
    </row>
    <row r="463" spans="1:1">
      <c r="A463" s="175"/>
    </row>
    <row r="464" spans="1:1">
      <c r="A464" s="175"/>
    </row>
    <row r="465" spans="1:1">
      <c r="A465" s="175"/>
    </row>
    <row r="466" spans="1:1">
      <c r="A466" s="175"/>
    </row>
    <row r="467" spans="1:1">
      <c r="A467" s="175"/>
    </row>
    <row r="468" spans="1:1">
      <c r="A468" s="175"/>
    </row>
    <row r="469" spans="1:1">
      <c r="A469" s="175"/>
    </row>
    <row r="470" spans="1:1">
      <c r="A470" s="175"/>
    </row>
    <row r="471" spans="1:1">
      <c r="A471" s="175"/>
    </row>
    <row r="472" spans="1:1">
      <c r="A472" s="175"/>
    </row>
    <row r="473" spans="1:1">
      <c r="A473" s="175"/>
    </row>
    <row r="474" spans="1:1">
      <c r="A474" s="175"/>
    </row>
    <row r="475" spans="1:1">
      <c r="A475" s="175"/>
    </row>
    <row r="476" spans="1:1">
      <c r="A476" s="175"/>
    </row>
    <row r="477" spans="1:1">
      <c r="A477" s="175"/>
    </row>
    <row r="478" spans="1:1">
      <c r="A478" s="175"/>
    </row>
    <row r="479" spans="1:1">
      <c r="A479" s="175"/>
    </row>
    <row r="480" spans="1:1">
      <c r="A480" s="175"/>
    </row>
    <row r="481" spans="1:1">
      <c r="A481" s="175"/>
    </row>
    <row r="482" spans="1:1">
      <c r="A482" s="175"/>
    </row>
    <row r="483" spans="1:1">
      <c r="A483" s="175"/>
    </row>
    <row r="484" spans="1:1">
      <c r="A484" s="175"/>
    </row>
    <row r="485" spans="1:1">
      <c r="A485" s="175"/>
    </row>
    <row r="486" spans="1:1">
      <c r="A486" s="175"/>
    </row>
    <row r="487" spans="1:1">
      <c r="A487" s="175"/>
    </row>
    <row r="488" spans="1:1">
      <c r="A488" s="175"/>
    </row>
    <row r="489" spans="1:1">
      <c r="A489" s="175"/>
    </row>
    <row r="490" spans="1:1">
      <c r="A490" s="175"/>
    </row>
    <row r="491" spans="1:1">
      <c r="A491" s="175"/>
    </row>
    <row r="492" spans="1:1">
      <c r="A492" s="175"/>
    </row>
    <row r="493" spans="1:1">
      <c r="A493" s="175"/>
    </row>
    <row r="494" spans="1:1">
      <c r="A494" s="175"/>
    </row>
    <row r="495" spans="1:1">
      <c r="A495" s="175"/>
    </row>
    <row r="496" spans="1:1">
      <c r="A496" s="175"/>
    </row>
    <row r="497" spans="1:1">
      <c r="A497" s="175"/>
    </row>
    <row r="498" spans="1:1">
      <c r="A498" s="175"/>
    </row>
    <row r="499" spans="1:1">
      <c r="A499" s="175"/>
    </row>
    <row r="500" spans="1:1">
      <c r="A500" s="175"/>
    </row>
    <row r="501" spans="1:1">
      <c r="A501" s="175"/>
    </row>
    <row r="502" spans="1:1">
      <c r="A502" s="175"/>
    </row>
    <row r="503" spans="1:1">
      <c r="A503" s="175"/>
    </row>
    <row r="504" spans="1:1">
      <c r="A504" s="175"/>
    </row>
    <row r="505" spans="1:1">
      <c r="A505" s="175"/>
    </row>
    <row r="506" spans="1:1">
      <c r="A506" s="175"/>
    </row>
    <row r="507" spans="1:1">
      <c r="A507" s="175"/>
    </row>
    <row r="508" spans="1:1">
      <c r="A508" s="175"/>
    </row>
    <row r="509" spans="1:1">
      <c r="A509" s="175"/>
    </row>
    <row r="510" spans="1:1">
      <c r="A510" s="175"/>
    </row>
    <row r="511" spans="1:1">
      <c r="A511" s="175"/>
    </row>
    <row r="512" spans="1:1">
      <c r="A512" s="175"/>
    </row>
    <row r="513" spans="1:1">
      <c r="A513" s="175"/>
    </row>
    <row r="514" spans="1:1">
      <c r="A514" s="175"/>
    </row>
    <row r="515" spans="1:1">
      <c r="A515" s="175"/>
    </row>
    <row r="516" spans="1:1">
      <c r="A516" s="175"/>
    </row>
    <row r="517" spans="1:1">
      <c r="A517" s="175"/>
    </row>
    <row r="518" spans="1:1">
      <c r="A518" s="175"/>
    </row>
    <row r="519" spans="1:1">
      <c r="A519" s="175"/>
    </row>
    <row r="520" spans="1:1">
      <c r="A520" s="175"/>
    </row>
    <row r="521" spans="1:1">
      <c r="A521" s="175"/>
    </row>
    <row r="522" spans="1:1">
      <c r="A522" s="175"/>
    </row>
    <row r="523" spans="1:1">
      <c r="A523" s="175"/>
    </row>
    <row r="524" spans="1:1">
      <c r="A524" s="175"/>
    </row>
    <row r="525" spans="1:1">
      <c r="A525" s="175"/>
    </row>
    <row r="526" spans="1:1">
      <c r="A526" s="175"/>
    </row>
    <row r="527" spans="1:1">
      <c r="A527" s="175"/>
    </row>
    <row r="528" spans="1:1">
      <c r="A528" s="175"/>
    </row>
    <row r="529" spans="1:1">
      <c r="A529" s="175"/>
    </row>
    <row r="530" spans="1:1">
      <c r="A530" s="175"/>
    </row>
    <row r="531" spans="1:1">
      <c r="A531" s="175"/>
    </row>
    <row r="532" spans="1:1">
      <c r="A532" s="175"/>
    </row>
    <row r="533" spans="1:1">
      <c r="A533" s="175"/>
    </row>
    <row r="534" spans="1:1">
      <c r="A534" s="175"/>
    </row>
    <row r="535" spans="1:1">
      <c r="A535" s="175"/>
    </row>
    <row r="536" spans="1:1">
      <c r="A536" s="175"/>
    </row>
    <row r="537" spans="1:1">
      <c r="A537" s="175"/>
    </row>
    <row r="538" spans="1:1">
      <c r="A538" s="175"/>
    </row>
    <row r="539" spans="1:1">
      <c r="A539" s="175"/>
    </row>
    <row r="540" spans="1:1">
      <c r="A540" s="175"/>
    </row>
    <row r="541" spans="1:1">
      <c r="A541" s="175"/>
    </row>
    <row r="542" spans="1:1">
      <c r="A542" s="175"/>
    </row>
    <row r="543" spans="1:1">
      <c r="A543" s="175"/>
    </row>
    <row r="544" spans="1:1">
      <c r="A544" s="175"/>
    </row>
    <row r="545" spans="1:1">
      <c r="A545" s="175"/>
    </row>
    <row r="546" spans="1:1">
      <c r="A546" s="175"/>
    </row>
    <row r="547" spans="1:1">
      <c r="A547" s="175"/>
    </row>
    <row r="548" spans="1:1">
      <c r="A548" s="175"/>
    </row>
    <row r="549" spans="1:1">
      <c r="A549" s="175"/>
    </row>
    <row r="550" spans="1:1">
      <c r="A550" s="175"/>
    </row>
    <row r="551" spans="1:1">
      <c r="A551" s="175"/>
    </row>
    <row r="552" spans="1:1">
      <c r="A552" s="175"/>
    </row>
    <row r="553" spans="1:1">
      <c r="A553" s="175"/>
    </row>
    <row r="554" spans="1:1">
      <c r="A554" s="175"/>
    </row>
    <row r="555" spans="1:1">
      <c r="A555" s="175"/>
    </row>
    <row r="556" spans="1:1">
      <c r="A556" s="175"/>
    </row>
    <row r="557" spans="1:1">
      <c r="A557" s="175"/>
    </row>
    <row r="558" spans="1:1">
      <c r="A558" s="175"/>
    </row>
    <row r="559" spans="1:1">
      <c r="A559" s="175"/>
    </row>
    <row r="560" spans="1:1">
      <c r="A560" s="175"/>
    </row>
    <row r="561" spans="1:1">
      <c r="A561" s="175"/>
    </row>
    <row r="562" spans="1:1">
      <c r="A562" s="175"/>
    </row>
    <row r="563" spans="1:1">
      <c r="A563" s="175"/>
    </row>
    <row r="564" spans="1:1">
      <c r="A564" s="175"/>
    </row>
    <row r="565" spans="1:1">
      <c r="A565" s="175"/>
    </row>
    <row r="566" spans="1:1">
      <c r="A566" s="175"/>
    </row>
    <row r="567" spans="1:1">
      <c r="A567" s="175"/>
    </row>
    <row r="568" spans="1:1">
      <c r="A568" s="175"/>
    </row>
    <row r="569" spans="1:1">
      <c r="A569" s="175"/>
    </row>
    <row r="570" spans="1:1">
      <c r="A570" s="175"/>
    </row>
    <row r="571" spans="1:1">
      <c r="A571" s="175"/>
    </row>
    <row r="572" spans="1:1">
      <c r="A572" s="175"/>
    </row>
    <row r="573" spans="1:1">
      <c r="A573" s="175"/>
    </row>
    <row r="574" spans="1:1">
      <c r="A574" s="175"/>
    </row>
    <row r="575" spans="1:1">
      <c r="A575" s="175"/>
    </row>
    <row r="576" spans="1:1">
      <c r="A576" s="175"/>
    </row>
    <row r="577" spans="1:1">
      <c r="A577" s="175"/>
    </row>
    <row r="578" spans="1:1">
      <c r="A578" s="175"/>
    </row>
    <row r="579" spans="1:1">
      <c r="A579" s="175"/>
    </row>
    <row r="580" spans="1:1">
      <c r="A580" s="175"/>
    </row>
    <row r="581" spans="1:1">
      <c r="A581" s="175"/>
    </row>
    <row r="582" spans="1:1">
      <c r="A582" s="175"/>
    </row>
    <row r="583" spans="1:1">
      <c r="A583" s="175"/>
    </row>
    <row r="584" spans="1:1">
      <c r="A584" s="175"/>
    </row>
    <row r="585" spans="1:1">
      <c r="A585" s="175"/>
    </row>
    <row r="586" spans="1:1">
      <c r="A586" s="175"/>
    </row>
    <row r="587" spans="1:1">
      <c r="A587" s="175"/>
    </row>
    <row r="588" spans="1:1">
      <c r="A588" s="175"/>
    </row>
    <row r="589" spans="1:1">
      <c r="A589" s="175"/>
    </row>
    <row r="590" spans="1:1">
      <c r="A590" s="175"/>
    </row>
    <row r="591" spans="1:1">
      <c r="A591" s="175"/>
    </row>
    <row r="592" spans="1:1">
      <c r="A592" s="175"/>
    </row>
    <row r="593" spans="1:1">
      <c r="A593" s="175"/>
    </row>
    <row r="594" spans="1:1">
      <c r="A594" s="175"/>
    </row>
    <row r="595" spans="1:1">
      <c r="A595" s="175"/>
    </row>
    <row r="596" spans="1:1">
      <c r="A596" s="175"/>
    </row>
    <row r="597" spans="1:1">
      <c r="A597" s="175"/>
    </row>
    <row r="598" spans="1:1">
      <c r="A598" s="175"/>
    </row>
    <row r="599" spans="1:1">
      <c r="A599" s="175"/>
    </row>
    <row r="600" spans="1:1">
      <c r="A600" s="175"/>
    </row>
    <row r="601" spans="1:1">
      <c r="A601" s="175"/>
    </row>
    <row r="602" spans="1:1">
      <c r="A602" s="175"/>
    </row>
    <row r="603" spans="1:1">
      <c r="A603" s="175"/>
    </row>
    <row r="604" spans="1:1">
      <c r="A604" s="175"/>
    </row>
    <row r="605" spans="1:1">
      <c r="A605" s="175"/>
    </row>
    <row r="606" spans="1:1">
      <c r="A606" s="175"/>
    </row>
    <row r="607" spans="1:1">
      <c r="A607" s="175"/>
    </row>
    <row r="608" spans="1:1">
      <c r="A608" s="175"/>
    </row>
    <row r="609" spans="1:1">
      <c r="A609" s="175"/>
    </row>
    <row r="610" spans="1:1">
      <c r="A610" s="175"/>
    </row>
    <row r="611" spans="1:1">
      <c r="A611" s="175"/>
    </row>
    <row r="612" spans="1:1">
      <c r="A612" s="175"/>
    </row>
    <row r="613" spans="1:1">
      <c r="A613" s="175"/>
    </row>
    <row r="614" spans="1:1">
      <c r="A614" s="175"/>
    </row>
    <row r="615" spans="1:1">
      <c r="A615" s="175"/>
    </row>
    <row r="616" spans="1:1">
      <c r="A616" s="175"/>
    </row>
    <row r="617" spans="1:1">
      <c r="A617" s="175"/>
    </row>
    <row r="618" spans="1:1">
      <c r="A618" s="175"/>
    </row>
    <row r="619" spans="1:1">
      <c r="A619" s="175"/>
    </row>
    <row r="620" spans="1:1">
      <c r="A620" s="175"/>
    </row>
    <row r="621" spans="1:1">
      <c r="A621" s="175"/>
    </row>
    <row r="622" spans="1:1">
      <c r="A622" s="175"/>
    </row>
    <row r="623" spans="1:1">
      <c r="A623" s="175"/>
    </row>
    <row r="624" spans="1:1">
      <c r="A624" s="175"/>
    </row>
    <row r="625" spans="1:1">
      <c r="A625" s="175"/>
    </row>
    <row r="626" spans="1:1">
      <c r="A626" s="175"/>
    </row>
    <row r="627" spans="1:1">
      <c r="A627" s="175"/>
    </row>
    <row r="628" spans="1:1">
      <c r="A628" s="175"/>
    </row>
    <row r="629" spans="1:1">
      <c r="A629" s="175"/>
    </row>
    <row r="630" spans="1:1">
      <c r="A630" s="175"/>
    </row>
    <row r="631" spans="1:1">
      <c r="A631" s="175"/>
    </row>
    <row r="632" spans="1:1">
      <c r="A632" s="175"/>
    </row>
    <row r="633" spans="1:1">
      <c r="A633" s="175"/>
    </row>
    <row r="634" spans="1:1">
      <c r="A634" s="175"/>
    </row>
    <row r="635" spans="1:1">
      <c r="A635" s="175"/>
    </row>
    <row r="636" spans="1:1">
      <c r="A636" s="175"/>
    </row>
    <row r="637" spans="1:1">
      <c r="A637" s="175"/>
    </row>
    <row r="638" spans="1:1">
      <c r="A638" s="175"/>
    </row>
    <row r="639" spans="1:1">
      <c r="A639" s="175"/>
    </row>
    <row r="640" spans="1:1">
      <c r="A640" s="175"/>
    </row>
    <row r="641" spans="1:1">
      <c r="A641" s="175"/>
    </row>
    <row r="642" spans="1:1">
      <c r="A642" s="175"/>
    </row>
    <row r="643" spans="1:1">
      <c r="A643" s="175"/>
    </row>
    <row r="644" spans="1:1">
      <c r="A644" s="175"/>
    </row>
    <row r="645" spans="1:1">
      <c r="A645" s="175"/>
    </row>
    <row r="646" spans="1:1">
      <c r="A646" s="175"/>
    </row>
    <row r="647" spans="1:1">
      <c r="A647" s="175"/>
    </row>
    <row r="648" spans="1:1">
      <c r="A648" s="175"/>
    </row>
    <row r="649" spans="1:1">
      <c r="A649" s="175"/>
    </row>
    <row r="650" spans="1:1">
      <c r="A650" s="175"/>
    </row>
    <row r="651" spans="1:1">
      <c r="A651" s="175"/>
    </row>
    <row r="652" spans="1:1">
      <c r="A652" s="175"/>
    </row>
    <row r="653" spans="1:1">
      <c r="A653" s="175"/>
    </row>
    <row r="654" spans="1:1">
      <c r="A654" s="175"/>
    </row>
    <row r="655" spans="1:1">
      <c r="A655" s="175"/>
    </row>
    <row r="656" spans="1:1">
      <c r="A656" s="175"/>
    </row>
    <row r="657" spans="1:1">
      <c r="A657" s="175"/>
    </row>
    <row r="658" spans="1:1">
      <c r="A658" s="175"/>
    </row>
    <row r="659" spans="1:1">
      <c r="A659" s="175"/>
    </row>
    <row r="660" spans="1:1">
      <c r="A660" s="175"/>
    </row>
    <row r="661" spans="1:1">
      <c r="A661" s="175"/>
    </row>
    <row r="662" spans="1:1">
      <c r="A662" s="175"/>
    </row>
    <row r="663" spans="1:1">
      <c r="A663" s="175"/>
    </row>
    <row r="664" spans="1:1">
      <c r="A664" s="175"/>
    </row>
    <row r="665" spans="1:1">
      <c r="A665" s="175"/>
    </row>
    <row r="666" spans="1:1">
      <c r="A666" s="175"/>
    </row>
    <row r="667" spans="1:1">
      <c r="A667" s="175"/>
    </row>
    <row r="668" spans="1:1">
      <c r="A668" s="175"/>
    </row>
    <row r="669" spans="1:1">
      <c r="A669" s="175"/>
    </row>
    <row r="670" spans="1:1">
      <c r="A670" s="175"/>
    </row>
    <row r="671" spans="1:1">
      <c r="A671" s="175"/>
    </row>
    <row r="672" spans="1:1">
      <c r="A672" s="175"/>
    </row>
    <row r="673" spans="1:1">
      <c r="A673" s="175"/>
    </row>
    <row r="674" spans="1:1">
      <c r="A674" s="175"/>
    </row>
    <row r="675" spans="1:1">
      <c r="A675" s="175"/>
    </row>
    <row r="676" spans="1:1">
      <c r="A676" s="175"/>
    </row>
    <row r="677" spans="1:1">
      <c r="A677" s="175"/>
    </row>
    <row r="678" spans="1:1">
      <c r="A678" s="175"/>
    </row>
    <row r="679" spans="1:1">
      <c r="A679" s="175"/>
    </row>
    <row r="680" spans="1:1">
      <c r="A680" s="175"/>
    </row>
    <row r="681" spans="1:1">
      <c r="A681" s="175"/>
    </row>
    <row r="682" spans="1:1">
      <c r="A682" s="175"/>
    </row>
    <row r="683" spans="1:1">
      <c r="A683" s="175"/>
    </row>
    <row r="684" spans="1:1">
      <c r="A684" s="175"/>
    </row>
    <row r="685" spans="1:1">
      <c r="A685" s="175"/>
    </row>
    <row r="686" spans="1:1">
      <c r="A686" s="175"/>
    </row>
    <row r="687" spans="1:1">
      <c r="A687" s="175"/>
    </row>
    <row r="688" spans="1:1">
      <c r="A688" s="175"/>
    </row>
    <row r="689" spans="1:1">
      <c r="A689" s="175"/>
    </row>
    <row r="690" spans="1:1">
      <c r="A690" s="175"/>
    </row>
    <row r="691" spans="1:1">
      <c r="A691" s="175"/>
    </row>
    <row r="692" spans="1:1">
      <c r="A692" s="175"/>
    </row>
    <row r="693" spans="1:1">
      <c r="A693" s="175"/>
    </row>
    <row r="694" spans="1:1">
      <c r="A694" s="175"/>
    </row>
    <row r="695" spans="1:1">
      <c r="A695" s="175"/>
    </row>
    <row r="696" spans="1:1">
      <c r="A696" s="175"/>
    </row>
    <row r="697" spans="1:1">
      <c r="A697" s="175"/>
    </row>
    <row r="698" spans="1:1">
      <c r="A698" s="175"/>
    </row>
    <row r="699" spans="1:1">
      <c r="A699" s="175"/>
    </row>
    <row r="700" spans="1:1">
      <c r="A700" s="175"/>
    </row>
    <row r="701" spans="1:1">
      <c r="A701" s="175"/>
    </row>
    <row r="702" spans="1:1">
      <c r="A702" s="175"/>
    </row>
    <row r="703" spans="1:1">
      <c r="A703" s="175"/>
    </row>
    <row r="704" spans="1:1">
      <c r="A704" s="175"/>
    </row>
    <row r="705" spans="1:1">
      <c r="A705" s="175"/>
    </row>
    <row r="706" spans="1:1">
      <c r="A706" s="175"/>
    </row>
    <row r="707" spans="1:1">
      <c r="A707" s="175"/>
    </row>
    <row r="708" spans="1:1">
      <c r="A708" s="175"/>
    </row>
    <row r="709" spans="1:1">
      <c r="A709" s="175"/>
    </row>
    <row r="710" spans="1:1">
      <c r="A710" s="175"/>
    </row>
    <row r="711" spans="1:1">
      <c r="A711" s="175"/>
    </row>
    <row r="712" spans="1:1">
      <c r="A712" s="175"/>
    </row>
    <row r="713" spans="1:1">
      <c r="A713" s="175"/>
    </row>
    <row r="714" spans="1:1">
      <c r="A714" s="175"/>
    </row>
    <row r="715" spans="1:1">
      <c r="A715" s="175"/>
    </row>
    <row r="716" spans="1:1">
      <c r="A716" s="175"/>
    </row>
    <row r="717" spans="1:1">
      <c r="A717" s="175"/>
    </row>
    <row r="718" spans="1:1">
      <c r="A718" s="175"/>
    </row>
    <row r="719" spans="1:1">
      <c r="A719" s="175"/>
    </row>
    <row r="720" spans="1:1">
      <c r="A720" s="175"/>
    </row>
    <row r="721" spans="1:1">
      <c r="A721" s="175"/>
    </row>
    <row r="722" spans="1:1">
      <c r="A722" s="175"/>
    </row>
    <row r="723" spans="1:1">
      <c r="A723" s="175"/>
    </row>
    <row r="724" spans="1:1">
      <c r="A724" s="175"/>
    </row>
    <row r="725" spans="1:1">
      <c r="A725" s="175"/>
    </row>
    <row r="726" spans="1:1">
      <c r="A726" s="175"/>
    </row>
    <row r="727" spans="1:1">
      <c r="A727" s="175"/>
    </row>
    <row r="728" spans="1:1">
      <c r="A728" s="175"/>
    </row>
    <row r="729" spans="1:1">
      <c r="A729" s="175"/>
    </row>
    <row r="730" spans="1:1">
      <c r="A730" s="175"/>
    </row>
    <row r="731" spans="1:1">
      <c r="A731" s="175"/>
    </row>
    <row r="732" spans="1:1">
      <c r="A732" s="175"/>
    </row>
    <row r="733" spans="1:1">
      <c r="A733" s="175"/>
    </row>
    <row r="734" spans="1:1">
      <c r="A734" s="175"/>
    </row>
    <row r="735" spans="1:1">
      <c r="A735" s="175"/>
    </row>
    <row r="736" spans="1:1">
      <c r="A736" s="175"/>
    </row>
    <row r="737" spans="1:1">
      <c r="A737" s="175"/>
    </row>
    <row r="738" spans="1:1">
      <c r="A738" s="175"/>
    </row>
    <row r="739" spans="1:1">
      <c r="A739" s="175"/>
    </row>
    <row r="740" spans="1:1">
      <c r="A740" s="175"/>
    </row>
    <row r="741" spans="1:1">
      <c r="A741" s="175"/>
    </row>
    <row r="742" spans="1:1">
      <c r="A742" s="175"/>
    </row>
    <row r="743" spans="1:1">
      <c r="A743" s="175"/>
    </row>
    <row r="744" spans="1:1">
      <c r="A744" s="175"/>
    </row>
    <row r="745" spans="1:1">
      <c r="A745" s="175"/>
    </row>
    <row r="746" spans="1:1">
      <c r="A746" s="175"/>
    </row>
    <row r="747" spans="1:1">
      <c r="A747" s="175"/>
    </row>
    <row r="748" spans="1:1">
      <c r="A748" s="175"/>
    </row>
    <row r="749" spans="1:1">
      <c r="A749" s="175"/>
    </row>
    <row r="750" spans="1:1">
      <c r="A750" s="175"/>
    </row>
    <row r="751" spans="1:1">
      <c r="A751" s="175"/>
    </row>
    <row r="752" spans="1:1">
      <c r="A752" s="175"/>
    </row>
    <row r="753" spans="1:1">
      <c r="A753" s="175"/>
    </row>
    <row r="754" spans="1:1">
      <c r="A754" s="175"/>
    </row>
    <row r="755" spans="1:1">
      <c r="A755" s="175"/>
    </row>
    <row r="756" spans="1:1">
      <c r="A756" s="175"/>
    </row>
    <row r="757" spans="1:1">
      <c r="A757" s="175"/>
    </row>
    <row r="758" spans="1:1">
      <c r="A758" s="175"/>
    </row>
    <row r="759" spans="1:1">
      <c r="A759" s="175"/>
    </row>
    <row r="760" spans="1:1">
      <c r="A760" s="175"/>
    </row>
    <row r="761" spans="1:1">
      <c r="A761" s="175"/>
    </row>
    <row r="762" spans="1:1">
      <c r="A762" s="175"/>
    </row>
    <row r="763" spans="1:1">
      <c r="A763" s="175"/>
    </row>
    <row r="764" spans="1:1">
      <c r="A764" s="175"/>
    </row>
    <row r="765" spans="1:1">
      <c r="A765" s="175"/>
    </row>
    <row r="766" spans="1:1">
      <c r="A766" s="175"/>
    </row>
    <row r="767" spans="1:1">
      <c r="A767" s="175"/>
    </row>
    <row r="768" spans="1:1">
      <c r="A768" s="175"/>
    </row>
    <row r="769" spans="1:1">
      <c r="A769" s="175"/>
    </row>
    <row r="770" spans="1:1">
      <c r="A770" s="175"/>
    </row>
    <row r="771" spans="1:1">
      <c r="A771" s="175"/>
    </row>
    <row r="772" spans="1:1">
      <c r="A772" s="175"/>
    </row>
    <row r="773" spans="1:1">
      <c r="A773" s="175"/>
    </row>
    <row r="774" spans="1:1">
      <c r="A774" s="175"/>
    </row>
    <row r="775" spans="1:1">
      <c r="A775" s="175"/>
    </row>
    <row r="776" spans="1:1">
      <c r="A776" s="175"/>
    </row>
    <row r="777" spans="1:1">
      <c r="A777" s="175"/>
    </row>
    <row r="778" spans="1:1">
      <c r="A778" s="175"/>
    </row>
    <row r="779" spans="1:1">
      <c r="A779" s="175"/>
    </row>
    <row r="780" spans="1:1">
      <c r="A780" s="175"/>
    </row>
    <row r="781" spans="1:1">
      <c r="A781" s="175"/>
    </row>
    <row r="782" spans="1:1">
      <c r="A782" s="175"/>
    </row>
    <row r="783" spans="1:1">
      <c r="A783" s="175"/>
    </row>
    <row r="784" spans="1:1">
      <c r="A784" s="175"/>
    </row>
    <row r="785" spans="1:1">
      <c r="A785" s="175"/>
    </row>
    <row r="786" spans="1:1">
      <c r="A786" s="175"/>
    </row>
    <row r="787" spans="1:1">
      <c r="A787" s="175"/>
    </row>
    <row r="788" spans="1:1">
      <c r="A788" s="175"/>
    </row>
    <row r="789" spans="1:1">
      <c r="A789" s="175"/>
    </row>
    <row r="790" spans="1:1">
      <c r="A790" s="175"/>
    </row>
    <row r="791" spans="1:1">
      <c r="A791" s="175"/>
    </row>
    <row r="792" spans="1:1">
      <c r="A792" s="175"/>
    </row>
    <row r="793" spans="1:1">
      <c r="A793" s="175"/>
    </row>
    <row r="794" spans="1:1">
      <c r="A794" s="175"/>
    </row>
    <row r="795" spans="1:1">
      <c r="A795" s="175"/>
    </row>
    <row r="796" spans="1:1">
      <c r="A796" s="175"/>
    </row>
    <row r="797" spans="1:1">
      <c r="A797" s="175"/>
    </row>
    <row r="798" spans="1:1">
      <c r="A798" s="175"/>
    </row>
    <row r="799" spans="1:1">
      <c r="A799" s="175"/>
    </row>
    <row r="800" spans="1:1">
      <c r="A800" s="175"/>
    </row>
    <row r="801" spans="1:1">
      <c r="A801" s="175"/>
    </row>
    <row r="802" spans="1:1">
      <c r="A802" s="175"/>
    </row>
    <row r="803" spans="1:1">
      <c r="A803" s="175"/>
    </row>
    <row r="804" spans="1:1">
      <c r="A804" s="175"/>
    </row>
    <row r="805" spans="1:1">
      <c r="A805" s="175"/>
    </row>
    <row r="806" spans="1:1">
      <c r="A806" s="175"/>
    </row>
    <row r="807" spans="1:1">
      <c r="A807" s="175"/>
    </row>
    <row r="808" spans="1:1">
      <c r="A808" s="175"/>
    </row>
    <row r="809" spans="1:1">
      <c r="A809" s="175"/>
    </row>
    <row r="810" spans="1:1">
      <c r="A810" s="175"/>
    </row>
    <row r="811" spans="1:1">
      <c r="A811" s="175"/>
    </row>
    <row r="812" spans="1:1">
      <c r="A812" s="175"/>
    </row>
    <row r="813" spans="1:1">
      <c r="A813" s="175"/>
    </row>
    <row r="814" spans="1:1">
      <c r="A814" s="175"/>
    </row>
    <row r="815" spans="1:1">
      <c r="A815" s="175"/>
    </row>
    <row r="816" spans="1:1">
      <c r="A816" s="175"/>
    </row>
    <row r="817" spans="1:1">
      <c r="A817" s="175"/>
    </row>
    <row r="818" spans="1:1">
      <c r="A818" s="175"/>
    </row>
    <row r="819" spans="1:1">
      <c r="A819" s="175"/>
    </row>
    <row r="820" spans="1:1">
      <c r="A820" s="175"/>
    </row>
    <row r="821" spans="1:1">
      <c r="A821" s="175"/>
    </row>
    <row r="822" spans="1:1">
      <c r="A822" s="175"/>
    </row>
    <row r="823" spans="1:1">
      <c r="A823" s="175"/>
    </row>
    <row r="824" spans="1:1">
      <c r="A824" s="175"/>
    </row>
    <row r="825" spans="1:1">
      <c r="A825" s="175"/>
    </row>
    <row r="826" spans="1:1">
      <c r="A826" s="175"/>
    </row>
    <row r="827" spans="1:1">
      <c r="A827" s="175"/>
    </row>
    <row r="828" spans="1:1">
      <c r="A828" s="175"/>
    </row>
    <row r="829" spans="1:1">
      <c r="A829" s="175"/>
    </row>
    <row r="830" spans="1:1">
      <c r="A830" s="175"/>
    </row>
    <row r="831" spans="1:1">
      <c r="A831" s="175"/>
    </row>
    <row r="832" spans="1:1">
      <c r="A832" s="175"/>
    </row>
    <row r="833" spans="1:1">
      <c r="A833" s="175"/>
    </row>
    <row r="834" spans="1:1">
      <c r="A834" s="175"/>
    </row>
    <row r="835" spans="1:1">
      <c r="A835" s="175"/>
    </row>
    <row r="836" spans="1:1">
      <c r="A836" s="175"/>
    </row>
    <row r="837" spans="1:1">
      <c r="A837" s="175"/>
    </row>
    <row r="838" spans="1:1">
      <c r="A838" s="175"/>
    </row>
    <row r="839" spans="1:1">
      <c r="A839" s="175"/>
    </row>
    <row r="840" spans="1:1">
      <c r="A840" s="175"/>
    </row>
    <row r="841" spans="1:1">
      <c r="A841" s="175"/>
    </row>
    <row r="842" spans="1:1">
      <c r="A842" s="175"/>
    </row>
    <row r="843" spans="1:1">
      <c r="A843" s="175"/>
    </row>
    <row r="844" spans="1:1">
      <c r="A844" s="175"/>
    </row>
    <row r="845" spans="1:1">
      <c r="A845" s="175"/>
    </row>
    <row r="846" spans="1:1">
      <c r="A846" s="175"/>
    </row>
    <row r="847" spans="1:1">
      <c r="A847" s="175"/>
    </row>
    <row r="848" spans="1:1">
      <c r="A848" s="175"/>
    </row>
    <row r="849" spans="1:1">
      <c r="A849" s="175"/>
    </row>
    <row r="850" spans="1:1">
      <c r="A850" s="175"/>
    </row>
    <row r="851" spans="1:1">
      <c r="A851" s="175"/>
    </row>
    <row r="852" spans="1:1">
      <c r="A852" s="175"/>
    </row>
    <row r="853" spans="1:1">
      <c r="A853" s="175"/>
    </row>
    <row r="854" spans="1:1">
      <c r="A854" s="175"/>
    </row>
    <row r="855" spans="1:1">
      <c r="A855" s="175"/>
    </row>
    <row r="856" spans="1:1">
      <c r="A856" s="175"/>
    </row>
    <row r="857" spans="1:1">
      <c r="A857" s="175"/>
    </row>
    <row r="858" spans="1:1">
      <c r="A858" s="175"/>
    </row>
    <row r="859" spans="1:1">
      <c r="A859" s="175"/>
    </row>
    <row r="860" spans="1:1">
      <c r="A860" s="175"/>
    </row>
    <row r="861" spans="1:1">
      <c r="A861" s="175"/>
    </row>
    <row r="862" spans="1:1">
      <c r="A862" s="175"/>
    </row>
    <row r="863" spans="1:1">
      <c r="A863" s="175"/>
    </row>
    <row r="864" spans="1:1">
      <c r="A864" s="175"/>
    </row>
    <row r="865" spans="1:1">
      <c r="A865" s="175"/>
    </row>
    <row r="866" spans="1:1">
      <c r="A866" s="175"/>
    </row>
    <row r="867" spans="1:1">
      <c r="A867" s="175"/>
    </row>
    <row r="868" spans="1:1">
      <c r="A868" s="175"/>
    </row>
    <row r="869" spans="1:1">
      <c r="A869" s="175"/>
    </row>
    <row r="870" spans="1:1">
      <c r="A870" s="175"/>
    </row>
    <row r="871" spans="1:1">
      <c r="A871" s="175"/>
    </row>
    <row r="872" spans="1:1">
      <c r="A872" s="175"/>
    </row>
    <row r="873" spans="1:1">
      <c r="A873" s="175"/>
    </row>
    <row r="874" spans="1:1">
      <c r="A874" s="175"/>
    </row>
    <row r="875" spans="1:1">
      <c r="A875" s="175"/>
    </row>
    <row r="876" spans="1:1">
      <c r="A876" s="175"/>
    </row>
    <row r="877" spans="1:1">
      <c r="A877" s="175"/>
    </row>
    <row r="878" spans="1:1">
      <c r="A878" s="175"/>
    </row>
    <row r="879" spans="1:1">
      <c r="A879" s="175"/>
    </row>
    <row r="880" spans="1:1">
      <c r="A880" s="175"/>
    </row>
    <row r="881" spans="1:1">
      <c r="A881" s="175"/>
    </row>
    <row r="882" spans="1:1">
      <c r="A882" s="175"/>
    </row>
    <row r="883" spans="1:1">
      <c r="A883" s="175"/>
    </row>
    <row r="884" spans="1:1">
      <c r="A884" s="175"/>
    </row>
    <row r="885" spans="1:1">
      <c r="A885" s="175"/>
    </row>
    <row r="886" spans="1:1">
      <c r="A886" s="175"/>
    </row>
    <row r="887" spans="1:1">
      <c r="A887" s="175"/>
    </row>
    <row r="888" spans="1:1">
      <c r="A888" s="175"/>
    </row>
    <row r="889" spans="1:1">
      <c r="A889" s="175"/>
    </row>
    <row r="890" spans="1:1">
      <c r="A890" s="175"/>
    </row>
    <row r="891" spans="1:1">
      <c r="A891" s="175"/>
    </row>
    <row r="892" spans="1:1">
      <c r="A892" s="175"/>
    </row>
    <row r="893" spans="1:1">
      <c r="A893" s="175"/>
    </row>
    <row r="894" spans="1:1">
      <c r="A894" s="175"/>
    </row>
    <row r="895" spans="1:1">
      <c r="A895" s="175"/>
    </row>
    <row r="896" spans="1:1">
      <c r="A896" s="175"/>
    </row>
    <row r="897" spans="1:1">
      <c r="A897" s="175"/>
    </row>
    <row r="898" spans="1:1">
      <c r="A898" s="175"/>
    </row>
    <row r="899" spans="1:1">
      <c r="A899" s="175"/>
    </row>
    <row r="900" spans="1:1">
      <c r="A900" s="175"/>
    </row>
    <row r="901" spans="1:1">
      <c r="A901" s="175"/>
    </row>
    <row r="902" spans="1:1">
      <c r="A902" s="175"/>
    </row>
    <row r="903" spans="1:1">
      <c r="A903" s="175"/>
    </row>
    <row r="904" spans="1:1">
      <c r="A904" s="175"/>
    </row>
    <row r="905" spans="1:1">
      <c r="A905" s="175"/>
    </row>
    <row r="906" spans="1:1">
      <c r="A906" s="175"/>
    </row>
    <row r="907" spans="1:1">
      <c r="A907" s="175"/>
    </row>
    <row r="908" spans="1:1">
      <c r="A908" s="175"/>
    </row>
    <row r="909" spans="1:1">
      <c r="A909" s="175"/>
    </row>
    <row r="910" spans="1:1">
      <c r="A910" s="175"/>
    </row>
    <row r="911" spans="1:1">
      <c r="A911" s="175"/>
    </row>
    <row r="912" spans="1:1">
      <c r="A912" s="175"/>
    </row>
    <row r="913" spans="1:1">
      <c r="A913" s="175"/>
    </row>
    <row r="914" spans="1:1">
      <c r="A914" s="175"/>
    </row>
    <row r="915" spans="1:1">
      <c r="A915" s="175"/>
    </row>
    <row r="916" spans="1:1">
      <c r="A916" s="175"/>
    </row>
    <row r="917" spans="1:1">
      <c r="A917" s="175"/>
    </row>
    <row r="918" spans="1:1">
      <c r="A918" s="175"/>
    </row>
    <row r="919" spans="1:1">
      <c r="A919" s="175"/>
    </row>
    <row r="920" spans="1:1">
      <c r="A920" s="175"/>
    </row>
    <row r="921" spans="1:1">
      <c r="A921" s="175"/>
    </row>
    <row r="922" spans="1:1">
      <c r="A922" s="175"/>
    </row>
    <row r="923" spans="1:1">
      <c r="A923" s="175"/>
    </row>
    <row r="924" spans="1:1">
      <c r="A924" s="175"/>
    </row>
    <row r="925" spans="1:1">
      <c r="A925" s="175"/>
    </row>
    <row r="926" spans="1:1">
      <c r="A926" s="175"/>
    </row>
    <row r="927" spans="1:1">
      <c r="A927" s="175"/>
    </row>
    <row r="928" spans="1:1">
      <c r="A928" s="175"/>
    </row>
    <row r="929" spans="1:1">
      <c r="A929" s="175"/>
    </row>
    <row r="930" spans="1:1">
      <c r="A930" s="175"/>
    </row>
    <row r="931" spans="1:1">
      <c r="A931" s="175"/>
    </row>
    <row r="932" spans="1:1">
      <c r="A932" s="175"/>
    </row>
    <row r="933" spans="1:1">
      <c r="A933" s="175"/>
    </row>
    <row r="934" spans="1:1">
      <c r="A934" s="175"/>
    </row>
    <row r="935" spans="1:1">
      <c r="A935" s="175"/>
    </row>
    <row r="936" spans="1:1">
      <c r="A936" s="175"/>
    </row>
    <row r="937" spans="1:1">
      <c r="A937" s="175"/>
    </row>
    <row r="938" spans="1:1">
      <c r="A938" s="175"/>
    </row>
    <row r="939" spans="1:1">
      <c r="A939" s="175"/>
    </row>
    <row r="940" spans="1:1">
      <c r="A940" s="175"/>
    </row>
    <row r="941" spans="1:1">
      <c r="A941" s="175"/>
    </row>
    <row r="942" spans="1:1">
      <c r="A942" s="175"/>
    </row>
    <row r="943" spans="1:1">
      <c r="A943" s="175"/>
    </row>
    <row r="944" spans="1:1">
      <c r="A944" s="175"/>
    </row>
    <row r="945" spans="1:1">
      <c r="A945" s="175"/>
    </row>
    <row r="946" spans="1:1">
      <c r="A946" s="175"/>
    </row>
    <row r="947" spans="1:1">
      <c r="A947" s="175"/>
    </row>
    <row r="948" spans="1:1">
      <c r="A948" s="175"/>
    </row>
    <row r="949" spans="1:1">
      <c r="A949" s="175"/>
    </row>
    <row r="950" spans="1:1">
      <c r="A950" s="175"/>
    </row>
    <row r="951" spans="1:1">
      <c r="A951" s="175"/>
    </row>
    <row r="952" spans="1:1">
      <c r="A952" s="175"/>
    </row>
    <row r="953" spans="1:1">
      <c r="A953" s="175"/>
    </row>
    <row r="954" spans="1:1">
      <c r="A954" s="175"/>
    </row>
    <row r="955" spans="1:1">
      <c r="A955" s="175"/>
    </row>
    <row r="956" spans="1:1">
      <c r="A956" s="175"/>
    </row>
    <row r="957" spans="1:1">
      <c r="A957" s="175"/>
    </row>
    <row r="958" spans="1:1">
      <c r="A958" s="175"/>
    </row>
    <row r="959" spans="1:1">
      <c r="A959" s="175"/>
    </row>
    <row r="960" spans="1:1">
      <c r="A960" s="175"/>
    </row>
    <row r="961" spans="1:1">
      <c r="A961" s="175"/>
    </row>
    <row r="962" spans="1:1">
      <c r="A962" s="175"/>
    </row>
    <row r="963" spans="1:1">
      <c r="A963" s="175"/>
    </row>
    <row r="964" spans="1:1">
      <c r="A964" s="175"/>
    </row>
    <row r="965" spans="1:1">
      <c r="A965" s="175"/>
    </row>
    <row r="966" spans="1:1">
      <c r="A966" s="175"/>
    </row>
    <row r="967" spans="1:1">
      <c r="A967" s="175"/>
    </row>
    <row r="968" spans="1:1">
      <c r="A968" s="175"/>
    </row>
    <row r="969" spans="1:1">
      <c r="A969" s="175"/>
    </row>
    <row r="970" spans="1:1">
      <c r="A970" s="175"/>
    </row>
    <row r="971" spans="1:1">
      <c r="A971" s="175"/>
    </row>
    <row r="972" spans="1:1">
      <c r="A972" s="175"/>
    </row>
    <row r="973" spans="1:1">
      <c r="A973" s="175"/>
    </row>
    <row r="974" spans="1:1">
      <c r="A974" s="175"/>
    </row>
    <row r="975" spans="1:1">
      <c r="A975" s="175"/>
    </row>
    <row r="976" spans="1:1">
      <c r="A976" s="175"/>
    </row>
    <row r="977" spans="1:1">
      <c r="A977" s="175"/>
    </row>
    <row r="978" spans="1:1">
      <c r="A978" s="175"/>
    </row>
    <row r="979" spans="1:1">
      <c r="A979" s="175"/>
    </row>
    <row r="980" spans="1:1">
      <c r="A980" s="175"/>
    </row>
    <row r="981" spans="1:1">
      <c r="A981" s="175"/>
    </row>
    <row r="982" spans="1:1">
      <c r="A982" s="175"/>
    </row>
    <row r="983" spans="1:1">
      <c r="A983" s="175"/>
    </row>
    <row r="984" spans="1:1">
      <c r="A984" s="175"/>
    </row>
    <row r="985" spans="1:1">
      <c r="A985" s="175"/>
    </row>
    <row r="986" spans="1:1">
      <c r="A986" s="175"/>
    </row>
    <row r="987" spans="1:1">
      <c r="A987" s="175"/>
    </row>
    <row r="988" spans="1:1">
      <c r="A988" s="175"/>
    </row>
    <row r="989" spans="1:1">
      <c r="A989" s="175"/>
    </row>
    <row r="990" spans="1:1">
      <c r="A990" s="175"/>
    </row>
    <row r="991" spans="1:1">
      <c r="A991" s="175"/>
    </row>
    <row r="992" spans="1:1">
      <c r="A992" s="175"/>
    </row>
    <row r="993" spans="1:1">
      <c r="A993" s="175"/>
    </row>
    <row r="994" spans="1:1">
      <c r="A994" s="175"/>
    </row>
    <row r="995" spans="1:1">
      <c r="A995" s="175"/>
    </row>
    <row r="996" spans="1:1">
      <c r="A996" s="175"/>
    </row>
    <row r="997" spans="1:1">
      <c r="A997" s="175"/>
    </row>
    <row r="998" spans="1:1">
      <c r="A998" s="175"/>
    </row>
    <row r="999" spans="1:1">
      <c r="A999" s="175"/>
    </row>
    <row r="1000" spans="1:1">
      <c r="A1000" s="175"/>
    </row>
    <row r="1001" spans="1:1">
      <c r="A1001" s="175"/>
    </row>
    <row r="1002" spans="1:1">
      <c r="A1002" s="175"/>
    </row>
    <row r="1003" spans="1:1">
      <c r="A1003" s="175"/>
    </row>
    <row r="1004" spans="1:1">
      <c r="A1004" s="175"/>
    </row>
    <row r="1005" spans="1:1">
      <c r="A1005" s="175"/>
    </row>
    <row r="1006" spans="1:1">
      <c r="A1006" s="175"/>
    </row>
    <row r="1007" spans="1:1">
      <c r="A1007" s="175"/>
    </row>
    <row r="1008" spans="1:1">
      <c r="A1008" s="175"/>
    </row>
    <row r="1009" spans="1:1">
      <c r="A1009" s="175"/>
    </row>
    <row r="1010" spans="1:1">
      <c r="A1010" s="175"/>
    </row>
    <row r="1011" spans="1:1">
      <c r="A1011" s="175"/>
    </row>
    <row r="1012" spans="1:1">
      <c r="A1012" s="175"/>
    </row>
    <row r="1013" spans="1:1">
      <c r="A1013" s="175"/>
    </row>
    <row r="1014" spans="1:1">
      <c r="A1014" s="175"/>
    </row>
    <row r="1015" spans="1:1">
      <c r="A1015" s="175"/>
    </row>
    <row r="1016" spans="1:1">
      <c r="A1016" s="175"/>
    </row>
    <row r="1017" spans="1:1">
      <c r="A1017" s="175"/>
    </row>
    <row r="1018" spans="1:1">
      <c r="A1018" s="175"/>
    </row>
    <row r="1019" spans="1:1">
      <c r="A1019" s="175"/>
    </row>
    <row r="1020" spans="1:1">
      <c r="A1020" s="175"/>
    </row>
    <row r="1021" spans="1:1">
      <c r="A1021" s="175"/>
    </row>
    <row r="1022" spans="1:1">
      <c r="A1022" s="175"/>
    </row>
    <row r="1023" spans="1:1">
      <c r="A1023" s="175"/>
    </row>
    <row r="1024" spans="1:1">
      <c r="A1024" s="175"/>
    </row>
    <row r="1025" spans="1:1">
      <c r="A1025" s="175"/>
    </row>
    <row r="1026" spans="1:1">
      <c r="A1026" s="175"/>
    </row>
    <row r="1027" spans="1:1">
      <c r="A1027" s="175"/>
    </row>
    <row r="1028" spans="1:1">
      <c r="A1028" s="175"/>
    </row>
    <row r="1029" spans="1:1">
      <c r="A1029" s="175"/>
    </row>
    <row r="1030" spans="1:1">
      <c r="A1030" s="175"/>
    </row>
    <row r="1031" spans="1:1">
      <c r="A1031" s="175"/>
    </row>
    <row r="1032" spans="1:1">
      <c r="A1032" s="175"/>
    </row>
    <row r="1033" spans="1:1">
      <c r="A1033" s="175"/>
    </row>
    <row r="1034" spans="1:1">
      <c r="A1034" s="175"/>
    </row>
    <row r="1035" spans="1:1">
      <c r="A1035" s="175"/>
    </row>
    <row r="1036" spans="1:1">
      <c r="A1036" s="175"/>
    </row>
    <row r="1037" spans="1:1">
      <c r="A1037" s="175"/>
    </row>
    <row r="1038" spans="1:1">
      <c r="A1038" s="175"/>
    </row>
    <row r="1039" spans="1:1">
      <c r="A1039" s="175"/>
    </row>
    <row r="1040" spans="1:1">
      <c r="A1040" s="175"/>
    </row>
    <row r="1041" spans="1:1">
      <c r="A1041" s="175"/>
    </row>
    <row r="1042" spans="1:1">
      <c r="A1042" s="175"/>
    </row>
    <row r="1043" spans="1:1">
      <c r="A1043" s="175"/>
    </row>
    <row r="1044" spans="1:1">
      <c r="A1044" s="175"/>
    </row>
    <row r="1045" spans="1:1">
      <c r="A1045" s="175"/>
    </row>
    <row r="1046" spans="1:1">
      <c r="A1046" s="175"/>
    </row>
    <row r="1047" spans="1:1">
      <c r="A1047" s="175"/>
    </row>
    <row r="1048" spans="1:1">
      <c r="A1048" s="175"/>
    </row>
    <row r="1049" spans="1:1">
      <c r="A1049" s="175"/>
    </row>
    <row r="1050" spans="1:1">
      <c r="A1050" s="175"/>
    </row>
    <row r="1051" spans="1:1">
      <c r="A1051" s="175"/>
    </row>
    <row r="1052" spans="1:1">
      <c r="A1052" s="175"/>
    </row>
    <row r="1053" spans="1:1">
      <c r="A1053" s="175"/>
    </row>
    <row r="1054" spans="1:1">
      <c r="A1054" s="175"/>
    </row>
    <row r="1055" spans="1:1">
      <c r="A1055" s="175"/>
    </row>
    <row r="1056" spans="1:1">
      <c r="A1056" s="175"/>
    </row>
    <row r="1057" spans="1:1">
      <c r="A1057" s="175"/>
    </row>
    <row r="1058" spans="1:1">
      <c r="A1058" s="175"/>
    </row>
    <row r="1059" spans="1:1">
      <c r="A1059" s="175"/>
    </row>
    <row r="1060" spans="1:1">
      <c r="A1060" s="175"/>
    </row>
    <row r="1061" spans="1:1">
      <c r="A1061" s="175"/>
    </row>
    <row r="1062" spans="1:1">
      <c r="A1062" s="175"/>
    </row>
    <row r="1063" spans="1:1">
      <c r="A1063" s="175"/>
    </row>
    <row r="1064" spans="1:1">
      <c r="A1064" s="175"/>
    </row>
    <row r="1065" spans="1:1">
      <c r="A1065" s="175"/>
    </row>
    <row r="1066" spans="1:1">
      <c r="A1066" s="175"/>
    </row>
    <row r="1067" spans="1:1">
      <c r="A1067" s="175"/>
    </row>
    <row r="1068" spans="1:1">
      <c r="A1068" s="175"/>
    </row>
    <row r="1069" spans="1:1">
      <c r="A1069" s="175"/>
    </row>
    <row r="1070" spans="1:1">
      <c r="A1070" s="175"/>
    </row>
    <row r="1071" spans="1:1">
      <c r="A1071" s="175"/>
    </row>
    <row r="1072" spans="1:1">
      <c r="A1072" s="175"/>
    </row>
    <row r="1073" spans="1:1">
      <c r="A1073" s="175"/>
    </row>
    <row r="1074" spans="1:1">
      <c r="A1074" s="175"/>
    </row>
    <row r="1075" spans="1:1">
      <c r="A1075" s="175"/>
    </row>
    <row r="1076" spans="1:1">
      <c r="A1076" s="175"/>
    </row>
    <row r="1077" spans="1:1">
      <c r="A1077" s="175"/>
    </row>
    <row r="1078" spans="1:1">
      <c r="A1078" s="175"/>
    </row>
    <row r="1079" spans="1:1">
      <c r="A1079" s="175"/>
    </row>
    <row r="1080" spans="1:1">
      <c r="A1080" s="175"/>
    </row>
    <row r="1081" spans="1:1">
      <c r="A1081" s="175"/>
    </row>
    <row r="1082" spans="1:1">
      <c r="A1082" s="175"/>
    </row>
    <row r="1083" spans="1:1">
      <c r="A1083" s="175"/>
    </row>
    <row r="1084" spans="1:1">
      <c r="A1084" s="175"/>
    </row>
    <row r="1085" spans="1:1">
      <c r="A1085" s="175"/>
    </row>
    <row r="1086" spans="1:1">
      <c r="A1086" s="175"/>
    </row>
    <row r="1087" spans="1:1">
      <c r="A1087" s="175"/>
    </row>
    <row r="1088" spans="1:1">
      <c r="A1088" s="175"/>
    </row>
    <row r="1089" spans="1:1">
      <c r="A1089" s="175"/>
    </row>
    <row r="1090" spans="1:1">
      <c r="A1090" s="175"/>
    </row>
    <row r="1091" spans="1:1">
      <c r="A1091" s="175"/>
    </row>
    <row r="1092" spans="1:1">
      <c r="A1092" s="175"/>
    </row>
    <row r="1093" spans="1:1">
      <c r="A1093" s="175"/>
    </row>
    <row r="1094" spans="1:1">
      <c r="A1094" s="175"/>
    </row>
    <row r="1095" spans="1:1">
      <c r="A1095" s="175"/>
    </row>
    <row r="1096" spans="1:1">
      <c r="A1096" s="175"/>
    </row>
    <row r="1097" spans="1:1">
      <c r="A1097" s="175"/>
    </row>
    <row r="1098" spans="1:1">
      <c r="A1098" s="175"/>
    </row>
    <row r="1099" spans="1:1">
      <c r="A1099" s="175"/>
    </row>
    <row r="1100" spans="1:1">
      <c r="A1100" s="175"/>
    </row>
    <row r="1101" spans="1:1">
      <c r="A1101" s="175"/>
    </row>
    <row r="1102" spans="1:1">
      <c r="A1102" s="175"/>
    </row>
    <row r="1103" spans="1:1">
      <c r="A1103" s="175"/>
    </row>
    <row r="1104" spans="1:1">
      <c r="A1104" s="175"/>
    </row>
    <row r="1105" spans="1:1">
      <c r="A1105" s="175"/>
    </row>
    <row r="1106" spans="1:1">
      <c r="A1106" s="175"/>
    </row>
    <row r="1107" spans="1:1">
      <c r="A1107" s="175"/>
    </row>
    <row r="1108" spans="1:1">
      <c r="A1108" s="175"/>
    </row>
    <row r="1109" spans="1:1">
      <c r="A1109" s="175"/>
    </row>
    <row r="1110" spans="1:1">
      <c r="A1110" s="175"/>
    </row>
    <row r="1111" spans="1:1">
      <c r="A1111" s="175"/>
    </row>
    <row r="1112" spans="1:1">
      <c r="A1112" s="175"/>
    </row>
    <row r="1113" spans="1:1">
      <c r="A1113" s="175"/>
    </row>
    <row r="1114" spans="1:1">
      <c r="A1114" s="175"/>
    </row>
    <row r="1115" spans="1:1">
      <c r="A1115" s="175"/>
    </row>
    <row r="1116" spans="1:1">
      <c r="A1116" s="175"/>
    </row>
    <row r="1117" spans="1:1">
      <c r="A1117" s="175"/>
    </row>
    <row r="1118" spans="1:1">
      <c r="A1118" s="175"/>
    </row>
    <row r="1119" spans="1:1">
      <c r="A1119" s="175"/>
    </row>
    <row r="1120" spans="1:1">
      <c r="A1120" s="175"/>
    </row>
    <row r="1121" spans="1:1">
      <c r="A1121" s="175"/>
    </row>
    <row r="1122" spans="1:1">
      <c r="A1122" s="175"/>
    </row>
    <row r="1123" spans="1:1">
      <c r="A1123" s="175"/>
    </row>
    <row r="1124" spans="1:1">
      <c r="A1124" s="175"/>
    </row>
    <row r="1125" spans="1:1">
      <c r="A1125" s="175"/>
    </row>
    <row r="1126" spans="1:1">
      <c r="A1126" s="175"/>
    </row>
    <row r="1127" spans="1:1">
      <c r="A1127" s="175"/>
    </row>
    <row r="1128" spans="1:1">
      <c r="A1128" s="175"/>
    </row>
    <row r="1129" spans="1:1">
      <c r="A1129" s="175"/>
    </row>
    <row r="1130" spans="1:1">
      <c r="A1130" s="175"/>
    </row>
    <row r="1131" spans="1:1">
      <c r="A1131" s="175"/>
    </row>
    <row r="1132" spans="1:1">
      <c r="A1132" s="175"/>
    </row>
    <row r="1133" spans="1:1">
      <c r="A1133" s="175"/>
    </row>
    <row r="1134" spans="1:1">
      <c r="A1134" s="175"/>
    </row>
    <row r="1135" spans="1:1">
      <c r="A1135" s="175"/>
    </row>
    <row r="1136" spans="1:1">
      <c r="A1136" s="175"/>
    </row>
    <row r="1137" spans="1:1">
      <c r="A1137" s="175"/>
    </row>
    <row r="1138" spans="1:1">
      <c r="A1138" s="175"/>
    </row>
    <row r="1139" spans="1:1">
      <c r="A1139" s="175"/>
    </row>
    <row r="1140" spans="1:1">
      <c r="A1140" s="175"/>
    </row>
    <row r="1141" spans="1:1">
      <c r="A1141" s="175"/>
    </row>
    <row r="1142" spans="1:1">
      <c r="A1142" s="175"/>
    </row>
    <row r="1143" spans="1:1">
      <c r="A1143" s="175"/>
    </row>
    <row r="1144" spans="1:1">
      <c r="A1144" s="175"/>
    </row>
    <row r="1145" spans="1:1">
      <c r="A1145" s="175"/>
    </row>
    <row r="1146" spans="1:1">
      <c r="A1146" s="175"/>
    </row>
    <row r="1147" spans="1:1">
      <c r="A1147" s="175"/>
    </row>
    <row r="1148" spans="1:1">
      <c r="A1148" s="175"/>
    </row>
    <row r="1149" spans="1:1">
      <c r="A1149" s="175"/>
    </row>
    <row r="1150" spans="1:1">
      <c r="A1150" s="175"/>
    </row>
    <row r="1151" spans="1:1">
      <c r="A1151" s="175"/>
    </row>
    <row r="1152" spans="1:1">
      <c r="A1152" s="175"/>
    </row>
    <row r="1153" spans="1:1">
      <c r="A1153" s="175"/>
    </row>
    <row r="1154" spans="1:1">
      <c r="A1154" s="175"/>
    </row>
    <row r="1155" spans="1:1">
      <c r="A1155" s="175"/>
    </row>
    <row r="1156" spans="1:1">
      <c r="A1156" s="175"/>
    </row>
    <row r="1157" spans="1:1">
      <c r="A1157" s="175"/>
    </row>
    <row r="1158" spans="1:1">
      <c r="A1158" s="175"/>
    </row>
    <row r="1159" spans="1:1">
      <c r="A1159" s="175"/>
    </row>
    <row r="1160" spans="1:1">
      <c r="A1160" s="175"/>
    </row>
    <row r="1161" spans="1:1">
      <c r="A1161" s="175"/>
    </row>
    <row r="1162" spans="1:1">
      <c r="A1162" s="175"/>
    </row>
    <row r="1163" spans="1:1">
      <c r="A1163" s="175"/>
    </row>
    <row r="1164" spans="1:1">
      <c r="A1164" s="175"/>
    </row>
    <row r="1165" spans="1:1">
      <c r="A1165" s="175"/>
    </row>
    <row r="1166" spans="1:1">
      <c r="A1166" s="175"/>
    </row>
    <row r="1167" spans="1:1">
      <c r="A1167" s="175"/>
    </row>
    <row r="1168" spans="1:1">
      <c r="A1168" s="175"/>
    </row>
    <row r="1169" spans="1:1">
      <c r="A1169" s="175"/>
    </row>
    <row r="1170" spans="1:1">
      <c r="A1170" s="175"/>
    </row>
    <row r="1171" spans="1:1">
      <c r="A1171" s="175"/>
    </row>
    <row r="1172" spans="1:1">
      <c r="A1172" s="175"/>
    </row>
    <row r="1173" spans="1:1">
      <c r="A1173" s="175"/>
    </row>
    <row r="1174" spans="1:1">
      <c r="A1174" s="175"/>
    </row>
    <row r="1175" spans="1:1">
      <c r="A1175" s="175"/>
    </row>
    <row r="1176" spans="1:1">
      <c r="A1176" s="175"/>
    </row>
    <row r="1177" spans="1:1">
      <c r="A1177" s="175"/>
    </row>
    <row r="1178" spans="1:1">
      <c r="A1178" s="175"/>
    </row>
    <row r="1179" spans="1:1">
      <c r="A1179" s="175"/>
    </row>
    <row r="1180" spans="1:1">
      <c r="A1180" s="175"/>
    </row>
    <row r="1181" spans="1:1">
      <c r="A1181" s="175"/>
    </row>
    <row r="1182" spans="1:1">
      <c r="A1182" s="175"/>
    </row>
    <row r="1183" spans="1:1">
      <c r="A1183" s="175"/>
    </row>
    <row r="1184" spans="1:1">
      <c r="A1184" s="175"/>
    </row>
    <row r="1185" spans="1:1">
      <c r="A1185" s="175"/>
    </row>
    <row r="1186" spans="1:1">
      <c r="A1186" s="175"/>
    </row>
    <row r="1187" spans="1:1">
      <c r="A1187" s="175"/>
    </row>
    <row r="1188" spans="1:1">
      <c r="A1188" s="175"/>
    </row>
    <row r="1189" spans="1:1">
      <c r="A1189" s="175"/>
    </row>
    <row r="1190" spans="1:1">
      <c r="A1190" s="175"/>
    </row>
    <row r="1191" spans="1:1">
      <c r="A1191" s="175"/>
    </row>
    <row r="1192" spans="1:1">
      <c r="A1192" s="175"/>
    </row>
    <row r="1193" spans="1:1">
      <c r="A1193" s="175"/>
    </row>
    <row r="1194" spans="1:1">
      <c r="A1194" s="175"/>
    </row>
    <row r="1195" spans="1:1">
      <c r="A1195" s="175"/>
    </row>
    <row r="1196" spans="1:1">
      <c r="A1196" s="175"/>
    </row>
    <row r="1197" spans="1:1">
      <c r="A1197" s="175"/>
    </row>
    <row r="1198" spans="1:1">
      <c r="A1198" s="175"/>
    </row>
    <row r="1199" spans="1:1">
      <c r="A1199" s="175"/>
    </row>
    <row r="1200" spans="1:1">
      <c r="A1200" s="175"/>
    </row>
    <row r="1201" spans="1:1">
      <c r="A1201" s="175"/>
    </row>
    <row r="1202" spans="1:1">
      <c r="A1202" s="175"/>
    </row>
    <row r="1203" spans="1:1">
      <c r="A1203" s="175"/>
    </row>
    <row r="1204" spans="1:1">
      <c r="A1204" s="175"/>
    </row>
    <row r="1205" spans="1:1">
      <c r="A1205" s="175"/>
    </row>
    <row r="1206" spans="1:1">
      <c r="A1206" s="175"/>
    </row>
    <row r="1207" spans="1:1">
      <c r="A1207" s="175"/>
    </row>
    <row r="1208" spans="1:1">
      <c r="A1208" s="175"/>
    </row>
    <row r="1209" spans="1:1">
      <c r="A1209" s="175"/>
    </row>
    <row r="1210" spans="1:1">
      <c r="A1210" s="175"/>
    </row>
    <row r="1211" spans="1:1">
      <c r="A1211" s="175"/>
    </row>
    <row r="1212" spans="1:1">
      <c r="A1212" s="175"/>
    </row>
    <row r="1213" spans="1:1">
      <c r="A1213" s="175"/>
    </row>
    <row r="1214" spans="1:1">
      <c r="A1214" s="175"/>
    </row>
    <row r="1215" spans="1:1">
      <c r="A1215" s="175"/>
    </row>
    <row r="1216" spans="1:1">
      <c r="A1216" s="175"/>
    </row>
    <row r="1217" spans="1:1">
      <c r="A1217" s="175"/>
    </row>
    <row r="1218" spans="1:1">
      <c r="A1218" s="175"/>
    </row>
    <row r="1219" spans="1:1">
      <c r="A1219" s="175"/>
    </row>
    <row r="1220" spans="1:1">
      <c r="A1220" s="175"/>
    </row>
    <row r="1221" spans="1:1">
      <c r="A1221" s="175"/>
    </row>
    <row r="1222" spans="1:1">
      <c r="A1222" s="175"/>
    </row>
    <row r="1223" spans="1:1">
      <c r="A1223" s="175"/>
    </row>
    <row r="1224" spans="1:1">
      <c r="A1224" s="175"/>
    </row>
    <row r="1225" spans="1:1">
      <c r="A1225" s="175"/>
    </row>
    <row r="1226" spans="1:1">
      <c r="A1226" s="175"/>
    </row>
    <row r="1227" spans="1:1">
      <c r="A1227" s="175"/>
    </row>
    <row r="1228" spans="1:1">
      <c r="A1228" s="175"/>
    </row>
    <row r="1229" spans="1:1">
      <c r="A1229" s="175"/>
    </row>
    <row r="1230" spans="1:1">
      <c r="A1230" s="175"/>
    </row>
    <row r="1231" spans="1:1">
      <c r="A1231" s="175"/>
    </row>
    <row r="1232" spans="1:1">
      <c r="A1232" s="175"/>
    </row>
    <row r="1233" spans="1:1">
      <c r="A1233" s="175"/>
    </row>
    <row r="1234" spans="1:1">
      <c r="A1234" s="175"/>
    </row>
    <row r="1235" spans="1:1">
      <c r="A1235" s="175"/>
    </row>
    <row r="1236" spans="1:1">
      <c r="A1236" s="175"/>
    </row>
    <row r="1237" spans="1:1">
      <c r="A1237" s="175"/>
    </row>
    <row r="1238" spans="1:1">
      <c r="A1238" s="175"/>
    </row>
    <row r="1239" spans="1:1">
      <c r="A1239" s="175"/>
    </row>
    <row r="1240" spans="1:1">
      <c r="A1240" s="175"/>
    </row>
    <row r="1241" spans="1:1">
      <c r="A1241" s="175"/>
    </row>
    <row r="1242" spans="1:1">
      <c r="A1242" s="175"/>
    </row>
    <row r="1243" spans="1:1">
      <c r="A1243" s="175"/>
    </row>
    <row r="1244" spans="1:1">
      <c r="A1244" s="175"/>
    </row>
    <row r="1245" spans="1:1">
      <c r="A1245" s="175"/>
    </row>
    <row r="1246" spans="1:1">
      <c r="A1246" s="175"/>
    </row>
    <row r="1247" spans="1:1">
      <c r="A1247" s="175"/>
    </row>
    <row r="1248" spans="1:1">
      <c r="A1248" s="175"/>
    </row>
    <row r="1249" spans="1:1">
      <c r="A1249" s="175"/>
    </row>
    <row r="1250" spans="1:1">
      <c r="A1250" s="175"/>
    </row>
    <row r="1251" spans="1:1">
      <c r="A1251" s="175"/>
    </row>
    <row r="1252" spans="1:1">
      <c r="A1252" s="175"/>
    </row>
    <row r="1253" spans="1:1">
      <c r="A1253" s="175"/>
    </row>
    <row r="1254" spans="1:1">
      <c r="A1254" s="175"/>
    </row>
    <row r="1255" spans="1:1">
      <c r="A1255" s="175"/>
    </row>
    <row r="1256" spans="1:1">
      <c r="A1256" s="175"/>
    </row>
    <row r="1257" spans="1:1">
      <c r="A1257" s="175"/>
    </row>
    <row r="1258" spans="1:1">
      <c r="A1258" s="175"/>
    </row>
    <row r="1259" spans="1:1">
      <c r="A1259" s="175"/>
    </row>
    <row r="1260" spans="1:1">
      <c r="A1260" s="175"/>
    </row>
    <row r="1261" spans="1:1">
      <c r="A1261" s="175"/>
    </row>
    <row r="1262" spans="1:1">
      <c r="A1262" s="175"/>
    </row>
    <row r="1263" spans="1:1">
      <c r="A1263" s="175"/>
    </row>
    <row r="1264" spans="1:1">
      <c r="A1264" s="175"/>
    </row>
    <row r="1265" spans="1:1">
      <c r="A1265" s="175"/>
    </row>
    <row r="1266" spans="1:1">
      <c r="A1266" s="175"/>
    </row>
    <row r="1267" spans="1:1">
      <c r="A1267" s="175"/>
    </row>
    <row r="1268" spans="1:1">
      <c r="A1268" s="175"/>
    </row>
    <row r="1269" spans="1:1">
      <c r="A1269" s="175"/>
    </row>
    <row r="1270" spans="1:1">
      <c r="A1270" s="175"/>
    </row>
    <row r="1271" spans="1:1">
      <c r="A1271" s="175"/>
    </row>
    <row r="1272" spans="1:1">
      <c r="A1272" s="175"/>
    </row>
    <row r="1273" spans="1:1">
      <c r="A1273" s="175"/>
    </row>
    <row r="1274" spans="1:1">
      <c r="A1274" s="175"/>
    </row>
    <row r="1275" spans="1:1">
      <c r="A1275" s="175"/>
    </row>
    <row r="1276" spans="1:1">
      <c r="A1276" s="175"/>
    </row>
    <row r="1277" spans="1:1">
      <c r="A1277" s="175"/>
    </row>
    <row r="1278" spans="1:1">
      <c r="A1278" s="175"/>
    </row>
    <row r="1279" spans="1:1">
      <c r="A1279" s="175"/>
    </row>
    <row r="1280" spans="1:1">
      <c r="A1280" s="175"/>
    </row>
    <row r="1281" spans="1:1">
      <c r="A1281" s="175"/>
    </row>
    <row r="1282" spans="1:1">
      <c r="A1282" s="175"/>
    </row>
    <row r="1283" spans="1:1">
      <c r="A1283" s="175"/>
    </row>
    <row r="1284" spans="1:1">
      <c r="A1284" s="175"/>
    </row>
    <row r="1285" spans="1:1">
      <c r="A1285" s="175"/>
    </row>
    <row r="1286" spans="1:1">
      <c r="A1286" s="175"/>
    </row>
    <row r="1287" spans="1:1">
      <c r="A1287" s="175"/>
    </row>
    <row r="1288" spans="1:1">
      <c r="A1288" s="175"/>
    </row>
    <row r="1289" spans="1:1">
      <c r="A1289" s="175"/>
    </row>
    <row r="1290" spans="1:1">
      <c r="A1290" s="175"/>
    </row>
    <row r="1291" spans="1:1">
      <c r="A1291" s="175"/>
    </row>
    <row r="1292" spans="1:1">
      <c r="A1292" s="175"/>
    </row>
    <row r="1293" spans="1:1">
      <c r="A1293" s="175"/>
    </row>
    <row r="1294" spans="1:1">
      <c r="A1294" s="175"/>
    </row>
    <row r="1295" spans="1:1">
      <c r="A1295" s="175"/>
    </row>
    <row r="1296" spans="1:1">
      <c r="A1296" s="175"/>
    </row>
    <row r="1297" spans="1:1">
      <c r="A1297" s="175"/>
    </row>
    <row r="1298" spans="1:1">
      <c r="A1298" s="175"/>
    </row>
    <row r="1299" spans="1:1">
      <c r="A1299" s="175"/>
    </row>
    <row r="1300" spans="1:1">
      <c r="A1300" s="175"/>
    </row>
    <row r="1301" spans="1:1">
      <c r="A1301" s="175"/>
    </row>
    <row r="1302" spans="1:1">
      <c r="A1302" s="175"/>
    </row>
    <row r="1303" spans="1:1">
      <c r="A1303" s="175"/>
    </row>
    <row r="1304" spans="1:1">
      <c r="A1304" s="175"/>
    </row>
    <row r="1305" spans="1:1">
      <c r="A1305" s="175"/>
    </row>
    <row r="1306" spans="1:1">
      <c r="A1306" s="175"/>
    </row>
    <row r="1307" spans="1:1">
      <c r="A1307" s="175"/>
    </row>
    <row r="1308" spans="1:1">
      <c r="A1308" s="175"/>
    </row>
    <row r="1309" spans="1:1">
      <c r="A1309" s="175"/>
    </row>
    <row r="1310" spans="1:1">
      <c r="A1310" s="175"/>
    </row>
    <row r="1311" spans="1:1">
      <c r="A1311" s="175"/>
    </row>
    <row r="1312" spans="1:1">
      <c r="A1312" s="175"/>
    </row>
    <row r="1313" spans="1:1">
      <c r="A1313" s="175"/>
    </row>
    <row r="1314" spans="1:1">
      <c r="A1314" s="175"/>
    </row>
    <row r="1315" spans="1:1">
      <c r="A1315" s="175"/>
    </row>
    <row r="1316" spans="1:1">
      <c r="A1316" s="175"/>
    </row>
    <row r="1317" spans="1:1">
      <c r="A1317" s="175"/>
    </row>
    <row r="1318" spans="1:1">
      <c r="A1318" s="175"/>
    </row>
    <row r="1319" spans="1:1">
      <c r="A1319" s="175"/>
    </row>
    <row r="1320" spans="1:1">
      <c r="A1320" s="175"/>
    </row>
    <row r="1321" spans="1:1">
      <c r="A1321" s="175"/>
    </row>
    <row r="1322" spans="1:1">
      <c r="A1322" s="175"/>
    </row>
    <row r="1323" spans="1:1">
      <c r="A1323" s="175"/>
    </row>
    <row r="1324" spans="1:1">
      <c r="A1324" s="175"/>
    </row>
    <row r="1325" spans="1:1">
      <c r="A1325" s="175"/>
    </row>
    <row r="1326" spans="1:1">
      <c r="A1326" s="175"/>
    </row>
    <row r="1327" spans="1:1">
      <c r="A1327" s="175"/>
    </row>
    <row r="1328" spans="1:1">
      <c r="A1328" s="175"/>
    </row>
    <row r="1329" spans="1:1">
      <c r="A1329" s="175"/>
    </row>
    <row r="1330" spans="1:1">
      <c r="A1330" s="175"/>
    </row>
    <row r="1331" spans="1:1">
      <c r="A1331" s="175"/>
    </row>
    <row r="1332" spans="1:1">
      <c r="A1332" s="175"/>
    </row>
    <row r="1333" spans="1:1">
      <c r="A1333" s="175"/>
    </row>
    <row r="1334" spans="1:1">
      <c r="A1334" s="175"/>
    </row>
    <row r="1335" spans="1:1">
      <c r="A1335" s="175"/>
    </row>
    <row r="1336" spans="1:1">
      <c r="A1336" s="175"/>
    </row>
    <row r="1337" spans="1:1">
      <c r="A1337" s="175"/>
    </row>
    <row r="1338" spans="1:1">
      <c r="A1338" s="175"/>
    </row>
    <row r="1339" spans="1:1">
      <c r="A1339" s="175"/>
    </row>
    <row r="1340" spans="1:1">
      <c r="A1340" s="175"/>
    </row>
    <row r="1341" spans="1:1">
      <c r="A1341" s="175"/>
    </row>
    <row r="1342" spans="1:1">
      <c r="A1342" s="175"/>
    </row>
    <row r="1343" spans="1:1">
      <c r="A1343" s="175"/>
    </row>
    <row r="1344" spans="1:1">
      <c r="A1344" s="175"/>
    </row>
    <row r="1345" spans="1:1">
      <c r="A1345" s="175"/>
    </row>
    <row r="1346" spans="1:1">
      <c r="A1346" s="175"/>
    </row>
    <row r="1347" spans="1:1">
      <c r="A1347" s="175"/>
    </row>
    <row r="1348" spans="1:1">
      <c r="A1348" s="175"/>
    </row>
    <row r="1349" spans="1:1">
      <c r="A1349" s="175"/>
    </row>
    <row r="1350" spans="1:1">
      <c r="A1350" s="175"/>
    </row>
    <row r="1351" spans="1:1">
      <c r="A1351" s="175"/>
    </row>
    <row r="1352" spans="1:1">
      <c r="A1352" s="175"/>
    </row>
    <row r="1353" spans="1:1">
      <c r="A1353" s="175"/>
    </row>
    <row r="1354" spans="1:1">
      <c r="A1354" s="175"/>
    </row>
    <row r="1355" spans="1:1">
      <c r="A1355" s="175"/>
    </row>
    <row r="1356" spans="1:1">
      <c r="A1356" s="175"/>
    </row>
    <row r="1357" spans="1:1">
      <c r="A1357" s="175"/>
    </row>
    <row r="1358" spans="1:1">
      <c r="A1358" s="175"/>
    </row>
    <row r="1359" spans="1:1">
      <c r="A1359" s="175"/>
    </row>
    <row r="1360" spans="1:1">
      <c r="A1360" s="175"/>
    </row>
    <row r="1361" spans="1:1">
      <c r="A1361" s="175"/>
    </row>
    <row r="1362" spans="1:1">
      <c r="A1362" s="175"/>
    </row>
    <row r="1363" spans="1:1">
      <c r="A1363" s="175"/>
    </row>
    <row r="1364" spans="1:1">
      <c r="A1364" s="175"/>
    </row>
    <row r="1365" spans="1:1">
      <c r="A1365" s="175"/>
    </row>
    <row r="1366" spans="1:1">
      <c r="A1366" s="175"/>
    </row>
    <row r="1367" spans="1:1">
      <c r="A1367" s="175"/>
    </row>
    <row r="1368" spans="1:1">
      <c r="A1368" s="175"/>
    </row>
    <row r="1369" spans="1:1">
      <c r="A1369" s="175"/>
    </row>
    <row r="1370" spans="1:1">
      <c r="A1370" s="175"/>
    </row>
    <row r="1371" spans="1:1">
      <c r="A1371" s="175"/>
    </row>
    <row r="1372" spans="1:1">
      <c r="A1372" s="175"/>
    </row>
    <row r="1373" spans="1:1">
      <c r="A1373" s="175"/>
    </row>
    <row r="1374" spans="1:1">
      <c r="A1374" s="175"/>
    </row>
    <row r="1375" spans="1:1">
      <c r="A1375" s="175"/>
    </row>
    <row r="1376" spans="1:1">
      <c r="A1376" s="175"/>
    </row>
    <row r="1377" spans="1:1">
      <c r="A1377" s="175"/>
    </row>
    <row r="1378" spans="1:1">
      <c r="A1378" s="175"/>
    </row>
    <row r="1379" spans="1:1">
      <c r="A1379" s="175"/>
    </row>
    <row r="1380" spans="1:1">
      <c r="A1380" s="175"/>
    </row>
    <row r="1381" spans="1:1">
      <c r="A1381" s="175"/>
    </row>
    <row r="1382" spans="1:1">
      <c r="A1382" s="175"/>
    </row>
    <row r="1383" spans="1:1">
      <c r="A1383" s="175"/>
    </row>
    <row r="1384" spans="1:1">
      <c r="A1384" s="175"/>
    </row>
    <row r="1385" spans="1:1">
      <c r="A1385" s="175"/>
    </row>
    <row r="1386" spans="1:1">
      <c r="A1386" s="175"/>
    </row>
    <row r="1387" spans="1:1">
      <c r="A1387" s="175"/>
    </row>
    <row r="1388" spans="1:1">
      <c r="A1388" s="175"/>
    </row>
    <row r="1389" spans="1:1">
      <c r="A1389" s="175"/>
    </row>
    <row r="1390" spans="1:1">
      <c r="A1390" s="175"/>
    </row>
    <row r="1391" spans="1:1">
      <c r="A1391" s="175"/>
    </row>
    <row r="1392" spans="1:1">
      <c r="A1392" s="175"/>
    </row>
    <row r="1393" spans="1:1">
      <c r="A1393" s="175"/>
    </row>
    <row r="1394" spans="1:1">
      <c r="A1394" s="175"/>
    </row>
    <row r="1395" spans="1:1">
      <c r="A1395" s="175"/>
    </row>
    <row r="1396" spans="1:1">
      <c r="A1396" s="175"/>
    </row>
    <row r="1397" spans="1:1">
      <c r="A1397" s="175"/>
    </row>
    <row r="1398" spans="1:1">
      <c r="A1398" s="175"/>
    </row>
    <row r="1399" spans="1:1">
      <c r="A1399" s="175"/>
    </row>
    <row r="1400" spans="1:1">
      <c r="A1400" s="175"/>
    </row>
    <row r="1401" spans="1:1">
      <c r="A1401" s="175"/>
    </row>
    <row r="1402" spans="1:1">
      <c r="A1402" s="175"/>
    </row>
    <row r="1403" spans="1:1">
      <c r="A1403" s="175"/>
    </row>
    <row r="1404" spans="1:1">
      <c r="A1404" s="175"/>
    </row>
    <row r="1405" spans="1:1">
      <c r="A1405" s="175"/>
    </row>
    <row r="1406" spans="1:1">
      <c r="A1406" s="175"/>
    </row>
    <row r="1407" spans="1:1">
      <c r="A1407" s="175"/>
    </row>
    <row r="1408" spans="1:1">
      <c r="A1408" s="175"/>
    </row>
    <row r="1409" spans="1:1">
      <c r="A1409" s="175"/>
    </row>
    <row r="1410" spans="1:1">
      <c r="A1410" s="175"/>
    </row>
    <row r="1411" spans="1:1">
      <c r="A1411" s="175"/>
    </row>
    <row r="1412" spans="1:1">
      <c r="A1412" s="175"/>
    </row>
    <row r="1413" spans="1:1">
      <c r="A1413" s="175"/>
    </row>
    <row r="1414" spans="1:1">
      <c r="A1414" s="175"/>
    </row>
    <row r="1415" spans="1:1">
      <c r="A1415" s="175"/>
    </row>
    <row r="1416" spans="1:1">
      <c r="A1416" s="175"/>
    </row>
    <row r="1417" spans="1:1">
      <c r="A1417" s="175"/>
    </row>
    <row r="1418" spans="1:1">
      <c r="A1418" s="175"/>
    </row>
    <row r="1419" spans="1:1">
      <c r="A1419" s="175"/>
    </row>
    <row r="1420" spans="1:1">
      <c r="A1420" s="175"/>
    </row>
    <row r="1421" spans="1:1">
      <c r="A1421" s="175"/>
    </row>
    <row r="1422" spans="1:1">
      <c r="A1422" s="175"/>
    </row>
    <row r="1423" spans="1:1">
      <c r="A1423" s="175"/>
    </row>
    <row r="1424" spans="1:1">
      <c r="A1424" s="175"/>
    </row>
    <row r="1425" spans="1:1">
      <c r="A1425" s="175"/>
    </row>
    <row r="1426" spans="1:1">
      <c r="A1426" s="175"/>
    </row>
    <row r="1427" spans="1:1">
      <c r="A1427" s="175"/>
    </row>
    <row r="1428" spans="1:1">
      <c r="A1428" s="175"/>
    </row>
    <row r="1429" spans="1:1">
      <c r="A1429" s="175"/>
    </row>
    <row r="1430" spans="1:1">
      <c r="A1430" s="175"/>
    </row>
    <row r="1431" spans="1:1">
      <c r="A1431" s="175"/>
    </row>
    <row r="1432" spans="1:1">
      <c r="A1432" s="175"/>
    </row>
    <row r="1433" spans="1:1">
      <c r="A1433" s="175"/>
    </row>
    <row r="1434" spans="1:1">
      <c r="A1434" s="175"/>
    </row>
    <row r="1435" spans="1:1">
      <c r="A1435" s="175"/>
    </row>
    <row r="1436" spans="1:1">
      <c r="A1436" s="175"/>
    </row>
    <row r="1437" spans="1:1">
      <c r="A1437" s="175"/>
    </row>
    <row r="1438" spans="1:1">
      <c r="A1438" s="175"/>
    </row>
    <row r="1439" spans="1:1">
      <c r="A1439" s="175"/>
    </row>
    <row r="1440" spans="1:1">
      <c r="A1440" s="175"/>
    </row>
    <row r="1441" spans="1:1">
      <c r="A1441" s="175"/>
    </row>
    <row r="1442" spans="1:1">
      <c r="A1442" s="175"/>
    </row>
    <row r="1443" spans="1:1">
      <c r="A1443" s="175"/>
    </row>
    <row r="1444" spans="1:1">
      <c r="A1444" s="175"/>
    </row>
    <row r="1445" spans="1:1">
      <c r="A1445" s="175"/>
    </row>
    <row r="1446" spans="1:1">
      <c r="A1446" s="175"/>
    </row>
    <row r="1447" spans="1:1">
      <c r="A1447" s="175"/>
    </row>
    <row r="1448" spans="1:1">
      <c r="A1448" s="175"/>
    </row>
    <row r="1449" spans="1:1">
      <c r="A1449" s="175"/>
    </row>
    <row r="1450" spans="1:1">
      <c r="A1450" s="175"/>
    </row>
    <row r="1451" spans="1:1">
      <c r="A1451" s="175"/>
    </row>
    <row r="1452" spans="1:1">
      <c r="A1452" s="175"/>
    </row>
    <row r="1453" spans="1:1">
      <c r="A1453" s="175"/>
    </row>
    <row r="1454" spans="1:1">
      <c r="A1454" s="175"/>
    </row>
    <row r="1455" spans="1:1">
      <c r="A1455" s="175"/>
    </row>
    <row r="1456" spans="1:1">
      <c r="A1456" s="175"/>
    </row>
    <row r="1457" spans="1:1">
      <c r="A1457" s="175"/>
    </row>
    <row r="1458" spans="1:1">
      <c r="A1458" s="175"/>
    </row>
    <row r="1459" spans="1:1">
      <c r="A1459" s="175"/>
    </row>
    <row r="1460" spans="1:1">
      <c r="A1460" s="175"/>
    </row>
    <row r="1461" spans="1:1">
      <c r="A1461" s="175"/>
    </row>
    <row r="1462" spans="1:1">
      <c r="A1462" s="175"/>
    </row>
    <row r="1463" spans="1:1">
      <c r="A1463" s="175"/>
    </row>
    <row r="1464" spans="1:1">
      <c r="A1464" s="175"/>
    </row>
    <row r="1465" spans="1:1">
      <c r="A1465" s="175"/>
    </row>
    <row r="1466" spans="1:1">
      <c r="A1466" s="175"/>
    </row>
    <row r="1467" spans="1:1">
      <c r="A1467" s="175"/>
    </row>
    <row r="1468" spans="1:1">
      <c r="A1468" s="175"/>
    </row>
    <row r="1469" spans="1:1">
      <c r="A1469" s="175"/>
    </row>
    <row r="1470" spans="1:1">
      <c r="A1470" s="175"/>
    </row>
    <row r="1471" spans="1:1">
      <c r="A1471" s="175"/>
    </row>
    <row r="1472" spans="1:1">
      <c r="A1472" s="175"/>
    </row>
    <row r="1473" spans="1:1">
      <c r="A1473" s="175"/>
    </row>
    <row r="1474" spans="1:1">
      <c r="A1474" s="175"/>
    </row>
    <row r="1475" spans="1:1">
      <c r="A1475" s="175"/>
    </row>
    <row r="1476" spans="1:1">
      <c r="A1476" s="175"/>
    </row>
    <row r="1477" spans="1:1">
      <c r="A1477" s="175"/>
    </row>
    <row r="1478" spans="1:1">
      <c r="A1478" s="175"/>
    </row>
    <row r="1479" spans="1:1">
      <c r="A1479" s="175"/>
    </row>
    <row r="1480" spans="1:1">
      <c r="A1480" s="175"/>
    </row>
    <row r="1481" spans="1:1">
      <c r="A1481" s="175"/>
    </row>
    <row r="1482" spans="1:1">
      <c r="A1482" s="175"/>
    </row>
    <row r="1483" spans="1:1">
      <c r="A1483" s="175"/>
    </row>
    <row r="1484" spans="1:1">
      <c r="A1484" s="175"/>
    </row>
    <row r="1485" spans="1:1">
      <c r="A1485" s="175"/>
    </row>
    <row r="1486" spans="1:1">
      <c r="A1486" s="175"/>
    </row>
    <row r="1487" spans="1:1">
      <c r="A1487" s="175"/>
    </row>
    <row r="1488" spans="1:1">
      <c r="A1488" s="175"/>
    </row>
    <row r="1489" spans="1:1">
      <c r="A1489" s="175"/>
    </row>
    <row r="1490" spans="1:1">
      <c r="A1490" s="175"/>
    </row>
    <row r="1491" spans="1:1">
      <c r="A1491" s="175"/>
    </row>
    <row r="1492" spans="1:1">
      <c r="A1492" s="175"/>
    </row>
    <row r="1493" spans="1:1">
      <c r="A1493" s="175"/>
    </row>
    <row r="1494" spans="1:1">
      <c r="A1494" s="175"/>
    </row>
    <row r="1495" spans="1:1">
      <c r="A1495" s="175"/>
    </row>
    <row r="1496" spans="1:1">
      <c r="A1496" s="175"/>
    </row>
    <row r="1497" spans="1:1">
      <c r="A1497" s="175"/>
    </row>
    <row r="1498" spans="1:1">
      <c r="A1498" s="175"/>
    </row>
    <row r="1499" spans="1:1">
      <c r="A1499" s="175"/>
    </row>
    <row r="1500" spans="1:1">
      <c r="A1500" s="175"/>
    </row>
    <row r="1501" spans="1:1">
      <c r="A1501" s="175"/>
    </row>
    <row r="1502" spans="1:1">
      <c r="A1502" s="175"/>
    </row>
    <row r="1503" spans="1:1">
      <c r="A1503" s="175"/>
    </row>
    <row r="1504" spans="1:1">
      <c r="A1504" s="175"/>
    </row>
    <row r="1505" spans="1:1">
      <c r="A1505" s="175"/>
    </row>
    <row r="1506" spans="1:1">
      <c r="A1506" s="175"/>
    </row>
    <row r="1507" spans="1:1">
      <c r="A1507" s="175"/>
    </row>
    <row r="1508" spans="1:1">
      <c r="A1508" s="175"/>
    </row>
    <row r="1509" spans="1:1">
      <c r="A1509" s="175"/>
    </row>
    <row r="1510" spans="1:1">
      <c r="A1510" s="175"/>
    </row>
    <row r="1511" spans="1:1">
      <c r="A1511" s="175"/>
    </row>
    <row r="1512" spans="1:1">
      <c r="A1512" s="175"/>
    </row>
    <row r="1513" spans="1:1">
      <c r="A1513" s="175"/>
    </row>
    <row r="1514" spans="1:1">
      <c r="A1514" s="175"/>
    </row>
    <row r="1515" spans="1:1">
      <c r="A1515" s="175"/>
    </row>
    <row r="1516" spans="1:1">
      <c r="A1516" s="175"/>
    </row>
    <row r="1517" spans="1:1">
      <c r="A1517" s="175"/>
    </row>
    <row r="1518" spans="1:1">
      <c r="A1518" s="175"/>
    </row>
    <row r="1519" spans="1:1">
      <c r="A1519" s="175"/>
    </row>
    <row r="1520" spans="1:1">
      <c r="A1520" s="175"/>
    </row>
    <row r="1521" spans="1:1">
      <c r="A1521" s="175"/>
    </row>
    <row r="1522" spans="1:1">
      <c r="A1522" s="175"/>
    </row>
    <row r="1523" spans="1:1">
      <c r="A1523" s="175"/>
    </row>
    <row r="1524" spans="1:1">
      <c r="A1524" s="175"/>
    </row>
    <row r="1525" spans="1:1">
      <c r="A1525" s="175"/>
    </row>
    <row r="1526" spans="1:1">
      <c r="A1526" s="175"/>
    </row>
    <row r="1527" spans="1:1">
      <c r="A1527" s="175"/>
    </row>
    <row r="1528" spans="1:1">
      <c r="A1528" s="175"/>
    </row>
    <row r="1529" spans="1:1">
      <c r="A1529" s="175"/>
    </row>
    <row r="1530" spans="1:1">
      <c r="A1530" s="175"/>
    </row>
    <row r="1531" spans="1:1">
      <c r="A1531" s="175"/>
    </row>
    <row r="1532" spans="1:1">
      <c r="A1532" s="175"/>
    </row>
    <row r="1533" spans="1:1">
      <c r="A1533" s="175"/>
    </row>
    <row r="1534" spans="1:1">
      <c r="A1534" s="175"/>
    </row>
    <row r="1535" spans="1:1">
      <c r="A1535" s="175"/>
    </row>
    <row r="1536" spans="1:1">
      <c r="A1536" s="175"/>
    </row>
    <row r="1537" spans="1:1">
      <c r="A1537" s="175"/>
    </row>
    <row r="1538" spans="1:1">
      <c r="A1538" s="175"/>
    </row>
    <row r="1539" spans="1:1">
      <c r="A1539" s="175"/>
    </row>
    <row r="1540" spans="1:1">
      <c r="A1540" s="175"/>
    </row>
    <row r="1541" spans="1:1">
      <c r="A1541" s="175"/>
    </row>
    <row r="1542" spans="1:1">
      <c r="A1542" s="175"/>
    </row>
    <row r="1543" spans="1:1">
      <c r="A1543" s="175"/>
    </row>
    <row r="1544" spans="1:1">
      <c r="A1544" s="175"/>
    </row>
    <row r="1545" spans="1:1">
      <c r="A1545" s="175"/>
    </row>
    <row r="1546" spans="1:1">
      <c r="A1546" s="175"/>
    </row>
    <row r="1547" spans="1:1">
      <c r="A1547" s="175"/>
    </row>
    <row r="1548" spans="1:1">
      <c r="A1548" s="175"/>
    </row>
    <row r="1549" spans="1:1">
      <c r="A1549" s="175"/>
    </row>
    <row r="1550" spans="1:1">
      <c r="A1550" s="175"/>
    </row>
    <row r="1551" spans="1:1">
      <c r="A1551" s="175"/>
    </row>
    <row r="1552" spans="1:1">
      <c r="A1552" s="175"/>
    </row>
    <row r="1553" spans="1:1">
      <c r="A1553" s="175"/>
    </row>
    <row r="1554" spans="1:1">
      <c r="A1554" s="175"/>
    </row>
    <row r="1555" spans="1:1">
      <c r="A1555" s="175"/>
    </row>
    <row r="1556" spans="1:1">
      <c r="A1556" s="175"/>
    </row>
    <row r="1557" spans="1:1">
      <c r="A1557" s="175"/>
    </row>
    <row r="1558" spans="1:1">
      <c r="A1558" s="175"/>
    </row>
    <row r="1559" spans="1:1">
      <c r="A1559" s="175"/>
    </row>
    <row r="1560" spans="1:1">
      <c r="A1560" s="175"/>
    </row>
    <row r="1561" spans="1:1">
      <c r="A1561" s="175"/>
    </row>
    <row r="1562" spans="1:1">
      <c r="A1562" s="175"/>
    </row>
    <row r="1563" spans="1:1">
      <c r="A1563" s="175"/>
    </row>
    <row r="1564" spans="1:1">
      <c r="A1564" s="175"/>
    </row>
    <row r="1565" spans="1:1">
      <c r="A1565" s="175"/>
    </row>
    <row r="1566" spans="1:1">
      <c r="A1566" s="175"/>
    </row>
    <row r="1567" spans="1:1">
      <c r="A1567" s="175"/>
    </row>
    <row r="1568" spans="1:1">
      <c r="A1568" s="175"/>
    </row>
    <row r="1569" spans="1:1">
      <c r="A1569" s="175"/>
    </row>
    <row r="1570" spans="1:1">
      <c r="A1570" s="175"/>
    </row>
    <row r="1571" spans="1:1">
      <c r="A1571" s="175"/>
    </row>
    <row r="1572" spans="1:1">
      <c r="A1572" s="175"/>
    </row>
    <row r="1573" spans="1:1">
      <c r="A1573" s="175"/>
    </row>
    <row r="1574" spans="1:1">
      <c r="A1574" s="175"/>
    </row>
    <row r="1575" spans="1:1">
      <c r="A1575" s="175"/>
    </row>
    <row r="1576" spans="1:1">
      <c r="A1576" s="175"/>
    </row>
    <row r="1577" spans="1:1">
      <c r="A1577" s="175"/>
    </row>
    <row r="1578" spans="1:1">
      <c r="A1578" s="175"/>
    </row>
    <row r="1579" spans="1:1">
      <c r="A1579" s="175"/>
    </row>
    <row r="1580" spans="1:1">
      <c r="A1580" s="175"/>
    </row>
    <row r="1581" spans="1:1">
      <c r="A1581" s="175"/>
    </row>
    <row r="1582" spans="1:1">
      <c r="A1582" s="175"/>
    </row>
    <row r="1583" spans="1:1">
      <c r="A1583" s="175"/>
    </row>
    <row r="1584" spans="1:1">
      <c r="A1584" s="175"/>
    </row>
    <row r="1585" spans="1:1">
      <c r="A1585" s="175"/>
    </row>
    <row r="1586" spans="1:1">
      <c r="A1586" s="175"/>
    </row>
    <row r="1587" spans="1:1">
      <c r="A1587" s="175"/>
    </row>
    <row r="1588" spans="1:1">
      <c r="A1588" s="175"/>
    </row>
    <row r="1589" spans="1:1">
      <c r="A1589" s="175"/>
    </row>
    <row r="1590" spans="1:1">
      <c r="A1590" s="175"/>
    </row>
    <row r="1591" spans="1:1">
      <c r="A1591" s="175"/>
    </row>
    <row r="1592" spans="1:1">
      <c r="A1592" s="175"/>
    </row>
    <row r="1593" spans="1:1">
      <c r="A1593" s="175"/>
    </row>
    <row r="1594" spans="1:1">
      <c r="A1594" s="175"/>
    </row>
    <row r="1595" spans="1:1">
      <c r="A1595" s="175"/>
    </row>
    <row r="1596" spans="1:1">
      <c r="A1596" s="175"/>
    </row>
    <row r="1597" spans="1:1">
      <c r="A1597" s="175"/>
    </row>
    <row r="1598" spans="1:1">
      <c r="A1598" s="175"/>
    </row>
    <row r="1599" spans="1:1">
      <c r="A1599" s="175"/>
    </row>
    <row r="1600" spans="1:1">
      <c r="A1600" s="175"/>
    </row>
    <row r="1601" spans="1:1">
      <c r="A1601" s="175"/>
    </row>
    <row r="1602" spans="1:1">
      <c r="A1602" s="175"/>
    </row>
    <row r="1603" spans="1:1">
      <c r="A1603" s="175"/>
    </row>
    <row r="1604" spans="1:1">
      <c r="A1604" s="175"/>
    </row>
    <row r="1605" spans="1:1">
      <c r="A1605" s="175"/>
    </row>
    <row r="1606" spans="1:1">
      <c r="A1606" s="175"/>
    </row>
    <row r="1607" spans="1:1">
      <c r="A1607" s="175"/>
    </row>
    <row r="1608" spans="1:1">
      <c r="A1608" s="175"/>
    </row>
    <row r="1609" spans="1:1">
      <c r="A1609" s="175"/>
    </row>
    <row r="1610" spans="1:1">
      <c r="A1610" s="175"/>
    </row>
    <row r="1611" spans="1:1">
      <c r="A1611" s="175"/>
    </row>
    <row r="1612" spans="1:1">
      <c r="A1612" s="175"/>
    </row>
    <row r="1613" spans="1:1">
      <c r="A1613" s="175"/>
    </row>
    <row r="1614" spans="1:1">
      <c r="A1614" s="175"/>
    </row>
    <row r="1615" spans="1:1">
      <c r="A1615" s="175"/>
    </row>
    <row r="1616" spans="1:1">
      <c r="A1616" s="175"/>
    </row>
    <row r="1617" spans="1:1">
      <c r="A1617" s="175"/>
    </row>
    <row r="1618" spans="1:1">
      <c r="A1618" s="175"/>
    </row>
    <row r="1619" spans="1:1">
      <c r="A1619" s="175"/>
    </row>
    <row r="1620" spans="1:1">
      <c r="A1620" s="175"/>
    </row>
    <row r="1621" spans="1:1">
      <c r="A1621" s="175"/>
    </row>
    <row r="1622" spans="1:1">
      <c r="A1622" s="175"/>
    </row>
    <row r="1623" spans="1:1">
      <c r="A1623" s="175"/>
    </row>
    <row r="1624" spans="1:1">
      <c r="A1624" s="175"/>
    </row>
    <row r="1625" spans="1:1">
      <c r="A1625" s="175"/>
    </row>
    <row r="1626" spans="1:1">
      <c r="A1626" s="175"/>
    </row>
    <row r="1627" spans="1:1">
      <c r="A1627" s="175"/>
    </row>
    <row r="1628" spans="1:1">
      <c r="A1628" s="175"/>
    </row>
    <row r="1629" spans="1:1">
      <c r="A1629" s="175"/>
    </row>
    <row r="1630" spans="1:1">
      <c r="A1630" s="175"/>
    </row>
    <row r="1631" spans="1:1">
      <c r="A1631" s="175"/>
    </row>
    <row r="1632" spans="1:1">
      <c r="A1632" s="175"/>
    </row>
    <row r="1633" spans="1:1">
      <c r="A1633" s="175"/>
    </row>
    <row r="1634" spans="1:1">
      <c r="A1634" s="175"/>
    </row>
    <row r="1635" spans="1:1">
      <c r="A1635" s="175"/>
    </row>
    <row r="1636" spans="1:1">
      <c r="A1636" s="175"/>
    </row>
    <row r="1637" spans="1:1">
      <c r="A1637" s="175"/>
    </row>
    <row r="1638" spans="1:1">
      <c r="A1638" s="175"/>
    </row>
    <row r="1639" spans="1:1">
      <c r="A1639" s="175"/>
    </row>
    <row r="1640" spans="1:1">
      <c r="A1640" s="175"/>
    </row>
    <row r="1641" spans="1:1">
      <c r="A1641" s="175"/>
    </row>
    <row r="1642" spans="1:1">
      <c r="A1642" s="175"/>
    </row>
    <row r="1643" spans="1:1">
      <c r="A1643" s="175"/>
    </row>
    <row r="1644" spans="1:1">
      <c r="A1644" s="175"/>
    </row>
    <row r="1645" spans="1:1">
      <c r="A1645" s="175"/>
    </row>
    <row r="1646" spans="1:1">
      <c r="A1646" s="175"/>
    </row>
    <row r="1647" spans="1:1">
      <c r="A1647" s="175"/>
    </row>
    <row r="1648" spans="1:1">
      <c r="A1648" s="175"/>
    </row>
    <row r="1649" spans="1:1">
      <c r="A1649" s="175"/>
    </row>
    <row r="1650" spans="1:1">
      <c r="A1650" s="175"/>
    </row>
    <row r="1651" spans="1:1">
      <c r="A1651" s="175"/>
    </row>
    <row r="1652" spans="1:1">
      <c r="A1652" s="175"/>
    </row>
    <row r="1653" spans="1:1">
      <c r="A1653" s="175"/>
    </row>
    <row r="1654" spans="1:1">
      <c r="A1654" s="175"/>
    </row>
    <row r="1655" spans="1:1">
      <c r="A1655" s="175"/>
    </row>
    <row r="1656" spans="1:1">
      <c r="A1656" s="175"/>
    </row>
    <row r="1657" spans="1:1">
      <c r="A1657" s="175"/>
    </row>
    <row r="1658" spans="1:1">
      <c r="A1658" s="175"/>
    </row>
    <row r="1659" spans="1:1">
      <c r="A1659" s="175"/>
    </row>
    <row r="1660" spans="1:1">
      <c r="A1660" s="175"/>
    </row>
    <row r="1661" spans="1:1">
      <c r="A1661" s="175"/>
    </row>
    <row r="1662" spans="1:1">
      <c r="A1662" s="175"/>
    </row>
    <row r="1663" spans="1:1">
      <c r="A1663" s="175"/>
    </row>
    <row r="1664" spans="1:1">
      <c r="A1664" s="175"/>
    </row>
    <row r="1665" spans="1:1">
      <c r="A1665" s="175"/>
    </row>
    <row r="1666" spans="1:1">
      <c r="A1666" s="175"/>
    </row>
    <row r="1667" spans="1:1">
      <c r="A1667" s="175"/>
    </row>
    <row r="1668" spans="1:1">
      <c r="A1668" s="175"/>
    </row>
    <row r="1669" spans="1:1">
      <c r="A1669" s="175"/>
    </row>
    <row r="1670" spans="1:1">
      <c r="A1670" s="175"/>
    </row>
    <row r="1671" spans="1:1">
      <c r="A1671" s="175"/>
    </row>
    <row r="1672" spans="1:1">
      <c r="A1672" s="175"/>
    </row>
    <row r="1673" spans="1:1">
      <c r="A1673" s="175"/>
    </row>
    <row r="1674" spans="1:1">
      <c r="A1674" s="175"/>
    </row>
    <row r="1675" spans="1:1">
      <c r="A1675" s="175"/>
    </row>
    <row r="1676" spans="1:1">
      <c r="A1676" s="175"/>
    </row>
    <row r="1677" spans="1:1">
      <c r="A1677" s="175"/>
    </row>
    <row r="1678" spans="1:1">
      <c r="A1678" s="175"/>
    </row>
    <row r="1679" spans="1:1">
      <c r="A1679" s="175"/>
    </row>
    <row r="1680" spans="1:1">
      <c r="A1680" s="175"/>
    </row>
    <row r="1681" spans="1:1">
      <c r="A1681" s="175"/>
    </row>
    <row r="1682" spans="1:1">
      <c r="A1682" s="175"/>
    </row>
    <row r="1683" spans="1:1">
      <c r="A1683" s="175"/>
    </row>
    <row r="1684" spans="1:1">
      <c r="A1684" s="175"/>
    </row>
    <row r="1685" spans="1:1">
      <c r="A1685" s="175"/>
    </row>
    <row r="1686" spans="1:1">
      <c r="A1686" s="175"/>
    </row>
    <row r="1687" spans="1:1">
      <c r="A1687" s="175"/>
    </row>
    <row r="1688" spans="1:1">
      <c r="A1688" s="175"/>
    </row>
    <row r="1689" spans="1:1">
      <c r="A1689" s="175"/>
    </row>
    <row r="1690" spans="1:1">
      <c r="A1690" s="175"/>
    </row>
    <row r="1691" spans="1:1">
      <c r="A1691" s="175"/>
    </row>
    <row r="1692" spans="1:1">
      <c r="A1692" s="175"/>
    </row>
    <row r="1693" spans="1:1">
      <c r="A1693" s="175"/>
    </row>
    <row r="1694" spans="1:1">
      <c r="A1694" s="175"/>
    </row>
    <row r="1695" spans="1:1">
      <c r="A1695" s="175"/>
    </row>
    <row r="1696" spans="1:1">
      <c r="A1696" s="175"/>
    </row>
    <row r="1697" spans="1:1">
      <c r="A1697" s="175"/>
    </row>
    <row r="1698" spans="1:1">
      <c r="A1698" s="175"/>
    </row>
    <row r="1699" spans="1:1">
      <c r="A1699" s="175"/>
    </row>
    <row r="1700" spans="1:1">
      <c r="A1700" s="175"/>
    </row>
    <row r="1701" spans="1:1">
      <c r="A1701" s="175"/>
    </row>
    <row r="1702" spans="1:1">
      <c r="A1702" s="175"/>
    </row>
    <row r="1703" spans="1:1">
      <c r="A1703" s="175"/>
    </row>
    <row r="1704" spans="1:1">
      <c r="A1704" s="175"/>
    </row>
    <row r="1705" spans="1:1">
      <c r="A1705" s="175"/>
    </row>
    <row r="1706" spans="1:1">
      <c r="A1706" s="175"/>
    </row>
    <row r="1707" spans="1:1">
      <c r="A1707" s="175"/>
    </row>
    <row r="1708" spans="1:1">
      <c r="A1708" s="175"/>
    </row>
    <row r="1709" spans="1:1">
      <c r="A1709" s="175"/>
    </row>
    <row r="1710" spans="1:1">
      <c r="A1710" s="175"/>
    </row>
    <row r="1711" spans="1:1">
      <c r="A1711" s="175"/>
    </row>
    <row r="1712" spans="1:1">
      <c r="A1712" s="175"/>
    </row>
    <row r="1713" spans="1:1">
      <c r="A1713" s="175"/>
    </row>
    <row r="1714" spans="1:1">
      <c r="A1714" s="175"/>
    </row>
    <row r="1715" spans="1:1">
      <c r="A1715" s="175"/>
    </row>
    <row r="1716" spans="1:1">
      <c r="A1716" s="175"/>
    </row>
    <row r="1717" spans="1:1">
      <c r="A1717" s="175"/>
    </row>
    <row r="1718" spans="1:1">
      <c r="A1718" s="175"/>
    </row>
    <row r="1719" spans="1:1">
      <c r="A1719" s="175"/>
    </row>
    <row r="1720" spans="1:1">
      <c r="A1720" s="175"/>
    </row>
    <row r="1721" spans="1:1">
      <c r="A1721" s="175"/>
    </row>
    <row r="1722" spans="1:1">
      <c r="A1722" s="175"/>
    </row>
    <row r="1723" spans="1:1">
      <c r="A1723" s="175"/>
    </row>
    <row r="1724" spans="1:1">
      <c r="A1724" s="175"/>
    </row>
    <row r="1725" spans="1:1">
      <c r="A1725" s="175"/>
    </row>
    <row r="1726" spans="1:1">
      <c r="A1726" s="175"/>
    </row>
    <row r="1727" spans="1:1">
      <c r="A1727" s="175"/>
    </row>
    <row r="1728" spans="1:1">
      <c r="A1728" s="175"/>
    </row>
    <row r="1729" spans="1:1">
      <c r="A1729" s="175"/>
    </row>
    <row r="1730" spans="1:1">
      <c r="A1730" s="175"/>
    </row>
    <row r="1731" spans="1:1">
      <c r="A1731" s="175"/>
    </row>
    <row r="1732" spans="1:1">
      <c r="A1732" s="175"/>
    </row>
    <row r="1733" spans="1:1">
      <c r="A1733" s="175"/>
    </row>
    <row r="1734" spans="1:1">
      <c r="A1734" s="175"/>
    </row>
    <row r="1735" spans="1:1">
      <c r="A1735" s="175"/>
    </row>
    <row r="1736" spans="1:1">
      <c r="A1736" s="175"/>
    </row>
    <row r="1737" spans="1:1">
      <c r="A1737" s="175"/>
    </row>
    <row r="1738" spans="1:1">
      <c r="A1738" s="175"/>
    </row>
    <row r="1739" spans="1:1">
      <c r="A1739" s="175"/>
    </row>
    <row r="1740" spans="1:1">
      <c r="A1740" s="175"/>
    </row>
    <row r="1741" spans="1:1">
      <c r="A1741" s="175"/>
    </row>
    <row r="1742" spans="1:1">
      <c r="A1742" s="175"/>
    </row>
    <row r="1743" spans="1:1">
      <c r="A1743" s="175"/>
    </row>
    <row r="1744" spans="1:1">
      <c r="A1744" s="175"/>
    </row>
    <row r="1745" spans="1:1">
      <c r="A1745" s="175"/>
    </row>
    <row r="1746" spans="1:1">
      <c r="A1746" s="175"/>
    </row>
    <row r="1747" spans="1:1">
      <c r="A1747" s="175"/>
    </row>
    <row r="1748" spans="1:1">
      <c r="A1748" s="175"/>
    </row>
    <row r="1749" spans="1:1">
      <c r="A1749" s="175"/>
    </row>
    <row r="1750" spans="1:1">
      <c r="A1750" s="175"/>
    </row>
    <row r="1751" spans="1:1">
      <c r="A1751" s="175"/>
    </row>
    <row r="1752" spans="1:1">
      <c r="A1752" s="175"/>
    </row>
    <row r="1753" spans="1:1">
      <c r="A1753" s="175"/>
    </row>
    <row r="1754" spans="1:1">
      <c r="A1754" s="175"/>
    </row>
    <row r="1755" spans="1:1">
      <c r="A1755" s="175"/>
    </row>
    <row r="1756" spans="1:1">
      <c r="A1756" s="175"/>
    </row>
    <row r="1757" spans="1:1">
      <c r="A1757" s="175"/>
    </row>
    <row r="1758" spans="1:1">
      <c r="A1758" s="175"/>
    </row>
    <row r="1759" spans="1:1">
      <c r="A1759" s="175"/>
    </row>
    <row r="1760" spans="1:1">
      <c r="A1760" s="175"/>
    </row>
    <row r="1761" spans="1:1">
      <c r="A1761" s="175"/>
    </row>
    <row r="1762" spans="1:1">
      <c r="A1762" s="175"/>
    </row>
    <row r="1763" spans="1:1">
      <c r="A1763" s="175"/>
    </row>
    <row r="1764" spans="1:1">
      <c r="A1764" s="175"/>
    </row>
    <row r="1765" spans="1:1">
      <c r="A1765" s="175"/>
    </row>
    <row r="1766" spans="1:1">
      <c r="A1766" s="175"/>
    </row>
    <row r="1767" spans="1:1">
      <c r="A1767" s="175"/>
    </row>
    <row r="1768" spans="1:1">
      <c r="A1768" s="175"/>
    </row>
    <row r="1769" spans="1:1">
      <c r="A1769" s="175"/>
    </row>
    <row r="1770" spans="1:1">
      <c r="A1770" s="175"/>
    </row>
    <row r="1771" spans="1:1">
      <c r="A1771" s="175"/>
    </row>
    <row r="1772" spans="1:1">
      <c r="A1772" s="175"/>
    </row>
    <row r="1773" spans="1:1">
      <c r="A1773" s="175"/>
    </row>
    <row r="1774" spans="1:1">
      <c r="A1774" s="175"/>
    </row>
    <row r="1775" spans="1:1">
      <c r="A1775" s="175"/>
    </row>
    <row r="1776" spans="1:1">
      <c r="A1776" s="175"/>
    </row>
    <row r="1777" spans="1:1">
      <c r="A1777" s="175"/>
    </row>
    <row r="1778" spans="1:1">
      <c r="A1778" s="175"/>
    </row>
    <row r="1779" spans="1:1">
      <c r="A1779" s="175"/>
    </row>
    <row r="1780" spans="1:1">
      <c r="A1780" s="175"/>
    </row>
    <row r="1781" spans="1:1">
      <c r="A1781" s="175"/>
    </row>
    <row r="1782" spans="1:1">
      <c r="A1782" s="175"/>
    </row>
    <row r="1783" spans="1:1">
      <c r="A1783" s="175"/>
    </row>
    <row r="1784" spans="1:1">
      <c r="A1784" s="175"/>
    </row>
    <row r="1785" spans="1:1">
      <c r="A1785" s="175"/>
    </row>
    <row r="1786" spans="1:1">
      <c r="A1786" s="175"/>
    </row>
    <row r="1787" spans="1:1">
      <c r="A1787" s="175"/>
    </row>
    <row r="1788" spans="1:1">
      <c r="A1788" s="175"/>
    </row>
    <row r="1789" spans="1:1">
      <c r="A1789" s="175"/>
    </row>
    <row r="1790" spans="1:1">
      <c r="A1790" s="175"/>
    </row>
    <row r="1791" spans="1:1">
      <c r="A1791" s="175"/>
    </row>
    <row r="1792" spans="1:1">
      <c r="A1792" s="175"/>
    </row>
    <row r="1793" spans="1:1">
      <c r="A1793" s="175"/>
    </row>
    <row r="1794" spans="1:1">
      <c r="A1794" s="175"/>
    </row>
    <row r="1795" spans="1:1">
      <c r="A1795" s="175"/>
    </row>
    <row r="1796" spans="1:1">
      <c r="A1796" s="175"/>
    </row>
    <row r="1797" spans="1:1">
      <c r="A1797" s="175"/>
    </row>
    <row r="1798" spans="1:1">
      <c r="A1798" s="175"/>
    </row>
    <row r="1799" spans="1:1">
      <c r="A1799" s="175"/>
    </row>
    <row r="1800" spans="1:1">
      <c r="A1800" s="175"/>
    </row>
    <row r="1801" spans="1:1">
      <c r="A1801" s="175"/>
    </row>
    <row r="1802" spans="1:1">
      <c r="A1802" s="175"/>
    </row>
    <row r="1803" spans="1:1">
      <c r="A1803" s="175"/>
    </row>
    <row r="1804" spans="1:1">
      <c r="A1804" s="175"/>
    </row>
    <row r="1805" spans="1:1">
      <c r="A1805" s="175"/>
    </row>
    <row r="1806" spans="1:1">
      <c r="A1806" s="175"/>
    </row>
    <row r="1807" spans="1:1">
      <c r="A1807" s="175"/>
    </row>
    <row r="1808" spans="1:1">
      <c r="A1808" s="175"/>
    </row>
    <row r="1809" spans="1:1">
      <c r="A1809" s="175"/>
    </row>
    <row r="1810" spans="1:1">
      <c r="A1810" s="175"/>
    </row>
    <row r="1811" spans="1:1">
      <c r="A1811" s="175"/>
    </row>
    <row r="1812" spans="1:1">
      <c r="A1812" s="175"/>
    </row>
    <row r="1813" spans="1:1">
      <c r="A1813" s="175"/>
    </row>
    <row r="1814" spans="1:1">
      <c r="A1814" s="175"/>
    </row>
    <row r="1815" spans="1:1">
      <c r="A1815" s="175"/>
    </row>
    <row r="1816" spans="1:1">
      <c r="A1816" s="175"/>
    </row>
    <row r="1817" spans="1:1">
      <c r="A1817" s="175"/>
    </row>
    <row r="1818" spans="1:1">
      <c r="A1818" s="175"/>
    </row>
    <row r="1819" spans="1:1">
      <c r="A1819" s="175"/>
    </row>
    <row r="1820" spans="1:1">
      <c r="A1820" s="175"/>
    </row>
    <row r="1821" spans="1:1">
      <c r="A1821" s="175"/>
    </row>
    <row r="1822" spans="1:1">
      <c r="A1822" s="175"/>
    </row>
    <row r="1823" spans="1:1">
      <c r="A1823" s="175"/>
    </row>
    <row r="1824" spans="1:1">
      <c r="A1824" s="175"/>
    </row>
    <row r="1825" spans="1:1">
      <c r="A1825" s="175"/>
    </row>
    <row r="1826" spans="1:1">
      <c r="A1826" s="175"/>
    </row>
    <row r="1827" spans="1:1">
      <c r="A1827" s="175"/>
    </row>
    <row r="1828" spans="1:1">
      <c r="A1828" s="175"/>
    </row>
    <row r="1829" spans="1:1">
      <c r="A1829" s="175"/>
    </row>
    <row r="1830" spans="1:1">
      <c r="A1830" s="175"/>
    </row>
    <row r="1831" spans="1:1">
      <c r="A1831" s="175"/>
    </row>
    <row r="1832" spans="1:1">
      <c r="A1832" s="175"/>
    </row>
    <row r="1833" spans="1:1">
      <c r="A1833" s="175"/>
    </row>
    <row r="1834" spans="1:1">
      <c r="A1834" s="175"/>
    </row>
    <row r="1835" spans="1:1">
      <c r="A1835" s="175"/>
    </row>
    <row r="1836" spans="1:1">
      <c r="A1836" s="175"/>
    </row>
    <row r="1837" spans="1:1">
      <c r="A1837" s="175"/>
    </row>
    <row r="1838" spans="1:1">
      <c r="A1838" s="175"/>
    </row>
    <row r="1839" spans="1:1">
      <c r="A1839" s="175"/>
    </row>
    <row r="1840" spans="1:1">
      <c r="A1840" s="175"/>
    </row>
    <row r="1841" spans="1:1">
      <c r="A1841" s="175"/>
    </row>
    <row r="1842" spans="1:1">
      <c r="A1842" s="175"/>
    </row>
    <row r="1843" spans="1:1">
      <c r="A1843" s="175"/>
    </row>
    <row r="1844" spans="1:1">
      <c r="A1844" s="175"/>
    </row>
    <row r="1845" spans="1:1">
      <c r="A1845" s="175"/>
    </row>
    <row r="1846" spans="1:1">
      <c r="A1846" s="175"/>
    </row>
    <row r="1847" spans="1:1">
      <c r="A1847" s="175"/>
    </row>
    <row r="1848" spans="1:1">
      <c r="A1848" s="175"/>
    </row>
    <row r="1849" spans="1:1">
      <c r="A1849" s="175"/>
    </row>
    <row r="1850" spans="1:1">
      <c r="A1850" s="175"/>
    </row>
    <row r="1851" spans="1:1">
      <c r="A1851" s="175"/>
    </row>
    <row r="1852" spans="1:1">
      <c r="A1852" s="175"/>
    </row>
    <row r="1853" spans="1:1">
      <c r="A1853" s="175"/>
    </row>
    <row r="1854" spans="1:1">
      <c r="A1854" s="175"/>
    </row>
    <row r="1855" spans="1:1">
      <c r="A1855" s="175"/>
    </row>
    <row r="1856" spans="1:1">
      <c r="A1856" s="175"/>
    </row>
    <row r="1857" spans="1:1">
      <c r="A1857" s="175"/>
    </row>
    <row r="1858" spans="1:1">
      <c r="A1858" s="175"/>
    </row>
    <row r="1859" spans="1:1">
      <c r="A1859" s="175"/>
    </row>
    <row r="1860" spans="1:1">
      <c r="A1860" s="175"/>
    </row>
    <row r="1861" spans="1:1">
      <c r="A1861" s="175"/>
    </row>
    <row r="1862" spans="1:1">
      <c r="A1862" s="175"/>
    </row>
    <row r="1863" spans="1:1">
      <c r="A1863" s="175"/>
    </row>
    <row r="1864" spans="1:1">
      <c r="A1864" s="175"/>
    </row>
    <row r="1865" spans="1:1">
      <c r="A1865" s="175"/>
    </row>
    <row r="1866" spans="1:1">
      <c r="A1866" s="175"/>
    </row>
    <row r="1867" spans="1:1">
      <c r="A1867" s="175"/>
    </row>
    <row r="1868" spans="1:1">
      <c r="A1868" s="175"/>
    </row>
    <row r="1869" spans="1:1">
      <c r="A1869" s="175"/>
    </row>
    <row r="1870" spans="1:1">
      <c r="A1870" s="175"/>
    </row>
    <row r="1871" spans="1:1">
      <c r="A1871" s="175"/>
    </row>
    <row r="1872" spans="1:1">
      <c r="A1872" s="175"/>
    </row>
    <row r="1873" spans="1:1">
      <c r="A1873" s="175"/>
    </row>
    <row r="1874" spans="1:1">
      <c r="A1874" s="175"/>
    </row>
    <row r="1875" spans="1:1">
      <c r="A1875" s="175"/>
    </row>
    <row r="1876" spans="1:1">
      <c r="A1876" s="175"/>
    </row>
    <row r="1877" spans="1:1">
      <c r="A1877" s="175"/>
    </row>
    <row r="1878" spans="1:1">
      <c r="A1878" s="175"/>
    </row>
    <row r="1879" spans="1:1">
      <c r="A1879" s="175"/>
    </row>
    <row r="1880" spans="1:1">
      <c r="A1880" s="175"/>
    </row>
    <row r="1881" spans="1:1">
      <c r="A1881" s="175"/>
    </row>
    <row r="1882" spans="1:1">
      <c r="A1882" s="175"/>
    </row>
    <row r="1883" spans="1:1">
      <c r="A1883" s="175"/>
    </row>
    <row r="1884" spans="1:1">
      <c r="A1884" s="175"/>
    </row>
    <row r="1885" spans="1:1">
      <c r="A1885" s="175"/>
    </row>
    <row r="1886" spans="1:1">
      <c r="A1886" s="175"/>
    </row>
    <row r="1887" spans="1:1">
      <c r="A1887" s="175"/>
    </row>
    <row r="1888" spans="1:1">
      <c r="A1888" s="175"/>
    </row>
    <row r="1889" spans="1:1">
      <c r="A1889" s="175"/>
    </row>
    <row r="1890" spans="1:1">
      <c r="A1890" s="175"/>
    </row>
    <row r="1891" spans="1:1">
      <c r="A1891" s="175"/>
    </row>
    <row r="1892" spans="1:1">
      <c r="A1892" s="175"/>
    </row>
    <row r="1893" spans="1:1">
      <c r="A1893" s="175"/>
    </row>
    <row r="1894" spans="1:1">
      <c r="A1894" s="175"/>
    </row>
    <row r="1895" spans="1:1">
      <c r="A1895" s="175"/>
    </row>
    <row r="1896" spans="1:1">
      <c r="A1896" s="175"/>
    </row>
    <row r="1897" spans="1:1">
      <c r="A1897" s="175"/>
    </row>
    <row r="1898" spans="1:1">
      <c r="A1898" s="175"/>
    </row>
    <row r="1899" spans="1:1">
      <c r="A1899" s="175"/>
    </row>
    <row r="1900" spans="1:1">
      <c r="A1900" s="175"/>
    </row>
    <row r="1901" spans="1:1">
      <c r="A1901" s="175"/>
    </row>
    <row r="1902" spans="1:1">
      <c r="A1902" s="175"/>
    </row>
    <row r="1903" spans="1:1">
      <c r="A1903" s="175"/>
    </row>
    <row r="1904" spans="1:1">
      <c r="A1904" s="175"/>
    </row>
    <row r="1905" spans="1:1">
      <c r="A1905" s="175"/>
    </row>
    <row r="1906" spans="1:1">
      <c r="A1906" s="175"/>
    </row>
    <row r="1907" spans="1:1">
      <c r="A1907" s="175"/>
    </row>
    <row r="1908" spans="1:1">
      <c r="A1908" s="175"/>
    </row>
    <row r="1909" spans="1:1">
      <c r="A1909" s="175"/>
    </row>
    <row r="1910" spans="1:1">
      <c r="A1910" s="175"/>
    </row>
    <row r="1911" spans="1:1">
      <c r="A1911" s="175"/>
    </row>
    <row r="1912" spans="1:1">
      <c r="A1912" s="175"/>
    </row>
    <row r="1913" spans="1:1">
      <c r="A1913" s="175"/>
    </row>
    <row r="1914" spans="1:1">
      <c r="A1914" s="175"/>
    </row>
    <row r="1915" spans="1:1">
      <c r="A1915" s="175"/>
    </row>
    <row r="1916" spans="1:1">
      <c r="A1916" s="175"/>
    </row>
    <row r="1917" spans="1:1">
      <c r="A1917" s="175"/>
    </row>
    <row r="1918" spans="1:1">
      <c r="A1918" s="175"/>
    </row>
    <row r="1919" spans="1:1">
      <c r="A1919" s="175"/>
    </row>
    <row r="1920" spans="1:1">
      <c r="A1920" s="175"/>
    </row>
    <row r="1921" spans="1:1">
      <c r="A1921" s="175"/>
    </row>
    <row r="1922" spans="1:1">
      <c r="A1922" s="175"/>
    </row>
    <row r="1923" spans="1:1">
      <c r="A1923" s="175"/>
    </row>
    <row r="1924" spans="1:1">
      <c r="A1924" s="175"/>
    </row>
    <row r="1925" spans="1:1">
      <c r="A1925" s="175"/>
    </row>
    <row r="1926" spans="1:1">
      <c r="A1926" s="175"/>
    </row>
    <row r="1927" spans="1:1">
      <c r="A1927" s="175"/>
    </row>
    <row r="1928" spans="1:1">
      <c r="A1928" s="175"/>
    </row>
    <row r="1929" spans="1:1">
      <c r="A1929" s="175"/>
    </row>
    <row r="1930" spans="1:1">
      <c r="A1930" s="175"/>
    </row>
    <row r="1931" spans="1:1">
      <c r="A1931" s="175"/>
    </row>
    <row r="1932" spans="1:1">
      <c r="A1932" s="175"/>
    </row>
    <row r="1933" spans="1:1">
      <c r="A1933" s="175"/>
    </row>
    <row r="1934" spans="1:1">
      <c r="A1934" s="175"/>
    </row>
    <row r="1935" spans="1:1">
      <c r="A1935" s="175"/>
    </row>
    <row r="1936" spans="1:1">
      <c r="A1936" s="175"/>
    </row>
    <row r="1937" spans="1:1">
      <c r="A1937" s="175"/>
    </row>
    <row r="1938" spans="1:1">
      <c r="A1938" s="175"/>
    </row>
    <row r="1939" spans="1:1">
      <c r="A1939" s="175"/>
    </row>
    <row r="1940" spans="1:1">
      <c r="A1940" s="175"/>
    </row>
    <row r="1941" spans="1:1">
      <c r="A1941" s="175"/>
    </row>
    <row r="1942" spans="1:1">
      <c r="A1942" s="175"/>
    </row>
    <row r="1943" spans="1:1">
      <c r="A1943" s="175"/>
    </row>
    <row r="1944" spans="1:1">
      <c r="A1944" s="175"/>
    </row>
    <row r="1945" spans="1:1">
      <c r="A1945" s="175"/>
    </row>
    <row r="1946" spans="1:1">
      <c r="A1946" s="175"/>
    </row>
    <row r="1947" spans="1:1">
      <c r="A1947" s="175"/>
    </row>
    <row r="1948" spans="1:1">
      <c r="A1948" s="175"/>
    </row>
    <row r="1949" spans="1:1">
      <c r="A1949" s="175"/>
    </row>
    <row r="1950" spans="1:1">
      <c r="A1950" s="175"/>
    </row>
    <row r="1951" spans="1:1">
      <c r="A1951" s="175"/>
    </row>
    <row r="1952" spans="1:1">
      <c r="A1952" s="175"/>
    </row>
    <row r="1953" spans="1:1">
      <c r="A1953" s="175"/>
    </row>
    <row r="1954" spans="1:1">
      <c r="A1954" s="175"/>
    </row>
    <row r="1955" spans="1:1">
      <c r="A1955" s="175"/>
    </row>
    <row r="1956" spans="1:1">
      <c r="A1956" s="175"/>
    </row>
    <row r="1957" spans="1:1">
      <c r="A1957" s="175"/>
    </row>
    <row r="1958" spans="1:1">
      <c r="A1958" s="175"/>
    </row>
    <row r="1959" spans="1:1">
      <c r="A1959" s="175"/>
    </row>
    <row r="1960" spans="1:1">
      <c r="A1960" s="175"/>
    </row>
    <row r="1961" spans="1:1">
      <c r="A1961" s="175"/>
    </row>
    <row r="1962" spans="1:1">
      <c r="A1962" s="175"/>
    </row>
    <row r="1963" spans="1:1">
      <c r="A1963" s="175"/>
    </row>
    <row r="1964" spans="1:1">
      <c r="A1964" s="175"/>
    </row>
    <row r="1965" spans="1:1">
      <c r="A1965" s="175"/>
    </row>
    <row r="1966" spans="1:1">
      <c r="A1966" s="175"/>
    </row>
    <row r="1967" spans="1:1">
      <c r="A1967" s="175"/>
    </row>
    <row r="1968" spans="1:1">
      <c r="A1968" s="175"/>
    </row>
    <row r="1969" spans="1:1">
      <c r="A1969" s="175"/>
    </row>
    <row r="1970" spans="1:1">
      <c r="A1970" s="175"/>
    </row>
    <row r="1971" spans="1:1">
      <c r="A1971" s="175"/>
    </row>
    <row r="1972" spans="1:1">
      <c r="A1972" s="175"/>
    </row>
    <row r="1973" spans="1:1">
      <c r="A1973" s="175"/>
    </row>
    <row r="1974" spans="1:1">
      <c r="A1974" s="175"/>
    </row>
    <row r="1975" spans="1:1">
      <c r="A1975" s="175"/>
    </row>
    <row r="1976" spans="1:1">
      <c r="A1976" s="175"/>
    </row>
    <row r="1977" spans="1:1">
      <c r="A1977" s="175"/>
    </row>
    <row r="1978" spans="1:1">
      <c r="A1978" s="175"/>
    </row>
    <row r="1979" spans="1:1">
      <c r="A1979" s="175"/>
    </row>
    <row r="1980" spans="1:1">
      <c r="A1980" s="175"/>
    </row>
    <row r="1981" spans="1:1">
      <c r="A1981" s="175"/>
    </row>
    <row r="1982" spans="1:1">
      <c r="A1982" s="175"/>
    </row>
    <row r="1983" spans="1:1">
      <c r="A1983" s="175"/>
    </row>
    <row r="1984" spans="1:1">
      <c r="A1984" s="175"/>
    </row>
    <row r="1985" spans="1:1">
      <c r="A1985" s="175"/>
    </row>
    <row r="1986" spans="1:1">
      <c r="A1986" s="175"/>
    </row>
    <row r="1987" spans="1:1">
      <c r="A1987" s="175"/>
    </row>
    <row r="1988" spans="1:1">
      <c r="A1988" s="175"/>
    </row>
    <row r="1989" spans="1:1">
      <c r="A1989" s="175"/>
    </row>
    <row r="1990" spans="1:1">
      <c r="A1990" s="175"/>
    </row>
    <row r="1991" spans="1:1">
      <c r="A1991" s="175"/>
    </row>
    <row r="1992" spans="1:1">
      <c r="A1992" s="175"/>
    </row>
    <row r="1993" spans="1:1">
      <c r="A1993" s="175"/>
    </row>
    <row r="1994" spans="1:1">
      <c r="A1994" s="175"/>
    </row>
    <row r="1995" spans="1:1">
      <c r="A1995" s="175"/>
    </row>
    <row r="1996" spans="1:1">
      <c r="A1996" s="175"/>
    </row>
    <row r="1997" spans="1:1">
      <c r="A1997" s="175"/>
    </row>
    <row r="1998" spans="1:1">
      <c r="A1998" s="175"/>
    </row>
    <row r="1999" spans="1:1">
      <c r="A1999" s="175"/>
    </row>
    <row r="2000" spans="1:1">
      <c r="A2000" s="175"/>
    </row>
    <row r="2001" spans="1:1">
      <c r="A2001" s="175"/>
    </row>
    <row r="2002" spans="1:1">
      <c r="A2002" s="175"/>
    </row>
    <row r="2003" spans="1:1">
      <c r="A2003" s="175"/>
    </row>
    <row r="2004" spans="1:1">
      <c r="A2004" s="175"/>
    </row>
    <row r="2005" spans="1:1">
      <c r="A2005" s="175"/>
    </row>
    <row r="2006" spans="1:1">
      <c r="A2006" s="175"/>
    </row>
    <row r="2007" spans="1:1">
      <c r="A2007" s="175"/>
    </row>
    <row r="2008" spans="1:1">
      <c r="A2008" s="175"/>
    </row>
    <row r="2009" spans="1:1">
      <c r="A2009" s="175"/>
    </row>
    <row r="2010" spans="1:1">
      <c r="A2010" s="175"/>
    </row>
    <row r="2011" spans="1:1">
      <c r="A2011" s="175"/>
    </row>
    <row r="2012" spans="1:1">
      <c r="A2012" s="175"/>
    </row>
    <row r="2013" spans="1:1">
      <c r="A2013" s="175"/>
    </row>
    <row r="2014" spans="1:1">
      <c r="A2014" s="175"/>
    </row>
    <row r="2015" spans="1:1">
      <c r="A2015" s="175"/>
    </row>
    <row r="2016" spans="1:1">
      <c r="A2016" s="175"/>
    </row>
    <row r="2017" spans="1:1">
      <c r="A2017" s="175"/>
    </row>
    <row r="2018" spans="1:1">
      <c r="A2018" s="175"/>
    </row>
    <row r="2019" spans="1:1">
      <c r="A2019" s="175"/>
    </row>
    <row r="2020" spans="1:1">
      <c r="A2020" s="175"/>
    </row>
    <row r="2021" spans="1:1">
      <c r="A2021" s="175"/>
    </row>
    <row r="2022" spans="1:1">
      <c r="A2022" s="175"/>
    </row>
    <row r="2023" spans="1:1">
      <c r="A2023" s="175"/>
    </row>
    <row r="2024" spans="1:1">
      <c r="A2024" s="175"/>
    </row>
    <row r="2025" spans="1:1">
      <c r="A2025" s="175"/>
    </row>
    <row r="2026" spans="1:1">
      <c r="A2026" s="175"/>
    </row>
    <row r="2027" spans="1:1">
      <c r="A2027" s="175"/>
    </row>
    <row r="2028" spans="1:1">
      <c r="A2028" s="175"/>
    </row>
    <row r="2029" spans="1:1">
      <c r="A2029" s="175"/>
    </row>
    <row r="2030" spans="1:1">
      <c r="A2030" s="175"/>
    </row>
    <row r="2031" spans="1:1">
      <c r="A2031" s="175"/>
    </row>
    <row r="2032" spans="1:1">
      <c r="A2032" s="175"/>
    </row>
    <row r="2033" spans="1:1">
      <c r="A2033" s="175"/>
    </row>
    <row r="2034" spans="1:1">
      <c r="A2034" s="175"/>
    </row>
    <row r="2035" spans="1:1">
      <c r="A2035" s="175"/>
    </row>
    <row r="2036" spans="1:1">
      <c r="A2036" s="175"/>
    </row>
    <row r="2037" spans="1:1">
      <c r="A2037" s="175"/>
    </row>
    <row r="2038" spans="1:1">
      <c r="A2038" s="175"/>
    </row>
    <row r="2039" spans="1:1">
      <c r="A2039" s="175"/>
    </row>
    <row r="2040" spans="1:1">
      <c r="A2040" s="175"/>
    </row>
    <row r="2041" spans="1:1">
      <c r="A2041" s="175"/>
    </row>
    <row r="2042" spans="1:1">
      <c r="A2042" s="175"/>
    </row>
    <row r="2043" spans="1:1">
      <c r="A2043" s="175"/>
    </row>
    <row r="2044" spans="1:1">
      <c r="A2044" s="175"/>
    </row>
    <row r="2045" spans="1:1">
      <c r="A2045" s="175"/>
    </row>
    <row r="2046" spans="1:1">
      <c r="A2046" s="175"/>
    </row>
    <row r="2047" spans="1:1">
      <c r="A2047" s="175"/>
    </row>
    <row r="2048" spans="1:1">
      <c r="A2048" s="175"/>
    </row>
    <row r="2049" spans="1:1">
      <c r="A2049" s="175"/>
    </row>
    <row r="2050" spans="1:1">
      <c r="A2050" s="175"/>
    </row>
    <row r="2051" spans="1:1">
      <c r="A2051" s="175"/>
    </row>
    <row r="2052" spans="1:1">
      <c r="A2052" s="175"/>
    </row>
    <row r="2053" spans="1:1">
      <c r="A2053" s="175"/>
    </row>
    <row r="2054" spans="1:1">
      <c r="A2054" s="175"/>
    </row>
    <row r="2055" spans="1:1">
      <c r="A2055" s="175"/>
    </row>
    <row r="2056" spans="1:1">
      <c r="A2056" s="175"/>
    </row>
    <row r="2057" spans="1:1">
      <c r="A2057" s="175"/>
    </row>
    <row r="2058" spans="1:1">
      <c r="A2058" s="175"/>
    </row>
    <row r="2059" spans="1:1">
      <c r="A2059" s="175"/>
    </row>
    <row r="2060" spans="1:1">
      <c r="A2060" s="175"/>
    </row>
    <row r="2061" spans="1:1">
      <c r="A2061" s="175"/>
    </row>
    <row r="2062" spans="1:1">
      <c r="A2062" s="175"/>
    </row>
    <row r="2063" spans="1:1">
      <c r="A2063" s="175"/>
    </row>
    <row r="2064" spans="1:1">
      <c r="A2064" s="175"/>
    </row>
    <row r="2065" spans="1:1">
      <c r="A2065" s="175"/>
    </row>
    <row r="2066" spans="1:1">
      <c r="A2066" s="175"/>
    </row>
    <row r="2067" spans="1:1">
      <c r="A2067" s="175"/>
    </row>
    <row r="2068" spans="1:1">
      <c r="A2068" s="175"/>
    </row>
    <row r="2069" spans="1:1">
      <c r="A2069" s="175"/>
    </row>
    <row r="2070" spans="1:1">
      <c r="A2070" s="175"/>
    </row>
    <row r="2071" spans="1:1">
      <c r="A2071" s="175"/>
    </row>
    <row r="2072" spans="1:1">
      <c r="A2072" s="175"/>
    </row>
    <row r="2073" spans="1:1">
      <c r="A2073" s="175"/>
    </row>
    <row r="2074" spans="1:1">
      <c r="A2074" s="175"/>
    </row>
    <row r="2075" spans="1:1">
      <c r="A2075" s="175"/>
    </row>
    <row r="2076" spans="1:1">
      <c r="A2076" s="175"/>
    </row>
    <row r="2077" spans="1:1">
      <c r="A2077" s="175"/>
    </row>
    <row r="2078" spans="1:1">
      <c r="A2078" s="175"/>
    </row>
    <row r="2079" spans="1:1">
      <c r="A2079" s="175"/>
    </row>
    <row r="2080" spans="1:1">
      <c r="A2080" s="175"/>
    </row>
    <row r="2081" spans="1:1">
      <c r="A2081" s="175"/>
    </row>
    <row r="2082" spans="1:1">
      <c r="A2082" s="175"/>
    </row>
    <row r="2083" spans="1:1">
      <c r="A2083" s="175"/>
    </row>
    <row r="2084" spans="1:1">
      <c r="A2084" s="175"/>
    </row>
    <row r="2085" spans="1:1">
      <c r="A2085" s="175"/>
    </row>
    <row r="2086" spans="1:1">
      <c r="A2086" s="175"/>
    </row>
    <row r="2087" spans="1:1">
      <c r="A2087" s="175"/>
    </row>
    <row r="2088" spans="1:1">
      <c r="A2088" s="175"/>
    </row>
    <row r="2089" spans="1:1">
      <c r="A2089" s="175"/>
    </row>
    <row r="2090" spans="1:1">
      <c r="A2090" s="175"/>
    </row>
    <row r="2091" spans="1:1">
      <c r="A2091" s="175"/>
    </row>
    <row r="2092" spans="1:1">
      <c r="A2092" s="175"/>
    </row>
    <row r="2093" spans="1:1">
      <c r="A2093" s="175"/>
    </row>
    <row r="2094" spans="1:1">
      <c r="A2094" s="175"/>
    </row>
    <row r="2095" spans="1:1">
      <c r="A2095" s="175"/>
    </row>
    <row r="2096" spans="1:1">
      <c r="A2096" s="175"/>
    </row>
    <row r="2097" spans="1:1">
      <c r="A2097" s="175"/>
    </row>
    <row r="2098" spans="1:1">
      <c r="A2098" s="175"/>
    </row>
    <row r="2099" spans="1:1">
      <c r="A2099" s="175"/>
    </row>
    <row r="2100" spans="1:1">
      <c r="A2100" s="175"/>
    </row>
    <row r="2101" spans="1:1">
      <c r="A2101" s="175"/>
    </row>
    <row r="2102" spans="1:1">
      <c r="A2102" s="175"/>
    </row>
    <row r="2103" spans="1:1">
      <c r="A2103" s="175"/>
    </row>
    <row r="2104" spans="1:1">
      <c r="A2104" s="175"/>
    </row>
    <row r="2105" spans="1:1">
      <c r="A2105" s="175"/>
    </row>
    <row r="2106" spans="1:1">
      <c r="A2106" s="175"/>
    </row>
    <row r="2107" spans="1:1">
      <c r="A2107" s="175"/>
    </row>
    <row r="2108" spans="1:1">
      <c r="A2108" s="175"/>
    </row>
    <row r="2109" spans="1:1">
      <c r="A2109" s="175"/>
    </row>
    <row r="2110" spans="1:1">
      <c r="A2110" s="175"/>
    </row>
    <row r="2111" spans="1:1">
      <c r="A2111" s="175"/>
    </row>
    <row r="2112" spans="1:1">
      <c r="A2112" s="175"/>
    </row>
    <row r="2113" spans="1:1">
      <c r="A2113" s="175"/>
    </row>
    <row r="2114" spans="1:1">
      <c r="A2114" s="175"/>
    </row>
    <row r="2115" spans="1:1">
      <c r="A2115" s="175"/>
    </row>
    <row r="2116" spans="1:1">
      <c r="A2116" s="175"/>
    </row>
    <row r="2117" spans="1:1">
      <c r="A2117" s="175"/>
    </row>
    <row r="2118" spans="1:1">
      <c r="A2118" s="175"/>
    </row>
    <row r="2119" spans="1:1">
      <c r="A2119" s="175"/>
    </row>
    <row r="2120" spans="1:1">
      <c r="A2120" s="175"/>
    </row>
    <row r="2121" spans="1:1">
      <c r="A2121" s="175"/>
    </row>
    <row r="2122" spans="1:1">
      <c r="A2122" s="175"/>
    </row>
    <row r="2123" spans="1:1">
      <c r="A2123" s="175"/>
    </row>
    <row r="2124" spans="1:1">
      <c r="A2124" s="175"/>
    </row>
    <row r="2125" spans="1:1">
      <c r="A2125" s="175"/>
    </row>
    <row r="2126" spans="1:1">
      <c r="A2126" s="175"/>
    </row>
    <row r="2127" spans="1:1">
      <c r="A2127" s="175"/>
    </row>
    <row r="2128" spans="1:1">
      <c r="A2128" s="175"/>
    </row>
    <row r="2129" spans="1:1">
      <c r="A2129" s="175"/>
    </row>
    <row r="2130" spans="1:1">
      <c r="A2130" s="175"/>
    </row>
    <row r="2131" spans="1:1">
      <c r="A2131" s="175"/>
    </row>
    <row r="2132" spans="1:1">
      <c r="A2132" s="175"/>
    </row>
    <row r="2133" spans="1:1">
      <c r="A2133" s="175"/>
    </row>
    <row r="2134" spans="1:1">
      <c r="A2134" s="175"/>
    </row>
    <row r="2135" spans="1:1">
      <c r="A2135" s="175"/>
    </row>
    <row r="2136" spans="1:1">
      <c r="A2136" s="175"/>
    </row>
    <row r="2137" spans="1:1">
      <c r="A2137" s="175"/>
    </row>
    <row r="2138" spans="1:1">
      <c r="A2138" s="175"/>
    </row>
    <row r="2139" spans="1:1">
      <c r="A2139" s="175"/>
    </row>
    <row r="2140" spans="1:1">
      <c r="A2140" s="175"/>
    </row>
    <row r="2141" spans="1:1">
      <c r="A2141" s="175"/>
    </row>
    <row r="2142" spans="1:1">
      <c r="A2142" s="175"/>
    </row>
    <row r="2143" spans="1:1">
      <c r="A2143" s="175"/>
    </row>
    <row r="2144" spans="1:1">
      <c r="A2144" s="175"/>
    </row>
    <row r="2145" spans="1:1">
      <c r="A2145" s="175"/>
    </row>
    <row r="2146" spans="1:1">
      <c r="A2146" s="175"/>
    </row>
    <row r="2147" spans="1:1">
      <c r="A2147" s="175"/>
    </row>
    <row r="2148" spans="1:1">
      <c r="A2148" s="175"/>
    </row>
    <row r="2149" spans="1:1">
      <c r="A2149" s="175"/>
    </row>
    <row r="2150" spans="1:1">
      <c r="A2150" s="175"/>
    </row>
    <row r="2151" spans="1:1">
      <c r="A2151" s="175"/>
    </row>
    <row r="2152" spans="1:1">
      <c r="A2152" s="175"/>
    </row>
    <row r="2153" spans="1:1">
      <c r="A2153" s="175"/>
    </row>
    <row r="2154" spans="1:1">
      <c r="A2154" s="175"/>
    </row>
    <row r="2155" spans="1:1">
      <c r="A2155" s="175"/>
    </row>
    <row r="2156" spans="1:1">
      <c r="A2156" s="175"/>
    </row>
    <row r="2157" spans="1:1">
      <c r="A2157" s="175"/>
    </row>
    <row r="2158" spans="1:1">
      <c r="A2158" s="175"/>
    </row>
    <row r="2159" spans="1:1">
      <c r="A2159" s="175"/>
    </row>
    <row r="2160" spans="1:1">
      <c r="A2160" s="175"/>
    </row>
    <row r="2161" spans="1:1">
      <c r="A2161" s="175"/>
    </row>
    <row r="2162" spans="1:1">
      <c r="A2162" s="175"/>
    </row>
    <row r="2163" spans="1:1">
      <c r="A2163" s="175"/>
    </row>
    <row r="2164" spans="1:1">
      <c r="A2164" s="175"/>
    </row>
    <row r="2165" spans="1:1">
      <c r="A2165" s="175"/>
    </row>
    <row r="2166" spans="1:1">
      <c r="A2166" s="175"/>
    </row>
    <row r="2167" spans="1:1">
      <c r="A2167" s="175"/>
    </row>
    <row r="2168" spans="1:1">
      <c r="A2168" s="175"/>
    </row>
    <row r="2169" spans="1:1">
      <c r="A2169" s="175"/>
    </row>
    <row r="2170" spans="1:1">
      <c r="A2170" s="175"/>
    </row>
    <row r="2171" spans="1:1">
      <c r="A2171" s="175"/>
    </row>
    <row r="2172" spans="1:1">
      <c r="A2172" s="175"/>
    </row>
    <row r="2173" spans="1:1">
      <c r="A2173" s="175"/>
    </row>
    <row r="2174" spans="1:1">
      <c r="A2174" s="175"/>
    </row>
    <row r="2175" spans="1:1">
      <c r="A2175" s="175"/>
    </row>
    <row r="2176" spans="1:1">
      <c r="A2176" s="175"/>
    </row>
    <row r="2177" spans="1:1">
      <c r="A2177" s="175"/>
    </row>
    <row r="2178" spans="1:1">
      <c r="A2178" s="175"/>
    </row>
    <row r="2179" spans="1:1">
      <c r="A2179" s="175"/>
    </row>
    <row r="2180" spans="1:1">
      <c r="A2180" s="175"/>
    </row>
    <row r="2181" spans="1:1">
      <c r="A2181" s="175"/>
    </row>
    <row r="2182" spans="1:1">
      <c r="A2182" s="175"/>
    </row>
    <row r="2183" spans="1:1">
      <c r="A2183" s="175"/>
    </row>
    <row r="2184" spans="1:1">
      <c r="A2184" s="175"/>
    </row>
    <row r="2185" spans="1:1">
      <c r="A2185" s="175"/>
    </row>
    <row r="2186" spans="1:1">
      <c r="A2186" s="175"/>
    </row>
    <row r="2187" spans="1:1">
      <c r="A2187" s="175"/>
    </row>
    <row r="2188" spans="1:1">
      <c r="A2188" s="175"/>
    </row>
    <row r="2189" spans="1:1">
      <c r="A2189" s="175"/>
    </row>
    <row r="2190" spans="1:1">
      <c r="A2190" s="175"/>
    </row>
    <row r="2191" spans="1:1">
      <c r="A2191" s="175"/>
    </row>
    <row r="2192" spans="1:1">
      <c r="A2192" s="175"/>
    </row>
    <row r="2193" spans="1:1">
      <c r="A2193" s="175"/>
    </row>
    <row r="2194" spans="1:1">
      <c r="A2194" s="175"/>
    </row>
    <row r="2195" spans="1:1">
      <c r="A2195" s="175"/>
    </row>
    <row r="2196" spans="1:1">
      <c r="A2196" s="175"/>
    </row>
    <row r="2197" spans="1:1">
      <c r="A2197" s="175"/>
    </row>
    <row r="2198" spans="1:1">
      <c r="A2198" s="175"/>
    </row>
    <row r="2199" spans="1:1">
      <c r="A2199" s="175"/>
    </row>
    <row r="2200" spans="1:1">
      <c r="A2200" s="175"/>
    </row>
    <row r="2201" spans="1:1">
      <c r="A2201" s="175"/>
    </row>
    <row r="2202" spans="1:1">
      <c r="A2202" s="175"/>
    </row>
    <row r="2203" spans="1:1">
      <c r="A2203" s="175"/>
    </row>
    <row r="2204" spans="1:1">
      <c r="A2204" s="175"/>
    </row>
    <row r="2205" spans="1:1">
      <c r="A2205" s="175"/>
    </row>
    <row r="2206" spans="1:1">
      <c r="A2206" s="175"/>
    </row>
    <row r="2207" spans="1:1">
      <c r="A2207" s="175"/>
    </row>
    <row r="2208" spans="1:1">
      <c r="A2208" s="175"/>
    </row>
    <row r="2209" spans="1:1">
      <c r="A2209" s="175"/>
    </row>
    <row r="2210" spans="1:1">
      <c r="A2210" s="175"/>
    </row>
    <row r="2211" spans="1:1">
      <c r="A2211" s="175"/>
    </row>
    <row r="2212" spans="1:1">
      <c r="A2212" s="175"/>
    </row>
    <row r="2213" spans="1:1">
      <c r="A2213" s="175"/>
    </row>
    <row r="2214" spans="1:1">
      <c r="A2214" s="175"/>
    </row>
    <row r="2215" spans="1:1">
      <c r="A2215" s="175"/>
    </row>
    <row r="2216" spans="1:1">
      <c r="A2216" s="175"/>
    </row>
    <row r="2217" spans="1:1">
      <c r="A2217" s="175"/>
    </row>
    <row r="2218" spans="1:1">
      <c r="A2218" s="175"/>
    </row>
    <row r="2219" spans="1:1">
      <c r="A2219" s="175"/>
    </row>
    <row r="2220" spans="1:1">
      <c r="A2220" s="175"/>
    </row>
    <row r="2221" spans="1:1">
      <c r="A2221" s="175"/>
    </row>
    <row r="2222" spans="1:1">
      <c r="A2222" s="175"/>
    </row>
    <row r="2223" spans="1:1">
      <c r="A2223" s="175"/>
    </row>
    <row r="2224" spans="1:1">
      <c r="A2224" s="175"/>
    </row>
    <row r="2225" spans="1:1">
      <c r="A2225" s="175"/>
    </row>
    <row r="2226" spans="1:1">
      <c r="A2226" s="175"/>
    </row>
    <row r="2227" spans="1:1">
      <c r="A2227" s="175"/>
    </row>
    <row r="2228" spans="1:1">
      <c r="A2228" s="175"/>
    </row>
    <row r="2229" spans="1:1">
      <c r="A2229" s="175"/>
    </row>
    <row r="2230" spans="1:1">
      <c r="A2230" s="175"/>
    </row>
    <row r="2231" spans="1:1">
      <c r="A2231" s="175"/>
    </row>
    <row r="2232" spans="1:1">
      <c r="A2232" s="175"/>
    </row>
    <row r="2233" spans="1:1">
      <c r="A2233" s="175"/>
    </row>
    <row r="2234" spans="1:1">
      <c r="A2234" s="175"/>
    </row>
    <row r="2235" spans="1:1">
      <c r="A2235" s="175"/>
    </row>
    <row r="2236" spans="1:1">
      <c r="A2236" s="175"/>
    </row>
    <row r="2237" spans="1:1">
      <c r="A2237" s="175"/>
    </row>
    <row r="2238" spans="1:1">
      <c r="A2238" s="175"/>
    </row>
    <row r="2239" spans="1:1">
      <c r="A2239" s="175"/>
    </row>
    <row r="2240" spans="1:1">
      <c r="A2240" s="175"/>
    </row>
    <row r="2241" spans="1:1">
      <c r="A2241" s="175"/>
    </row>
    <row r="2242" spans="1:1">
      <c r="A2242" s="175"/>
    </row>
    <row r="2243" spans="1:1">
      <c r="A2243" s="175"/>
    </row>
    <row r="2244" spans="1:1">
      <c r="A2244" s="175"/>
    </row>
    <row r="2245" spans="1:1">
      <c r="A2245" s="175"/>
    </row>
    <row r="2246" spans="1:1">
      <c r="A2246" s="175"/>
    </row>
    <row r="2247" spans="1:1">
      <c r="A2247" s="175"/>
    </row>
    <row r="2248" spans="1:1">
      <c r="A2248" s="175"/>
    </row>
    <row r="2249" spans="1:1">
      <c r="A2249" s="175"/>
    </row>
    <row r="2250" spans="1:1">
      <c r="A2250" s="175"/>
    </row>
    <row r="2251" spans="1:1">
      <c r="A2251" s="175"/>
    </row>
    <row r="2252" spans="1:1">
      <c r="A2252" s="175"/>
    </row>
    <row r="2253" spans="1:1">
      <c r="A2253" s="175"/>
    </row>
    <row r="2254" spans="1:1">
      <c r="A2254" s="175"/>
    </row>
    <row r="2255" spans="1:1">
      <c r="A2255" s="175"/>
    </row>
    <row r="2256" spans="1:1">
      <c r="A2256" s="175"/>
    </row>
    <row r="2257" spans="1:1">
      <c r="A2257" s="175"/>
    </row>
    <row r="2258" spans="1:1">
      <c r="A2258" s="175"/>
    </row>
    <row r="2259" spans="1:1">
      <c r="A2259" s="175"/>
    </row>
    <row r="2260" spans="1:1">
      <c r="A2260" s="175"/>
    </row>
    <row r="2261" spans="1:1">
      <c r="A2261" s="175"/>
    </row>
    <row r="2262" spans="1:1">
      <c r="A2262" s="175"/>
    </row>
    <row r="2263" spans="1:1">
      <c r="A2263" s="175"/>
    </row>
    <row r="2264" spans="1:1">
      <c r="A2264" s="175"/>
    </row>
    <row r="2265" spans="1:1">
      <c r="A2265" s="175"/>
    </row>
    <row r="2266" spans="1:1">
      <c r="A2266" s="175"/>
    </row>
    <row r="2267" spans="1:1">
      <c r="A2267" s="175"/>
    </row>
    <row r="2268" spans="1:1">
      <c r="A2268" s="175"/>
    </row>
    <row r="2269" spans="1:1">
      <c r="A2269" s="175"/>
    </row>
    <row r="2270" spans="1:1">
      <c r="A2270" s="175"/>
    </row>
    <row r="2271" spans="1:1">
      <c r="A2271" s="175"/>
    </row>
    <row r="2272" spans="1:1">
      <c r="A2272" s="175"/>
    </row>
    <row r="2273" spans="1:1">
      <c r="A2273" s="175"/>
    </row>
    <row r="2274" spans="1:1">
      <c r="A2274" s="175"/>
    </row>
    <row r="2275" spans="1:1">
      <c r="A2275" s="175"/>
    </row>
    <row r="2276" spans="1:1">
      <c r="A2276" s="175"/>
    </row>
    <row r="2277" spans="1:1">
      <c r="A2277" s="175"/>
    </row>
    <row r="2278" spans="1:1">
      <c r="A2278" s="175"/>
    </row>
    <row r="2279" spans="1:1">
      <c r="A2279" s="175"/>
    </row>
    <row r="2280" spans="1:1">
      <c r="A2280" s="175"/>
    </row>
    <row r="2281" spans="1:1">
      <c r="A2281" s="175"/>
    </row>
    <row r="2282" spans="1:1">
      <c r="A2282" s="175"/>
    </row>
    <row r="2283" spans="1:1">
      <c r="A2283" s="175"/>
    </row>
    <row r="2284" spans="1:1">
      <c r="A2284" s="175"/>
    </row>
    <row r="2285" spans="1:1">
      <c r="A2285" s="175"/>
    </row>
    <row r="2286" spans="1:1">
      <c r="A2286" s="175"/>
    </row>
    <row r="2287" spans="1:1">
      <c r="A2287" s="175"/>
    </row>
    <row r="2288" spans="1:1">
      <c r="A2288" s="175"/>
    </row>
    <row r="2289" spans="1:1">
      <c r="A2289" s="175"/>
    </row>
    <row r="2290" spans="1:1">
      <c r="A2290" s="175"/>
    </row>
    <row r="2291" spans="1:1">
      <c r="A2291" s="175"/>
    </row>
    <row r="2292" spans="1:1">
      <c r="A2292" s="175"/>
    </row>
    <row r="2293" spans="1:1">
      <c r="A2293" s="175"/>
    </row>
    <row r="2294" spans="1:1">
      <c r="A2294" s="175"/>
    </row>
    <row r="2295" spans="1:1">
      <c r="A2295" s="175"/>
    </row>
    <row r="2296" spans="1:1">
      <c r="A2296" s="175"/>
    </row>
    <row r="2297" spans="1:1">
      <c r="A2297" s="175"/>
    </row>
    <row r="2298" spans="1:1">
      <c r="A2298" s="175"/>
    </row>
    <row r="2299" spans="1:1">
      <c r="A2299" s="175"/>
    </row>
    <row r="2300" spans="1:1">
      <c r="A2300" s="175"/>
    </row>
    <row r="2301" spans="1:1">
      <c r="A2301" s="175"/>
    </row>
    <row r="2302" spans="1:1">
      <c r="A2302" s="175"/>
    </row>
    <row r="2303" spans="1:1">
      <c r="A2303" s="175"/>
    </row>
    <row r="2304" spans="1:1">
      <c r="A2304" s="175"/>
    </row>
    <row r="2305" spans="1:1">
      <c r="A2305" s="175"/>
    </row>
    <row r="2306" spans="1:1">
      <c r="A2306" s="175"/>
    </row>
    <row r="2307" spans="1:1">
      <c r="A2307" s="175"/>
    </row>
    <row r="2308" spans="1:1">
      <c r="A2308" s="175"/>
    </row>
    <row r="2309" spans="1:1">
      <c r="A2309" s="175"/>
    </row>
    <row r="2310" spans="1:1">
      <c r="A2310" s="175"/>
    </row>
    <row r="2311" spans="1:1">
      <c r="A2311" s="175"/>
    </row>
    <row r="2312" spans="1:1">
      <c r="A2312" s="175"/>
    </row>
    <row r="2313" spans="1:1">
      <c r="A2313" s="175"/>
    </row>
    <row r="2314" spans="1:1">
      <c r="A2314" s="175"/>
    </row>
    <row r="2315" spans="1:1">
      <c r="A2315" s="175"/>
    </row>
    <row r="2316" spans="1:1">
      <c r="A2316" s="175"/>
    </row>
    <row r="2317" spans="1:1">
      <c r="A2317" s="175"/>
    </row>
    <row r="2318" spans="1:1">
      <c r="A2318" s="175"/>
    </row>
    <row r="2319" spans="1:1">
      <c r="A2319" s="175"/>
    </row>
    <row r="2320" spans="1:1">
      <c r="A2320" s="175"/>
    </row>
    <row r="2321" spans="1:1">
      <c r="A2321" s="175"/>
    </row>
    <row r="2322" spans="1:1">
      <c r="A2322" s="175"/>
    </row>
    <row r="2323" spans="1:1">
      <c r="A2323" s="175"/>
    </row>
    <row r="2324" spans="1:1">
      <c r="A2324" s="175"/>
    </row>
    <row r="2325" spans="1:1">
      <c r="A2325" s="175"/>
    </row>
    <row r="2326" spans="1:1">
      <c r="A2326" s="175"/>
    </row>
    <row r="2327" spans="1:1">
      <c r="A2327" s="175"/>
    </row>
    <row r="2328" spans="1:1">
      <c r="A2328" s="175"/>
    </row>
    <row r="2329" spans="1:1">
      <c r="A2329" s="175"/>
    </row>
    <row r="2330" spans="1:1">
      <c r="A2330" s="175"/>
    </row>
    <row r="2331" spans="1:1">
      <c r="A2331" s="175"/>
    </row>
    <row r="2332" spans="1:1">
      <c r="A2332" s="175"/>
    </row>
    <row r="2333" spans="1:1">
      <c r="A2333" s="175"/>
    </row>
    <row r="2334" spans="1:1">
      <c r="A2334" s="175"/>
    </row>
    <row r="2335" spans="1:1">
      <c r="A2335" s="175"/>
    </row>
    <row r="2336" spans="1:1">
      <c r="A2336" s="175"/>
    </row>
    <row r="2337" spans="1:1">
      <c r="A2337" s="175"/>
    </row>
    <row r="2338" spans="1:1">
      <c r="A2338" s="175"/>
    </row>
    <row r="2339" spans="1:1">
      <c r="A2339" s="175"/>
    </row>
    <row r="2340" spans="1:1">
      <c r="A2340" s="175"/>
    </row>
    <row r="2341" spans="1:1">
      <c r="A2341" s="175"/>
    </row>
    <row r="2342" spans="1:1">
      <c r="A2342" s="175"/>
    </row>
    <row r="2343" spans="1:1">
      <c r="A2343" s="175"/>
    </row>
    <row r="2344" spans="1:1">
      <c r="A2344" s="175"/>
    </row>
    <row r="2345" spans="1:1">
      <c r="A2345" s="175"/>
    </row>
    <row r="2346" spans="1:1">
      <c r="A2346" s="175"/>
    </row>
    <row r="2347" spans="1:1">
      <c r="A2347" s="175"/>
    </row>
    <row r="2348" spans="1:1">
      <c r="A2348" s="175"/>
    </row>
    <row r="2349" spans="1:1">
      <c r="A2349" s="175"/>
    </row>
    <row r="2350" spans="1:1">
      <c r="A2350" s="175"/>
    </row>
    <row r="2351" spans="1:1">
      <c r="A2351" s="175"/>
    </row>
    <row r="2352" spans="1:1">
      <c r="A2352" s="175"/>
    </row>
    <row r="2353" spans="1:1">
      <c r="A2353" s="175"/>
    </row>
    <row r="2354" spans="1:1">
      <c r="A2354" s="175"/>
    </row>
    <row r="2355" spans="1:1">
      <c r="A2355" s="175"/>
    </row>
    <row r="2356" spans="1:1">
      <c r="A2356" s="175"/>
    </row>
    <row r="2357" spans="1:1">
      <c r="A2357" s="175"/>
    </row>
    <row r="2358" spans="1:1">
      <c r="A2358" s="175"/>
    </row>
    <row r="2359" spans="1:1">
      <c r="A2359" s="175"/>
    </row>
    <row r="2360" spans="1:1">
      <c r="A2360" s="175"/>
    </row>
    <row r="2361" spans="1:1">
      <c r="A2361" s="175"/>
    </row>
    <row r="2362" spans="1:1">
      <c r="A2362" s="175"/>
    </row>
    <row r="2363" spans="1:1">
      <c r="A2363" s="175"/>
    </row>
    <row r="2364" spans="1:1">
      <c r="A2364" s="175"/>
    </row>
    <row r="2365" spans="1:1">
      <c r="A2365" s="175"/>
    </row>
    <row r="2366" spans="1:1">
      <c r="A2366" s="175"/>
    </row>
    <row r="2367" spans="1:1">
      <c r="A2367" s="175"/>
    </row>
    <row r="2368" spans="1:1">
      <c r="A2368" s="175"/>
    </row>
    <row r="2369" spans="1:1">
      <c r="A2369" s="175"/>
    </row>
    <row r="2370" spans="1:1">
      <c r="A2370" s="175"/>
    </row>
    <row r="2371" spans="1:1">
      <c r="A2371" s="175"/>
    </row>
    <row r="2372" spans="1:1">
      <c r="A2372" s="175"/>
    </row>
    <row r="2373" spans="1:1">
      <c r="A2373" s="175"/>
    </row>
    <row r="2374" spans="1:1">
      <c r="A2374" s="175"/>
    </row>
    <row r="2375" spans="1:1">
      <c r="A2375" s="175"/>
    </row>
    <row r="2376" spans="1:1">
      <c r="A2376" s="175"/>
    </row>
    <row r="2377" spans="1:1">
      <c r="A2377" s="175"/>
    </row>
    <row r="2378" spans="1:1">
      <c r="A2378" s="175"/>
    </row>
    <row r="2379" spans="1:1">
      <c r="A2379" s="175"/>
    </row>
    <row r="2380" spans="1:1">
      <c r="A2380" s="175"/>
    </row>
    <row r="2381" spans="1:1">
      <c r="A2381" s="175"/>
    </row>
    <row r="2382" spans="1:1">
      <c r="A2382" s="175"/>
    </row>
    <row r="2383" spans="1:1">
      <c r="A2383" s="175"/>
    </row>
    <row r="2384" spans="1:1">
      <c r="A2384" s="175"/>
    </row>
    <row r="2385" spans="1:1">
      <c r="A2385" s="175"/>
    </row>
    <row r="2386" spans="1:1">
      <c r="A2386" s="175"/>
    </row>
    <row r="2387" spans="1:1">
      <c r="A2387" s="175"/>
    </row>
    <row r="2388" spans="1:1">
      <c r="A2388" s="175"/>
    </row>
    <row r="2389" spans="1:1">
      <c r="A2389" s="175"/>
    </row>
    <row r="2390" spans="1:1">
      <c r="A2390" s="175"/>
    </row>
    <row r="2391" spans="1:1">
      <c r="A2391" s="175"/>
    </row>
    <row r="2392" spans="1:1">
      <c r="A2392" s="175"/>
    </row>
    <row r="2393" spans="1:1">
      <c r="A2393" s="175"/>
    </row>
    <row r="2394" spans="1:1">
      <c r="A2394" s="175"/>
    </row>
    <row r="2395" spans="1:1">
      <c r="A2395" s="175"/>
    </row>
    <row r="2396" spans="1:1">
      <c r="A2396" s="175"/>
    </row>
    <row r="2397" spans="1:1">
      <c r="A2397" s="175"/>
    </row>
    <row r="2398" spans="1:1">
      <c r="A2398" s="175"/>
    </row>
    <row r="2399" spans="1:1">
      <c r="A2399" s="175"/>
    </row>
    <row r="2400" spans="1:1">
      <c r="A2400" s="175"/>
    </row>
    <row r="2401" spans="1:1">
      <c r="A2401" s="175"/>
    </row>
    <row r="2402" spans="1:1">
      <c r="A2402" s="175"/>
    </row>
    <row r="2403" spans="1:1">
      <c r="A2403" s="175"/>
    </row>
    <row r="2404" spans="1:1">
      <c r="A2404" s="175"/>
    </row>
    <row r="2405" spans="1:1">
      <c r="A2405" s="175"/>
    </row>
    <row r="2406" spans="1:1">
      <c r="A2406" s="175"/>
    </row>
    <row r="2407" spans="1:1">
      <c r="A2407" s="175"/>
    </row>
    <row r="2408" spans="1:1">
      <c r="A2408" s="175"/>
    </row>
    <row r="2409" spans="1:1">
      <c r="A2409" s="175"/>
    </row>
    <row r="2410" spans="1:1">
      <c r="A2410" s="175"/>
    </row>
    <row r="2411" spans="1:1">
      <c r="A2411" s="175"/>
    </row>
    <row r="2412" spans="1:1">
      <c r="A2412" s="175"/>
    </row>
    <row r="2413" spans="1:1">
      <c r="A2413" s="175"/>
    </row>
    <row r="2414" spans="1:1">
      <c r="A2414" s="175"/>
    </row>
    <row r="2415" spans="1:1">
      <c r="A2415" s="175"/>
    </row>
    <row r="2416" spans="1:1">
      <c r="A2416" s="175"/>
    </row>
    <row r="2417" spans="1:1">
      <c r="A2417" s="175"/>
    </row>
    <row r="2418" spans="1:1">
      <c r="A2418" s="175"/>
    </row>
    <row r="2419" spans="1:1">
      <c r="A2419" s="175"/>
    </row>
    <row r="2420" spans="1:1">
      <c r="A2420" s="175"/>
    </row>
    <row r="2421" spans="1:1">
      <c r="A2421" s="175"/>
    </row>
    <row r="2422" spans="1:1">
      <c r="A2422" s="175"/>
    </row>
    <row r="2423" spans="1:1">
      <c r="A2423" s="175"/>
    </row>
    <row r="2424" spans="1:1">
      <c r="A2424" s="175"/>
    </row>
    <row r="2425" spans="1:1">
      <c r="A2425" s="175"/>
    </row>
    <row r="2426" spans="1:1">
      <c r="A2426" s="175"/>
    </row>
    <row r="2427" spans="1:1">
      <c r="A2427" s="175"/>
    </row>
    <row r="2428" spans="1:1">
      <c r="A2428" s="175"/>
    </row>
    <row r="2429" spans="1:1">
      <c r="A2429" s="175"/>
    </row>
    <row r="2430" spans="1:1">
      <c r="A2430" s="175"/>
    </row>
    <row r="2431" spans="1:1">
      <c r="A2431" s="175"/>
    </row>
    <row r="2432" spans="1:1">
      <c r="A2432" s="175"/>
    </row>
    <row r="2433" spans="1:1">
      <c r="A2433" s="175"/>
    </row>
    <row r="2434" spans="1:1">
      <c r="A2434" s="175"/>
    </row>
    <row r="2435" spans="1:1">
      <c r="A2435" s="175"/>
    </row>
    <row r="2436" spans="1:1">
      <c r="A2436" s="175"/>
    </row>
    <row r="2437" spans="1:1">
      <c r="A2437" s="175"/>
    </row>
    <row r="2438" spans="1:1">
      <c r="A2438" s="175"/>
    </row>
    <row r="2439" spans="1:1">
      <c r="A2439" s="175"/>
    </row>
    <row r="2440" spans="1:1">
      <c r="A2440" s="175"/>
    </row>
    <row r="2441" spans="1:1">
      <c r="A2441" s="175"/>
    </row>
    <row r="2442" spans="1:1">
      <c r="A2442" s="175"/>
    </row>
    <row r="2443" spans="1:1">
      <c r="A2443" s="175"/>
    </row>
    <row r="2444" spans="1:1">
      <c r="A2444" s="175"/>
    </row>
    <row r="2445" spans="1:1">
      <c r="A2445" s="175"/>
    </row>
    <row r="2446" spans="1:1">
      <c r="A2446" s="175"/>
    </row>
    <row r="2447" spans="1:1">
      <c r="A2447" s="175"/>
    </row>
    <row r="2448" spans="1:1">
      <c r="A2448" s="175"/>
    </row>
    <row r="2449" spans="1:1">
      <c r="A2449" s="175"/>
    </row>
    <row r="2450" spans="1:1">
      <c r="A2450" s="175"/>
    </row>
    <row r="2451" spans="1:1">
      <c r="A2451" s="175"/>
    </row>
    <row r="2452" spans="1:1">
      <c r="A2452" s="175"/>
    </row>
    <row r="2453" spans="1:1">
      <c r="A2453" s="175"/>
    </row>
    <row r="2454" spans="1:1">
      <c r="A2454" s="175"/>
    </row>
    <row r="2455" spans="1:1">
      <c r="A2455" s="175"/>
    </row>
    <row r="2456" spans="1:1">
      <c r="A2456" s="175"/>
    </row>
    <row r="2457" spans="1:1">
      <c r="A2457" s="175"/>
    </row>
    <row r="2458" spans="1:1">
      <c r="A2458" s="175"/>
    </row>
    <row r="2459" spans="1:1">
      <c r="A2459" s="175"/>
    </row>
    <row r="2460" spans="1:1">
      <c r="A2460" s="175"/>
    </row>
    <row r="2461" spans="1:1">
      <c r="A2461" s="175"/>
    </row>
    <row r="2462" spans="1:1">
      <c r="A2462" s="175"/>
    </row>
    <row r="2463" spans="1:1">
      <c r="A2463" s="175"/>
    </row>
    <row r="2464" spans="1:1">
      <c r="A2464" s="175"/>
    </row>
    <row r="2465" spans="1:1">
      <c r="A2465" s="175"/>
    </row>
    <row r="2466" spans="1:1">
      <c r="A2466" s="175"/>
    </row>
    <row r="2467" spans="1:1">
      <c r="A2467" s="175"/>
    </row>
    <row r="2468" spans="1:1">
      <c r="A2468" s="175"/>
    </row>
    <row r="2469" spans="1:1">
      <c r="A2469" s="175"/>
    </row>
    <row r="2470" spans="1:1">
      <c r="A2470" s="175"/>
    </row>
    <row r="2471" spans="1:1">
      <c r="A2471" s="175"/>
    </row>
    <row r="2472" spans="1:1">
      <c r="A2472" s="175"/>
    </row>
    <row r="2473" spans="1:1">
      <c r="A2473" s="175"/>
    </row>
    <row r="2474" spans="1:1">
      <c r="A2474" s="175"/>
    </row>
    <row r="2475" spans="1:1">
      <c r="A2475" s="175"/>
    </row>
    <row r="2476" spans="1:1">
      <c r="A2476" s="175"/>
    </row>
    <row r="2477" spans="1:1">
      <c r="A2477" s="175"/>
    </row>
    <row r="2478" spans="1:1">
      <c r="A2478" s="175"/>
    </row>
    <row r="2479" spans="1:1">
      <c r="A2479" s="175"/>
    </row>
    <row r="2480" spans="1:1">
      <c r="A2480" s="175"/>
    </row>
    <row r="2481" spans="1:1">
      <c r="A2481" s="175"/>
    </row>
    <row r="2482" spans="1:1">
      <c r="A2482" s="175"/>
    </row>
    <row r="2483" spans="1:1">
      <c r="A2483" s="175"/>
    </row>
    <row r="2484" spans="1:1">
      <c r="A2484" s="175"/>
    </row>
    <row r="2485" spans="1:1">
      <c r="A2485" s="175"/>
    </row>
    <row r="2486" spans="1:1">
      <c r="A2486" s="175"/>
    </row>
    <row r="2487" spans="1:1">
      <c r="A2487" s="175"/>
    </row>
    <row r="2488" spans="1:1">
      <c r="A2488" s="175"/>
    </row>
    <row r="2489" spans="1:1">
      <c r="A2489" s="175"/>
    </row>
    <row r="2490" spans="1:1">
      <c r="A2490" s="175"/>
    </row>
    <row r="2491" spans="1:1">
      <c r="A2491" s="175"/>
    </row>
    <row r="2492" spans="1:1">
      <c r="A2492" s="175"/>
    </row>
    <row r="2493" spans="1:1">
      <c r="A2493" s="175"/>
    </row>
    <row r="2494" spans="1:1">
      <c r="A2494" s="175"/>
    </row>
    <row r="2495" spans="1:1">
      <c r="A2495" s="175"/>
    </row>
    <row r="2496" spans="1:1">
      <c r="A2496" s="175"/>
    </row>
    <row r="2497" spans="1:1">
      <c r="A2497" s="175"/>
    </row>
    <row r="2498" spans="1:1">
      <c r="A2498" s="175"/>
    </row>
    <row r="2499" spans="1:1">
      <c r="A2499" s="175"/>
    </row>
    <row r="2500" spans="1:1">
      <c r="A2500" s="175"/>
    </row>
    <row r="2501" spans="1:1">
      <c r="A2501" s="175"/>
    </row>
    <row r="2502" spans="1:1">
      <c r="A2502" s="175"/>
    </row>
    <row r="2503" spans="1:1">
      <c r="A2503" s="175"/>
    </row>
    <row r="2504" spans="1:1">
      <c r="A2504" s="175"/>
    </row>
    <row r="2505" spans="1:1">
      <c r="A2505" s="175"/>
    </row>
    <row r="2506" spans="1:1">
      <c r="A2506" s="175"/>
    </row>
    <row r="2507" spans="1:1">
      <c r="A2507" s="175"/>
    </row>
    <row r="2508" spans="1:1">
      <c r="A2508" s="175"/>
    </row>
    <row r="2509" spans="1:1">
      <c r="A2509" s="175"/>
    </row>
    <row r="2510" spans="1:1">
      <c r="A2510" s="175"/>
    </row>
    <row r="2511" spans="1:1">
      <c r="A2511" s="175"/>
    </row>
    <row r="2512" spans="1:1">
      <c r="A2512" s="175"/>
    </row>
    <row r="2513" spans="1:1">
      <c r="A2513" s="175"/>
    </row>
    <row r="2514" spans="1:1">
      <c r="A2514" s="175"/>
    </row>
    <row r="2515" spans="1:1">
      <c r="A2515" s="175"/>
    </row>
    <row r="2516" spans="1:1">
      <c r="A2516" s="175"/>
    </row>
    <row r="2517" spans="1:1">
      <c r="A2517" s="175"/>
    </row>
    <row r="2518" spans="1:1">
      <c r="A2518" s="175"/>
    </row>
    <row r="2519" spans="1:1">
      <c r="A2519" s="175"/>
    </row>
    <row r="2520" spans="1:1">
      <c r="A2520" s="175"/>
    </row>
    <row r="2521" spans="1:1">
      <c r="A2521" s="175"/>
    </row>
    <row r="2522" spans="1:1">
      <c r="A2522" s="175"/>
    </row>
    <row r="2523" spans="1:1">
      <c r="A2523" s="175"/>
    </row>
    <row r="2524" spans="1:1">
      <c r="A2524" s="175"/>
    </row>
    <row r="2525" spans="1:1">
      <c r="A2525" s="175"/>
    </row>
    <row r="2526" spans="1:1">
      <c r="A2526" s="175"/>
    </row>
    <row r="2527" spans="1:1">
      <c r="A2527" s="175"/>
    </row>
    <row r="2528" spans="1:1">
      <c r="A2528" s="175"/>
    </row>
    <row r="2529" spans="1:1">
      <c r="A2529" s="175"/>
    </row>
    <row r="2530" spans="1:1">
      <c r="A2530" s="175"/>
    </row>
    <row r="2531" spans="1:1">
      <c r="A2531" s="175"/>
    </row>
    <row r="2532" spans="1:1">
      <c r="A2532" s="175"/>
    </row>
    <row r="2533" spans="1:1">
      <c r="A2533" s="175"/>
    </row>
    <row r="2534" spans="1:1">
      <c r="A2534" s="175"/>
    </row>
    <row r="2535" spans="1:1">
      <c r="A2535" s="175"/>
    </row>
    <row r="2536" spans="1:1">
      <c r="A2536" s="175"/>
    </row>
    <row r="2537" spans="1:1">
      <c r="A2537" s="175"/>
    </row>
    <row r="2538" spans="1:1">
      <c r="A2538" s="175"/>
    </row>
    <row r="2539" spans="1:1">
      <c r="A2539" s="175"/>
    </row>
    <row r="2540" spans="1:1">
      <c r="A2540" s="175"/>
    </row>
    <row r="2541" spans="1:1">
      <c r="A2541" s="175"/>
    </row>
    <row r="2542" spans="1:1">
      <c r="A2542" s="175"/>
    </row>
    <row r="2543" spans="1:1">
      <c r="A2543" s="175"/>
    </row>
    <row r="2544" spans="1:1">
      <c r="A2544" s="175"/>
    </row>
    <row r="2545" spans="1:1">
      <c r="A2545" s="175"/>
    </row>
    <row r="2546" spans="1:1">
      <c r="A2546" s="175"/>
    </row>
    <row r="2547" spans="1:1">
      <c r="A2547" s="175"/>
    </row>
    <row r="2548" spans="1:1">
      <c r="A2548" s="175"/>
    </row>
    <row r="2549" spans="1:1">
      <c r="A2549" s="175"/>
    </row>
    <row r="2550" spans="1:1">
      <c r="A2550" s="175"/>
    </row>
    <row r="2551" spans="1:1">
      <c r="A2551" s="175"/>
    </row>
    <row r="2552" spans="1:1">
      <c r="A2552" s="175"/>
    </row>
    <row r="2553" spans="1:1">
      <c r="A2553" s="175"/>
    </row>
    <row r="2554" spans="1:1">
      <c r="A2554" s="175"/>
    </row>
    <row r="2555" spans="1:1">
      <c r="A2555" s="175"/>
    </row>
    <row r="2556" spans="1:1">
      <c r="A2556" s="175"/>
    </row>
    <row r="2557" spans="1:1">
      <c r="A2557" s="175"/>
    </row>
    <row r="2558" spans="1:1">
      <c r="A2558" s="175"/>
    </row>
    <row r="2559" spans="1:1">
      <c r="A2559" s="175"/>
    </row>
    <row r="2560" spans="1:1">
      <c r="A2560" s="175"/>
    </row>
    <row r="2561" spans="1:1">
      <c r="A2561" s="175"/>
    </row>
    <row r="2562" spans="1:1">
      <c r="A2562" s="175"/>
    </row>
    <row r="2563" spans="1:1">
      <c r="A2563" s="175"/>
    </row>
    <row r="2564" spans="1:1">
      <c r="A2564" s="175"/>
    </row>
    <row r="2565" spans="1:1">
      <c r="A2565" s="175"/>
    </row>
    <row r="2566" spans="1:1">
      <c r="A2566" s="175"/>
    </row>
    <row r="2567" spans="1:1">
      <c r="A2567" s="175"/>
    </row>
    <row r="2568" spans="1:1">
      <c r="A2568" s="175"/>
    </row>
    <row r="2569" spans="1:1">
      <c r="A2569" s="175"/>
    </row>
    <row r="2570" spans="1:1">
      <c r="A2570" s="175"/>
    </row>
    <row r="2571" spans="1:1">
      <c r="A2571" s="175"/>
    </row>
    <row r="2572" spans="1:1">
      <c r="A2572" s="175"/>
    </row>
    <row r="2573" spans="1:1">
      <c r="A2573" s="175"/>
    </row>
    <row r="2574" spans="1:1">
      <c r="A2574" s="175"/>
    </row>
    <row r="2575" spans="1:1">
      <c r="A2575" s="175"/>
    </row>
    <row r="2576" spans="1:1">
      <c r="A2576" s="175"/>
    </row>
    <row r="2577" spans="1:1">
      <c r="A2577" s="175"/>
    </row>
    <row r="2578" spans="1:1">
      <c r="A2578" s="175"/>
    </row>
    <row r="2579" spans="1:1">
      <c r="A2579" s="175"/>
    </row>
    <row r="2580" spans="1:1">
      <c r="A2580" s="175"/>
    </row>
    <row r="2581" spans="1:1">
      <c r="A2581" s="175"/>
    </row>
    <row r="2582" spans="1:1">
      <c r="A2582" s="175"/>
    </row>
    <row r="2583" spans="1:1">
      <c r="A2583" s="175"/>
    </row>
    <row r="2584" spans="1:1">
      <c r="A2584" s="175"/>
    </row>
    <row r="2585" spans="1:1">
      <c r="A2585" s="175"/>
    </row>
    <row r="2586" spans="1:1">
      <c r="A2586" s="175"/>
    </row>
    <row r="2587" spans="1:1">
      <c r="A2587" s="175"/>
    </row>
    <row r="2588" spans="1:1">
      <c r="A2588" s="175"/>
    </row>
    <row r="2589" spans="1:1">
      <c r="A2589" s="175"/>
    </row>
    <row r="2590" spans="1:1">
      <c r="A2590" s="175"/>
    </row>
    <row r="2591" spans="1:1">
      <c r="A2591" s="175"/>
    </row>
    <row r="2592" spans="1:1">
      <c r="A2592" s="175"/>
    </row>
    <row r="2593" spans="1:1">
      <c r="A2593" s="175"/>
    </row>
    <row r="2594" spans="1:1">
      <c r="A2594" s="175"/>
    </row>
    <row r="2595" spans="1:1">
      <c r="A2595" s="175"/>
    </row>
    <row r="2596" spans="1:1">
      <c r="A2596" s="175"/>
    </row>
    <row r="2597" spans="1:1">
      <c r="A2597" s="175"/>
    </row>
    <row r="2598" spans="1:1">
      <c r="A2598" s="175"/>
    </row>
    <row r="2599" spans="1:1">
      <c r="A2599" s="175"/>
    </row>
    <row r="2600" spans="1:1">
      <c r="A2600" s="175"/>
    </row>
    <row r="2601" spans="1:1">
      <c r="A2601" s="175"/>
    </row>
    <row r="2602" spans="1:1">
      <c r="A2602" s="175"/>
    </row>
    <row r="2603" spans="1:1">
      <c r="A2603" s="175"/>
    </row>
    <row r="2604" spans="1:1">
      <c r="A2604" s="175"/>
    </row>
    <row r="2605" spans="1:1">
      <c r="A2605" s="175"/>
    </row>
    <row r="2606" spans="1:1">
      <c r="A2606" s="175"/>
    </row>
    <row r="2607" spans="1:1">
      <c r="A2607" s="175"/>
    </row>
    <row r="2608" spans="1:1">
      <c r="A2608" s="175"/>
    </row>
    <row r="2609" spans="1:1">
      <c r="A2609" s="175"/>
    </row>
    <row r="2610" spans="1:1">
      <c r="A2610" s="175"/>
    </row>
    <row r="2611" spans="1:1">
      <c r="A2611" s="175"/>
    </row>
    <row r="2612" spans="1:1">
      <c r="A2612" s="175"/>
    </row>
    <row r="2613" spans="1:1">
      <c r="A2613" s="175"/>
    </row>
    <row r="2614" spans="1:1">
      <c r="A2614" s="175"/>
    </row>
    <row r="2615" spans="1:1">
      <c r="A2615" s="175"/>
    </row>
    <row r="2616" spans="1:1">
      <c r="A2616" s="175"/>
    </row>
    <row r="2617" spans="1:1">
      <c r="A2617" s="175"/>
    </row>
    <row r="2618" spans="1:1">
      <c r="A2618" s="175"/>
    </row>
    <row r="2619" spans="1:1">
      <c r="A2619" s="175"/>
    </row>
    <row r="2620" spans="1:1">
      <c r="A2620" s="175"/>
    </row>
    <row r="2621" spans="1:1">
      <c r="A2621" s="175"/>
    </row>
    <row r="2622" spans="1:1">
      <c r="A2622" s="175"/>
    </row>
    <row r="2623" spans="1:1">
      <c r="A2623" s="175"/>
    </row>
    <row r="2624" spans="1:1">
      <c r="A2624" s="175"/>
    </row>
    <row r="2625" spans="1:1">
      <c r="A2625" s="175"/>
    </row>
    <row r="2626" spans="1:1">
      <c r="A2626" s="175"/>
    </row>
    <row r="2627" spans="1:1">
      <c r="A2627" s="175"/>
    </row>
    <row r="2628" spans="1:1">
      <c r="A2628" s="175"/>
    </row>
    <row r="2629" spans="1:1">
      <c r="A2629" s="175"/>
    </row>
    <row r="2630" spans="1:1">
      <c r="A2630" s="175"/>
    </row>
    <row r="2631" spans="1:1">
      <c r="A2631" s="175"/>
    </row>
    <row r="2632" spans="1:1">
      <c r="A2632" s="175"/>
    </row>
    <row r="2633" spans="1:1">
      <c r="A2633" s="175"/>
    </row>
    <row r="2634" spans="1:1">
      <c r="A2634" s="175"/>
    </row>
    <row r="2635" spans="1:1">
      <c r="A2635" s="175"/>
    </row>
    <row r="2636" spans="1:1">
      <c r="A2636" s="175"/>
    </row>
    <row r="2637" spans="1:1">
      <c r="A2637" s="175"/>
    </row>
    <row r="2638" spans="1:1">
      <c r="A2638" s="175"/>
    </row>
    <row r="2639" spans="1:1">
      <c r="A2639" s="175"/>
    </row>
    <row r="2640" spans="1:1">
      <c r="A2640" s="175"/>
    </row>
    <row r="2641" spans="1:1">
      <c r="A2641" s="175"/>
    </row>
    <row r="2642" spans="1:1">
      <c r="A2642" s="175"/>
    </row>
    <row r="2643" spans="1:1">
      <c r="A2643" s="175"/>
    </row>
    <row r="2644" spans="1:1">
      <c r="A2644" s="175"/>
    </row>
    <row r="2645" spans="1:1">
      <c r="A2645" s="175"/>
    </row>
    <row r="2646" spans="1:1">
      <c r="A2646" s="175"/>
    </row>
    <row r="2647" spans="1:1">
      <c r="A2647" s="175"/>
    </row>
    <row r="2648" spans="1:1">
      <c r="A2648" s="175"/>
    </row>
    <row r="2649" spans="1:1">
      <c r="A2649" s="175"/>
    </row>
    <row r="2650" spans="1:1">
      <c r="A2650" s="175"/>
    </row>
    <row r="2651" spans="1:1">
      <c r="A2651" s="175"/>
    </row>
    <row r="2652" spans="1:1">
      <c r="A2652" s="175"/>
    </row>
    <row r="2653" spans="1:1">
      <c r="A2653" s="175"/>
    </row>
    <row r="2654" spans="1:1">
      <c r="A2654" s="175"/>
    </row>
    <row r="2655" spans="1:1">
      <c r="A2655" s="175"/>
    </row>
    <row r="2656" spans="1:1">
      <c r="A2656" s="175"/>
    </row>
    <row r="2657" spans="1:1">
      <c r="A2657" s="175"/>
    </row>
    <row r="2658" spans="1:1">
      <c r="A2658" s="175"/>
    </row>
    <row r="2659" spans="1:1">
      <c r="A2659" s="175"/>
    </row>
    <row r="2660" spans="1:1">
      <c r="A2660" s="175"/>
    </row>
    <row r="2661" spans="1:1">
      <c r="A2661" s="175"/>
    </row>
    <row r="2662" spans="1:1">
      <c r="A2662" s="175"/>
    </row>
    <row r="2663" spans="1:1">
      <c r="A2663" s="175"/>
    </row>
    <row r="2664" spans="1:1">
      <c r="A2664" s="175"/>
    </row>
    <row r="2665" spans="1:1">
      <c r="A2665" s="175"/>
    </row>
    <row r="2666" spans="1:1">
      <c r="A2666" s="175"/>
    </row>
    <row r="2667" spans="1:1">
      <c r="A2667" s="175"/>
    </row>
    <row r="2668" spans="1:1">
      <c r="A2668" s="175"/>
    </row>
    <row r="2669" spans="1:1">
      <c r="A2669" s="175"/>
    </row>
    <row r="2670" spans="1:1">
      <c r="A2670" s="175"/>
    </row>
    <row r="2671" spans="1:1">
      <c r="A2671" s="175"/>
    </row>
    <row r="2672" spans="1:1">
      <c r="A2672" s="175"/>
    </row>
    <row r="2673" spans="1:1">
      <c r="A2673" s="175"/>
    </row>
    <row r="2674" spans="1:1">
      <c r="A2674" s="175"/>
    </row>
    <row r="2675" spans="1:1">
      <c r="A2675" s="175"/>
    </row>
    <row r="2676" spans="1:1">
      <c r="A2676" s="175"/>
    </row>
    <row r="2677" spans="1:1">
      <c r="A2677" s="175"/>
    </row>
    <row r="2678" spans="1:1">
      <c r="A2678" s="175"/>
    </row>
    <row r="2679" spans="1:1">
      <c r="A2679" s="175"/>
    </row>
    <row r="2680" spans="1:1">
      <c r="A2680" s="175"/>
    </row>
    <row r="2681" spans="1:1">
      <c r="A2681" s="175"/>
    </row>
    <row r="2682" spans="1:1">
      <c r="A2682" s="175"/>
    </row>
    <row r="2683" spans="1:1">
      <c r="A2683" s="175"/>
    </row>
    <row r="2684" spans="1:1">
      <c r="A2684" s="175"/>
    </row>
    <row r="2685" spans="1:1">
      <c r="A2685" s="175"/>
    </row>
    <row r="2686" spans="1:1">
      <c r="A2686" s="175"/>
    </row>
    <row r="2687" spans="1:1">
      <c r="A2687" s="175"/>
    </row>
    <row r="2688" spans="1:1">
      <c r="A2688" s="175"/>
    </row>
    <row r="2689" spans="1:1">
      <c r="A2689" s="175"/>
    </row>
    <row r="2690" spans="1:1">
      <c r="A2690" s="175"/>
    </row>
    <row r="2691" spans="1:1">
      <c r="A2691" s="175"/>
    </row>
    <row r="2692" spans="1:1">
      <c r="A2692" s="175"/>
    </row>
    <row r="2693" spans="1:1">
      <c r="A2693" s="175"/>
    </row>
    <row r="2694" spans="1:1">
      <c r="A2694" s="175"/>
    </row>
    <row r="2695" spans="1:1">
      <c r="A2695" s="175"/>
    </row>
    <row r="2696" spans="1:1">
      <c r="A2696" s="175"/>
    </row>
    <row r="2697" spans="1:1">
      <c r="A2697" s="175"/>
    </row>
    <row r="2698" spans="1:1">
      <c r="A2698" s="175"/>
    </row>
    <row r="2699" spans="1:1">
      <c r="A2699" s="175"/>
    </row>
    <row r="2700" spans="1:1">
      <c r="A2700" s="175"/>
    </row>
    <row r="2701" spans="1:1">
      <c r="A2701" s="175"/>
    </row>
    <row r="2702" spans="1:1">
      <c r="A2702" s="175"/>
    </row>
    <row r="2703" spans="1:1">
      <c r="A2703" s="175"/>
    </row>
    <row r="2704" spans="1:1">
      <c r="A2704" s="175"/>
    </row>
    <row r="2705" spans="1:1">
      <c r="A2705" s="175"/>
    </row>
    <row r="2706" spans="1:1">
      <c r="A2706" s="175"/>
    </row>
    <row r="2707" spans="1:1">
      <c r="A2707" s="175"/>
    </row>
    <row r="2708" spans="1:1">
      <c r="A2708" s="175"/>
    </row>
    <row r="2709" spans="1:1">
      <c r="A2709" s="175"/>
    </row>
    <row r="2710" spans="1:1">
      <c r="A2710" s="175"/>
    </row>
    <row r="2711" spans="1:1">
      <c r="A2711" s="175"/>
    </row>
    <row r="2712" spans="1:1">
      <c r="A2712" s="175"/>
    </row>
    <row r="2713" spans="1:1">
      <c r="A2713" s="175"/>
    </row>
    <row r="2714" spans="1:1">
      <c r="A2714" s="175"/>
    </row>
    <row r="2715" spans="1:1">
      <c r="A2715" s="175"/>
    </row>
    <row r="2716" spans="1:1">
      <c r="A2716" s="175"/>
    </row>
    <row r="2717" spans="1:1">
      <c r="A2717" s="175"/>
    </row>
    <row r="2718" spans="1:1">
      <c r="A2718" s="175"/>
    </row>
    <row r="2719" spans="1:1">
      <c r="A2719" s="175"/>
    </row>
    <row r="2720" spans="1:1">
      <c r="A2720" s="175"/>
    </row>
    <row r="2721" spans="1:1">
      <c r="A2721" s="175"/>
    </row>
    <row r="2722" spans="1:1">
      <c r="A2722" s="175"/>
    </row>
    <row r="2723" spans="1:1">
      <c r="A2723" s="175"/>
    </row>
    <row r="2724" spans="1:1">
      <c r="A2724" s="175"/>
    </row>
    <row r="2725" spans="1:1">
      <c r="A2725" s="175"/>
    </row>
    <row r="2726" spans="1:1">
      <c r="A2726" s="175"/>
    </row>
    <row r="2727" spans="1:1">
      <c r="A2727" s="175"/>
    </row>
    <row r="2728" spans="1:1">
      <c r="A2728" s="175"/>
    </row>
    <row r="2729" spans="1:1">
      <c r="A2729" s="175"/>
    </row>
    <row r="2730" spans="1:1">
      <c r="A2730" s="175"/>
    </row>
    <row r="2731" spans="1:1">
      <c r="A2731" s="175"/>
    </row>
    <row r="2732" spans="1:1">
      <c r="A2732" s="175"/>
    </row>
    <row r="2733" spans="1:1">
      <c r="A2733" s="175"/>
    </row>
    <row r="2734" spans="1:1">
      <c r="A2734" s="175"/>
    </row>
    <row r="2735" spans="1:1">
      <c r="A2735" s="175"/>
    </row>
    <row r="2736" spans="1:1">
      <c r="A2736" s="175"/>
    </row>
    <row r="2737" spans="1:1">
      <c r="A2737" s="175"/>
    </row>
    <row r="2738" spans="1:1">
      <c r="A2738" s="175"/>
    </row>
    <row r="2739" spans="1:1">
      <c r="A2739" s="175"/>
    </row>
    <row r="2740" spans="1:1">
      <c r="A2740" s="175"/>
    </row>
    <row r="2741" spans="1:1">
      <c r="A2741" s="175"/>
    </row>
    <row r="2742" spans="1:1">
      <c r="A2742" s="175"/>
    </row>
    <row r="2743" spans="1:1">
      <c r="A2743" s="175"/>
    </row>
    <row r="2744" spans="1:1">
      <c r="A2744" s="175"/>
    </row>
    <row r="2745" spans="1:1">
      <c r="A2745" s="175"/>
    </row>
    <row r="2746" spans="1:1">
      <c r="A2746" s="175"/>
    </row>
    <row r="2747" spans="1:1">
      <c r="A2747" s="175"/>
    </row>
    <row r="2748" spans="1:1">
      <c r="A2748" s="175"/>
    </row>
    <row r="2749" spans="1:1">
      <c r="A2749" s="175"/>
    </row>
    <row r="2750" spans="1:1">
      <c r="A2750" s="175"/>
    </row>
    <row r="2751" spans="1:1">
      <c r="A2751" s="175"/>
    </row>
    <row r="2752" spans="1:1">
      <c r="A2752" s="175"/>
    </row>
    <row r="2753" spans="1:1">
      <c r="A2753" s="175"/>
    </row>
    <row r="2754" spans="1:1">
      <c r="A2754" s="175"/>
    </row>
    <row r="2755" spans="1:1">
      <c r="A2755" s="175"/>
    </row>
    <row r="2756" spans="1:1">
      <c r="A2756" s="175"/>
    </row>
    <row r="2757" spans="1:1">
      <c r="A2757" s="175"/>
    </row>
    <row r="2758" spans="1:1">
      <c r="A2758" s="175"/>
    </row>
    <row r="2759" spans="1:1">
      <c r="A2759" s="175"/>
    </row>
    <row r="2760" spans="1:1">
      <c r="A2760" s="175"/>
    </row>
    <row r="2761" spans="1:1">
      <c r="A2761" s="175"/>
    </row>
    <row r="2762" spans="1:1">
      <c r="A2762" s="175"/>
    </row>
    <row r="2763" spans="1:1">
      <c r="A2763" s="175"/>
    </row>
    <row r="2764" spans="1:1">
      <c r="A2764" s="175"/>
    </row>
    <row r="2765" spans="1:1">
      <c r="A2765" s="175"/>
    </row>
    <row r="2766" spans="1:1">
      <c r="A2766" s="175"/>
    </row>
    <row r="2767" spans="1:1">
      <c r="A2767" s="175"/>
    </row>
    <row r="2768" spans="1:1">
      <c r="A2768" s="175"/>
    </row>
    <row r="2769" spans="1:1">
      <c r="A2769" s="175"/>
    </row>
    <row r="2770" spans="1:1">
      <c r="A2770" s="175"/>
    </row>
    <row r="2771" spans="1:1">
      <c r="A2771" s="175"/>
    </row>
    <row r="2772" spans="1:1">
      <c r="A2772" s="175"/>
    </row>
    <row r="2773" spans="1:1">
      <c r="A2773" s="175"/>
    </row>
    <row r="2774" spans="1:1">
      <c r="A2774" s="175"/>
    </row>
    <row r="2775" spans="1:1">
      <c r="A2775" s="175"/>
    </row>
    <row r="2776" spans="1:1">
      <c r="A2776" s="175"/>
    </row>
    <row r="2777" spans="1:1">
      <c r="A2777" s="175"/>
    </row>
    <row r="2778" spans="1:1">
      <c r="A2778" s="175"/>
    </row>
    <row r="2779" spans="1:1">
      <c r="A2779" s="175"/>
    </row>
    <row r="2780" spans="1:1">
      <c r="A2780" s="175"/>
    </row>
    <row r="2781" spans="1:1">
      <c r="A2781" s="175"/>
    </row>
    <row r="2782" spans="1:1">
      <c r="A2782" s="175"/>
    </row>
    <row r="2783" spans="1:1">
      <c r="A2783" s="175"/>
    </row>
    <row r="2784" spans="1:1">
      <c r="A2784" s="175"/>
    </row>
    <row r="2785" spans="1:1">
      <c r="A2785" s="175"/>
    </row>
    <row r="2786" spans="1:1">
      <c r="A2786" s="175"/>
    </row>
    <row r="2787" spans="1:1">
      <c r="A2787" s="175"/>
    </row>
    <row r="2788" spans="1:1">
      <c r="A2788" s="175"/>
    </row>
    <row r="2789" spans="1:1">
      <c r="A2789" s="175"/>
    </row>
    <row r="2790" spans="1:1">
      <c r="A2790" s="175"/>
    </row>
    <row r="2791" spans="1:1">
      <c r="A2791" s="175"/>
    </row>
    <row r="2792" spans="1:1">
      <c r="A2792" s="175"/>
    </row>
    <row r="2793" spans="1:1">
      <c r="A2793" s="175"/>
    </row>
    <row r="2794" spans="1:1">
      <c r="A2794" s="175"/>
    </row>
    <row r="2795" spans="1:1">
      <c r="A2795" s="175"/>
    </row>
    <row r="2796" spans="1:1">
      <c r="A2796" s="175"/>
    </row>
    <row r="2797" spans="1:1">
      <c r="A2797" s="175"/>
    </row>
    <row r="2798" spans="1:1">
      <c r="A2798" s="175"/>
    </row>
    <row r="2799" spans="1:1">
      <c r="A2799" s="175"/>
    </row>
    <row r="2800" spans="1:1">
      <c r="A2800" s="175"/>
    </row>
    <row r="2801" spans="1:1">
      <c r="A2801" s="175"/>
    </row>
    <row r="2802" spans="1:1">
      <c r="A2802" s="175"/>
    </row>
    <row r="2803" spans="1:1">
      <c r="A2803" s="175"/>
    </row>
    <row r="2804" spans="1:1">
      <c r="A2804" s="175"/>
    </row>
    <row r="2805" spans="1:1">
      <c r="A2805" s="175"/>
    </row>
    <row r="2806" spans="1:1">
      <c r="A2806" s="175"/>
    </row>
    <row r="2807" spans="1:1">
      <c r="A2807" s="175"/>
    </row>
    <row r="2808" spans="1:1">
      <c r="A2808" s="175"/>
    </row>
    <row r="2809" spans="1:1">
      <c r="A2809" s="175"/>
    </row>
    <row r="2810" spans="1:1">
      <c r="A2810" s="175"/>
    </row>
    <row r="2811" spans="1:1">
      <c r="A2811" s="175"/>
    </row>
    <row r="2812" spans="1:1">
      <c r="A2812" s="175"/>
    </row>
    <row r="2813" spans="1:1">
      <c r="A2813" s="175"/>
    </row>
    <row r="2814" spans="1:1">
      <c r="A2814" s="175"/>
    </row>
    <row r="2815" spans="1:1">
      <c r="A2815" s="175"/>
    </row>
    <row r="2816" spans="1:1">
      <c r="A2816" s="175"/>
    </row>
    <row r="2817" spans="1:1">
      <c r="A2817" s="175"/>
    </row>
    <row r="2818" spans="1:1">
      <c r="A2818" s="175"/>
    </row>
    <row r="2819" spans="1:1">
      <c r="A2819" s="175"/>
    </row>
    <row r="2820" spans="1:1">
      <c r="A2820" s="175"/>
    </row>
    <row r="2821" spans="1:1">
      <c r="A2821" s="175"/>
    </row>
    <row r="2822" spans="1:1">
      <c r="A2822" s="175"/>
    </row>
    <row r="2823" spans="1:1">
      <c r="A2823" s="175"/>
    </row>
    <row r="2824" spans="1:1">
      <c r="A2824" s="175"/>
    </row>
    <row r="2825" spans="1:1">
      <c r="A2825" s="175"/>
    </row>
    <row r="2826" spans="1:1">
      <c r="A2826" s="175"/>
    </row>
    <row r="2827" spans="1:1">
      <c r="A2827" s="175"/>
    </row>
    <row r="2828" spans="1:1">
      <c r="A2828" s="175"/>
    </row>
    <row r="2829" spans="1:1">
      <c r="A2829" s="175"/>
    </row>
    <row r="2830" spans="1:1">
      <c r="A2830" s="175"/>
    </row>
    <row r="2831" spans="1:1">
      <c r="A2831" s="175"/>
    </row>
    <row r="2832" spans="1:1">
      <c r="A2832" s="175"/>
    </row>
    <row r="2833" spans="1:1">
      <c r="A2833" s="175"/>
    </row>
    <row r="2834" spans="1:1">
      <c r="A2834" s="175"/>
    </row>
    <row r="2835" spans="1:1">
      <c r="A2835" s="175"/>
    </row>
    <row r="2836" spans="1:1">
      <c r="A2836" s="175"/>
    </row>
    <row r="2837" spans="1:1">
      <c r="A2837" s="175"/>
    </row>
    <row r="2838" spans="1:1">
      <c r="A2838" s="175"/>
    </row>
    <row r="2839" spans="1:1">
      <c r="A2839" s="175"/>
    </row>
    <row r="2840" spans="1:1">
      <c r="A2840" s="175"/>
    </row>
    <row r="2841" spans="1:1">
      <c r="A2841" s="175"/>
    </row>
    <row r="2842" spans="1:1">
      <c r="A2842" s="175"/>
    </row>
    <row r="2843" spans="1:1">
      <c r="A2843" s="175"/>
    </row>
    <row r="2844" spans="1:1">
      <c r="A2844" s="175"/>
    </row>
    <row r="2845" spans="1:1">
      <c r="A2845" s="175"/>
    </row>
    <row r="2846" spans="1:1">
      <c r="A2846" s="175"/>
    </row>
    <row r="2847" spans="1:1">
      <c r="A2847" s="175"/>
    </row>
    <row r="2848" spans="1:1">
      <c r="A2848" s="175"/>
    </row>
    <row r="2849" spans="1:1">
      <c r="A2849" s="175"/>
    </row>
    <row r="2850" spans="1:1">
      <c r="A2850" s="175"/>
    </row>
    <row r="2851" spans="1:1">
      <c r="A2851" s="175"/>
    </row>
    <row r="2852" spans="1:1">
      <c r="A2852" s="175"/>
    </row>
    <row r="2853" spans="1:1">
      <c r="A2853" s="175"/>
    </row>
    <row r="2854" spans="1:1">
      <c r="A2854" s="175"/>
    </row>
    <row r="2855" spans="1:1">
      <c r="A2855" s="175"/>
    </row>
    <row r="2856" spans="1:1">
      <c r="A2856" s="175"/>
    </row>
    <row r="2857" spans="1:1">
      <c r="A2857" s="175"/>
    </row>
    <row r="2858" spans="1:1">
      <c r="A2858" s="175"/>
    </row>
    <row r="2859" spans="1:1">
      <c r="A2859" s="175"/>
    </row>
    <row r="2860" spans="1:1">
      <c r="A2860" s="175"/>
    </row>
    <row r="2861" spans="1:1">
      <c r="A2861" s="175"/>
    </row>
    <row r="2862" spans="1:1">
      <c r="A2862" s="175"/>
    </row>
    <row r="2863" spans="1:1">
      <c r="A2863" s="175"/>
    </row>
    <row r="2864" spans="1:1">
      <c r="A2864" s="175"/>
    </row>
    <row r="2865" spans="1:1">
      <c r="A2865" s="175"/>
    </row>
    <row r="2866" spans="1:1">
      <c r="A2866" s="175"/>
    </row>
    <row r="2867" spans="1:1">
      <c r="A2867" s="175"/>
    </row>
    <row r="2868" spans="1:1">
      <c r="A2868" s="175"/>
    </row>
    <row r="2869" spans="1:1">
      <c r="A2869" s="175"/>
    </row>
    <row r="2870" spans="1:1">
      <c r="A2870" s="175"/>
    </row>
    <row r="2871" spans="1:1">
      <c r="A2871" s="175"/>
    </row>
    <row r="2872" spans="1:1">
      <c r="A2872" s="175"/>
    </row>
    <row r="2873" spans="1:1">
      <c r="A2873" s="175"/>
    </row>
    <row r="2874" spans="1:1">
      <c r="A2874" s="175"/>
    </row>
    <row r="2875" spans="1:1">
      <c r="A2875" s="175"/>
    </row>
    <row r="2876" spans="1:1">
      <c r="A2876" s="175"/>
    </row>
    <row r="2877" spans="1:1">
      <c r="A2877" s="175"/>
    </row>
    <row r="2878" spans="1:1">
      <c r="A2878" s="175"/>
    </row>
    <row r="2879" spans="1:1">
      <c r="A2879" s="175"/>
    </row>
    <row r="2880" spans="1:1">
      <c r="A2880" s="175"/>
    </row>
    <row r="2881" spans="1:1">
      <c r="A2881" s="175"/>
    </row>
    <row r="2882" spans="1:1">
      <c r="A2882" s="175"/>
    </row>
    <row r="2883" spans="1:1">
      <c r="A2883" s="175"/>
    </row>
    <row r="2884" spans="1:1">
      <c r="A2884" s="175"/>
    </row>
    <row r="2885" spans="1:1">
      <c r="A2885" s="175"/>
    </row>
    <row r="2886" spans="1:1">
      <c r="A2886" s="175"/>
    </row>
    <row r="2887" spans="1:1">
      <c r="A2887" s="175"/>
    </row>
    <row r="2888" spans="1:1">
      <c r="A2888" s="175"/>
    </row>
    <row r="2889" spans="1:1">
      <c r="A2889" s="175"/>
    </row>
    <row r="2890" spans="1:1">
      <c r="A2890" s="175"/>
    </row>
    <row r="2891" spans="1:1">
      <c r="A2891" s="175"/>
    </row>
    <row r="2892" spans="1:1">
      <c r="A2892" s="175"/>
    </row>
    <row r="2893" spans="1:1">
      <c r="A2893" s="175"/>
    </row>
    <row r="2894" spans="1:1">
      <c r="A2894" s="175"/>
    </row>
    <row r="2895" spans="1:1">
      <c r="A2895" s="175"/>
    </row>
    <row r="2896" spans="1:1">
      <c r="A2896" s="175"/>
    </row>
    <row r="2897" spans="1:1">
      <c r="A2897" s="175"/>
    </row>
    <row r="2898" spans="1:1">
      <c r="A2898" s="175"/>
    </row>
    <row r="2899" spans="1:1">
      <c r="A2899" s="175"/>
    </row>
    <row r="2900" spans="1:1">
      <c r="A2900" s="175"/>
    </row>
    <row r="2901" spans="1:1">
      <c r="A2901" s="175"/>
    </row>
    <row r="2902" spans="1:1">
      <c r="A2902" s="175"/>
    </row>
    <row r="2903" spans="1:1">
      <c r="A2903" s="175"/>
    </row>
    <row r="2904" spans="1:1">
      <c r="A2904" s="175"/>
    </row>
    <row r="2905" spans="1:1">
      <c r="A2905" s="175"/>
    </row>
    <row r="2906" spans="1:1">
      <c r="A2906" s="175"/>
    </row>
    <row r="2907" spans="1:1">
      <c r="A2907" s="175"/>
    </row>
    <row r="2908" spans="1:1">
      <c r="A2908" s="175"/>
    </row>
    <row r="2909" spans="1:1">
      <c r="A2909" s="175"/>
    </row>
    <row r="2910" spans="1:1">
      <c r="A2910" s="175"/>
    </row>
    <row r="2911" spans="1:1">
      <c r="A2911" s="175"/>
    </row>
    <row r="2912" spans="1:1">
      <c r="A2912" s="175"/>
    </row>
    <row r="2913" spans="1:1">
      <c r="A2913" s="175"/>
    </row>
    <row r="2914" spans="1:1">
      <c r="A2914" s="175"/>
    </row>
    <row r="2915" spans="1:1">
      <c r="A2915" s="175"/>
    </row>
    <row r="2916" spans="1:1">
      <c r="A2916" s="175"/>
    </row>
    <row r="2917" spans="1:1">
      <c r="A2917" s="175"/>
    </row>
    <row r="2918" spans="1:1">
      <c r="A2918" s="175"/>
    </row>
    <row r="2919" spans="1:1">
      <c r="A2919" s="175"/>
    </row>
    <row r="2920" spans="1:1">
      <c r="A2920" s="175"/>
    </row>
    <row r="2921" spans="1:1">
      <c r="A2921" s="175"/>
    </row>
    <row r="2922" spans="1:1">
      <c r="A2922" s="175"/>
    </row>
    <row r="2923" spans="1:1">
      <c r="A2923" s="175"/>
    </row>
    <row r="2924" spans="1:1">
      <c r="A2924" s="175"/>
    </row>
    <row r="2925" spans="1:1">
      <c r="A2925" s="175"/>
    </row>
    <row r="2926" spans="1:1">
      <c r="A2926" s="175"/>
    </row>
    <row r="2927" spans="1:1">
      <c r="A2927" s="175"/>
    </row>
    <row r="2928" spans="1:1">
      <c r="A2928" s="175"/>
    </row>
    <row r="2929" spans="1:1">
      <c r="A2929" s="175"/>
    </row>
    <row r="2930" spans="1:1">
      <c r="A2930" s="175"/>
    </row>
    <row r="2931" spans="1:1">
      <c r="A2931" s="175"/>
    </row>
    <row r="2932" spans="1:1">
      <c r="A2932" s="175"/>
    </row>
    <row r="2933" spans="1:1">
      <c r="A2933" s="175"/>
    </row>
    <row r="2934" spans="1:1">
      <c r="A2934" s="175"/>
    </row>
    <row r="2935" spans="1:1">
      <c r="A2935" s="175"/>
    </row>
    <row r="2936" spans="1:1">
      <c r="A2936" s="175"/>
    </row>
    <row r="2937" spans="1:1">
      <c r="A2937" s="175"/>
    </row>
    <row r="2938" spans="1:1">
      <c r="A2938" s="175"/>
    </row>
    <row r="2939" spans="1:1">
      <c r="A2939" s="175"/>
    </row>
    <row r="2940" spans="1:1">
      <c r="A2940" s="175"/>
    </row>
    <row r="2941" spans="1:1">
      <c r="A2941" s="175"/>
    </row>
    <row r="2942" spans="1:1">
      <c r="A2942" s="175"/>
    </row>
    <row r="2943" spans="1:1">
      <c r="A2943" s="175"/>
    </row>
    <row r="2944" spans="1:1">
      <c r="A2944" s="175"/>
    </row>
    <row r="2945" spans="1:1">
      <c r="A2945" s="175"/>
    </row>
    <row r="2946" spans="1:1">
      <c r="A2946" s="175"/>
    </row>
    <row r="2947" spans="1:1">
      <c r="A2947" s="175"/>
    </row>
    <row r="2948" spans="1:1">
      <c r="A2948" s="175"/>
    </row>
    <row r="2949" spans="1:1">
      <c r="A2949" s="175"/>
    </row>
    <row r="2950" spans="1:1">
      <c r="A2950" s="175"/>
    </row>
    <row r="2951" spans="1:1">
      <c r="A2951" s="175"/>
    </row>
    <row r="2952" spans="1:1">
      <c r="A2952" s="175"/>
    </row>
    <row r="2953" spans="1:1">
      <c r="A2953" s="175"/>
    </row>
    <row r="2954" spans="1:1">
      <c r="A2954" s="175"/>
    </row>
    <row r="2955" spans="1:1">
      <c r="A2955" s="175"/>
    </row>
    <row r="2956" spans="1:1">
      <c r="A2956" s="175"/>
    </row>
    <row r="2957" spans="1:1">
      <c r="A2957" s="175"/>
    </row>
    <row r="2958" spans="1:1">
      <c r="A2958" s="175"/>
    </row>
    <row r="2959" spans="1:1">
      <c r="A2959" s="175"/>
    </row>
    <row r="2960" spans="1:1">
      <c r="A2960" s="175"/>
    </row>
    <row r="2961" spans="1:1">
      <c r="A2961" s="175"/>
    </row>
    <row r="2962" spans="1:1">
      <c r="A2962" s="175"/>
    </row>
    <row r="2963" spans="1:1">
      <c r="A2963" s="175"/>
    </row>
    <row r="2964" spans="1:1">
      <c r="A2964" s="175"/>
    </row>
    <row r="2965" spans="1:1">
      <c r="A2965" s="175"/>
    </row>
    <row r="2966" spans="1:1">
      <c r="A2966" s="175"/>
    </row>
    <row r="2967" spans="1:1">
      <c r="A2967" s="175"/>
    </row>
    <row r="2968" spans="1:1">
      <c r="A2968" s="175"/>
    </row>
    <row r="2969" spans="1:1">
      <c r="A2969" s="175"/>
    </row>
    <row r="2970" spans="1:1">
      <c r="A2970" s="175"/>
    </row>
    <row r="2971" spans="1:1">
      <c r="A2971" s="175"/>
    </row>
    <row r="2972" spans="1:1">
      <c r="A2972" s="175"/>
    </row>
    <row r="2973" spans="1:1">
      <c r="A2973" s="175"/>
    </row>
    <row r="2974" spans="1:1">
      <c r="A2974" s="175"/>
    </row>
    <row r="2975" spans="1:1">
      <c r="A2975" s="175"/>
    </row>
    <row r="2976" spans="1:1">
      <c r="A2976" s="175"/>
    </row>
    <row r="2977" spans="1:1">
      <c r="A2977" s="175"/>
    </row>
    <row r="2978" spans="1:1">
      <c r="A2978" s="175"/>
    </row>
    <row r="2979" spans="1:1">
      <c r="A2979" s="175"/>
    </row>
    <row r="2980" spans="1:1">
      <c r="A2980" s="175"/>
    </row>
    <row r="2981" spans="1:1">
      <c r="A2981" s="175"/>
    </row>
    <row r="2982" spans="1:1">
      <c r="A2982" s="175"/>
    </row>
    <row r="2983" spans="1:1">
      <c r="A2983" s="175"/>
    </row>
    <row r="2984" spans="1:1">
      <c r="A2984" s="175"/>
    </row>
    <row r="2985" spans="1:1">
      <c r="A2985" s="175"/>
    </row>
    <row r="2986" spans="1:1">
      <c r="A2986" s="175"/>
    </row>
    <row r="2987" spans="1:1">
      <c r="A2987" s="175"/>
    </row>
    <row r="2988" spans="1:1">
      <c r="A2988" s="175"/>
    </row>
    <row r="2989" spans="1:1">
      <c r="A2989" s="175"/>
    </row>
    <row r="2990" spans="1:1">
      <c r="A2990" s="175"/>
    </row>
    <row r="2991" spans="1:1">
      <c r="A2991" s="175"/>
    </row>
    <row r="2992" spans="1:1">
      <c r="A2992" s="175"/>
    </row>
    <row r="2993" spans="1:1">
      <c r="A2993" s="175"/>
    </row>
    <row r="2994" spans="1:1">
      <c r="A2994" s="175"/>
    </row>
    <row r="2995" spans="1:1">
      <c r="A2995" s="175"/>
    </row>
    <row r="2996" spans="1:1">
      <c r="A2996" s="175"/>
    </row>
    <row r="2997" spans="1:1">
      <c r="A2997" s="175"/>
    </row>
    <row r="2998" spans="1:1">
      <c r="A2998" s="175"/>
    </row>
    <row r="2999" spans="1:1">
      <c r="A2999" s="175"/>
    </row>
    <row r="3000" spans="1:1">
      <c r="A3000" s="175"/>
    </row>
    <row r="3001" spans="1:1">
      <c r="A3001" s="175"/>
    </row>
    <row r="3002" spans="1:1">
      <c r="A3002" s="175"/>
    </row>
    <row r="3003" spans="1:1">
      <c r="A3003" s="175"/>
    </row>
    <row r="3004" spans="1:1">
      <c r="A3004" s="175"/>
    </row>
    <row r="3005" spans="1:1">
      <c r="A3005" s="175"/>
    </row>
    <row r="3006" spans="1:1">
      <c r="A3006" s="175"/>
    </row>
    <row r="3007" spans="1:1">
      <c r="A3007" s="175"/>
    </row>
    <row r="3008" spans="1:1">
      <c r="A3008" s="175"/>
    </row>
    <row r="3009" spans="1:1">
      <c r="A3009" s="175"/>
    </row>
    <row r="3010" spans="1:1">
      <c r="A3010" s="175"/>
    </row>
    <row r="3011" spans="1:1">
      <c r="A3011" s="175"/>
    </row>
    <row r="3012" spans="1:1">
      <c r="A3012" s="175"/>
    </row>
    <row r="3013" spans="1:1">
      <c r="A3013" s="175"/>
    </row>
    <row r="3014" spans="1:1">
      <c r="A3014" s="175"/>
    </row>
    <row r="3015" spans="1:1">
      <c r="A3015" s="175"/>
    </row>
    <row r="3016" spans="1:1">
      <c r="A3016" s="175"/>
    </row>
    <row r="3017" spans="1:1">
      <c r="A3017" s="175"/>
    </row>
    <row r="3018" spans="1:1">
      <c r="A3018" s="175"/>
    </row>
    <row r="3019" spans="1:1">
      <c r="A3019" s="175"/>
    </row>
    <row r="3020" spans="1:1">
      <c r="A3020" s="175"/>
    </row>
    <row r="3021" spans="1:1">
      <c r="A3021" s="175"/>
    </row>
    <row r="3022" spans="1:1">
      <c r="A3022" s="175"/>
    </row>
    <row r="3023" spans="1:1">
      <c r="A3023" s="175"/>
    </row>
    <row r="3024" spans="1:1">
      <c r="A3024" s="175"/>
    </row>
    <row r="3025" spans="1:1">
      <c r="A3025" s="175"/>
    </row>
    <row r="3026" spans="1:1">
      <c r="A3026" s="175"/>
    </row>
    <row r="3027" spans="1:1">
      <c r="A3027" s="175"/>
    </row>
    <row r="3028" spans="1:1">
      <c r="A3028" s="175"/>
    </row>
    <row r="3029" spans="1:1">
      <c r="A3029" s="175"/>
    </row>
    <row r="3030" spans="1:1">
      <c r="A3030" s="175"/>
    </row>
    <row r="3031" spans="1:1">
      <c r="A3031" s="175"/>
    </row>
    <row r="3032" spans="1:1">
      <c r="A3032" s="175"/>
    </row>
    <row r="3033" spans="1:1">
      <c r="A3033" s="175"/>
    </row>
    <row r="3034" spans="1:1">
      <c r="A3034" s="175"/>
    </row>
    <row r="3035" spans="1:1">
      <c r="A3035" s="175"/>
    </row>
    <row r="3036" spans="1:1">
      <c r="A3036" s="175"/>
    </row>
    <row r="3037" spans="1:1">
      <c r="A3037" s="175"/>
    </row>
    <row r="3038" spans="1:1">
      <c r="A3038" s="175"/>
    </row>
    <row r="3039" spans="1:1">
      <c r="A3039" s="175"/>
    </row>
    <row r="3040" spans="1:1">
      <c r="A3040" s="175"/>
    </row>
    <row r="3041" spans="1:1">
      <c r="A3041" s="175"/>
    </row>
    <row r="3042" spans="1:1">
      <c r="A3042" s="175"/>
    </row>
    <row r="3043" spans="1:1">
      <c r="A3043" s="175"/>
    </row>
    <row r="3044" spans="1:1">
      <c r="A3044" s="175"/>
    </row>
    <row r="3045" spans="1:1">
      <c r="A3045" s="175"/>
    </row>
    <row r="3046" spans="1:1">
      <c r="A3046" s="175"/>
    </row>
    <row r="3047" spans="1:1">
      <c r="A3047" s="175"/>
    </row>
    <row r="3048" spans="1:1">
      <c r="A3048" s="175"/>
    </row>
    <row r="3049" spans="1:1">
      <c r="A3049" s="175"/>
    </row>
    <row r="3050" spans="1:1">
      <c r="A3050" s="175"/>
    </row>
    <row r="3051" spans="1:1">
      <c r="A3051" s="175"/>
    </row>
    <row r="3052" spans="1:1">
      <c r="A3052" s="175"/>
    </row>
    <row r="3053" spans="1:1">
      <c r="A3053" s="175"/>
    </row>
    <row r="3054" spans="1:1">
      <c r="A3054" s="175"/>
    </row>
    <row r="3055" spans="1:1">
      <c r="A3055" s="175"/>
    </row>
    <row r="3056" spans="1:1">
      <c r="A3056" s="175"/>
    </row>
    <row r="3057" spans="1:1">
      <c r="A3057" s="175"/>
    </row>
    <row r="3058" spans="1:1">
      <c r="A3058" s="175"/>
    </row>
    <row r="3059" spans="1:1">
      <c r="A3059" s="175"/>
    </row>
    <row r="3060" spans="1:1">
      <c r="A3060" s="175"/>
    </row>
    <row r="3061" spans="1:1">
      <c r="A3061" s="175"/>
    </row>
    <row r="3062" spans="1:1">
      <c r="A3062" s="175"/>
    </row>
    <row r="3063" spans="1:1">
      <c r="A3063" s="175"/>
    </row>
    <row r="3064" spans="1:1">
      <c r="A3064" s="175"/>
    </row>
    <row r="3065" spans="1:1">
      <c r="A3065" s="175"/>
    </row>
    <row r="3066" spans="1:1">
      <c r="A3066" s="175"/>
    </row>
    <row r="3067" spans="1:1">
      <c r="A3067" s="175"/>
    </row>
    <row r="3068" spans="1:1">
      <c r="A3068" s="175"/>
    </row>
  </sheetData>
  <mergeCells count="4">
    <mergeCell ref="B6:M6"/>
    <mergeCell ref="N34:T34"/>
    <mergeCell ref="O4:Z4"/>
    <mergeCell ref="B4:M4"/>
  </mergeCells>
  <pageMargins left="0.75" right="0.75" top="1" bottom="1" header="0.5" footer="0.5"/>
  <pageSetup orientation="portrait" horizont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3"/>
  <sheetViews>
    <sheetView workbookViewId="0">
      <selection activeCell="B6" sqref="B6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247" t="s">
        <v>1310</v>
      </c>
      <c r="B1" s="343" t="s">
        <v>1379</v>
      </c>
    </row>
    <row r="2" spans="1:23">
      <c r="B2" s="239">
        <f>Calculations!$B$4</f>
        <v>2001</v>
      </c>
      <c r="C2" s="240">
        <f>B2+1</f>
        <v>2002</v>
      </c>
      <c r="D2" s="240">
        <f>C2+1</f>
        <v>2003</v>
      </c>
      <c r="E2" s="240">
        <f>D2+1</f>
        <v>2004</v>
      </c>
      <c r="F2" s="240">
        <f>E2+1</f>
        <v>2005</v>
      </c>
      <c r="G2" s="240">
        <f t="shared" ref="G2:N2" si="0">F2+1</f>
        <v>2006</v>
      </c>
      <c r="H2" s="240">
        <f t="shared" si="0"/>
        <v>2007</v>
      </c>
      <c r="I2" s="240">
        <f t="shared" si="0"/>
        <v>2008</v>
      </c>
      <c r="J2" s="240">
        <f t="shared" si="0"/>
        <v>2009</v>
      </c>
      <c r="K2" s="240">
        <f t="shared" si="0"/>
        <v>2010</v>
      </c>
      <c r="L2" s="240">
        <f t="shared" si="0"/>
        <v>2011</v>
      </c>
      <c r="M2" s="240">
        <f t="shared" si="0"/>
        <v>2012</v>
      </c>
      <c r="N2" s="240">
        <f t="shared" si="0"/>
        <v>2013</v>
      </c>
      <c r="O2" s="240">
        <f t="shared" ref="O2:W2" si="1">N2+1</f>
        <v>2014</v>
      </c>
      <c r="P2" s="240">
        <f t="shared" si="1"/>
        <v>2015</v>
      </c>
      <c r="Q2" s="240">
        <f t="shared" si="1"/>
        <v>2016</v>
      </c>
      <c r="R2" s="240">
        <f t="shared" si="1"/>
        <v>2017</v>
      </c>
      <c r="S2" s="240">
        <f t="shared" si="1"/>
        <v>2018</v>
      </c>
      <c r="T2" s="240">
        <f t="shared" si="1"/>
        <v>2019</v>
      </c>
      <c r="U2" s="240">
        <f t="shared" si="1"/>
        <v>2020</v>
      </c>
      <c r="V2" s="240">
        <f t="shared" si="1"/>
        <v>2021</v>
      </c>
      <c r="W2" s="241">
        <f t="shared" si="1"/>
        <v>2022</v>
      </c>
    </row>
    <row r="3" spans="1:23">
      <c r="A3" s="238" t="s">
        <v>1300</v>
      </c>
    </row>
    <row r="4" spans="1:23">
      <c r="A4" s="216" t="s">
        <v>1308</v>
      </c>
      <c r="B4" s="243" t="e">
        <f ca="1">((SUMIF(Calculations!$B$4:$B$255,B2,Calculations!$BW$4:$BW$255))/((SUMIF(Calculations!$B$4:$B$255,B2,Calculations!$BM$4:$BM$255)))/1000)*(SUMIF(Calculations!B$4:$B$255,B2,Calculations!$B$4:$B$255)/B2)/12</f>
        <v>#N/A</v>
      </c>
      <c r="C4" s="243" t="e">
        <f ca="1">((SUMIF(Calculations!$B$4:$B$255,C2,Calculations!$BW$4:$BW$255))/((SUMIF(Calculations!$B$4:$B$255,C2,Calculations!$BM$4:$BM$255)))/1000)*(SUMIF(Calculations!$B$4:C$255,C2,Calculations!$B$4:$B$255)/C2)/12</f>
        <v>#DIV/0!</v>
      </c>
      <c r="D4" s="243" t="e">
        <f ca="1">((SUMIF(Calculations!$B$4:$B$255,D2,Calculations!$BW$4:$BW$255))/((SUMIF(Calculations!$B$4:$B$255,D2,Calculations!$BM$4:$BM$255)))/1000)*(SUMIF(Calculations!$B$4:D$255,D2,Calculations!$B$4:$B$255)/D2)/12</f>
        <v>#DIV/0!</v>
      </c>
      <c r="E4" s="243" t="e">
        <f ca="1">((SUMIF(Calculations!$B$4:$B$255,E2,Calculations!$BW$4:$BW$255))/((SUMIF(Calculations!$B$4:$B$255,E2,Calculations!$BM$4:$BM$255)))/1000)*(SUMIF(Calculations!$B$4:E$255,E2,Calculations!$B$4:$B$255)/E2)/12</f>
        <v>#DIV/0!</v>
      </c>
      <c r="F4" s="243" t="e">
        <f ca="1">((SUMIF(Calculations!$B$4:$B$255,F2,Calculations!$BW$4:$BW$255))/((SUMIF(Calculations!$B$4:$B$255,F2,Calculations!$BM$4:$BM$255)))/1000)*(SUMIF(Calculations!$B$4:F$255,F2,Calculations!$B$4:$B$255)/F2)/12</f>
        <v>#DIV/0!</v>
      </c>
      <c r="G4" s="243" t="e">
        <f ca="1">((SUMIF(Calculations!$B$4:$B$255,G2,Calculations!$BW$4:$BW$255))/((SUMIF(Calculations!$B$4:$B$255,G2,Calculations!$BM$4:$BM$255)))/1000)*(SUMIF(Calculations!$B$4:G$255,G2,Calculations!$B$4:$B$255)/G2)/12</f>
        <v>#DIV/0!</v>
      </c>
      <c r="H4" s="243" t="e">
        <f ca="1">((SUMIF(Calculations!$B$4:$B$255,H2,Calculations!$BW$4:$BW$255))/((SUMIF(Calculations!$B$4:$B$255,H2,Calculations!$BM$4:$BM$255)))/1000)*(SUMIF(Calculations!$B$4:H$255,H2,Calculations!$B$4:$B$255)/H2)/12</f>
        <v>#DIV/0!</v>
      </c>
      <c r="I4" s="243" t="e">
        <f ca="1">((SUMIF(Calculations!$B$4:$B$255,I2,Calculations!$BW$4:$BW$255))/((SUMIF(Calculations!$B$4:$B$255,I2,Calculations!$BM$4:$BM$255)))/1000)*(SUMIF(Calculations!$B$4:I$255,I2,Calculations!$B$4:$B$255)/I2)/12</f>
        <v>#DIV/0!</v>
      </c>
      <c r="J4" s="243" t="e">
        <f ca="1">((SUMIF(Calculations!$B$4:$B$255,J2,Calculations!$BW$4:$BW$255))/((SUMIF(Calculations!$B$4:$B$255,J2,Calculations!$BM$4:$BM$255)))/1000)*(SUMIF(Calculations!$B$4:J$255,J2,Calculations!$B$4:$B$255)/J2)/12</f>
        <v>#DIV/0!</v>
      </c>
      <c r="K4" s="243" t="e">
        <f ca="1">((SUMIF(Calculations!$B$4:$B$255,K2,Calculations!$BW$4:$BW$255))/((SUMIF(Calculations!$B$4:$B$255,K2,Calculations!$BM$4:$BM$255)))/1000)*(SUMIF(Calculations!$B$4:L$255,K2,Calculations!$B$4:$B$255)/K2)/12</f>
        <v>#DIV/0!</v>
      </c>
      <c r="L4" s="243" t="e">
        <f ca="1">((SUMIF(Calculations!$B$4:$B$255,L2,Calculations!$BW$4:$BW$255))/((SUMIF(Calculations!$B$4:$B$255,L2,Calculations!$BM$4:$BM$255)))/1000)*(SUMIF(Calculations!$B$4:M$255,L2,Calculations!$B$4:$B$255)/L2)/12</f>
        <v>#DIV/0!</v>
      </c>
      <c r="M4" s="243" t="e">
        <f ca="1">((SUMIF(Calculations!$B$4:$B$255,M2,Calculations!$BW$4:$BW$255))/((SUMIF(Calculations!$B$4:$B$255,M2,Calculations!$BM$4:$BM$255)))/1000)*(SUMIF(Calculations!$B$4:O$255,M2,Calculations!$B$4:$B$255)/M2)/12</f>
        <v>#DIV/0!</v>
      </c>
      <c r="N4" s="243" t="e">
        <f ca="1">((SUMIF(Calculations!$B$4:$B$255,N2,Calculations!$BW$4:$BW$255))/((SUMIF(Calculations!$B$4:$B$255,N2,Calculations!$BM$4:$BM$255)))/1000)*(SUMIF(Calculations!$B$4:P$255,N2,Calculations!$B$4:$B$255)/N2)/12</f>
        <v>#DIV/0!</v>
      </c>
      <c r="O4" s="243" t="e">
        <f ca="1">((SUMIF(Calculations!$B$4:$B$255,O2,Calculations!$BW$4:$BW$255))/((SUMIF(Calculations!$B$4:$B$255,O2,Calculations!$BM$4:$BM$255)))/1000)*(SUMIF(Calculations!$B$4:Q$255,O2,Calculations!$B$4:$B$255)/O2)/12</f>
        <v>#DIV/0!</v>
      </c>
      <c r="P4" s="243" t="e">
        <f ca="1">((SUMIF(Calculations!$B$4:$B$255,P2,Calculations!$BW$4:$BW$255))/((SUMIF(Calculations!$B$4:$B$255,P2,Calculations!$BM$4:$BM$255)))/1000)*(SUMIF(Calculations!$B$4:R$255,P2,Calculations!$B$4:$B$255)/P2)/12</f>
        <v>#DIV/0!</v>
      </c>
      <c r="Q4" s="243" t="e">
        <f ca="1">((SUMIF(Calculations!$B$4:$B$255,Q2,Calculations!$BW$4:$BW$255))/((SUMIF(Calculations!$B$4:$B$255,Q2,Calculations!$BM$4:$BM$255)))/1000)*(SUMIF(Calculations!$B$4:S$255,Q2,Calculations!$B$4:$B$255)/Q2)/12</f>
        <v>#DIV/0!</v>
      </c>
      <c r="R4" s="243" t="e">
        <f ca="1">((SUMIF(Calculations!$B$4:$B$255,R2,Calculations!$BW$4:$BW$255))/((SUMIF(Calculations!$B$4:$B$255,R2,Calculations!$BM$4:$BM$255)))/1000)*(SUMIF(Calculations!$B$4:U$255,R2,Calculations!$B$4:$B$255)/R2)/12</f>
        <v>#DIV/0!</v>
      </c>
      <c r="S4" s="243" t="e">
        <f ca="1">((SUMIF(Calculations!$B$4:$B$255,S2,Calculations!$BW$4:$BW$255))/((SUMIF(Calculations!$B$4:$B$255,S2,Calculations!$BM$4:$BM$255)))/1000)*(SUMIF(Calculations!$B$4:V$255,S2,Calculations!$B$4:$B$255)/S2)/12</f>
        <v>#DIV/0!</v>
      </c>
      <c r="T4" s="243" t="e">
        <f ca="1">((SUMIF(Calculations!$B$4:$B$255,T2,Calculations!$BW$4:$BW$255))/((SUMIF(Calculations!$B$4:$B$255,T2,Calculations!$BM$4:$BM$255)))/1000)*(SUMIF(Calculations!$B$4:X$255,T2,Calculations!$B$4:$B$255)/T2)/12</f>
        <v>#DIV/0!</v>
      </c>
      <c r="U4" s="243" t="e">
        <f ca="1">((SUMIF(Calculations!$B$4:$B$255,U2,Calculations!$BW$4:$BW$255))/((SUMIF(Calculations!$B$4:$B$255,U2,Calculations!$BM$4:$BM$255)))/1000)*(SUMIF(Calculations!$B$4:Y$255,U2,Calculations!$B$4:$B$255)/U2)/12</f>
        <v>#DIV/0!</v>
      </c>
      <c r="V4" s="243" t="e">
        <f ca="1">((SUMIF(Calculations!$B$4:$B$255,V2,Calculations!$BW$4:$BW$255))/((SUMIF(Calculations!$B$4:$B$255,V2,Calculations!$BM$4:$BM$255)))/1000)*(SUMIF(Calculations!$B$4:Z$255,V2,Calculations!$B$4:$B$255)/V2)/12</f>
        <v>#DIV/0!</v>
      </c>
      <c r="W4" s="243" t="e">
        <f ca="1">((SUMIF(Calculations!$B$4:$B$255,W2,Calculations!$BW$4:$BW$255))/((SUMIF(Calculations!$B$4:$B$255,W2,Calculations!$BM$4:$BM$255)))/1000)*(SUMIF(Calculations!$B$4:AA$255,W2,Calculations!$B$4:$B$255)/W2)/12</f>
        <v>#DIV/0!</v>
      </c>
    </row>
    <row r="5" spans="1:23">
      <c r="A5" s="216" t="s">
        <v>1309</v>
      </c>
      <c r="B5" s="246" t="e">
        <f ca="1">SUMIF(Calculations!$B$4:$B$255,B2,Calculations!$BX$4:$BX$255)</f>
        <v>#N/A</v>
      </c>
      <c r="C5" s="246">
        <f>SUMIF(Calculations!$B$4:$B$255,C2,Calculations!$BX$4:$BX$255)</f>
        <v>0</v>
      </c>
      <c r="D5" s="246">
        <f>SUMIF(Calculations!$B$4:$B$255,D2,Calculations!$BX$4:$BX$255)</f>
        <v>0</v>
      </c>
      <c r="E5" s="246">
        <f>SUMIF(Calculations!$B$4:$B$255,E2,Calculations!$BX$4:$BX$255)</f>
        <v>0</v>
      </c>
      <c r="F5" s="246">
        <f>SUMIF(Calculations!$B$4:$B$255,F2,Calculations!$BX$4:$BX$255)</f>
        <v>0</v>
      </c>
      <c r="G5" s="246">
        <f>SUMIF(Calculations!$B$4:$B$255,G2,Calculations!$BX$4:$BX$255)</f>
        <v>0</v>
      </c>
      <c r="H5" s="246">
        <f>SUMIF(Calculations!$B$4:$B$255,H2,Calculations!$BX$4:$BX$255)</f>
        <v>0</v>
      </c>
      <c r="I5" s="246">
        <f>SUMIF(Calculations!$B$4:$B$255,I2,Calculations!$BX$4:$BX$255)</f>
        <v>0</v>
      </c>
      <c r="J5" s="246">
        <f>SUMIF(Calculations!$B$4:$B$255,J2,Calculations!$BX$4:$BX$255)</f>
        <v>0</v>
      </c>
      <c r="K5" s="246">
        <f>SUMIF(Calculations!$B$4:$B$255,K2,Calculations!$BX$4:$BX$255)</f>
        <v>0</v>
      </c>
      <c r="L5" s="246">
        <f>SUMIF(Calculations!$B$4:$B$255,L2,Calculations!$BX$4:$BX$255)</f>
        <v>0</v>
      </c>
      <c r="M5" s="246">
        <f>SUMIF(Calculations!$B$4:$B$255,M2,Calculations!$BX$4:$BX$255)</f>
        <v>0</v>
      </c>
      <c r="N5" s="246">
        <f>SUMIF(Calculations!$B$4:$B$255,N2,Calculations!$BX$4:$BX$255)</f>
        <v>0</v>
      </c>
      <c r="O5" s="246">
        <f>SUMIF(Calculations!$B$4:$B$255,O2,Calculations!$BX$4:$BX$255)</f>
        <v>0</v>
      </c>
      <c r="P5" s="246">
        <f>SUMIF(Calculations!$B$4:$B$255,P2,Calculations!$BX$4:$BX$255)</f>
        <v>0</v>
      </c>
      <c r="Q5" s="246">
        <f>SUMIF(Calculations!$B$4:$B$255,Q2,Calculations!$BX$4:$BX$255)</f>
        <v>0</v>
      </c>
      <c r="R5" s="246">
        <f>SUMIF(Calculations!$B$4:$B$255,R2,Calculations!$BX$4:$BX$255)</f>
        <v>0</v>
      </c>
      <c r="S5" s="246">
        <f>SUMIF(Calculations!$B$4:$B$255,S2,Calculations!$BX$4:$BX$255)</f>
        <v>0</v>
      </c>
      <c r="T5" s="246">
        <f>SUMIF(Calculations!$B$4:$B$255,T2,Calculations!$BX$4:$BX$255)</f>
        <v>0</v>
      </c>
      <c r="U5" s="246">
        <f>SUMIF(Calculations!$B$4:$B$255,U2,Calculations!$BX$4:$BX$255)</f>
        <v>0</v>
      </c>
      <c r="V5" s="246">
        <f>SUMIF(Calculations!$B$4:$B$255,V2,Calculations!$BX$4:$BX$255)</f>
        <v>0</v>
      </c>
      <c r="W5" s="246">
        <f>SUMIF(Calculations!$B$4:$B$255,W2,Calculations!$BX$4:$BX$255)</f>
        <v>0</v>
      </c>
    </row>
    <row r="6" spans="1:23">
      <c r="B6" s="244"/>
    </row>
    <row r="8" spans="1:23">
      <c r="A8" s="238" t="s">
        <v>1297</v>
      </c>
    </row>
    <row r="9" spans="1:23">
      <c r="A9" s="216" t="s">
        <v>1298</v>
      </c>
      <c r="B9" s="246" t="e">
        <f ca="1">SUMIF(Calculations!$B$4:$B$255,B2,Calculations!$BY$4:$BY$255)</f>
        <v>#N/A</v>
      </c>
      <c r="C9" s="246">
        <f>SUMIF(Calculations!$B$4:$B$255,C2,Calculations!$BY$4:$BY$255)</f>
        <v>0</v>
      </c>
      <c r="D9" s="246">
        <f>SUMIF(Calculations!$B$4:$B$255,D2,Calculations!$BY$4:$BY$255)</f>
        <v>0</v>
      </c>
      <c r="E9" s="246">
        <f>SUMIF(Calculations!$B$4:$B$255,E2,Calculations!$BY$4:$BY$255)</f>
        <v>0</v>
      </c>
      <c r="F9" s="246">
        <f>SUMIF(Calculations!$B$4:$B$255,F2,Calculations!$BY$4:$BY$255)</f>
        <v>0</v>
      </c>
      <c r="G9" s="246">
        <f>SUMIF(Calculations!$B$4:$B$255,G2,Calculations!$BY$4:$BY$255)</f>
        <v>0</v>
      </c>
      <c r="H9" s="246">
        <f>SUMIF(Calculations!$B$4:$B$255,H2,Calculations!$BY$4:$BY$255)</f>
        <v>0</v>
      </c>
      <c r="I9" s="246">
        <f>SUMIF(Calculations!$B$4:$B$255,I2,Calculations!$BY$4:$BY$255)</f>
        <v>0</v>
      </c>
      <c r="J9" s="246">
        <f>SUMIF(Calculations!$B$4:$B$255,J2,Calculations!$BY$4:$BY$255)</f>
        <v>0</v>
      </c>
      <c r="K9" s="246">
        <f>SUMIF(Calculations!$B$4:$B$255,K2,Calculations!$BY$4:$BY$255)</f>
        <v>0</v>
      </c>
      <c r="L9" s="246">
        <f>SUMIF(Calculations!$B$4:$B$255,L2,Calculations!$BY$4:$BY$255)</f>
        <v>0</v>
      </c>
      <c r="M9" s="246">
        <f>SUMIF(Calculations!$B$4:$B$255,M2,Calculations!$BY$4:$BY$255)</f>
        <v>0</v>
      </c>
      <c r="N9" s="246">
        <f>SUMIF(Calculations!$B$4:$B$255,N2,Calculations!$BY$4:$BY$255)</f>
        <v>0</v>
      </c>
      <c r="O9" s="246">
        <f>SUMIF(Calculations!$B$4:$B$255,O2,Calculations!$BY$4:$BY$255)</f>
        <v>0</v>
      </c>
      <c r="P9" s="246">
        <f>SUMIF(Calculations!$B$4:$B$255,P2,Calculations!$BY$4:$BY$255)</f>
        <v>0</v>
      </c>
      <c r="Q9" s="246">
        <f>SUMIF(Calculations!$B$4:$B$255,Q2,Calculations!$BY$4:$BY$255)</f>
        <v>0</v>
      </c>
      <c r="R9" s="246">
        <f>SUMIF(Calculations!$B$4:$B$255,R2,Calculations!$BY$4:$BY$255)</f>
        <v>0</v>
      </c>
      <c r="S9" s="246">
        <f>SUMIF(Calculations!$B$4:$B$255,S2,Calculations!$BY$4:$BY$255)</f>
        <v>0</v>
      </c>
      <c r="T9" s="246">
        <f>SUMIF(Calculations!$B$4:$B$255,T2,Calculations!$BY$4:$BY$255)</f>
        <v>0</v>
      </c>
      <c r="U9" s="246">
        <f>SUMIF(Calculations!$B$4:$B$255,U2,Calculations!$BY$4:$BY$255)</f>
        <v>0</v>
      </c>
      <c r="V9" s="246">
        <f>SUMIF(Calculations!$B$4:$B$255,V2,Calculations!$BY$4:$BY$255)</f>
        <v>0</v>
      </c>
      <c r="W9" s="246">
        <f>SUMIF(Calculations!$B$4:$B$255,W2,Calculations!$BY$4:$BY$255)</f>
        <v>0</v>
      </c>
    </row>
    <row r="10" spans="1:23">
      <c r="A10" t="s">
        <v>1299</v>
      </c>
      <c r="B10" s="246" t="e">
        <f ca="1">SUMIF(Calculations!$B$4:$B$255,B2,Calculations!$BZ$4:$BZ$255)</f>
        <v>#N/A</v>
      </c>
      <c r="C10" s="246">
        <f>SUMIF(Calculations!$B$4:$B$255,C2,Calculations!$BZ$4:$BZ$255)</f>
        <v>0</v>
      </c>
      <c r="D10" s="246">
        <f>SUMIF(Calculations!$B$4:$B$255,D2,Calculations!$BZ$4:$BZ$255)</f>
        <v>0</v>
      </c>
      <c r="E10" s="246">
        <f>SUMIF(Calculations!$B$4:$B$255,E2,Calculations!$BZ$4:$BZ$255)</f>
        <v>0</v>
      </c>
      <c r="F10" s="246">
        <f>SUMIF(Calculations!$B$4:$B$255,F2,Calculations!$BZ$4:$BZ$255)</f>
        <v>0</v>
      </c>
      <c r="G10" s="246">
        <f>SUMIF(Calculations!$B$4:$B$255,G2,Calculations!$BZ$4:$BZ$255)</f>
        <v>0</v>
      </c>
      <c r="H10" s="246">
        <f>SUMIF(Calculations!$B$4:$B$255,H2,Calculations!$BZ$4:$BZ$255)</f>
        <v>0</v>
      </c>
      <c r="I10" s="246">
        <f>SUMIF(Calculations!$B$4:$B$255,I2,Calculations!$BZ$4:$BZ$255)</f>
        <v>0</v>
      </c>
      <c r="J10" s="246">
        <f>SUMIF(Calculations!$B$4:$B$255,J2,Calculations!$BZ$4:$BZ$255)</f>
        <v>0</v>
      </c>
      <c r="K10" s="246">
        <f>SUMIF(Calculations!$B$4:$B$255,K2,Calculations!$BZ$4:$BZ$255)</f>
        <v>0</v>
      </c>
      <c r="L10" s="246">
        <f>SUMIF(Calculations!$B$4:$B$255,L2,Calculations!$BZ$4:$BZ$255)</f>
        <v>0</v>
      </c>
      <c r="M10" s="246">
        <f>SUMIF(Calculations!$B$4:$B$255,M2,Calculations!$BZ$4:$BZ$255)</f>
        <v>0</v>
      </c>
      <c r="N10" s="246">
        <f>SUMIF(Calculations!$B$4:$B$255,N2,Calculations!$BZ$4:$BZ$255)</f>
        <v>0</v>
      </c>
      <c r="O10" s="246">
        <f>SUMIF(Calculations!$B$4:$B$255,O2,Calculations!$BZ$4:$BZ$255)</f>
        <v>0</v>
      </c>
      <c r="P10" s="246">
        <f>SUMIF(Calculations!$B$4:$B$255,P2,Calculations!$BZ$4:$BZ$255)</f>
        <v>0</v>
      </c>
      <c r="Q10" s="246">
        <f>SUMIF(Calculations!$B$4:$B$255,Q2,Calculations!$BZ$4:$BZ$255)</f>
        <v>0</v>
      </c>
      <c r="R10" s="246">
        <f>SUMIF(Calculations!$B$4:$B$255,R2,Calculations!$BZ$4:$BZ$255)</f>
        <v>0</v>
      </c>
      <c r="S10" s="246">
        <f>SUMIF(Calculations!$B$4:$B$255,S2,Calculations!$BZ$4:$BZ$255)</f>
        <v>0</v>
      </c>
      <c r="T10" s="246">
        <f>SUMIF(Calculations!$B$4:$B$255,T2,Calculations!$BZ$4:$BZ$255)</f>
        <v>0</v>
      </c>
      <c r="U10" s="246">
        <f>SUMIF(Calculations!$B$4:$B$255,U2,Calculations!$BZ$4:$BZ$255)</f>
        <v>0</v>
      </c>
      <c r="V10" s="246">
        <f>SUMIF(Calculations!$B$4:$B$255,V2,Calculations!$BZ$4:$BZ$255)</f>
        <v>0</v>
      </c>
      <c r="W10" s="246">
        <f>SUMIF(Calculations!$B$4:$B$255,W2,Calculations!$BZ$4:$BZ$255)</f>
        <v>0</v>
      </c>
    </row>
    <row r="11" spans="1:23">
      <c r="A11" s="216" t="s">
        <v>1369</v>
      </c>
      <c r="B11" s="246" t="e">
        <f ca="1">SUMIF(Calculations!$B$4:$B$255,B2,Calculations!$CA$4:$CA$255)</f>
        <v>#N/A</v>
      </c>
      <c r="C11" s="246">
        <f>SUMIF(Calculations!$B$4:$B$255,C2,Calculations!$CA$4:$CA$255)</f>
        <v>0</v>
      </c>
      <c r="D11" s="246">
        <f>SUMIF(Calculations!$B$4:$B$255,D2,Calculations!$CA$4:$CA$255)</f>
        <v>0</v>
      </c>
      <c r="E11" s="246">
        <f>SUMIF(Calculations!$B$4:$B$255,E2,Calculations!$CA$4:$CA$255)</f>
        <v>0</v>
      </c>
      <c r="F11" s="246">
        <f>SUMIF(Calculations!$B$4:$B$255,F2,Calculations!$CA$4:$CA$255)</f>
        <v>0</v>
      </c>
      <c r="G11" s="246">
        <f>SUMIF(Calculations!$B$4:$B$255,G2,Calculations!$CA$4:$CA$255)</f>
        <v>0</v>
      </c>
      <c r="H11" s="246">
        <f>SUMIF(Calculations!$B$4:$B$255,H2,Calculations!$CA$4:$CA$255)</f>
        <v>0</v>
      </c>
      <c r="I11" s="246">
        <f>SUMIF(Calculations!$B$4:$B$255,I2,Calculations!$CA$4:$CA$255)</f>
        <v>0</v>
      </c>
      <c r="J11" s="246">
        <f>SUMIF(Calculations!$B$4:$B$255,J2,Calculations!$CA$4:$CA$255)</f>
        <v>0</v>
      </c>
      <c r="K11" s="246">
        <f>SUMIF(Calculations!$B$4:$B$255,K2,Calculations!$CA$4:$CA$255)</f>
        <v>0</v>
      </c>
      <c r="L11" s="246">
        <f>SUMIF(Calculations!$B$4:$B$255,L2,Calculations!$CA$4:$CA$255)</f>
        <v>0</v>
      </c>
      <c r="M11" s="246">
        <f>SUMIF(Calculations!$B$4:$B$255,M2,Calculations!$CA$4:$CA$255)</f>
        <v>0</v>
      </c>
      <c r="N11" s="246">
        <f>SUMIF(Calculations!$B$4:$B$255,N2,Calculations!$CA$4:$CA$255)</f>
        <v>0</v>
      </c>
      <c r="O11" s="246">
        <f>SUMIF(Calculations!$B$4:$B$255,O2,Calculations!$CA$4:$CA$255)</f>
        <v>0</v>
      </c>
      <c r="P11" s="246">
        <f>SUMIF(Calculations!$B$4:$B$255,P2,Calculations!$CA$4:$CA$255)</f>
        <v>0</v>
      </c>
      <c r="Q11" s="246">
        <f>SUMIF(Calculations!$B$4:$B$255,Q2,Calculations!$CA$4:$CA$255)</f>
        <v>0</v>
      </c>
      <c r="R11" s="246">
        <f>SUMIF(Calculations!$B$4:$B$255,R2,Calculations!$CA$4:$CA$255)</f>
        <v>0</v>
      </c>
      <c r="S11" s="246">
        <f>SUMIF(Calculations!$B$4:$B$255,S2,Calculations!$CA$4:$CA$255)</f>
        <v>0</v>
      </c>
      <c r="T11" s="246">
        <f>SUMIF(Calculations!$B$4:$B$255,T2,Calculations!$CA$4:$CA$255)</f>
        <v>0</v>
      </c>
      <c r="U11" s="246">
        <f>SUMIF(Calculations!$B$4:$B$255,U2,Calculations!$CA$4:$CA$255)</f>
        <v>0</v>
      </c>
      <c r="V11" s="246">
        <f>SUMIF(Calculations!$B$4:$B$255,V2,Calculations!$CA$4:$CA$255)</f>
        <v>0</v>
      </c>
      <c r="W11" s="246">
        <f>SUMIF(Calculations!$B$4:$B$255,W2,Calculations!$CA$4:$CA$255)</f>
        <v>0</v>
      </c>
    </row>
    <row r="13" spans="1:23">
      <c r="A13" t="s">
        <v>1307</v>
      </c>
      <c r="B13" s="246" t="e">
        <f ca="1">B5-B9-B10-B11</f>
        <v>#N/A</v>
      </c>
      <c r="C13" s="246">
        <f t="shared" ref="C13:W13" si="2">C5-C9-C10-C11</f>
        <v>0</v>
      </c>
      <c r="D13" s="246">
        <f t="shared" si="2"/>
        <v>0</v>
      </c>
      <c r="E13" s="246">
        <f t="shared" si="2"/>
        <v>0</v>
      </c>
      <c r="F13" s="246">
        <f t="shared" si="2"/>
        <v>0</v>
      </c>
      <c r="G13" s="246">
        <f t="shared" si="2"/>
        <v>0</v>
      </c>
      <c r="H13" s="246">
        <f t="shared" si="2"/>
        <v>0</v>
      </c>
      <c r="I13" s="246">
        <f t="shared" si="2"/>
        <v>0</v>
      </c>
      <c r="J13" s="246">
        <f t="shared" si="2"/>
        <v>0</v>
      </c>
      <c r="K13" s="246">
        <f t="shared" si="2"/>
        <v>0</v>
      </c>
      <c r="L13" s="246">
        <f t="shared" si="2"/>
        <v>0</v>
      </c>
      <c r="M13" s="246">
        <f t="shared" si="2"/>
        <v>0</v>
      </c>
      <c r="N13" s="246">
        <f t="shared" si="2"/>
        <v>0</v>
      </c>
      <c r="O13" s="246">
        <f t="shared" si="2"/>
        <v>0</v>
      </c>
      <c r="P13" s="246">
        <f t="shared" si="2"/>
        <v>0</v>
      </c>
      <c r="Q13" s="246">
        <f t="shared" si="2"/>
        <v>0</v>
      </c>
      <c r="R13" s="246">
        <f t="shared" si="2"/>
        <v>0</v>
      </c>
      <c r="S13" s="246">
        <f t="shared" si="2"/>
        <v>0</v>
      </c>
      <c r="T13" s="246">
        <f t="shared" si="2"/>
        <v>0</v>
      </c>
      <c r="U13" s="246">
        <f t="shared" si="2"/>
        <v>0</v>
      </c>
      <c r="V13" s="246">
        <f t="shared" si="2"/>
        <v>0</v>
      </c>
      <c r="W13" s="246">
        <f t="shared" si="2"/>
        <v>0</v>
      </c>
    </row>
  </sheetData>
  <pageMargins left="0.2" right="0.23" top="1" bottom="1" header="0.5" footer="0.5"/>
  <pageSetup paperSize="5" scale="5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5"/>
  <sheetViews>
    <sheetView topLeftCell="A13" workbookViewId="0">
      <selection activeCell="A35" sqref="A35"/>
    </sheetView>
  </sheetViews>
  <sheetFormatPr defaultRowHeight="13.2"/>
  <sheetData>
    <row r="1" spans="1:13">
      <c r="A1" s="216" t="s">
        <v>1272</v>
      </c>
      <c r="D1" s="257"/>
      <c r="E1" s="216" t="s">
        <v>1323</v>
      </c>
      <c r="F1" s="289"/>
      <c r="G1" s="216" t="s">
        <v>1346</v>
      </c>
    </row>
    <row r="2" spans="1:13" ht="10.5" customHeight="1">
      <c r="A2" s="287" t="s">
        <v>1273</v>
      </c>
      <c r="B2" s="287"/>
      <c r="C2" s="287"/>
      <c r="D2" s="287"/>
      <c r="E2" s="287"/>
      <c r="F2" s="287"/>
      <c r="G2" s="287"/>
      <c r="H2" s="287"/>
      <c r="I2" s="287"/>
      <c r="J2" s="288" t="s">
        <v>1330</v>
      </c>
      <c r="K2" s="287"/>
      <c r="L2" s="287"/>
      <c r="M2" s="287"/>
    </row>
    <row r="3" spans="1:13" ht="9" customHeight="1">
      <c r="A3" s="287" t="s">
        <v>1275</v>
      </c>
      <c r="B3" s="289"/>
      <c r="C3" s="289"/>
      <c r="D3" s="289"/>
      <c r="E3" s="289"/>
      <c r="F3" s="289"/>
      <c r="G3" s="289"/>
      <c r="H3" s="289"/>
      <c r="I3" s="287" t="s">
        <v>1325</v>
      </c>
      <c r="J3" s="289"/>
    </row>
    <row r="4" spans="1:13" ht="9" customHeight="1">
      <c r="A4" s="256" t="s">
        <v>1284</v>
      </c>
      <c r="B4" s="257"/>
      <c r="C4" s="257"/>
      <c r="D4" s="257"/>
    </row>
    <row r="5" spans="1:13" ht="9" customHeight="1">
      <c r="A5" s="256" t="s">
        <v>1291</v>
      </c>
      <c r="B5" s="257"/>
    </row>
    <row r="6" spans="1:13" ht="9" customHeight="1">
      <c r="A6" s="256" t="s">
        <v>1292</v>
      </c>
      <c r="B6" s="256"/>
      <c r="C6" s="256"/>
      <c r="D6" s="256"/>
    </row>
    <row r="7" spans="1:13" ht="9" customHeight="1">
      <c r="A7" s="256" t="s">
        <v>1293</v>
      </c>
      <c r="B7" s="257"/>
    </row>
    <row r="8" spans="1:13" ht="9" customHeight="1">
      <c r="A8" s="256" t="s">
        <v>1295</v>
      </c>
      <c r="B8" s="257"/>
      <c r="C8" s="257"/>
    </row>
    <row r="9" spans="1:13" ht="9" customHeight="1">
      <c r="A9" s="256" t="s">
        <v>1294</v>
      </c>
      <c r="B9" s="256"/>
      <c r="C9" s="256"/>
      <c r="D9" s="256"/>
      <c r="E9" s="256"/>
      <c r="F9" s="256"/>
    </row>
    <row r="10" spans="1:13" ht="9" customHeight="1">
      <c r="A10" s="256" t="s">
        <v>1296</v>
      </c>
      <c r="B10" s="257"/>
      <c r="C10" s="257"/>
      <c r="D10" s="257"/>
      <c r="E10" s="257"/>
    </row>
    <row r="11" spans="1:13" ht="9" customHeight="1">
      <c r="A11" s="256" t="s">
        <v>1302</v>
      </c>
      <c r="B11" s="256"/>
      <c r="C11" s="256"/>
      <c r="D11" s="256"/>
      <c r="E11" s="256"/>
    </row>
    <row r="12" spans="1:13" ht="9" customHeight="1">
      <c r="A12" s="283" t="s">
        <v>1340</v>
      </c>
      <c r="B12" s="256"/>
      <c r="C12" s="256"/>
      <c r="D12" s="256"/>
      <c r="E12" s="283" t="s">
        <v>1341</v>
      </c>
      <c r="F12" s="256"/>
      <c r="G12" s="256"/>
      <c r="H12" s="256"/>
      <c r="I12" s="256"/>
      <c r="J12" s="256"/>
    </row>
    <row r="13" spans="1:13" ht="9" customHeight="1">
      <c r="A13" s="256" t="s">
        <v>1326</v>
      </c>
      <c r="B13" s="256"/>
      <c r="C13" s="256"/>
      <c r="D13" s="256"/>
      <c r="E13" s="256"/>
    </row>
    <row r="14" spans="1:13" ht="9" customHeight="1">
      <c r="A14" s="256" t="s">
        <v>1324</v>
      </c>
      <c r="B14" s="256"/>
      <c r="C14" s="256"/>
      <c r="D14" s="256"/>
    </row>
    <row r="15" spans="1:13" ht="9" customHeight="1">
      <c r="A15" s="283" t="s">
        <v>1359</v>
      </c>
      <c r="B15" s="256"/>
      <c r="C15" s="256"/>
      <c r="D15" s="256"/>
      <c r="E15" s="256"/>
      <c r="F15" s="256"/>
      <c r="G15" s="256" t="s">
        <v>1360</v>
      </c>
      <c r="H15" s="256"/>
    </row>
    <row r="16" spans="1:13" ht="9" customHeight="1">
      <c r="A16" s="256" t="s">
        <v>1331</v>
      </c>
      <c r="B16" s="257"/>
      <c r="C16" s="257"/>
      <c r="D16" s="257"/>
      <c r="E16" s="257"/>
      <c r="F16" s="257"/>
      <c r="G16" s="257"/>
    </row>
    <row r="17" spans="1:10">
      <c r="A17" s="283" t="s">
        <v>1337</v>
      </c>
      <c r="B17" s="257"/>
    </row>
    <row r="18" spans="1:10">
      <c r="A18" s="256" t="s">
        <v>1353</v>
      </c>
      <c r="B18" s="256"/>
    </row>
    <row r="19" spans="1:10">
      <c r="A19" s="283" t="s">
        <v>1274</v>
      </c>
      <c r="B19" s="257"/>
      <c r="C19" s="257"/>
    </row>
    <row r="20" spans="1:10" s="155" customFormat="1" ht="10.199999999999999">
      <c r="A20" s="256" t="s">
        <v>1393</v>
      </c>
      <c r="B20" s="256"/>
      <c r="C20" s="256"/>
    </row>
    <row r="21" spans="1:10" s="4" customFormat="1">
      <c r="A21" s="256" t="s">
        <v>1388</v>
      </c>
      <c r="B21" s="257"/>
      <c r="C21" s="257"/>
      <c r="D21" s="256" t="s">
        <v>1418</v>
      </c>
      <c r="E21" s="257"/>
      <c r="F21" s="257"/>
    </row>
    <row r="22" spans="1:10">
      <c r="A22" s="256" t="s">
        <v>1394</v>
      </c>
      <c r="B22" s="257"/>
      <c r="C22" s="256"/>
      <c r="D22" s="257"/>
      <c r="E22" s="257"/>
      <c r="F22" s="257"/>
      <c r="G22" s="257"/>
      <c r="H22" s="257"/>
      <c r="I22" s="257"/>
      <c r="J22" s="257"/>
    </row>
    <row r="23" spans="1:10">
      <c r="A23" s="256" t="s">
        <v>1322</v>
      </c>
      <c r="B23" s="256"/>
      <c r="C23" s="256"/>
      <c r="D23" s="256"/>
      <c r="E23" s="256"/>
      <c r="F23" s="256"/>
      <c r="G23" s="256"/>
      <c r="H23" s="256" t="s">
        <v>1327</v>
      </c>
      <c r="I23" s="256"/>
      <c r="J23" s="256"/>
    </row>
    <row r="24" spans="1:10">
      <c r="A24" s="283" t="s">
        <v>1321</v>
      </c>
      <c r="B24" s="256"/>
      <c r="C24" s="256"/>
      <c r="D24" s="256"/>
      <c r="E24" s="256" t="s">
        <v>1416</v>
      </c>
      <c r="F24" s="256"/>
      <c r="G24" s="256"/>
      <c r="H24" s="256"/>
      <c r="I24" s="256" t="s">
        <v>1433</v>
      </c>
      <c r="J24" s="257"/>
    </row>
    <row r="25" spans="1:10">
      <c r="A25" t="s">
        <v>1338</v>
      </c>
    </row>
    <row r="26" spans="1:10">
      <c r="A26" t="s">
        <v>1344</v>
      </c>
    </row>
    <row r="27" spans="1:10">
      <c r="A27" t="s">
        <v>1345</v>
      </c>
      <c r="D27" s="204"/>
    </row>
    <row r="28" spans="1:10">
      <c r="A28" t="s">
        <v>1352</v>
      </c>
      <c r="D28" t="s">
        <v>1415</v>
      </c>
    </row>
    <row r="29" spans="1:10">
      <c r="A29" t="s">
        <v>1361</v>
      </c>
    </row>
    <row r="30" spans="1:10">
      <c r="A30" s="216" t="s">
        <v>1362</v>
      </c>
    </row>
    <row r="31" spans="1:10">
      <c r="A31" t="s">
        <v>1329</v>
      </c>
    </row>
    <row r="32" spans="1:10">
      <c r="A32" t="s">
        <v>1374</v>
      </c>
    </row>
    <row r="33" spans="1:4">
      <c r="A33" s="216" t="s">
        <v>1401</v>
      </c>
      <c r="D33" s="216"/>
    </row>
    <row r="34" spans="1:4">
      <c r="A34" t="s">
        <v>1389</v>
      </c>
    </row>
    <row r="35" spans="1:4">
      <c r="A35" t="s">
        <v>1417</v>
      </c>
    </row>
  </sheetData>
  <pageMargins left="0.25" right="0.25" top="1" bottom="1" header="0.5" footer="0.5"/>
  <pageSetup scale="87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52</vt:i4>
      </vt:variant>
    </vt:vector>
  </HeadingPairs>
  <TitlesOfParts>
    <vt:vector size="59" baseType="lpstr">
      <vt:lpstr>Inputs</vt:lpstr>
      <vt:lpstr>Power Curves</vt:lpstr>
      <vt:lpstr>Gas Curves</vt:lpstr>
      <vt:lpstr>Calculations</vt:lpstr>
      <vt:lpstr>Pricing Inputs</vt:lpstr>
      <vt:lpstr>Output</vt:lpstr>
      <vt:lpstr>WIP</vt:lpstr>
      <vt:lpstr>Availability</vt:lpstr>
      <vt:lpstr>Basischeck</vt:lpstr>
      <vt:lpstr>BasisIndex</vt:lpstr>
      <vt:lpstr>BasisNumber</vt:lpstr>
      <vt:lpstr>BMO</vt:lpstr>
      <vt:lpstr>CC</vt:lpstr>
      <vt:lpstr>CorrelationTable</vt:lpstr>
      <vt:lpstr>Curveadj</vt:lpstr>
      <vt:lpstr>CurveDate</vt:lpstr>
      <vt:lpstr>CurveRange</vt:lpstr>
      <vt:lpstr>DateToday</vt:lpstr>
      <vt:lpstr>Dayrun</vt:lpstr>
      <vt:lpstr>DBase</vt:lpstr>
      <vt:lpstr>Gasbmo</vt:lpstr>
      <vt:lpstr>GasCurves</vt:lpstr>
      <vt:lpstr>Gasesc</vt:lpstr>
      <vt:lpstr>GasVolTable</vt:lpstr>
      <vt:lpstr>Hrtable</vt:lpstr>
      <vt:lpstr>InterestRatesTable</vt:lpstr>
      <vt:lpstr>IntraPowerVol</vt:lpstr>
      <vt:lpstr>IRFirstMonth</vt:lpstr>
      <vt:lpstr>IRTable</vt:lpstr>
      <vt:lpstr>LastDateOfMonthlyVol</vt:lpstr>
      <vt:lpstr>ManualTable</vt:lpstr>
      <vt:lpstr>NumberofDaysTable</vt:lpstr>
      <vt:lpstr>OmicronCurveDate</vt:lpstr>
      <vt:lpstr>OmicronVol</vt:lpstr>
      <vt:lpstr>OPPowerPrices</vt:lpstr>
      <vt:lpstr>Password</vt:lpstr>
      <vt:lpstr>PeakPowerCurves</vt:lpstr>
      <vt:lpstr>Perstart</vt:lpstr>
      <vt:lpstr>PositionRegion</vt:lpstr>
      <vt:lpstr>PowerVolTable</vt:lpstr>
      <vt:lpstr>Pricetype</vt:lpstr>
      <vt:lpstr>Calculations!Print_Area</vt:lpstr>
      <vt:lpstr>'Gas Curves'!Print_Area</vt:lpstr>
      <vt:lpstr>'Gas Curves'!Print_Titles</vt:lpstr>
      <vt:lpstr>PV</vt:lpstr>
      <vt:lpstr>Pwresc</vt:lpstr>
      <vt:lpstr>RegionIndex</vt:lpstr>
      <vt:lpstr>RegionNumber</vt:lpstr>
      <vt:lpstr>SatSunPeakPwr</vt:lpstr>
      <vt:lpstr>ScalarTable</vt:lpstr>
      <vt:lpstr>ScaledPrice</vt:lpstr>
      <vt:lpstr>Smile</vt:lpstr>
      <vt:lpstr>Today</vt:lpstr>
      <vt:lpstr>UpperLeftOfCurveTable</vt:lpstr>
      <vt:lpstr>UserName</vt:lpstr>
      <vt:lpstr>Volscale</vt:lpstr>
      <vt:lpstr>Volsmile</vt:lpstr>
      <vt:lpstr>VOM</vt:lpstr>
      <vt:lpstr>VOMesc</vt:lpstr>
    </vt:vector>
  </TitlesOfParts>
  <Manager>Berney Aucoin</Manager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 Dispatch Model</dc:title>
  <dc:creator>jsimpso</dc:creator>
  <cp:lastModifiedBy>Havlíček Jan</cp:lastModifiedBy>
  <cp:lastPrinted>2000-03-06T20:51:14Z</cp:lastPrinted>
  <dcterms:created xsi:type="dcterms:W3CDTF">1999-11-15T20:08:29Z</dcterms:created>
  <dcterms:modified xsi:type="dcterms:W3CDTF">2023-09-10T11:43:18Z</dcterms:modified>
</cp:coreProperties>
</file>